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1"/>
  <workbookPr filterPrivacy="1" codeName="ThisWorkbook"/>
  <xr:revisionPtr revIDLastSave="0" documentId="8_{B634D517-0248-4E56-BD76-5AD2DD8F1A5F}" xr6:coauthVersionLast="47" xr6:coauthVersionMax="47" xr10:uidLastSave="{00000000-0000-0000-0000-000000000000}"/>
  <bookViews>
    <workbookView xWindow="-120" yWindow="-120" windowWidth="29040" windowHeight="15840" tabRatio="662" firstSheet="44" activeTab="44" xr2:uid="{00000000-000D-0000-FFFF-FFFF00000000}"/>
  </bookViews>
  <sheets>
    <sheet name="F_Outputs (non-group)" sheetId="81" state="hidden" r:id="rId1"/>
    <sheet name="F_Outputs (group)" sheetId="80" state="hidden" r:id="rId2"/>
    <sheet name="Introduction" sheetId="1" r:id="rId3"/>
    <sheet name="CLEAR_SHEET" sheetId="92" state="hidden" r:id="rId4"/>
    <sheet name="Change log (TTT)" sheetId="91" r:id="rId5"/>
    <sheet name="Validation" sheetId="2" r:id="rId6"/>
    <sheet name="Section 1 -&gt;" sheetId="3" r:id="rId7"/>
    <sheet name="1A" sheetId="4" r:id="rId8"/>
    <sheet name="1B" sheetId="5" r:id="rId9"/>
    <sheet name="1C" sheetId="6" r:id="rId10"/>
    <sheet name="1D" sheetId="7" r:id="rId11"/>
    <sheet name="1E" sheetId="8" r:id="rId12"/>
    <sheet name="Section 2 -&gt;" sheetId="9" r:id="rId13"/>
    <sheet name="2A" sheetId="11" r:id="rId14"/>
    <sheet name="2B" sheetId="12" r:id="rId15"/>
    <sheet name="2C" sheetId="13" r:id="rId16"/>
    <sheet name="2D" sheetId="14" r:id="rId17"/>
    <sheet name="2E" sheetId="15" r:id="rId18"/>
    <sheet name="2F" sheetId="16" r:id="rId19"/>
    <sheet name="2G" sheetId="17" r:id="rId20"/>
    <sheet name="2H" sheetId="18" r:id="rId21"/>
    <sheet name="2I" sheetId="19" r:id="rId22"/>
    <sheet name="2J" sheetId="44" r:id="rId23"/>
    <sheet name="Section 3 -&gt;" sheetId="20" r:id="rId24"/>
    <sheet name="3A" sheetId="21" r:id="rId25"/>
    <sheet name="3B" sheetId="22" r:id="rId26"/>
    <sheet name="3C" sheetId="23" r:id="rId27"/>
    <sheet name="3D" sheetId="24" r:id="rId28"/>
    <sheet name="3S" sheetId="86" r:id="rId29"/>
    <sheet name="Section 4 -&gt;" sheetId="25" r:id="rId30"/>
    <sheet name="4A" sheetId="26" r:id="rId31"/>
    <sheet name="4B" sheetId="27" r:id="rId32"/>
    <sheet name="4C" sheetId="28" r:id="rId33"/>
    <sheet name="4D" sheetId="29" r:id="rId34"/>
    <sheet name="4F" sheetId="31" r:id="rId35"/>
    <sheet name="4G" sheetId="32" r:id="rId36"/>
    <sheet name="4H" sheetId="33" r:id="rId37"/>
    <sheet name="4I" sheetId="34" r:id="rId38"/>
    <sheet name="4E" sheetId="30" r:id="rId39"/>
    <sheet name="4J" sheetId="63" r:id="rId40"/>
    <sheet name="4K" sheetId="64" r:id="rId41"/>
    <sheet name="4L" sheetId="65" r:id="rId42"/>
    <sheet name="4M" sheetId="66" r:id="rId43"/>
    <sheet name="4N" sheetId="67" r:id="rId44"/>
    <sheet name="4O" sheetId="68" r:id="rId45"/>
    <sheet name="4P" sheetId="69" r:id="rId46"/>
    <sheet name="4Q" sheetId="70" r:id="rId47"/>
    <sheet name="4R" sheetId="71" r:id="rId48"/>
    <sheet name="4S" sheetId="72" r:id="rId49"/>
    <sheet name="4T" sheetId="73" r:id="rId50"/>
    <sheet name="4U" sheetId="74" r:id="rId51"/>
    <sheet name="4V" sheetId="75" r:id="rId52"/>
    <sheet name="4W" sheetId="76" r:id="rId53"/>
    <sheet name="Other -&gt;" sheetId="78" r:id="rId54"/>
    <sheet name="Bioresources" sheetId="87"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 r:id="rId67"/>
    <externalReference r:id="rId6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56" hidden="1">'PC LIST'!$A$2:$CB$529</definedName>
    <definedName name="_xlnm._FilterDatabase" localSheetId="57" hidden="1">'PC list edited'!$A$1:$B$529</definedName>
    <definedName name="_xlnm._FilterDatabase" localSheetId="61" hidden="1">Sewerage!$A$1:$G$30</definedName>
    <definedName name="_xlnm._FilterDatabase" localSheetId="58" hidden="1">'SUB LIST'!$A$2:$AT$207</definedName>
    <definedName name="_xlnm._FilterDatabase" localSheetId="60"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7">'1A'!$A$1:$AE$44</definedName>
    <definedName name="_xlnm.Print_Area" localSheetId="8">'1B'!$A$1:$Y$19</definedName>
    <definedName name="_xlnm.Print_Area" localSheetId="9">'1C'!$A$1:$U$60</definedName>
    <definedName name="_xlnm.Print_Area" localSheetId="10">'1D'!$A$1:$U$46</definedName>
    <definedName name="_xlnm.Print_Area" localSheetId="11">'1E'!$A$1:$X$33</definedName>
    <definedName name="_xlnm.Print_Area" localSheetId="13">'2A'!$A$1:$AL$30</definedName>
    <definedName name="_xlnm.Print_Area" localSheetId="14">'2B'!$A$1:$Y$49</definedName>
    <definedName name="_xlnm.Print_Area" localSheetId="15">'2C'!$A$1:$S$31</definedName>
    <definedName name="_xlnm.Print_Area" localSheetId="16">'2D'!$A$1:$Q$40</definedName>
    <definedName name="_xlnm.Print_Area" localSheetId="17">'2E'!$A$1:$U$59</definedName>
    <definedName name="_xlnm.Print_Area" localSheetId="18">'2F'!$A$1:$X$21</definedName>
    <definedName name="_xlnm.Print_Area" localSheetId="19">'2G'!$A$1:$W$44</definedName>
    <definedName name="_xlnm.Print_Area" localSheetId="20">'2H'!$A$1:$V$47</definedName>
    <definedName name="_xlnm.Print_Area" localSheetId="21">'2I'!$A$1:$L$63</definedName>
    <definedName name="_xlnm.Print_Area" localSheetId="24">'3A'!$A$1:$S$69</definedName>
    <definedName name="_xlnm.Print_Area" localSheetId="25">'3B'!$A$1:$M$54</definedName>
    <definedName name="_xlnm.Print_Area" localSheetId="26">'3C'!$A$1:$L$41</definedName>
    <definedName name="_xlnm.Print_Area" localSheetId="27">'3D'!$A$1:$I$28</definedName>
    <definedName name="_xlnm.Print_Area" localSheetId="30">'4A'!$A$1:$M$27</definedName>
    <definedName name="_xlnm.Print_Area" localSheetId="31">'4B'!$A$1:$AH$33</definedName>
    <definedName name="_xlnm.Print_Area" localSheetId="32">'4C'!$A$1:$Y$21</definedName>
    <definedName name="_xlnm.Print_Area" localSheetId="33">'4D'!$A$1:$AA$60</definedName>
    <definedName name="_xlnm.Print_Area" localSheetId="38">'4E'!$A$1:$Z$62</definedName>
    <definedName name="_xlnm.Print_Area" localSheetId="34">'4F'!$A$1:$AB$41</definedName>
    <definedName name="_xlnm.Print_Area" localSheetId="35">'4G'!$A$1:$V$28</definedName>
    <definedName name="_xlnm.Print_Area" localSheetId="36">'4H'!$A$1:$K$56</definedName>
    <definedName name="_xlnm.Print_Area" localSheetId="37">'4I'!$A$1:$AK$54</definedName>
    <definedName name="_xlnm.Print_Area" localSheetId="39">'4J'!$A$1:$P$62</definedName>
    <definedName name="_xlnm.Print_Area" localSheetId="40">'4K'!$B$1:$R$65</definedName>
    <definedName name="_xlnm.Print_Area" localSheetId="41">'4L'!$A$1:$W$55</definedName>
    <definedName name="_xlnm.Print_Area" localSheetId="42">'4M'!$A$1:$AA$61</definedName>
    <definedName name="_xlnm.Print_Area" localSheetId="43">'4N'!$A$1:$L$32</definedName>
    <definedName name="_xlnm.Print_Area" localSheetId="44">'4O'!$A$1:$CJ$65</definedName>
    <definedName name="_xlnm.Print_Area" localSheetId="46">'4Q'!$A$1:$M$51</definedName>
    <definedName name="_xlnm.Print_Area" localSheetId="4">'Change log (TTT)'!$A$1:$C$20</definedName>
    <definedName name="_xlnm.Print_Area" localSheetId="2">Introduction!$A$1:$C$39</definedName>
    <definedName name="_xlnm.Print_Area" localSheetId="5">Validation!$A$1:$E$43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localSheetId="28" hidden="1">{"bal",#N/A,FALSE,"working papers";"income",#N/A,FALSE,"working papers"}</definedName>
    <definedName name="wrn.wpapers." localSheetId="39" hidden="1">{"bal",#N/A,FALSE,"working papers";"income",#N/A,FALSE,"working papers"}</definedName>
    <definedName name="wrn.wpapers." localSheetId="41" hidden="1">{"bal",#N/A,FALSE,"working papers";"income",#N/A,FALSE,"working papers"}</definedName>
    <definedName name="wrn.wpapers." localSheetId="44" hidden="1">{"bal",#N/A,FALSE,"working papers";"income",#N/A,FALSE,"working papers"}</definedName>
    <definedName name="wrn.wpapers." localSheetId="45" hidden="1">{"bal",#N/A,FALSE,"working papers";"income",#N/A,FALSE,"working papers"}</definedName>
    <definedName name="wrn.wpapers." localSheetId="46" hidden="1">{"bal",#N/A,FALSE,"working papers";"income",#N/A,FALSE,"working papers"}</definedName>
    <definedName name="wrn.wpapers." localSheetId="51" hidden="1">{"bal",#N/A,FALSE,"working papers";"income",#N/A,FALSE,"working papers"}</definedName>
    <definedName name="wrn.wpapers." hidden="1">{"bal",#N/A,FALSE,"working papers";"income",#N/A,FALSE,"working papers"}</definedName>
    <definedName name="Z_0D666283_CADB_464A_974F_FFED8E45FEBD_.wvu.Cols" localSheetId="16" hidden="1">'2D'!$AJ:$XFD</definedName>
    <definedName name="Z_0D666283_CADB_464A_974F_FFED8E45FEBD_.wvu.Cols" localSheetId="30" hidden="1">'4A'!$Q:$XFD</definedName>
    <definedName name="Z_0D666283_CADB_464A_974F_FFED8E45FEBD_.wvu.Cols" localSheetId="53" hidden="1">'Other -&gt;'!$1:$1048576</definedName>
    <definedName name="Z_0D666283_CADB_464A_974F_FFED8E45FEBD_.wvu.Cols" localSheetId="6" hidden="1">'Section 1 -&gt;'!$1:$1048576</definedName>
    <definedName name="Z_0D666283_CADB_464A_974F_FFED8E45FEBD_.wvu.Cols" localSheetId="12" hidden="1">'Section 2 -&gt;'!$1:$1048576</definedName>
    <definedName name="Z_0D666283_CADB_464A_974F_FFED8E45FEBD_.wvu.Cols" localSheetId="23" hidden="1">'Section 3 -&gt;'!$1:$1048576</definedName>
    <definedName name="Z_0D666283_CADB_464A_974F_FFED8E45FEBD_.wvu.Cols" localSheetId="29" hidden="1">'Section 4 -&gt;'!$1:$1048576</definedName>
    <definedName name="Z_0D666283_CADB_464A_974F_FFED8E45FEBD_.wvu.FilterData" localSheetId="57" hidden="1">'PC list edited'!$A$1:$B$529</definedName>
    <definedName name="Z_0D666283_CADB_464A_974F_FFED8E45FEBD_.wvu.FilterData" localSheetId="61" hidden="1">Sewerage!$A$1:$G$30</definedName>
    <definedName name="Z_0D666283_CADB_464A_974F_FFED8E45FEBD_.wvu.FilterData" localSheetId="60" hidden="1">Water!$A$1:$R$25</definedName>
    <definedName name="Z_0D666283_CADB_464A_974F_FFED8E45FEBD_.wvu.Rows" localSheetId="13" hidden="1">'2A'!#REF!,'2A'!#REF!</definedName>
    <definedName name="Z_0D666283_CADB_464A_974F_FFED8E45FEBD_.wvu.Rows" localSheetId="16" hidden="1">'2D'!#REF!,'2D'!#REF!</definedName>
    <definedName name="Z_0D666283_CADB_464A_974F_FFED8E45FEBD_.wvu.Rows" localSheetId="30" hidden="1">'4A'!#REF!</definedName>
    <definedName name="Z_0D666283_CADB_464A_974F_FFED8E45FEBD_.wvu.Rows" localSheetId="53" hidden="1">'Other -&gt;'!$36:$1048576,'Other -&gt;'!$1:$35</definedName>
    <definedName name="Z_0D666283_CADB_464A_974F_FFED8E45FEBD_.wvu.Rows" localSheetId="6" hidden="1">'Section 1 -&gt;'!$36:$1048576,'Section 1 -&gt;'!$1:$35</definedName>
    <definedName name="Z_0D666283_CADB_464A_974F_FFED8E45FEBD_.wvu.Rows" localSheetId="12" hidden="1">'Section 2 -&gt;'!$36:$1048576,'Section 2 -&gt;'!$1:$35</definedName>
    <definedName name="Z_0D666283_CADB_464A_974F_FFED8E45FEBD_.wvu.Rows" localSheetId="23" hidden="1">'Section 3 -&gt;'!$36:$1048576,'Section 3 -&gt;'!$1:$35</definedName>
    <definedName name="Z_0D666283_CADB_464A_974F_FFED8E45FEBD_.wvu.Rows" localSheetId="29" hidden="1">'Section 4 -&gt;'!$36:$1048576,'Section 4 -&gt;'!$1:$35</definedName>
    <definedName name="Z_3BF63FB9_9E69_4F23_B37F_22932F355A10_.wvu.Cols" localSheetId="16" hidden="1">'2D'!$AJ:$XFD</definedName>
    <definedName name="Z_3BF63FB9_9E69_4F23_B37F_22932F355A10_.wvu.Cols" localSheetId="30" hidden="1">'4A'!$Q:$XFD</definedName>
    <definedName name="Z_3BF63FB9_9E69_4F23_B37F_22932F355A10_.wvu.Cols" localSheetId="53" hidden="1">'Other -&gt;'!$1:$1048576</definedName>
    <definedName name="Z_3BF63FB9_9E69_4F23_B37F_22932F355A10_.wvu.Cols" localSheetId="6" hidden="1">'Section 1 -&gt;'!$1:$1048576</definedName>
    <definedName name="Z_3BF63FB9_9E69_4F23_B37F_22932F355A10_.wvu.Cols" localSheetId="12" hidden="1">'Section 2 -&gt;'!$1:$1048576</definedName>
    <definedName name="Z_3BF63FB9_9E69_4F23_B37F_22932F355A10_.wvu.Cols" localSheetId="23" hidden="1">'Section 3 -&gt;'!$1:$1048576</definedName>
    <definedName name="Z_3BF63FB9_9E69_4F23_B37F_22932F355A10_.wvu.Cols" localSheetId="29" hidden="1">'Section 4 -&gt;'!$1:$1048576</definedName>
    <definedName name="Z_3BF63FB9_9E69_4F23_B37F_22932F355A10_.wvu.FilterData" localSheetId="57" hidden="1">'PC list edited'!$A$1:$B$529</definedName>
    <definedName name="Z_3BF63FB9_9E69_4F23_B37F_22932F355A10_.wvu.FilterData" localSheetId="61" hidden="1">Sewerage!$A$1:$G$30</definedName>
    <definedName name="Z_3BF63FB9_9E69_4F23_B37F_22932F355A10_.wvu.FilterData" localSheetId="60" hidden="1">Water!$A$1:$R$25</definedName>
    <definedName name="Z_3BF63FB9_9E69_4F23_B37F_22932F355A10_.wvu.Rows" localSheetId="13" hidden="1">'2A'!#REF!,'2A'!#REF!</definedName>
    <definedName name="Z_3BF63FB9_9E69_4F23_B37F_22932F355A10_.wvu.Rows" localSheetId="16" hidden="1">'2D'!#REF!,'2D'!#REF!</definedName>
    <definedName name="Z_3BF63FB9_9E69_4F23_B37F_22932F355A10_.wvu.Rows" localSheetId="30" hidden="1">'4A'!#REF!</definedName>
    <definedName name="Z_3BF63FB9_9E69_4F23_B37F_22932F355A10_.wvu.Rows" localSheetId="53" hidden="1">'Other -&gt;'!$36:$1048576,'Other -&gt;'!$1:$35</definedName>
    <definedName name="Z_3BF63FB9_9E69_4F23_B37F_22932F355A10_.wvu.Rows" localSheetId="6" hidden="1">'Section 1 -&gt;'!$36:$1048576,'Section 1 -&gt;'!$1:$35</definedName>
    <definedName name="Z_3BF63FB9_9E69_4F23_B37F_22932F355A10_.wvu.Rows" localSheetId="12" hidden="1">'Section 2 -&gt;'!$36:$1048576,'Section 2 -&gt;'!$1:$35</definedName>
    <definedName name="Z_3BF63FB9_9E69_4F23_B37F_22932F355A10_.wvu.Rows" localSheetId="23" hidden="1">'Section 3 -&gt;'!$36:$1048576,'Section 3 -&gt;'!$1:$35</definedName>
    <definedName name="Z_3BF63FB9_9E69_4F23_B37F_22932F355A10_.wvu.Rows" localSheetId="29" hidden="1">'Section 4 -&gt;'!$36:$1048576,'Section 4 -&gt;'!$1:$35</definedName>
    <definedName name="Z_A683DE68_74F1_44FC_875D_47ACE58076E1_.wvu.Cols" localSheetId="16" hidden="1">'2D'!$AJ:$XFD</definedName>
    <definedName name="Z_A683DE68_74F1_44FC_875D_47ACE58076E1_.wvu.Cols" localSheetId="30" hidden="1">'4A'!$Q:$XFD</definedName>
    <definedName name="Z_A683DE68_74F1_44FC_875D_47ACE58076E1_.wvu.Cols" localSheetId="53" hidden="1">'Other -&gt;'!$1:$1048576</definedName>
    <definedName name="Z_A683DE68_74F1_44FC_875D_47ACE58076E1_.wvu.Cols" localSheetId="6" hidden="1">'Section 1 -&gt;'!$1:$1048576</definedName>
    <definedName name="Z_A683DE68_74F1_44FC_875D_47ACE58076E1_.wvu.Cols" localSheetId="12" hidden="1">'Section 2 -&gt;'!$1:$1048576</definedName>
    <definedName name="Z_A683DE68_74F1_44FC_875D_47ACE58076E1_.wvu.Cols" localSheetId="23" hidden="1">'Section 3 -&gt;'!$1:$1048576</definedName>
    <definedName name="Z_A683DE68_74F1_44FC_875D_47ACE58076E1_.wvu.Cols" localSheetId="29" hidden="1">'Section 4 -&gt;'!$1:$1048576</definedName>
    <definedName name="Z_A683DE68_74F1_44FC_875D_47ACE58076E1_.wvu.FilterData" localSheetId="57" hidden="1">'PC list edited'!$A$1:$B$529</definedName>
    <definedName name="Z_A683DE68_74F1_44FC_875D_47ACE58076E1_.wvu.FilterData" localSheetId="61" hidden="1">Sewerage!$A$1:$G$30</definedName>
    <definedName name="Z_A683DE68_74F1_44FC_875D_47ACE58076E1_.wvu.FilterData" localSheetId="60" hidden="1">Water!$A$1:$R$25</definedName>
    <definedName name="Z_A683DE68_74F1_44FC_875D_47ACE58076E1_.wvu.Rows" localSheetId="13" hidden="1">'2A'!#REF!,'2A'!#REF!</definedName>
    <definedName name="Z_A683DE68_74F1_44FC_875D_47ACE58076E1_.wvu.Rows" localSheetId="16" hidden="1">'2D'!#REF!,'2D'!#REF!</definedName>
    <definedName name="Z_A683DE68_74F1_44FC_875D_47ACE58076E1_.wvu.Rows" localSheetId="30" hidden="1">'4A'!#REF!</definedName>
    <definedName name="Z_A683DE68_74F1_44FC_875D_47ACE58076E1_.wvu.Rows" localSheetId="53" hidden="1">'Other -&gt;'!$36:$1048576,'Other -&gt;'!$1:$35</definedName>
    <definedName name="Z_A683DE68_74F1_44FC_875D_47ACE58076E1_.wvu.Rows" localSheetId="6" hidden="1">'Section 1 -&gt;'!$36:$1048576,'Section 1 -&gt;'!$1:$35</definedName>
    <definedName name="Z_A683DE68_74F1_44FC_875D_47ACE58076E1_.wvu.Rows" localSheetId="12" hidden="1">'Section 2 -&gt;'!$36:$1048576,'Section 2 -&gt;'!$1:$35</definedName>
    <definedName name="Z_A683DE68_74F1_44FC_875D_47ACE58076E1_.wvu.Rows" localSheetId="23" hidden="1">'Section 3 -&gt;'!$36:$1048576,'Section 3 -&gt;'!$1:$35</definedName>
    <definedName name="Z_A683DE68_74F1_44FC_875D_47ACE58076E1_.wvu.Rows" localSheetId="29" hidden="1">'Section 4 -&gt;'!$36:$1048576,'Section 4 -&gt;'!$1:$35</definedName>
    <definedName name="Z_B6110306_7EDB_4112_9F29_7D9801D46B38_.wvu.Cols" localSheetId="16" hidden="1">'2D'!$AJ:$XFD</definedName>
    <definedName name="Z_B6110306_7EDB_4112_9F29_7D9801D46B38_.wvu.Cols" localSheetId="30" hidden="1">'4A'!$Q:$XFD</definedName>
    <definedName name="Z_B6110306_7EDB_4112_9F29_7D9801D46B38_.wvu.Cols" localSheetId="53" hidden="1">'Other -&gt;'!$1:$1048576</definedName>
    <definedName name="Z_B6110306_7EDB_4112_9F29_7D9801D46B38_.wvu.Cols" localSheetId="6" hidden="1">'Section 1 -&gt;'!$1:$1048576</definedName>
    <definedName name="Z_B6110306_7EDB_4112_9F29_7D9801D46B38_.wvu.Cols" localSheetId="12" hidden="1">'Section 2 -&gt;'!$1:$1048576</definedName>
    <definedName name="Z_B6110306_7EDB_4112_9F29_7D9801D46B38_.wvu.Cols" localSheetId="23" hidden="1">'Section 3 -&gt;'!$1:$1048576</definedName>
    <definedName name="Z_B6110306_7EDB_4112_9F29_7D9801D46B38_.wvu.Cols" localSheetId="29" hidden="1">'Section 4 -&gt;'!$1:$1048576</definedName>
    <definedName name="Z_B6110306_7EDB_4112_9F29_7D9801D46B38_.wvu.FilterData" localSheetId="57" hidden="1">'PC list edited'!$A$1:$B$529</definedName>
    <definedName name="Z_B6110306_7EDB_4112_9F29_7D9801D46B38_.wvu.FilterData" localSheetId="61" hidden="1">Sewerage!$A$1:$G$30</definedName>
    <definedName name="Z_B6110306_7EDB_4112_9F29_7D9801D46B38_.wvu.FilterData" localSheetId="60" hidden="1">Water!$A$1:$R$25</definedName>
    <definedName name="Z_B6110306_7EDB_4112_9F29_7D9801D46B38_.wvu.Rows" localSheetId="13" hidden="1">'2A'!#REF!,'2A'!#REF!</definedName>
    <definedName name="Z_B6110306_7EDB_4112_9F29_7D9801D46B38_.wvu.Rows" localSheetId="16" hidden="1">'2D'!#REF!,'2D'!#REF!</definedName>
    <definedName name="Z_B6110306_7EDB_4112_9F29_7D9801D46B38_.wvu.Rows" localSheetId="30" hidden="1">'4A'!#REF!</definedName>
    <definedName name="Z_B6110306_7EDB_4112_9F29_7D9801D46B38_.wvu.Rows" localSheetId="53" hidden="1">'Other -&gt;'!$2:$1048576,'Other -&gt;'!$1:$1</definedName>
    <definedName name="Z_B6110306_7EDB_4112_9F29_7D9801D46B38_.wvu.Rows" localSheetId="6" hidden="1">'Section 1 -&gt;'!$2:$1048576,'Section 1 -&gt;'!$1:$1</definedName>
    <definedName name="Z_B6110306_7EDB_4112_9F29_7D9801D46B38_.wvu.Rows" localSheetId="12" hidden="1">'Section 2 -&gt;'!$2:$1048576,'Section 2 -&gt;'!$1:$1</definedName>
    <definedName name="Z_B6110306_7EDB_4112_9F29_7D9801D46B38_.wvu.Rows" localSheetId="23" hidden="1">'Section 3 -&gt;'!$2:$1048576,'Section 3 -&gt;'!$1:$1</definedName>
    <definedName name="Z_B6110306_7EDB_4112_9F29_7D9801D46B38_.wvu.Rows" localSheetId="29" hidden="1">'Section 4 -&gt;'!$2:$1048576,'Section 4 -&gt;'!$1:$1</definedName>
    <definedName name="Z_C2AA8589_53C1_4273_B7EE_5FA5323CA1F5_.wvu.FilterData" localSheetId="57" hidden="1">'PC list edited'!$A$1:$B$529</definedName>
    <definedName name="Z_C2AA8589_53C1_4273_B7EE_5FA5323CA1F5_.wvu.FilterData" localSheetId="61" hidden="1">Sewerage!$A$1:$G$30</definedName>
    <definedName name="Z_C2AA8589_53C1_4273_B7EE_5FA5323CA1F5_.wvu.FilterData" localSheetId="60" hidden="1">Water!$A$1:$R$25</definedName>
    <definedName name="Z_C652482F_DA5C_42AD_B6EE_268877F72B6E_.wvu.Cols" localSheetId="16" hidden="1">'2D'!$AJ:$XFD</definedName>
    <definedName name="Z_C652482F_DA5C_42AD_B6EE_268877F72B6E_.wvu.Cols" localSheetId="30" hidden="1">'4A'!$Q:$XFD</definedName>
    <definedName name="Z_C652482F_DA5C_42AD_B6EE_268877F72B6E_.wvu.Cols" localSheetId="53" hidden="1">'Other -&gt;'!$1:$1048576</definedName>
    <definedName name="Z_C652482F_DA5C_42AD_B6EE_268877F72B6E_.wvu.Cols" localSheetId="6" hidden="1">'Section 1 -&gt;'!$1:$1048576</definedName>
    <definedName name="Z_C652482F_DA5C_42AD_B6EE_268877F72B6E_.wvu.Cols" localSheetId="12" hidden="1">'Section 2 -&gt;'!$1:$1048576</definedName>
    <definedName name="Z_C652482F_DA5C_42AD_B6EE_268877F72B6E_.wvu.Cols" localSheetId="23" hidden="1">'Section 3 -&gt;'!$1:$1048576</definedName>
    <definedName name="Z_C652482F_DA5C_42AD_B6EE_268877F72B6E_.wvu.Cols" localSheetId="29" hidden="1">'Section 4 -&gt;'!$1:$1048576</definedName>
    <definedName name="Z_C652482F_DA5C_42AD_B6EE_268877F72B6E_.wvu.FilterData" localSheetId="57" hidden="1">'PC list edited'!$A$1:$B$529</definedName>
    <definedName name="Z_C652482F_DA5C_42AD_B6EE_268877F72B6E_.wvu.FilterData" localSheetId="61" hidden="1">Sewerage!$A$1:$G$30</definedName>
    <definedName name="Z_C652482F_DA5C_42AD_B6EE_268877F72B6E_.wvu.FilterData" localSheetId="60" hidden="1">Water!$A$1:$R$25</definedName>
    <definedName name="Z_C652482F_DA5C_42AD_B6EE_268877F72B6E_.wvu.Rows" localSheetId="13" hidden="1">'2A'!#REF!,'2A'!#REF!</definedName>
    <definedName name="Z_C652482F_DA5C_42AD_B6EE_268877F72B6E_.wvu.Rows" localSheetId="16" hidden="1">'2D'!#REF!,'2D'!#REF!</definedName>
    <definedName name="Z_C652482F_DA5C_42AD_B6EE_268877F72B6E_.wvu.Rows" localSheetId="30" hidden="1">'4A'!#REF!</definedName>
    <definedName name="Z_C652482F_DA5C_42AD_B6EE_268877F72B6E_.wvu.Rows" localSheetId="53" hidden="1">'Other -&gt;'!$36:$1048576,'Other -&gt;'!$1:$35</definedName>
    <definedName name="Z_C652482F_DA5C_42AD_B6EE_268877F72B6E_.wvu.Rows" localSheetId="6" hidden="1">'Section 1 -&gt;'!$36:$1048576,'Section 1 -&gt;'!$1:$35</definedName>
    <definedName name="Z_C652482F_DA5C_42AD_B6EE_268877F72B6E_.wvu.Rows" localSheetId="12" hidden="1">'Section 2 -&gt;'!$36:$1048576,'Section 2 -&gt;'!$1:$35</definedName>
    <definedName name="Z_C652482F_DA5C_42AD_B6EE_268877F72B6E_.wvu.Rows" localSheetId="23" hidden="1">'Section 3 -&gt;'!$36:$1048576,'Section 3 -&gt;'!$1:$35</definedName>
    <definedName name="Z_C652482F_DA5C_42AD_B6EE_268877F72B6E_.wvu.Rows" localSheetId="29" hidden="1">'Section 4 -&gt;'!$36:$1048576,'Section 4 -&gt;'!$1:$35</definedName>
    <definedName name="Z_FCCFC11C_78D7_49AB_93F6_D160FB23647D_.wvu.FilterData" localSheetId="57" hidden="1">'PC list edited'!$A$1:$B$529</definedName>
    <definedName name="Z_FCCFC11C_78D7_49AB_93F6_D160FB23647D_.wvu.FilterData" localSheetId="61" hidden="1">Sewerage!$A$1:$G$30</definedName>
    <definedName name="Z_FCCFC11C_78D7_49AB_93F6_D160FB23647D_.wvu.FilterData" localSheetId="60" hidden="1">Water!$A$1:$R$25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70" l="1"/>
  <c r="G18" i="69"/>
  <c r="M48" i="30" l="1"/>
  <c r="G29" i="86"/>
  <c r="I1" i="23" l="1"/>
  <c r="G11" i="28" l="1"/>
  <c r="I11" i="28"/>
  <c r="G13" i="27"/>
  <c r="G51" i="19"/>
  <c r="J48" i="19"/>
  <c r="J45" i="19"/>
  <c r="J43" i="15"/>
  <c r="N7" i="14"/>
  <c r="J16" i="8"/>
  <c r="G9" i="19" l="1"/>
  <c r="J49" i="15"/>
  <c r="H14" i="73" l="1"/>
  <c r="G14" i="73"/>
  <c r="C595" i="81" l="1"/>
  <c r="C594" i="81"/>
  <c r="C593" i="81"/>
  <c r="C592" i="81"/>
  <c r="C580" i="81"/>
  <c r="C579" i="81"/>
  <c r="C578" i="81"/>
  <c r="C564" i="81"/>
  <c r="C563" i="81"/>
  <c r="C562" i="81"/>
  <c r="B595" i="81"/>
  <c r="B594" i="81"/>
  <c r="B593" i="81"/>
  <c r="B592" i="81"/>
  <c r="B580" i="81"/>
  <c r="B579" i="81"/>
  <c r="B578" i="81"/>
  <c r="B564" i="81"/>
  <c r="B563" i="81"/>
  <c r="B562" i="81"/>
  <c r="A595" i="81"/>
  <c r="A594" i="81"/>
  <c r="A593" i="81"/>
  <c r="A592" i="81"/>
  <c r="A584" i="81"/>
  <c r="A583" i="81"/>
  <c r="A582" i="81"/>
  <c r="A581" i="81"/>
  <c r="A580" i="81"/>
  <c r="A579" i="81"/>
  <c r="A578" i="81"/>
  <c r="A577" i="81"/>
  <c r="A576" i="81"/>
  <c r="A575" i="81"/>
  <c r="A574" i="81"/>
  <c r="A573" i="81"/>
  <c r="A572" i="81"/>
  <c r="A571" i="81"/>
  <c r="A570" i="81"/>
  <c r="A569" i="81"/>
  <c r="A568" i="81"/>
  <c r="A567" i="81"/>
  <c r="A566" i="81"/>
  <c r="A565" i="81"/>
  <c r="A564" i="81"/>
  <c r="A563" i="81"/>
  <c r="A562" i="81"/>
  <c r="G595" i="81"/>
  <c r="G594" i="81"/>
  <c r="G593" i="81"/>
  <c r="G592" i="81"/>
  <c r="G580" i="81"/>
  <c r="G579" i="81"/>
  <c r="G578" i="81"/>
  <c r="G564" i="81"/>
  <c r="G563" i="81"/>
  <c r="G562" i="81"/>
  <c r="C649" i="81" l="1"/>
  <c r="C648" i="81"/>
  <c r="C647" i="81"/>
  <c r="C646" i="81"/>
  <c r="C645" i="81"/>
  <c r="C644" i="81"/>
  <c r="C643" i="81"/>
  <c r="B649" i="81"/>
  <c r="B648" i="81"/>
  <c r="B647" i="81"/>
  <c r="B646" i="81"/>
  <c r="B645" i="81"/>
  <c r="B644" i="81"/>
  <c r="B643" i="81"/>
  <c r="H649" i="81"/>
  <c r="H648" i="81"/>
  <c r="H647" i="81"/>
  <c r="H646" i="81"/>
  <c r="H645" i="81"/>
  <c r="H644" i="81"/>
  <c r="H643" i="81"/>
  <c r="A649" i="81"/>
  <c r="A648" i="81"/>
  <c r="A647" i="81"/>
  <c r="A646" i="81"/>
  <c r="A645" i="81"/>
  <c r="A644" i="81"/>
  <c r="A643" i="81"/>
  <c r="G642" i="81"/>
  <c r="G641" i="81"/>
  <c r="G640" i="81"/>
  <c r="G639" i="81"/>
  <c r="G638" i="81"/>
  <c r="G637" i="81"/>
  <c r="C642" i="81"/>
  <c r="B642" i="81"/>
  <c r="C641" i="81"/>
  <c r="B641" i="81"/>
  <c r="C640" i="81"/>
  <c r="B640" i="81"/>
  <c r="C639" i="81"/>
  <c r="B639" i="81"/>
  <c r="C638" i="81"/>
  <c r="B638" i="81"/>
  <c r="C637" i="81"/>
  <c r="B637" i="81"/>
  <c r="A642" i="81"/>
  <c r="A641" i="81"/>
  <c r="A640" i="81"/>
  <c r="A639" i="81"/>
  <c r="A638" i="81"/>
  <c r="A637" i="81"/>
  <c r="G1043" i="81"/>
  <c r="G1042" i="81"/>
  <c r="G1041" i="81"/>
  <c r="G1040" i="81"/>
  <c r="G1039" i="81"/>
  <c r="G1038" i="81"/>
  <c r="C1043" i="81"/>
  <c r="B1043" i="81"/>
  <c r="C1042" i="81"/>
  <c r="B1042" i="81"/>
  <c r="C1041" i="81"/>
  <c r="B1041" i="81"/>
  <c r="C1040" i="81"/>
  <c r="B1040" i="81"/>
  <c r="C1039" i="81"/>
  <c r="B1039" i="81"/>
  <c r="C1038" i="81"/>
  <c r="B1038" i="81"/>
  <c r="A1043" i="81"/>
  <c r="A1042" i="81"/>
  <c r="A1041" i="81"/>
  <c r="A1040" i="81"/>
  <c r="A1039" i="81"/>
  <c r="A1038" i="81"/>
  <c r="G678" i="81"/>
  <c r="G677" i="81"/>
  <c r="G676" i="81"/>
  <c r="G675" i="81"/>
  <c r="G674" i="81"/>
  <c r="C678" i="81"/>
  <c r="B678" i="81"/>
  <c r="A678" i="81"/>
  <c r="C677" i="81"/>
  <c r="B677" i="81"/>
  <c r="A677" i="81"/>
  <c r="C676" i="81"/>
  <c r="B676" i="81"/>
  <c r="A676" i="81"/>
  <c r="C675" i="81"/>
  <c r="B675" i="81"/>
  <c r="A675" i="81"/>
  <c r="C674" i="81"/>
  <c r="B674" i="81"/>
  <c r="A674" i="81"/>
  <c r="G673" i="81"/>
  <c r="G672" i="81"/>
  <c r="G671" i="81"/>
  <c r="G670" i="81"/>
  <c r="G669" i="81"/>
  <c r="C673" i="81"/>
  <c r="C672" i="81"/>
  <c r="C671" i="81"/>
  <c r="C670" i="81"/>
  <c r="C669" i="81"/>
  <c r="G403" i="81"/>
  <c r="G402" i="81"/>
  <c r="G401" i="81"/>
  <c r="G400" i="81"/>
  <c r="G399" i="81"/>
  <c r="B403" i="81"/>
  <c r="A403" i="81"/>
  <c r="B402" i="81"/>
  <c r="A402" i="81"/>
  <c r="B401" i="81"/>
  <c r="A401" i="81"/>
  <c r="B400" i="81"/>
  <c r="A400" i="81"/>
  <c r="B399" i="81"/>
  <c r="A399" i="81"/>
  <c r="G384" i="81"/>
  <c r="G383" i="81"/>
  <c r="G382" i="81"/>
  <c r="G381" i="81"/>
  <c r="G380" i="81"/>
  <c r="G379" i="81"/>
  <c r="C384" i="81"/>
  <c r="B384" i="81"/>
  <c r="A384" i="81"/>
  <c r="B383" i="81"/>
  <c r="A383" i="81"/>
  <c r="B382" i="81"/>
  <c r="A382" i="81"/>
  <c r="B381" i="81"/>
  <c r="A381" i="81"/>
  <c r="B380" i="81"/>
  <c r="A380" i="81"/>
  <c r="B379" i="81"/>
  <c r="A379" i="81"/>
  <c r="G365" i="81"/>
  <c r="G364" i="81"/>
  <c r="G363" i="81"/>
  <c r="C365" i="81"/>
  <c r="C364" i="81"/>
  <c r="C363" i="81"/>
  <c r="B365" i="81"/>
  <c r="B364" i="81"/>
  <c r="B363" i="81"/>
  <c r="A365" i="81"/>
  <c r="A364" i="81"/>
  <c r="A363" i="81"/>
  <c r="G362" i="81"/>
  <c r="G361" i="81"/>
  <c r="G360" i="81"/>
  <c r="G359" i="81"/>
  <c r="G358" i="81"/>
  <c r="B362" i="81"/>
  <c r="A362" i="81"/>
  <c r="B361" i="81"/>
  <c r="A361" i="81"/>
  <c r="B360" i="81"/>
  <c r="A360" i="81"/>
  <c r="B359" i="81"/>
  <c r="A359" i="81"/>
  <c r="B358" i="81"/>
  <c r="A358" i="81"/>
  <c r="C346" i="81"/>
  <c r="C345" i="81"/>
  <c r="C344" i="81"/>
  <c r="C343" i="81"/>
  <c r="C342" i="81"/>
  <c r="C341" i="81"/>
  <c r="C340" i="81"/>
  <c r="C339" i="81"/>
  <c r="C338" i="81"/>
  <c r="C337" i="81"/>
  <c r="C336" i="81"/>
  <c r="G324" i="81"/>
  <c r="G323" i="81"/>
  <c r="G322" i="81"/>
  <c r="G321" i="81"/>
  <c r="G320" i="81"/>
  <c r="G319" i="81"/>
  <c r="G318" i="81"/>
  <c r="G317" i="81"/>
  <c r="G316" i="81"/>
  <c r="G315" i="81"/>
  <c r="G314" i="81"/>
  <c r="C324" i="81"/>
  <c r="B324" i="81"/>
  <c r="C302" i="81"/>
  <c r="C323" i="81"/>
  <c r="B323" i="81"/>
  <c r="C322" i="81"/>
  <c r="B322" i="81"/>
  <c r="C321" i="81"/>
  <c r="B321" i="81"/>
  <c r="C320" i="81"/>
  <c r="B320" i="81"/>
  <c r="C319" i="81"/>
  <c r="B319" i="81"/>
  <c r="C318" i="81"/>
  <c r="B318" i="81"/>
  <c r="C317" i="81"/>
  <c r="B317" i="81"/>
  <c r="C316" i="81"/>
  <c r="B316" i="81"/>
  <c r="C315" i="81"/>
  <c r="B315" i="81"/>
  <c r="G313" i="81"/>
  <c r="G312" i="81"/>
  <c r="G311" i="81"/>
  <c r="G310" i="81"/>
  <c r="G309" i="81"/>
  <c r="G308" i="81"/>
  <c r="G307" i="81"/>
  <c r="G306" i="81"/>
  <c r="G305" i="81"/>
  <c r="G304" i="81"/>
  <c r="G303" i="81"/>
  <c r="B314" i="81"/>
  <c r="C314" i="81"/>
  <c r="A324" i="81"/>
  <c r="A323" i="81"/>
  <c r="A322" i="81"/>
  <c r="A321" i="81"/>
  <c r="A320" i="81"/>
  <c r="A319" i="81"/>
  <c r="A318" i="81"/>
  <c r="A317" i="81"/>
  <c r="A316" i="81"/>
  <c r="A315" i="81"/>
  <c r="A314" i="81"/>
  <c r="G258" i="81"/>
  <c r="G257" i="81"/>
  <c r="G256" i="81"/>
  <c r="G255" i="81"/>
  <c r="G254" i="81"/>
  <c r="G253" i="81"/>
  <c r="G252" i="81"/>
  <c r="G251" i="81"/>
  <c r="G250" i="81"/>
  <c r="G249" i="81"/>
  <c r="G248" i="81"/>
  <c r="G247" i="81"/>
  <c r="G246" i="81"/>
  <c r="G245" i="81"/>
  <c r="G244" i="81"/>
  <c r="G243" i="81"/>
  <c r="G242" i="81"/>
  <c r="G241" i="81"/>
  <c r="C258" i="81"/>
  <c r="B258" i="81"/>
  <c r="C257" i="81"/>
  <c r="B257" i="81"/>
  <c r="C256" i="81"/>
  <c r="B256" i="81"/>
  <c r="C255" i="81"/>
  <c r="B255" i="81"/>
  <c r="C254" i="81"/>
  <c r="B254" i="81"/>
  <c r="C253" i="81"/>
  <c r="B253" i="81"/>
  <c r="C252" i="81"/>
  <c r="B252" i="81"/>
  <c r="C251" i="81"/>
  <c r="B251" i="81"/>
  <c r="C250" i="81"/>
  <c r="B250" i="81"/>
  <c r="C249" i="81"/>
  <c r="B249" i="81"/>
  <c r="C248" i="81"/>
  <c r="B248" i="81"/>
  <c r="C247" i="81"/>
  <c r="B247" i="81"/>
  <c r="C246" i="81"/>
  <c r="B246" i="81"/>
  <c r="C245" i="81"/>
  <c r="B245" i="81"/>
  <c r="C244" i="81"/>
  <c r="B244" i="81"/>
  <c r="C243" i="81"/>
  <c r="B243" i="81"/>
  <c r="C242" i="81"/>
  <c r="B242" i="81"/>
  <c r="B241" i="81"/>
  <c r="C241" i="81"/>
  <c r="A258" i="81"/>
  <c r="A257" i="81"/>
  <c r="A256" i="81"/>
  <c r="A255" i="81"/>
  <c r="A254" i="81"/>
  <c r="A253" i="81"/>
  <c r="A252" i="81"/>
  <c r="A251" i="81"/>
  <c r="A250" i="81"/>
  <c r="A249" i="81"/>
  <c r="A248" i="81"/>
  <c r="A247" i="81"/>
  <c r="A246" i="81"/>
  <c r="A245" i="81"/>
  <c r="A244" i="81"/>
  <c r="A243" i="81"/>
  <c r="A242" i="81"/>
  <c r="A241" i="81"/>
  <c r="G239" i="81"/>
  <c r="G238" i="81"/>
  <c r="G237" i="81"/>
  <c r="G236" i="81"/>
  <c r="G235" i="81"/>
  <c r="G234" i="81"/>
  <c r="C239" i="81"/>
  <c r="C238" i="81"/>
  <c r="C237" i="81"/>
  <c r="C236" i="81"/>
  <c r="C235" i="81"/>
  <c r="C234" i="81"/>
  <c r="B239" i="81"/>
  <c r="B238" i="81"/>
  <c r="B237" i="81"/>
  <c r="B236" i="81"/>
  <c r="B235" i="81"/>
  <c r="B234" i="81"/>
  <c r="A239" i="81"/>
  <c r="A238" i="81"/>
  <c r="A237" i="81"/>
  <c r="A236" i="81"/>
  <c r="A235" i="81"/>
  <c r="A234" i="81"/>
  <c r="O45" i="19" l="1"/>
  <c r="AA45" i="19" l="1"/>
  <c r="J45" i="15"/>
  <c r="AY6" i="11" l="1"/>
  <c r="G554" i="81" l="1"/>
  <c r="C554" i="81"/>
  <c r="B554" i="81"/>
  <c r="A554" i="81"/>
  <c r="G553" i="81"/>
  <c r="C553" i="81"/>
  <c r="B553" i="81"/>
  <c r="A553" i="81"/>
  <c r="G531" i="81"/>
  <c r="C531" i="81"/>
  <c r="B531" i="81"/>
  <c r="A531" i="81"/>
  <c r="G530" i="81"/>
  <c r="C530" i="81"/>
  <c r="B530" i="81"/>
  <c r="A530" i="81"/>
  <c r="G508" i="81"/>
  <c r="C508" i="81"/>
  <c r="B508" i="81"/>
  <c r="A508" i="81"/>
  <c r="G507" i="81"/>
  <c r="C507" i="81"/>
  <c r="B507" i="81"/>
  <c r="A507" i="81"/>
  <c r="G484" i="81"/>
  <c r="C484" i="81"/>
  <c r="B484" i="81"/>
  <c r="A484" i="81"/>
  <c r="G464" i="81"/>
  <c r="C464" i="81"/>
  <c r="B464" i="81"/>
  <c r="A464" i="81"/>
  <c r="G444" i="81"/>
  <c r="C444" i="81"/>
  <c r="B444" i="81"/>
  <c r="A444" i="81"/>
  <c r="I30" i="18" l="1"/>
  <c r="G30" i="18"/>
  <c r="I29" i="18"/>
  <c r="G29" i="18"/>
  <c r="H28" i="17"/>
  <c r="Q28" i="17" s="1"/>
  <c r="F28" i="17"/>
  <c r="P28" i="17" s="1"/>
  <c r="E28" i="17"/>
  <c r="O28" i="17" s="1"/>
  <c r="I27" i="17"/>
  <c r="G27" i="17"/>
  <c r="I28" i="17" l="1"/>
  <c r="L28" i="17"/>
  <c r="AF40" i="15" l="1"/>
  <c r="AG44" i="15"/>
  <c r="AF44" i="15"/>
  <c r="T7" i="27" l="1"/>
  <c r="T23" i="27"/>
  <c r="T20" i="27"/>
  <c r="T16" i="27"/>
  <c r="T12" i="27"/>
  <c r="T11" i="27"/>
  <c r="T10" i="27"/>
  <c r="O49" i="15"/>
  <c r="O45" i="15"/>
  <c r="O43" i="15"/>
  <c r="AB29" i="15"/>
  <c r="J17" i="32"/>
  <c r="J14" i="32"/>
  <c r="J13" i="32"/>
  <c r="J12" i="32"/>
  <c r="J11" i="32"/>
  <c r="J7" i="32"/>
  <c r="C400" i="81" l="1"/>
  <c r="C380" i="81"/>
  <c r="C359" i="81"/>
  <c r="C403" i="81"/>
  <c r="C383" i="81"/>
  <c r="C379" i="81"/>
  <c r="C401" i="81"/>
  <c r="C381" i="81"/>
  <c r="C360" i="81"/>
  <c r="C402" i="81"/>
  <c r="C382" i="81"/>
  <c r="C361" i="81"/>
  <c r="C399" i="81"/>
  <c r="C362" i="81"/>
  <c r="C358" i="81"/>
  <c r="I8" i="32"/>
  <c r="I5" i="32"/>
  <c r="H11" i="28"/>
  <c r="J13" i="27"/>
  <c r="J19" i="27" s="1"/>
  <c r="I13" i="27"/>
  <c r="J50" i="19"/>
  <c r="J49" i="19"/>
  <c r="I51" i="19"/>
  <c r="H21" i="19" l="1"/>
  <c r="G21" i="19"/>
  <c r="I20" i="19"/>
  <c r="I19" i="19"/>
  <c r="I18" i="19"/>
  <c r="G40" i="15"/>
  <c r="M9" i="11"/>
  <c r="O9" i="11"/>
  <c r="J37" i="15"/>
  <c r="I35" i="15"/>
  <c r="H35" i="15"/>
  <c r="I44" i="15" s="1"/>
  <c r="G35" i="15"/>
  <c r="J34" i="15"/>
  <c r="J33" i="15"/>
  <c r="J32" i="15"/>
  <c r="J31" i="15"/>
  <c r="J30" i="15"/>
  <c r="J27" i="14"/>
  <c r="AE27" i="14" s="1"/>
  <c r="J22" i="14"/>
  <c r="J19" i="14"/>
  <c r="J12" i="14"/>
  <c r="K25" i="12"/>
  <c r="K27" i="12" s="1"/>
  <c r="K14" i="12"/>
  <c r="K17" i="12" s="1"/>
  <c r="J21" i="14" l="1"/>
  <c r="I21" i="19"/>
  <c r="I44" i="19" s="1"/>
  <c r="I46" i="19" s="1"/>
  <c r="I53" i="19" s="1"/>
  <c r="AB45" i="19"/>
  <c r="U45" i="19" s="1"/>
  <c r="J35" i="15"/>
  <c r="AB30" i="12" s="1"/>
  <c r="I6" i="32"/>
  <c r="I9" i="32" s="1"/>
  <c r="I15" i="32" s="1"/>
  <c r="I18" i="32" s="1"/>
  <c r="O8" i="11"/>
  <c r="O12" i="11" s="1"/>
  <c r="O18" i="11" s="1"/>
  <c r="K32" i="12"/>
  <c r="K39" i="12" s="1"/>
  <c r="I7" i="27" s="1"/>
  <c r="AZ6" i="11" l="1"/>
  <c r="AK6" i="11" s="1"/>
  <c r="C3383" i="81"/>
  <c r="C3382" i="81"/>
  <c r="C3381" i="81"/>
  <c r="C3380" i="81"/>
  <c r="C3379" i="81"/>
  <c r="C3378" i="81"/>
  <c r="C3377" i="81"/>
  <c r="C3376" i="81"/>
  <c r="C3375" i="81"/>
  <c r="C3374" i="81"/>
  <c r="C3373" i="81"/>
  <c r="C3372" i="81"/>
  <c r="C3371" i="81"/>
  <c r="C3370" i="81"/>
  <c r="C3369" i="81"/>
  <c r="C3368" i="81"/>
  <c r="C3367" i="81"/>
  <c r="C3366" i="81"/>
  <c r="C3365" i="81"/>
  <c r="C3364" i="81"/>
  <c r="C3363" i="81"/>
  <c r="C3362" i="81"/>
  <c r="C3361" i="81"/>
  <c r="C3360" i="81"/>
  <c r="C3359" i="81"/>
  <c r="C3358" i="81"/>
  <c r="O7" i="64" l="1"/>
  <c r="B59" i="2" l="1"/>
  <c r="G3383" i="81"/>
  <c r="D3383" i="81"/>
  <c r="B3383" i="81"/>
  <c r="G3382" i="81"/>
  <c r="D3382" i="81"/>
  <c r="B3382" i="81"/>
  <c r="G3381" i="81"/>
  <c r="D3381" i="81"/>
  <c r="B3381" i="81"/>
  <c r="G3380" i="81"/>
  <c r="D3380" i="81"/>
  <c r="B3380" i="81"/>
  <c r="G3379" i="81"/>
  <c r="D3379" i="81"/>
  <c r="B3379" i="81"/>
  <c r="G3378" i="81"/>
  <c r="D3378" i="81"/>
  <c r="G3377" i="81"/>
  <c r="D3377" i="81"/>
  <c r="B3377" i="81"/>
  <c r="G3376" i="81"/>
  <c r="D3376" i="81"/>
  <c r="B3376" i="81"/>
  <c r="G3375" i="81"/>
  <c r="D3375" i="81"/>
  <c r="B3375" i="81"/>
  <c r="G3374" i="81"/>
  <c r="D3374" i="81"/>
  <c r="B3374" i="81"/>
  <c r="G3373" i="81"/>
  <c r="D3373" i="81"/>
  <c r="B3373" i="81"/>
  <c r="G3372" i="81"/>
  <c r="D3372" i="81"/>
  <c r="B3372" i="81"/>
  <c r="G3371" i="81"/>
  <c r="D3371" i="81"/>
  <c r="B3371" i="81"/>
  <c r="G3370" i="81"/>
  <c r="D3370" i="81"/>
  <c r="B3370" i="81"/>
  <c r="G3369" i="81"/>
  <c r="D3369" i="81"/>
  <c r="B3369" i="81"/>
  <c r="G3368" i="81"/>
  <c r="D3368" i="81"/>
  <c r="B3368" i="81"/>
  <c r="G3367" i="81"/>
  <c r="D3367" i="81"/>
  <c r="B3367" i="81"/>
  <c r="G3366" i="81"/>
  <c r="D3366" i="81"/>
  <c r="B3366" i="81"/>
  <c r="G3365" i="81"/>
  <c r="D3365" i="81"/>
  <c r="B3365" i="81"/>
  <c r="G3364" i="81"/>
  <c r="D3364" i="81"/>
  <c r="B3364" i="81"/>
  <c r="G3363" i="81"/>
  <c r="D3363" i="81"/>
  <c r="B3363" i="81"/>
  <c r="G3362" i="81"/>
  <c r="D3362" i="81"/>
  <c r="B3362" i="81"/>
  <c r="G3361" i="81"/>
  <c r="D3361" i="81"/>
  <c r="B3361" i="81"/>
  <c r="G3360" i="81"/>
  <c r="D3360" i="81"/>
  <c r="B3360" i="81"/>
  <c r="G3359" i="81"/>
  <c r="D3359" i="81"/>
  <c r="B3359" i="81"/>
  <c r="G3358" i="81"/>
  <c r="D3358" i="81"/>
  <c r="B3358" i="81"/>
  <c r="B3378" i="81"/>
  <c r="B49" i="87"/>
  <c r="E59" i="2" s="1"/>
  <c r="F1" i="87"/>
  <c r="B31" i="2" l="1"/>
  <c r="E31" i="2"/>
  <c r="C110" i="86" l="1"/>
  <c r="C109" i="86"/>
  <c r="C107" i="86"/>
  <c r="C106" i="86"/>
  <c r="C104" i="86"/>
  <c r="C103" i="86"/>
  <c r="C101" i="86"/>
  <c r="C100" i="86"/>
  <c r="C98" i="86"/>
  <c r="C97" i="86"/>
  <c r="C95" i="86"/>
  <c r="C94" i="86"/>
  <c r="C92" i="86"/>
  <c r="C91" i="86"/>
  <c r="C89" i="86"/>
  <c r="C88" i="86"/>
  <c r="C86" i="86"/>
  <c r="C85" i="86"/>
  <c r="C79" i="86"/>
  <c r="LH66" i="86"/>
  <c r="LC66" i="86" s="1"/>
  <c r="LJ65" i="86"/>
  <c r="LI65" i="86"/>
  <c r="LH65" i="86"/>
  <c r="LG65" i="86"/>
  <c r="I65" i="86"/>
  <c r="H65" i="86"/>
  <c r="G65" i="86"/>
  <c r="F65" i="86"/>
  <c r="LT61" i="86"/>
  <c r="LP61" i="86"/>
  <c r="LL61" i="86"/>
  <c r="LH61" i="86"/>
  <c r="LC61" i="86" s="1"/>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MZ56" i="86"/>
  <c r="MV56" i="86"/>
  <c r="MR56" i="86"/>
  <c r="MN56" i="86"/>
  <c r="MJ56" i="86"/>
  <c r="MF56" i="86"/>
  <c r="MB56" i="86"/>
  <c r="LX56" i="86"/>
  <c r="LT56" i="86"/>
  <c r="LP56" i="86"/>
  <c r="LL56" i="86"/>
  <c r="LH56"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MZ50" i="86"/>
  <c r="MV50" i="86"/>
  <c r="MR50" i="86"/>
  <c r="MN50" i="86"/>
  <c r="MJ50" i="86"/>
  <c r="MF50" i="86"/>
  <c r="MB50" i="86"/>
  <c r="LX50" i="86"/>
  <c r="LT50" i="86"/>
  <c r="LP50" i="86"/>
  <c r="LL50" i="86"/>
  <c r="LH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H45" i="86"/>
  <c r="LC45" i="86"/>
  <c r="LJ44" i="86"/>
  <c r="LI44" i="86"/>
  <c r="LH44" i="86"/>
  <c r="LG44" i="86"/>
  <c r="I44" i="86"/>
  <c r="H44" i="86"/>
  <c r="G44" i="86"/>
  <c r="F44" i="86"/>
  <c r="OZ40" i="86"/>
  <c r="OV40" i="86"/>
  <c r="OR40" i="86"/>
  <c r="ON40" i="86"/>
  <c r="OJ40" i="86"/>
  <c r="OF40" i="86"/>
  <c r="OB40" i="86"/>
  <c r="NX40" i="86"/>
  <c r="NT40" i="86"/>
  <c r="NP40" i="86"/>
  <c r="NL40" i="86"/>
  <c r="NH40" i="86"/>
  <c r="ND40" i="86"/>
  <c r="MZ40" i="86"/>
  <c r="MV40" i="86"/>
  <c r="MR40" i="86"/>
  <c r="MN40" i="86"/>
  <c r="MJ40" i="86"/>
  <c r="MF40" i="86"/>
  <c r="MB40" i="86"/>
  <c r="LX40" i="86"/>
  <c r="LT40" i="86"/>
  <c r="LP40" i="86"/>
  <c r="LL40" i="86"/>
  <c r="LH40"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D34" i="86"/>
  <c r="MZ34" i="86"/>
  <c r="MV34" i="86"/>
  <c r="MR34" i="86"/>
  <c r="MN34" i="86"/>
  <c r="MJ34" i="86"/>
  <c r="MF34" i="86"/>
  <c r="MB34" i="86"/>
  <c r="LX34" i="86"/>
  <c r="LT34" i="86"/>
  <c r="LP34" i="86"/>
  <c r="LL34" i="86"/>
  <c r="LH34"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X29" i="86"/>
  <c r="LT29" i="86"/>
  <c r="LP29" i="86"/>
  <c r="LL29" i="86"/>
  <c r="LH29" i="86"/>
  <c r="LN28" i="86"/>
  <c r="LM28" i="86"/>
  <c r="LL28" i="86"/>
  <c r="LK28" i="86"/>
  <c r="LJ28" i="86"/>
  <c r="LI28" i="86"/>
  <c r="LH28" i="86"/>
  <c r="LG28" i="86"/>
  <c r="M28" i="86"/>
  <c r="L28" i="86"/>
  <c r="K28" i="86"/>
  <c r="J28" i="86"/>
  <c r="I28" i="86"/>
  <c r="H28" i="86"/>
  <c r="G28" i="86"/>
  <c r="F28" i="86"/>
  <c r="NH24" i="86"/>
  <c r="ND24" i="86"/>
  <c r="MZ24" i="86"/>
  <c r="MV24" i="86"/>
  <c r="MR24" i="86"/>
  <c r="MN24" i="86"/>
  <c r="MJ24" i="86"/>
  <c r="MF24" i="86"/>
  <c r="MB24" i="86"/>
  <c r="LX24" i="86"/>
  <c r="LT24" i="86"/>
  <c r="LP24" i="86"/>
  <c r="LL24" i="86"/>
  <c r="LH24"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WZ19" i="86"/>
  <c r="WV19" i="86"/>
  <c r="WR19" i="86"/>
  <c r="WN19" i="86"/>
  <c r="WJ19" i="86"/>
  <c r="WF19" i="86"/>
  <c r="WB19" i="86"/>
  <c r="VX19" i="86"/>
  <c r="VT19" i="86"/>
  <c r="VP19" i="86"/>
  <c r="VL19" i="86"/>
  <c r="VH19" i="86"/>
  <c r="VD19" i="86"/>
  <c r="UZ19" i="86"/>
  <c r="UV19" i="86"/>
  <c r="UR19" i="86"/>
  <c r="UN19" i="86"/>
  <c r="UJ19" i="86"/>
  <c r="UF19" i="86"/>
  <c r="UB19" i="86"/>
  <c r="TX19" i="86"/>
  <c r="TT19" i="86"/>
  <c r="TP19" i="86"/>
  <c r="TL19" i="86"/>
  <c r="TH19" i="86"/>
  <c r="TD19" i="86"/>
  <c r="SZ19" i="86"/>
  <c r="SV19" i="86"/>
  <c r="SR19" i="86"/>
  <c r="SN19" i="86"/>
  <c r="SJ19" i="86"/>
  <c r="SF19" i="86"/>
  <c r="SB19" i="86"/>
  <c r="RX19" i="86"/>
  <c r="RT19" i="86"/>
  <c r="RP19" i="86"/>
  <c r="RL19" i="86"/>
  <c r="RH19" i="86"/>
  <c r="RD19" i="86"/>
  <c r="QZ19" i="86"/>
  <c r="QV19" i="86"/>
  <c r="QR19" i="86"/>
  <c r="QN19" i="86"/>
  <c r="QJ19" i="86"/>
  <c r="QF19" i="86"/>
  <c r="QB19" i="86"/>
  <c r="PX19" i="86"/>
  <c r="PT19" i="86"/>
  <c r="PP19" i="86"/>
  <c r="PL19" i="86"/>
  <c r="PH19" i="86"/>
  <c r="PD19" i="86"/>
  <c r="OZ19" i="86"/>
  <c r="OV19" i="86"/>
  <c r="OR19" i="86"/>
  <c r="ON19" i="86"/>
  <c r="OJ19" i="86"/>
  <c r="OF19" i="86"/>
  <c r="OB19" i="86"/>
  <c r="NX19" i="86"/>
  <c r="NT19" i="86"/>
  <c r="NP19" i="86"/>
  <c r="NL19" i="86"/>
  <c r="NH19" i="86"/>
  <c r="ND19" i="86"/>
  <c r="MZ19" i="86"/>
  <c r="MV19" i="86"/>
  <c r="MR19" i="86"/>
  <c r="MN19" i="86"/>
  <c r="MJ19" i="86"/>
  <c r="MF19" i="86"/>
  <c r="MB19" i="86"/>
  <c r="LX19" i="86"/>
  <c r="LT19" i="86"/>
  <c r="LP19" i="86"/>
  <c r="LL19" i="86"/>
  <c r="LH19" i="86"/>
  <c r="WZ18" i="86"/>
  <c r="WV18" i="86"/>
  <c r="WR18" i="86"/>
  <c r="WN18" i="86"/>
  <c r="WJ18" i="86"/>
  <c r="WF18" i="86"/>
  <c r="WB18" i="86"/>
  <c r="VX18" i="86"/>
  <c r="VT18" i="86"/>
  <c r="VP18" i="86"/>
  <c r="VL18" i="86"/>
  <c r="VH18" i="86"/>
  <c r="VD18" i="86"/>
  <c r="UZ18" i="86"/>
  <c r="UV18" i="86"/>
  <c r="UR18" i="86"/>
  <c r="UN18" i="86"/>
  <c r="UJ18" i="86"/>
  <c r="UF18" i="86"/>
  <c r="UB18" i="86"/>
  <c r="TX18" i="86"/>
  <c r="TT18" i="86"/>
  <c r="TP18" i="86"/>
  <c r="TL18" i="86"/>
  <c r="TH18" i="86"/>
  <c r="TD18" i="86"/>
  <c r="SZ18" i="86"/>
  <c r="SV18" i="86"/>
  <c r="SR18" i="86"/>
  <c r="SN18" i="86"/>
  <c r="SJ18" i="86"/>
  <c r="SF18" i="86"/>
  <c r="SB18" i="86"/>
  <c r="RX18" i="86"/>
  <c r="RT18" i="86"/>
  <c r="RP18" i="86"/>
  <c r="RL18" i="86"/>
  <c r="RH18" i="86"/>
  <c r="RD18" i="86"/>
  <c r="QZ18" i="86"/>
  <c r="QV18" i="86"/>
  <c r="QR18" i="86"/>
  <c r="QN18" i="86"/>
  <c r="QJ18" i="86"/>
  <c r="QF18" i="86"/>
  <c r="QB18" i="86"/>
  <c r="PX18" i="86"/>
  <c r="PT18" i="86"/>
  <c r="PP18" i="86"/>
  <c r="PL18" i="86"/>
  <c r="PH18" i="86"/>
  <c r="PD18" i="86"/>
  <c r="OZ18" i="86"/>
  <c r="OV18" i="86"/>
  <c r="OR18" i="86"/>
  <c r="ON18" i="86"/>
  <c r="OJ18" i="86"/>
  <c r="OF18" i="86"/>
  <c r="OB18" i="86"/>
  <c r="NX18" i="86"/>
  <c r="NT18" i="86"/>
  <c r="NP18" i="86"/>
  <c r="NL18" i="86"/>
  <c r="NH18" i="86"/>
  <c r="ND18" i="86"/>
  <c r="MZ18" i="86"/>
  <c r="MV18" i="86"/>
  <c r="MR18" i="86"/>
  <c r="MN18" i="86"/>
  <c r="MJ18" i="86"/>
  <c r="MF18" i="86"/>
  <c r="MB18" i="86"/>
  <c r="LX18" i="86"/>
  <c r="LT18" i="86"/>
  <c r="LP18" i="86"/>
  <c r="LL18" i="86"/>
  <c r="LH18" i="86"/>
  <c r="WZ17" i="86"/>
  <c r="WV17" i="86"/>
  <c r="WR17" i="86"/>
  <c r="WN17" i="86"/>
  <c r="WJ17" i="86"/>
  <c r="WF17" i="86"/>
  <c r="WB17" i="86"/>
  <c r="VX17" i="86"/>
  <c r="VT17" i="86"/>
  <c r="VP17" i="86"/>
  <c r="VL17" i="86"/>
  <c r="VH17" i="86"/>
  <c r="VD17" i="86"/>
  <c r="UZ17" i="86"/>
  <c r="UV17" i="86"/>
  <c r="UR17" i="86"/>
  <c r="UN17" i="86"/>
  <c r="UJ17" i="86"/>
  <c r="UF17" i="86"/>
  <c r="UB17" i="86"/>
  <c r="TX17" i="86"/>
  <c r="TT17" i="86"/>
  <c r="TP17" i="86"/>
  <c r="TL17" i="86"/>
  <c r="TH17" i="86"/>
  <c r="TD17" i="86"/>
  <c r="SZ17" i="86"/>
  <c r="SV17" i="86"/>
  <c r="SR17" i="86"/>
  <c r="SN17" i="86"/>
  <c r="SJ17" i="86"/>
  <c r="SF17" i="86"/>
  <c r="SB17" i="86"/>
  <c r="RX17" i="86"/>
  <c r="RT17" i="86"/>
  <c r="RP17" i="86"/>
  <c r="RL17" i="86"/>
  <c r="RH17" i="86"/>
  <c r="RD17" i="86"/>
  <c r="QZ17" i="86"/>
  <c r="QV17" i="86"/>
  <c r="QR17" i="86"/>
  <c r="QN17" i="86"/>
  <c r="QJ17" i="86"/>
  <c r="QF17" i="86"/>
  <c r="QB17" i="86"/>
  <c r="PX17" i="86"/>
  <c r="PT17" i="86"/>
  <c r="PP17" i="86"/>
  <c r="PL17" i="86"/>
  <c r="PH17" i="86"/>
  <c r="PD17" i="86"/>
  <c r="OZ17" i="86"/>
  <c r="OV17" i="86"/>
  <c r="OR17" i="86"/>
  <c r="ON17" i="86"/>
  <c r="OJ17" i="86"/>
  <c r="OF17" i="86"/>
  <c r="OB17" i="86"/>
  <c r="NX17" i="86"/>
  <c r="NT17" i="86"/>
  <c r="NP17" i="86"/>
  <c r="NL17" i="86"/>
  <c r="NH17" i="86"/>
  <c r="ND17" i="86"/>
  <c r="MZ17" i="86"/>
  <c r="MV17" i="86"/>
  <c r="MR17" i="86"/>
  <c r="MN17" i="86"/>
  <c r="MJ17" i="86"/>
  <c r="MF17" i="86"/>
  <c r="MB17" i="86"/>
  <c r="LX17" i="86"/>
  <c r="LT17" i="86"/>
  <c r="LP17" i="86"/>
  <c r="LL17" i="86"/>
  <c r="LH17" i="86"/>
  <c r="WZ16" i="86"/>
  <c r="WV16" i="86"/>
  <c r="WR16" i="86"/>
  <c r="WN16" i="86"/>
  <c r="WJ16" i="86"/>
  <c r="WF16" i="86"/>
  <c r="WB16" i="86"/>
  <c r="VX16" i="86"/>
  <c r="VT16" i="86"/>
  <c r="VP16" i="86"/>
  <c r="VL16" i="86"/>
  <c r="VH16" i="86"/>
  <c r="VD16" i="86"/>
  <c r="UZ16" i="86"/>
  <c r="UV16" i="86"/>
  <c r="UR16" i="86"/>
  <c r="UN16" i="86"/>
  <c r="UJ16" i="86"/>
  <c r="UF16" i="86"/>
  <c r="UB16" i="86"/>
  <c r="TX16" i="86"/>
  <c r="TT16" i="86"/>
  <c r="TP16" i="86"/>
  <c r="TL16" i="86"/>
  <c r="TH16" i="86"/>
  <c r="TD16" i="86"/>
  <c r="SZ16" i="86"/>
  <c r="SV16" i="86"/>
  <c r="SR16" i="86"/>
  <c r="SN16" i="86"/>
  <c r="SJ16" i="86"/>
  <c r="SF16" i="86"/>
  <c r="SB16" i="86"/>
  <c r="RX16" i="86"/>
  <c r="RT16" i="86"/>
  <c r="RP16" i="86"/>
  <c r="RL16" i="86"/>
  <c r="RH16" i="86"/>
  <c r="RD16" i="86"/>
  <c r="QZ16" i="86"/>
  <c r="QV16" i="86"/>
  <c r="QR16" i="86"/>
  <c r="QN16" i="86"/>
  <c r="QJ16" i="86"/>
  <c r="QF16" i="86"/>
  <c r="QB16" i="86"/>
  <c r="PX16" i="86"/>
  <c r="PT16" i="86"/>
  <c r="PP16" i="86"/>
  <c r="PL16" i="86"/>
  <c r="PH16" i="86"/>
  <c r="PD16" i="86"/>
  <c r="OZ16" i="86"/>
  <c r="OV16" i="86"/>
  <c r="OR16" i="86"/>
  <c r="ON16" i="86"/>
  <c r="OJ16" i="86"/>
  <c r="OF16" i="86"/>
  <c r="OB16" i="86"/>
  <c r="NX16" i="86"/>
  <c r="NT16" i="86"/>
  <c r="NP16" i="86"/>
  <c r="NL16" i="86"/>
  <c r="NH16" i="86"/>
  <c r="ND16" i="86"/>
  <c r="MZ16" i="86"/>
  <c r="MV16" i="86"/>
  <c r="MR16" i="86"/>
  <c r="MN16" i="86"/>
  <c r="MJ16" i="86"/>
  <c r="MF16" i="86"/>
  <c r="MB16" i="86"/>
  <c r="LX16" i="86"/>
  <c r="LT16" i="86"/>
  <c r="LP16" i="86"/>
  <c r="LL16" i="86"/>
  <c r="LH16"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G7" i="86"/>
  <c r="LC7" i="86" s="1"/>
  <c r="LC19" i="86" l="1"/>
  <c r="LC29" i="86"/>
  <c r="LC18" i="86"/>
  <c r="LC17" i="86"/>
  <c r="LC50" i="86"/>
  <c r="LC56" i="86"/>
  <c r="LC40" i="86"/>
  <c r="LC34" i="86"/>
  <c r="LC24" i="86"/>
  <c r="LC16" i="86"/>
  <c r="C31" i="2"/>
  <c r="AP30" i="75"/>
  <c r="AP28" i="75"/>
  <c r="AP27" i="75"/>
  <c r="AP26" i="75"/>
  <c r="AP23" i="75"/>
  <c r="AP22" i="75"/>
  <c r="AP21" i="75"/>
  <c r="AP20" i="75"/>
  <c r="AP19" i="75"/>
  <c r="AF27" i="33" l="1"/>
  <c r="AF9" i="33"/>
  <c r="AF7" i="33"/>
  <c r="AH8" i="32"/>
  <c r="AF19" i="13"/>
  <c r="AF14" i="13"/>
  <c r="AF12" i="13"/>
  <c r="AF13" i="13"/>
  <c r="AF11" i="13"/>
  <c r="AF9" i="13"/>
  <c r="AF8" i="13"/>
  <c r="AF7" i="13"/>
  <c r="AF6" i="13"/>
  <c r="BR9" i="11"/>
  <c r="BQ9" i="11"/>
  <c r="BO9" i="11"/>
  <c r="BN9" i="11"/>
  <c r="BM9" i="11"/>
  <c r="BL9" i="11"/>
  <c r="AH7" i="7"/>
  <c r="AG7" i="7"/>
  <c r="AF7" i="7"/>
  <c r="AH6" i="5"/>
  <c r="AG6" i="5"/>
  <c r="AF6" i="5"/>
  <c r="F2033" i="81" l="1"/>
  <c r="F2549" i="81" s="1"/>
  <c r="F2032" i="81"/>
  <c r="F2677" i="81" s="1"/>
  <c r="F2031" i="81"/>
  <c r="F2633" i="81" s="1"/>
  <c r="F2030" i="81"/>
  <c r="F2589" i="81" s="1"/>
  <c r="F2029" i="81"/>
  <c r="F2545" i="81" s="1"/>
  <c r="F2028" i="81"/>
  <c r="F2673" i="81" s="1"/>
  <c r="F2027" i="81"/>
  <c r="F2629" i="81" s="1"/>
  <c r="F2026" i="81"/>
  <c r="F2585" i="81" s="1"/>
  <c r="F2025" i="81"/>
  <c r="F2541" i="81" s="1"/>
  <c r="F2024" i="81"/>
  <c r="F2669" i="81" s="1"/>
  <c r="F2023" i="81"/>
  <c r="F2625" i="81" s="1"/>
  <c r="F2022" i="81"/>
  <c r="F2581" i="81" s="1"/>
  <c r="F2021" i="81"/>
  <c r="F2537" i="81" s="1"/>
  <c r="F2020" i="81"/>
  <c r="F2665" i="81" s="1"/>
  <c r="F2019" i="81"/>
  <c r="F2621" i="81" s="1"/>
  <c r="F1616" i="81"/>
  <c r="F1990" i="81" s="1"/>
  <c r="F1615" i="81"/>
  <c r="F1955" i="81" s="1"/>
  <c r="F1614" i="81"/>
  <c r="F1920" i="81" s="1"/>
  <c r="F1613" i="81"/>
  <c r="F1885" i="81" s="1"/>
  <c r="F1612" i="81"/>
  <c r="F1986" i="81" s="1"/>
  <c r="F1611" i="81"/>
  <c r="F1951" i="81" s="1"/>
  <c r="F1610" i="81"/>
  <c r="F1916" i="81" s="1"/>
  <c r="F1609" i="81"/>
  <c r="F1881" i="81" s="1"/>
  <c r="F1608" i="81"/>
  <c r="F1982" i="81" s="1"/>
  <c r="F1607" i="81"/>
  <c r="F1947" i="81" s="1"/>
  <c r="F1606" i="81"/>
  <c r="F1912" i="81" s="1"/>
  <c r="F1605" i="81"/>
  <c r="F1877" i="81" s="1"/>
  <c r="F1604" i="81"/>
  <c r="F1978" i="81" s="1"/>
  <c r="F1603" i="81"/>
  <c r="F1943" i="81" s="1"/>
  <c r="F1602" i="81"/>
  <c r="F1908" i="81" s="1"/>
  <c r="F1386" i="81"/>
  <c r="F1414" i="81" s="1"/>
  <c r="F1385" i="81"/>
  <c r="F1413" i="81" s="1"/>
  <c r="F1384" i="81"/>
  <c r="F1412" i="81" s="1"/>
  <c r="F1383" i="81"/>
  <c r="F1411" i="81" s="1"/>
  <c r="F1382" i="81"/>
  <c r="F1410" i="81" s="1"/>
  <c r="F1494" i="81" s="1"/>
  <c r="F1381" i="81"/>
  <c r="F1409" i="81" s="1"/>
  <c r="F1437" i="81" s="1"/>
  <c r="F1380" i="81"/>
  <c r="F1408" i="81" s="1"/>
  <c r="F1379" i="81"/>
  <c r="F1407" i="81" s="1"/>
  <c r="F1378" i="81"/>
  <c r="F1406" i="81" s="1"/>
  <c r="F1377" i="81"/>
  <c r="F1405" i="81" s="1"/>
  <c r="F1218" i="81"/>
  <c r="F1358" i="81" s="1"/>
  <c r="F1217" i="81"/>
  <c r="F1357" i="81" s="1"/>
  <c r="F1216" i="81"/>
  <c r="F1328" i="81" s="1"/>
  <c r="F1215" i="81"/>
  <c r="F1327" i="81" s="1"/>
  <c r="F1214" i="81"/>
  <c r="F1354" i="81" s="1"/>
  <c r="F1213" i="81"/>
  <c r="F1353" i="81" s="1"/>
  <c r="F1212" i="81"/>
  <c r="F1324" i="81" s="1"/>
  <c r="F1211" i="81"/>
  <c r="F1323" i="81" s="1"/>
  <c r="F1210" i="81"/>
  <c r="F1350" i="81" s="1"/>
  <c r="F1209" i="81"/>
  <c r="F1349" i="81" s="1"/>
  <c r="F2634" i="81" l="1"/>
  <c r="F2118" i="81"/>
  <c r="F2290" i="81"/>
  <c r="F2462" i="81"/>
  <c r="F2074" i="81"/>
  <c r="F2418" i="81"/>
  <c r="F2246" i="81"/>
  <c r="F2590" i="81"/>
  <c r="F1436" i="81"/>
  <c r="F1548" i="81"/>
  <c r="F1520" i="81"/>
  <c r="F2678" i="81"/>
  <c r="F2062" i="81"/>
  <c r="F2106" i="81"/>
  <c r="F2150" i="81"/>
  <c r="F2234" i="81"/>
  <c r="F2278" i="81"/>
  <c r="F2322" i="81"/>
  <c r="F2406" i="81"/>
  <c r="F2450" i="81"/>
  <c r="F2494" i="81"/>
  <c r="F2578" i="81"/>
  <c r="F2622" i="81"/>
  <c r="F2666" i="81"/>
  <c r="F2334" i="81"/>
  <c r="F2066" i="81"/>
  <c r="F2110" i="81"/>
  <c r="F2154" i="81"/>
  <c r="F2238" i="81"/>
  <c r="F2282" i="81"/>
  <c r="F2326" i="81"/>
  <c r="F2410" i="81"/>
  <c r="F2454" i="81"/>
  <c r="F2498" i="81"/>
  <c r="F2582" i="81"/>
  <c r="F2626" i="81"/>
  <c r="F2670" i="81"/>
  <c r="F2162" i="81"/>
  <c r="F2506" i="81"/>
  <c r="F2070" i="81"/>
  <c r="F2114" i="81"/>
  <c r="F2158" i="81"/>
  <c r="F2242" i="81"/>
  <c r="F2286" i="81"/>
  <c r="F2330" i="81"/>
  <c r="F2414" i="81"/>
  <c r="F2458" i="81"/>
  <c r="F2502" i="81"/>
  <c r="F2586" i="81"/>
  <c r="F2630" i="81"/>
  <c r="F2674" i="81"/>
  <c r="F1546" i="81"/>
  <c r="F1518" i="81"/>
  <c r="F1434" i="81"/>
  <c r="F1580" i="81"/>
  <c r="F1496" i="81"/>
  <c r="F1468" i="81"/>
  <c r="F1554" i="81"/>
  <c r="F1526" i="81"/>
  <c r="F1442" i="81"/>
  <c r="F1466" i="81"/>
  <c r="F1490" i="81"/>
  <c r="F1547" i="81"/>
  <c r="F1519" i="81"/>
  <c r="F1435" i="81"/>
  <c r="F1575" i="81"/>
  <c r="F1581" i="81"/>
  <c r="F1497" i="81"/>
  <c r="F1469" i="81"/>
  <c r="F1553" i="81"/>
  <c r="F1525" i="81"/>
  <c r="F1524" i="81"/>
  <c r="F1576" i="81"/>
  <c r="F1492" i="81"/>
  <c r="F1464" i="81"/>
  <c r="F1470" i="81"/>
  <c r="F1574" i="81"/>
  <c r="F1552" i="81"/>
  <c r="F1550" i="81"/>
  <c r="F1522" i="81"/>
  <c r="F1438" i="81"/>
  <c r="F1582" i="81"/>
  <c r="F1551" i="81"/>
  <c r="F1523" i="81"/>
  <c r="F1439" i="81"/>
  <c r="F1579" i="81"/>
  <c r="F1495" i="81"/>
  <c r="F1573" i="81"/>
  <c r="F1489" i="81"/>
  <c r="F1461" i="81"/>
  <c r="F1545" i="81"/>
  <c r="F1517" i="81"/>
  <c r="F1467" i="81"/>
  <c r="F1491" i="81"/>
  <c r="F1462" i="81"/>
  <c r="F1440" i="81"/>
  <c r="F1577" i="81"/>
  <c r="F1493" i="81"/>
  <c r="F1465" i="81"/>
  <c r="F1549" i="81"/>
  <c r="F1521" i="81"/>
  <c r="F1463" i="81"/>
  <c r="F1433" i="81"/>
  <c r="F1441" i="81"/>
  <c r="F1498" i="81"/>
  <c r="F1578" i="81"/>
  <c r="F2198" i="81"/>
  <c r="F2366" i="81"/>
  <c r="F2542" i="81"/>
  <c r="F2546" i="81"/>
  <c r="F2063" i="81"/>
  <c r="F2067" i="81"/>
  <c r="F2071" i="81"/>
  <c r="F2075" i="81"/>
  <c r="F2107" i="81"/>
  <c r="F2111" i="81"/>
  <c r="F2115" i="81"/>
  <c r="F2119" i="81"/>
  <c r="F2151" i="81"/>
  <c r="F2155" i="81"/>
  <c r="F2159" i="81"/>
  <c r="F2191" i="81"/>
  <c r="F2195" i="81"/>
  <c r="F2199" i="81"/>
  <c r="F2203" i="81"/>
  <c r="F2235" i="81"/>
  <c r="F2239" i="81"/>
  <c r="F2243" i="81"/>
  <c r="F2247" i="81"/>
  <c r="F2279" i="81"/>
  <c r="F2283" i="81"/>
  <c r="F2287" i="81"/>
  <c r="F2291" i="81"/>
  <c r="F2323" i="81"/>
  <c r="F2327" i="81"/>
  <c r="F2331" i="81"/>
  <c r="F2363" i="81"/>
  <c r="F2367" i="81"/>
  <c r="F2371" i="81"/>
  <c r="F2375" i="81"/>
  <c r="F2407" i="81"/>
  <c r="F2411" i="81"/>
  <c r="F2415" i="81"/>
  <c r="F2419" i="81"/>
  <c r="F2451" i="81"/>
  <c r="F2455" i="81"/>
  <c r="F2459" i="81"/>
  <c r="F2463" i="81"/>
  <c r="F2495" i="81"/>
  <c r="F2499" i="81"/>
  <c r="F2503" i="81"/>
  <c r="F2535" i="81"/>
  <c r="F2539" i="81"/>
  <c r="F2543" i="81"/>
  <c r="F2547" i="81"/>
  <c r="F2579" i="81"/>
  <c r="F2583" i="81"/>
  <c r="F2587" i="81"/>
  <c r="F2591" i="81"/>
  <c r="F2623" i="81"/>
  <c r="F2627" i="81"/>
  <c r="F2631" i="81"/>
  <c r="F2635" i="81"/>
  <c r="F2667" i="81"/>
  <c r="F2671" i="81"/>
  <c r="F2675" i="81"/>
  <c r="F2194" i="81"/>
  <c r="F2202" i="81"/>
  <c r="F2370" i="81"/>
  <c r="F2374" i="81"/>
  <c r="F2538" i="81"/>
  <c r="F2064" i="81"/>
  <c r="F2068" i="81"/>
  <c r="F2072" i="81"/>
  <c r="F2076" i="81"/>
  <c r="F2108" i="81"/>
  <c r="F2112" i="81"/>
  <c r="F2116" i="81"/>
  <c r="F2148" i="81"/>
  <c r="F2152" i="81"/>
  <c r="F2156" i="81"/>
  <c r="F2160" i="81"/>
  <c r="F2192" i="81"/>
  <c r="F2196" i="81"/>
  <c r="F2200" i="81"/>
  <c r="F2204" i="81"/>
  <c r="F2236" i="81"/>
  <c r="F2240" i="81"/>
  <c r="F2244" i="81"/>
  <c r="F2248" i="81"/>
  <c r="F2280" i="81"/>
  <c r="F2284" i="81"/>
  <c r="F2288" i="81"/>
  <c r="F2320" i="81"/>
  <c r="F2324" i="81"/>
  <c r="F2328" i="81"/>
  <c r="F2332" i="81"/>
  <c r="F2364" i="81"/>
  <c r="F2368" i="81"/>
  <c r="F2372" i="81"/>
  <c r="F2376" i="81"/>
  <c r="F2408" i="81"/>
  <c r="F2412" i="81"/>
  <c r="F2416" i="81"/>
  <c r="F2420" i="81"/>
  <c r="F2452" i="81"/>
  <c r="F2456" i="81"/>
  <c r="F2460" i="81"/>
  <c r="F2492" i="81"/>
  <c r="F2496" i="81"/>
  <c r="F2500" i="81"/>
  <c r="F2504" i="81"/>
  <c r="F2536" i="81"/>
  <c r="F2540" i="81"/>
  <c r="F2544" i="81"/>
  <c r="F2548" i="81"/>
  <c r="F2580" i="81"/>
  <c r="F2584" i="81"/>
  <c r="F2588" i="81"/>
  <c r="F2592" i="81"/>
  <c r="F2624" i="81"/>
  <c r="F2628" i="81"/>
  <c r="F2632" i="81"/>
  <c r="F2664" i="81"/>
  <c r="F2668" i="81"/>
  <c r="F2672" i="81"/>
  <c r="F2676" i="81"/>
  <c r="F2065" i="81"/>
  <c r="F2069" i="81"/>
  <c r="F2073" i="81"/>
  <c r="F2105" i="81"/>
  <c r="F2109" i="81"/>
  <c r="F2113" i="81"/>
  <c r="F2117" i="81"/>
  <c r="F2149" i="81"/>
  <c r="F2153" i="81"/>
  <c r="F2157" i="81"/>
  <c r="F2161" i="81"/>
  <c r="F2193" i="81"/>
  <c r="F2197" i="81"/>
  <c r="F2201" i="81"/>
  <c r="F2205" i="81"/>
  <c r="F2237" i="81"/>
  <c r="F2241" i="81"/>
  <c r="F2245" i="81"/>
  <c r="F2277" i="81"/>
  <c r="F2281" i="81"/>
  <c r="F2285" i="81"/>
  <c r="F2289" i="81"/>
  <c r="F2321" i="81"/>
  <c r="F2325" i="81"/>
  <c r="F2329" i="81"/>
  <c r="F2333" i="81"/>
  <c r="F2365" i="81"/>
  <c r="F2369" i="81"/>
  <c r="F2373" i="81"/>
  <c r="F2377" i="81"/>
  <c r="F2409" i="81"/>
  <c r="F2413" i="81"/>
  <c r="F2417" i="81"/>
  <c r="F2449" i="81"/>
  <c r="F2453" i="81"/>
  <c r="F2457" i="81"/>
  <c r="F2461" i="81"/>
  <c r="F2493" i="81"/>
  <c r="F2497" i="81"/>
  <c r="F2501" i="81"/>
  <c r="F2505" i="81"/>
  <c r="F1641" i="81"/>
  <c r="F1816" i="81"/>
  <c r="F1676" i="81"/>
  <c r="F1851" i="81"/>
  <c r="F1711" i="81"/>
  <c r="F1921" i="81"/>
  <c r="F1781" i="81"/>
  <c r="F1956" i="81"/>
  <c r="F1645" i="81"/>
  <c r="F1680" i="81"/>
  <c r="F1715" i="81"/>
  <c r="F1785" i="81"/>
  <c r="F1820" i="81"/>
  <c r="F1909" i="81"/>
  <c r="F1944" i="81"/>
  <c r="F1979" i="81"/>
  <c r="F1649" i="81"/>
  <c r="F1684" i="81"/>
  <c r="F1773" i="81"/>
  <c r="F1808" i="81"/>
  <c r="F1843" i="81"/>
  <c r="F1913" i="81"/>
  <c r="F1948" i="81"/>
  <c r="F1983" i="81"/>
  <c r="F1637" i="81"/>
  <c r="F1672" i="81"/>
  <c r="F1707" i="81"/>
  <c r="F1777" i="81"/>
  <c r="F1812" i="81"/>
  <c r="F1847" i="81"/>
  <c r="F1917" i="81"/>
  <c r="F1952" i="81"/>
  <c r="F1987" i="81"/>
  <c r="F1738" i="81"/>
  <c r="F1874" i="81"/>
  <c r="F1886" i="81"/>
  <c r="F1638" i="81"/>
  <c r="F1642" i="81"/>
  <c r="F1646" i="81"/>
  <c r="F1650" i="81"/>
  <c r="F1673" i="81"/>
  <c r="F1677" i="81"/>
  <c r="F1681" i="81"/>
  <c r="F1704" i="81"/>
  <c r="F1708" i="81"/>
  <c r="F1712" i="81"/>
  <c r="F1716" i="81"/>
  <c r="F1739" i="81"/>
  <c r="F1743" i="81"/>
  <c r="F1747" i="81"/>
  <c r="F1751" i="81"/>
  <c r="F1774" i="81"/>
  <c r="F1778" i="81"/>
  <c r="F1782" i="81"/>
  <c r="F1786" i="81"/>
  <c r="F1809" i="81"/>
  <c r="F1813" i="81"/>
  <c r="F1817" i="81"/>
  <c r="F1840" i="81"/>
  <c r="F1844" i="81"/>
  <c r="F1848" i="81"/>
  <c r="F1852" i="81"/>
  <c r="F1875" i="81"/>
  <c r="F1879" i="81"/>
  <c r="F1883" i="81"/>
  <c r="F1887" i="81"/>
  <c r="F1910" i="81"/>
  <c r="F1914" i="81"/>
  <c r="F1918" i="81"/>
  <c r="F1922" i="81"/>
  <c r="F1945" i="81"/>
  <c r="F1949" i="81"/>
  <c r="F1953" i="81"/>
  <c r="F1976" i="81"/>
  <c r="F1980" i="81"/>
  <c r="F1984" i="81"/>
  <c r="F1988" i="81"/>
  <c r="F1746" i="81"/>
  <c r="F1878" i="81"/>
  <c r="F1639" i="81"/>
  <c r="F1643" i="81"/>
  <c r="F1647" i="81"/>
  <c r="F1670" i="81"/>
  <c r="F1674" i="81"/>
  <c r="F1678" i="81"/>
  <c r="F1682" i="81"/>
  <c r="F1705" i="81"/>
  <c r="F1709" i="81"/>
  <c r="F1713" i="81"/>
  <c r="F1717" i="81"/>
  <c r="F1740" i="81"/>
  <c r="F1744" i="81"/>
  <c r="F1748" i="81"/>
  <c r="F1752" i="81"/>
  <c r="F1775" i="81"/>
  <c r="F1779" i="81"/>
  <c r="F1783" i="81"/>
  <c r="F1806" i="81"/>
  <c r="F1810" i="81"/>
  <c r="F1814" i="81"/>
  <c r="F1818" i="81"/>
  <c r="F1841" i="81"/>
  <c r="F1845" i="81"/>
  <c r="F1849" i="81"/>
  <c r="F1853" i="81"/>
  <c r="F1876" i="81"/>
  <c r="F1880" i="81"/>
  <c r="F1884" i="81"/>
  <c r="F1888" i="81"/>
  <c r="F1911" i="81"/>
  <c r="F1915" i="81"/>
  <c r="F1919" i="81"/>
  <c r="F1942" i="81"/>
  <c r="F1946" i="81"/>
  <c r="F1950" i="81"/>
  <c r="F1954" i="81"/>
  <c r="F1977" i="81"/>
  <c r="F1981" i="81"/>
  <c r="F1985" i="81"/>
  <c r="F1989" i="81"/>
  <c r="F1742" i="81"/>
  <c r="F1750" i="81"/>
  <c r="F1882" i="81"/>
  <c r="F1636" i="81"/>
  <c r="F1640" i="81"/>
  <c r="F1644" i="81"/>
  <c r="F1648" i="81"/>
  <c r="F1671" i="81"/>
  <c r="F1675" i="81"/>
  <c r="F1679" i="81"/>
  <c r="F1683" i="81"/>
  <c r="F1706" i="81"/>
  <c r="F1710" i="81"/>
  <c r="F1714" i="81"/>
  <c r="F1718" i="81"/>
  <c r="F1741" i="81"/>
  <c r="F1745" i="81"/>
  <c r="F1749" i="81"/>
  <c r="F1772" i="81"/>
  <c r="F1776" i="81"/>
  <c r="F1780" i="81"/>
  <c r="F1784" i="81"/>
  <c r="F1807" i="81"/>
  <c r="F1811" i="81"/>
  <c r="F1815" i="81"/>
  <c r="F1819" i="81"/>
  <c r="F1842" i="81"/>
  <c r="F1846" i="81"/>
  <c r="F1850" i="81"/>
  <c r="F1854" i="81"/>
  <c r="F1239" i="81"/>
  <c r="F1293" i="81"/>
  <c r="F1301" i="81"/>
  <c r="F1321" i="81"/>
  <c r="F1355" i="81"/>
  <c r="F1243" i="81"/>
  <c r="F1297" i="81"/>
  <c r="F1267" i="81"/>
  <c r="F1271" i="81"/>
  <c r="F1325" i="81"/>
  <c r="F1329" i="81"/>
  <c r="F1351" i="81"/>
  <c r="F1240" i="81"/>
  <c r="F1244" i="81"/>
  <c r="F1294" i="81"/>
  <c r="F1298" i="81"/>
  <c r="F1302" i="81"/>
  <c r="F1268" i="81"/>
  <c r="F1272" i="81"/>
  <c r="F1322" i="81"/>
  <c r="F1326" i="81"/>
  <c r="F1330" i="81"/>
  <c r="F1352" i="81"/>
  <c r="F1356" i="81"/>
  <c r="F1237" i="81"/>
  <c r="F1241" i="81"/>
  <c r="F1245" i="81"/>
  <c r="F1295" i="81"/>
  <c r="F1299" i="81"/>
  <c r="F1265" i="81"/>
  <c r="F1269" i="81"/>
  <c r="F1273" i="81"/>
  <c r="F1238" i="81"/>
  <c r="F1242" i="81"/>
  <c r="F1246" i="81"/>
  <c r="F1296" i="81"/>
  <c r="F1300" i="81"/>
  <c r="F1266" i="81"/>
  <c r="F1270" i="81"/>
  <c r="F1274" i="81"/>
  <c r="AD50" i="66"/>
  <c r="AD49" i="66"/>
  <c r="AD48" i="66"/>
  <c r="AD47" i="66"/>
  <c r="AD46" i="66"/>
  <c r="AD45" i="66"/>
  <c r="AD44" i="66"/>
  <c r="AD43" i="66"/>
  <c r="AD42" i="66"/>
  <c r="AD41" i="66"/>
  <c r="AD40" i="66"/>
  <c r="AD39" i="66"/>
  <c r="AD38" i="66"/>
  <c r="AD37" i="66"/>
  <c r="AD36" i="66"/>
  <c r="Z41" i="65"/>
  <c r="Z40" i="65"/>
  <c r="Z39" i="65"/>
  <c r="Z38" i="65"/>
  <c r="Z37" i="65"/>
  <c r="Z36" i="65"/>
  <c r="Z35" i="65"/>
  <c r="Z34" i="65"/>
  <c r="Z33" i="65"/>
  <c r="Z32" i="65"/>
  <c r="Z31" i="65"/>
  <c r="Z30" i="65"/>
  <c r="Z29" i="65"/>
  <c r="Z28" i="65"/>
  <c r="Z27" i="65"/>
  <c r="U48" i="64"/>
  <c r="U47" i="64"/>
  <c r="U46" i="64"/>
  <c r="U45" i="64"/>
  <c r="U44" i="64"/>
  <c r="U43" i="64"/>
  <c r="U42" i="64"/>
  <c r="U41" i="64"/>
  <c r="U40" i="64"/>
  <c r="R49" i="64"/>
  <c r="U39" i="64"/>
  <c r="S44" i="63" l="1"/>
  <c r="S42" i="63"/>
  <c r="S41" i="63"/>
  <c r="S48" i="63"/>
  <c r="S47" i="63"/>
  <c r="S46" i="63"/>
  <c r="S45" i="63"/>
  <c r="S43" i="63"/>
  <c r="S40" i="63"/>
  <c r="S39" i="63" l="1"/>
  <c r="Y23" i="63" l="1"/>
  <c r="G2678" i="81"/>
  <c r="G2677" i="81"/>
  <c r="G2676" i="81"/>
  <c r="G2675" i="81"/>
  <c r="G2674" i="81"/>
  <c r="G2673" i="81"/>
  <c r="G2672" i="81"/>
  <c r="G2671" i="81"/>
  <c r="G2670" i="81"/>
  <c r="G2669" i="81"/>
  <c r="G2668" i="81"/>
  <c r="G2667" i="81"/>
  <c r="G2666" i="81"/>
  <c r="G2665" i="81"/>
  <c r="G2664" i="81"/>
  <c r="G2635" i="81"/>
  <c r="G2634" i="81"/>
  <c r="G2633" i="81"/>
  <c r="G2632" i="81"/>
  <c r="G2631" i="81"/>
  <c r="G2630" i="81"/>
  <c r="G2629" i="81"/>
  <c r="G2628" i="81"/>
  <c r="G2627" i="81"/>
  <c r="G2626" i="81"/>
  <c r="G2625" i="81"/>
  <c r="G2624" i="81"/>
  <c r="G2623" i="81"/>
  <c r="G2622" i="81"/>
  <c r="G2621" i="81"/>
  <c r="G2592" i="81"/>
  <c r="G2591" i="81"/>
  <c r="G2590" i="81"/>
  <c r="G2589" i="81"/>
  <c r="G2588" i="81"/>
  <c r="G2587" i="81"/>
  <c r="G2586" i="81"/>
  <c r="G2585" i="81"/>
  <c r="G2584" i="81"/>
  <c r="G2583" i="81"/>
  <c r="G2582" i="81"/>
  <c r="G2581" i="81"/>
  <c r="G2580" i="81"/>
  <c r="G2579" i="81"/>
  <c r="G2578" i="81"/>
  <c r="G2549" i="81"/>
  <c r="G2548" i="81"/>
  <c r="G2547" i="81"/>
  <c r="G2546" i="81"/>
  <c r="G2545" i="81"/>
  <c r="G2544" i="81"/>
  <c r="G2543" i="81"/>
  <c r="G2542" i="81"/>
  <c r="G2541" i="81"/>
  <c r="G2540" i="81"/>
  <c r="G2539" i="81"/>
  <c r="G2538" i="81"/>
  <c r="G2537" i="81"/>
  <c r="G2536" i="81"/>
  <c r="G2535" i="81"/>
  <c r="G2506" i="81"/>
  <c r="G2505" i="81"/>
  <c r="G2504" i="81"/>
  <c r="G2503" i="81"/>
  <c r="G2502" i="81"/>
  <c r="G2501" i="81"/>
  <c r="G2500" i="81"/>
  <c r="G2499" i="81"/>
  <c r="G2498" i="81"/>
  <c r="G2497" i="81"/>
  <c r="G2496" i="81"/>
  <c r="G2495" i="81"/>
  <c r="G2494" i="81"/>
  <c r="G2493" i="81"/>
  <c r="G2492" i="81"/>
  <c r="G2463" i="81"/>
  <c r="G2462" i="81"/>
  <c r="G2461" i="81"/>
  <c r="G2460" i="81"/>
  <c r="G2459" i="81"/>
  <c r="G2458" i="81"/>
  <c r="G2457" i="81"/>
  <c r="G2456" i="81"/>
  <c r="G2455" i="81"/>
  <c r="G2454" i="81"/>
  <c r="G2453" i="81"/>
  <c r="G2452" i="81"/>
  <c r="G2451" i="81"/>
  <c r="G2450" i="81"/>
  <c r="G2449" i="81"/>
  <c r="G2420" i="81"/>
  <c r="G2419" i="81"/>
  <c r="G2418" i="81"/>
  <c r="G2417" i="81"/>
  <c r="G2416" i="81"/>
  <c r="G2415" i="81"/>
  <c r="G2414" i="81"/>
  <c r="G2413" i="81"/>
  <c r="G2412" i="81"/>
  <c r="G2411" i="81"/>
  <c r="G2410" i="81"/>
  <c r="G2409" i="81"/>
  <c r="G2408" i="81"/>
  <c r="G2407" i="81"/>
  <c r="G2406" i="81"/>
  <c r="G2377" i="81"/>
  <c r="G2376" i="81"/>
  <c r="G2375" i="81"/>
  <c r="G2374" i="81"/>
  <c r="G2373" i="81"/>
  <c r="G2372" i="81"/>
  <c r="G2371" i="81"/>
  <c r="G2370" i="81"/>
  <c r="G2369" i="81"/>
  <c r="G2368" i="81"/>
  <c r="G2367" i="81"/>
  <c r="G2366" i="81"/>
  <c r="G2365" i="81"/>
  <c r="G2364" i="81"/>
  <c r="G2363" i="81"/>
  <c r="G2334" i="81"/>
  <c r="G2333" i="81"/>
  <c r="G2332" i="81"/>
  <c r="G2331" i="81"/>
  <c r="G2330" i="81"/>
  <c r="G2329" i="81"/>
  <c r="G2328" i="81"/>
  <c r="G2327" i="81"/>
  <c r="G2326" i="81"/>
  <c r="G2325" i="81"/>
  <c r="G2324" i="81"/>
  <c r="G2323" i="81"/>
  <c r="G2322" i="81"/>
  <c r="G2321" i="81"/>
  <c r="G2320" i="81"/>
  <c r="G2291" i="81"/>
  <c r="G2290" i="81"/>
  <c r="G2289" i="81"/>
  <c r="G2288" i="81"/>
  <c r="G2287" i="81"/>
  <c r="G2286" i="81"/>
  <c r="G2285" i="81"/>
  <c r="G2284" i="81"/>
  <c r="G2283" i="81"/>
  <c r="G2282" i="81"/>
  <c r="G2281" i="81"/>
  <c r="G2280" i="81"/>
  <c r="G2279" i="81"/>
  <c r="G2278" i="81"/>
  <c r="G2277" i="81"/>
  <c r="G2248" i="81"/>
  <c r="G2247" i="81"/>
  <c r="G2246" i="81"/>
  <c r="G2245" i="81"/>
  <c r="G2244" i="81"/>
  <c r="G2243" i="81"/>
  <c r="G2242" i="81"/>
  <c r="G2241" i="81"/>
  <c r="G2240" i="81"/>
  <c r="G2239" i="81"/>
  <c r="G2238" i="81"/>
  <c r="G2237" i="81"/>
  <c r="G2236" i="81"/>
  <c r="G2235" i="81"/>
  <c r="G2234" i="81"/>
  <c r="G2205" i="81"/>
  <c r="G2204" i="81"/>
  <c r="G2203" i="81"/>
  <c r="G2202" i="81"/>
  <c r="G2201" i="81"/>
  <c r="G2200" i="81"/>
  <c r="G2199" i="81"/>
  <c r="G2198" i="81"/>
  <c r="G2197" i="81"/>
  <c r="G2196" i="81"/>
  <c r="G2195" i="81"/>
  <c r="G2194" i="81"/>
  <c r="G2193" i="81"/>
  <c r="G2192" i="81"/>
  <c r="G2191" i="81"/>
  <c r="G2162" i="81"/>
  <c r="G2161" i="81"/>
  <c r="G2160" i="81"/>
  <c r="G2159" i="81"/>
  <c r="G2158" i="81"/>
  <c r="G2157" i="81"/>
  <c r="G2156" i="81"/>
  <c r="G2155" i="81"/>
  <c r="G2154" i="81"/>
  <c r="G2153" i="81"/>
  <c r="G2152" i="81"/>
  <c r="G2151" i="81"/>
  <c r="G2150" i="81"/>
  <c r="G2149" i="81"/>
  <c r="G2148" i="81"/>
  <c r="G2119" i="81"/>
  <c r="G2118" i="81"/>
  <c r="G2117" i="81"/>
  <c r="G2116" i="81"/>
  <c r="G2115" i="81"/>
  <c r="G2114" i="81"/>
  <c r="G2113" i="81"/>
  <c r="G2112" i="81"/>
  <c r="G2111" i="81"/>
  <c r="G2110" i="81"/>
  <c r="G2109" i="81"/>
  <c r="G2108" i="81"/>
  <c r="G2107" i="81"/>
  <c r="G2106" i="81"/>
  <c r="G2105" i="81"/>
  <c r="G2076" i="81"/>
  <c r="G2075" i="81"/>
  <c r="G2074" i="81"/>
  <c r="G2073" i="81"/>
  <c r="G2072" i="81"/>
  <c r="G2071" i="81"/>
  <c r="G2070" i="81"/>
  <c r="G2069" i="81"/>
  <c r="G2068" i="81"/>
  <c r="G2067" i="81"/>
  <c r="G2066" i="81"/>
  <c r="G2065" i="81"/>
  <c r="G2064" i="81"/>
  <c r="G2063" i="81"/>
  <c r="G2062" i="81"/>
  <c r="G2033" i="81"/>
  <c r="G2032" i="81"/>
  <c r="G2031" i="81"/>
  <c r="G2030" i="81"/>
  <c r="G2029" i="81"/>
  <c r="G2028" i="81"/>
  <c r="G2027" i="81"/>
  <c r="G2026" i="81"/>
  <c r="G2025" i="81"/>
  <c r="G2024" i="81"/>
  <c r="G2023" i="81"/>
  <c r="G2022" i="81"/>
  <c r="G2021" i="81"/>
  <c r="G2020" i="81"/>
  <c r="G2019" i="81"/>
  <c r="G1990" i="81"/>
  <c r="G1989" i="81"/>
  <c r="G1988" i="81"/>
  <c r="G1987" i="81"/>
  <c r="G1986" i="81"/>
  <c r="G1985" i="81"/>
  <c r="G1984" i="81"/>
  <c r="G1983" i="81"/>
  <c r="G1982" i="81"/>
  <c r="G1981" i="81"/>
  <c r="G1980" i="81"/>
  <c r="G1979" i="81"/>
  <c r="G1978" i="81"/>
  <c r="G1977" i="81"/>
  <c r="G1976" i="81"/>
  <c r="G1956" i="81"/>
  <c r="G1955" i="81"/>
  <c r="G1954" i="81"/>
  <c r="G1953" i="81"/>
  <c r="G1952" i="81"/>
  <c r="G1951" i="81"/>
  <c r="G1950" i="81"/>
  <c r="G1949" i="81"/>
  <c r="G1948" i="81"/>
  <c r="G1947" i="81"/>
  <c r="G1946" i="81"/>
  <c r="G1945" i="81"/>
  <c r="G1944" i="81"/>
  <c r="G1943" i="81"/>
  <c r="G1942" i="81"/>
  <c r="G1922" i="81"/>
  <c r="G1921" i="81"/>
  <c r="G1920" i="81"/>
  <c r="G1919" i="81"/>
  <c r="G1918" i="81"/>
  <c r="G1917" i="81"/>
  <c r="G1916" i="81"/>
  <c r="G1915" i="81"/>
  <c r="G1914" i="81"/>
  <c r="G1913" i="81"/>
  <c r="G1912" i="81"/>
  <c r="G1911" i="81"/>
  <c r="G1910" i="81"/>
  <c r="G1909" i="81"/>
  <c r="G1908" i="81"/>
  <c r="G1888" i="81"/>
  <c r="G1887" i="81"/>
  <c r="G1886" i="81"/>
  <c r="G1885" i="81"/>
  <c r="G1884" i="81"/>
  <c r="G1883" i="81"/>
  <c r="G1882" i="81"/>
  <c r="G1881" i="81"/>
  <c r="G1880" i="81"/>
  <c r="G1879" i="81"/>
  <c r="G1878" i="81"/>
  <c r="G1877" i="81"/>
  <c r="G1876" i="81"/>
  <c r="G1875" i="81"/>
  <c r="G1874" i="81"/>
  <c r="G1854" i="81"/>
  <c r="G1853" i="81"/>
  <c r="G1852" i="81"/>
  <c r="G1851" i="81"/>
  <c r="G1850" i="81"/>
  <c r="G1849" i="81"/>
  <c r="G1848" i="81"/>
  <c r="G1847" i="81"/>
  <c r="G1846" i="81"/>
  <c r="G1845" i="81"/>
  <c r="G1844" i="81"/>
  <c r="G1843" i="81"/>
  <c r="G1842" i="81"/>
  <c r="G1841" i="81"/>
  <c r="G1840" i="81"/>
  <c r="G1820" i="81"/>
  <c r="G1819" i="81"/>
  <c r="G1818" i="81"/>
  <c r="G1817" i="81"/>
  <c r="G1816" i="81"/>
  <c r="G1815" i="81"/>
  <c r="G1814" i="81"/>
  <c r="G1813" i="81"/>
  <c r="G1812" i="81"/>
  <c r="G1811" i="81"/>
  <c r="G1810" i="81"/>
  <c r="G1809" i="81"/>
  <c r="G1808" i="81"/>
  <c r="G1807" i="81"/>
  <c r="G1806" i="81"/>
  <c r="G1786" i="81"/>
  <c r="G1785" i="81"/>
  <c r="G1784" i="81"/>
  <c r="G1783" i="81"/>
  <c r="G1782" i="81"/>
  <c r="G1781" i="81"/>
  <c r="G1780" i="81"/>
  <c r="G1779" i="81"/>
  <c r="G1778" i="81"/>
  <c r="G1777" i="81"/>
  <c r="G1776" i="81"/>
  <c r="G1775" i="81"/>
  <c r="G1774" i="81"/>
  <c r="G1773" i="81"/>
  <c r="G1772" i="81"/>
  <c r="G1752" i="81"/>
  <c r="G1751" i="81"/>
  <c r="G1750" i="81"/>
  <c r="G1749" i="81"/>
  <c r="G1748" i="81"/>
  <c r="G1747" i="81"/>
  <c r="G1746" i="81"/>
  <c r="G1745" i="81"/>
  <c r="G1744" i="81"/>
  <c r="G1743" i="81"/>
  <c r="G1742" i="81"/>
  <c r="G1741" i="81"/>
  <c r="G1740" i="81"/>
  <c r="G1739" i="81"/>
  <c r="G1738" i="81"/>
  <c r="G1718" i="81"/>
  <c r="G1717" i="81"/>
  <c r="G1716" i="81"/>
  <c r="G1715" i="81"/>
  <c r="G1714" i="81"/>
  <c r="G1713" i="81"/>
  <c r="G1712" i="81"/>
  <c r="G1711" i="81"/>
  <c r="G1710" i="81"/>
  <c r="G1709" i="81"/>
  <c r="G1708" i="81"/>
  <c r="G1707" i="81"/>
  <c r="G1706" i="81"/>
  <c r="G1705" i="81"/>
  <c r="G1704" i="81"/>
  <c r="G1684" i="81"/>
  <c r="G1683" i="81"/>
  <c r="G1682" i="81"/>
  <c r="G1681" i="81"/>
  <c r="G1680" i="81"/>
  <c r="G1679" i="81"/>
  <c r="G1678" i="81"/>
  <c r="G1677" i="81"/>
  <c r="G1676" i="81"/>
  <c r="G1675" i="81"/>
  <c r="G1674" i="81"/>
  <c r="G1673" i="81"/>
  <c r="G1672" i="81"/>
  <c r="G1671" i="81"/>
  <c r="G1670" i="81"/>
  <c r="G1650" i="81"/>
  <c r="G1649" i="81"/>
  <c r="G1648" i="81"/>
  <c r="G1647" i="81"/>
  <c r="G1646" i="81"/>
  <c r="G1645" i="81"/>
  <c r="G1644" i="81"/>
  <c r="G1643" i="81"/>
  <c r="G1642" i="81"/>
  <c r="G1641" i="81"/>
  <c r="G1640" i="81"/>
  <c r="G1639" i="81"/>
  <c r="G1638" i="81"/>
  <c r="G1637" i="81"/>
  <c r="G1636" i="81"/>
  <c r="G1616" i="81"/>
  <c r="G1615" i="81"/>
  <c r="G1614" i="81"/>
  <c r="G1613" i="81"/>
  <c r="G1612" i="81"/>
  <c r="G1611" i="81"/>
  <c r="G1610" i="81"/>
  <c r="G1609" i="81"/>
  <c r="G1608" i="81"/>
  <c r="G1607" i="81"/>
  <c r="G1606" i="81"/>
  <c r="G1605" i="81"/>
  <c r="G1604" i="81"/>
  <c r="G1603" i="81"/>
  <c r="G1602" i="81"/>
  <c r="G1582" i="81"/>
  <c r="G1581" i="81"/>
  <c r="G1580" i="81"/>
  <c r="G1579" i="81"/>
  <c r="G1578" i="81"/>
  <c r="G1577" i="81"/>
  <c r="G1576" i="81"/>
  <c r="G1575" i="81"/>
  <c r="G1574" i="81"/>
  <c r="G1573" i="81"/>
  <c r="G1554" i="81"/>
  <c r="G1553" i="81"/>
  <c r="G1552" i="81"/>
  <c r="G1551" i="81"/>
  <c r="G1550" i="81"/>
  <c r="G1549" i="81"/>
  <c r="G1548" i="81"/>
  <c r="G1547" i="81"/>
  <c r="G1546" i="81"/>
  <c r="G1545" i="81"/>
  <c r="G1526" i="81"/>
  <c r="G1525" i="81"/>
  <c r="G1524" i="81"/>
  <c r="G1523" i="81"/>
  <c r="G1522" i="81"/>
  <c r="G1521" i="81"/>
  <c r="G1520" i="81"/>
  <c r="G1519" i="81"/>
  <c r="G1518" i="81"/>
  <c r="G1517" i="81"/>
  <c r="G1498" i="81"/>
  <c r="G1497" i="81"/>
  <c r="G1496" i="81"/>
  <c r="G1495" i="81"/>
  <c r="G1494" i="81"/>
  <c r="G1493" i="81"/>
  <c r="G1492" i="81"/>
  <c r="G1491" i="81"/>
  <c r="G1490" i="81"/>
  <c r="G1489" i="81"/>
  <c r="G1470" i="81"/>
  <c r="G1469" i="81"/>
  <c r="G1468" i="81"/>
  <c r="G1467" i="81"/>
  <c r="G1466" i="81"/>
  <c r="G1465" i="81"/>
  <c r="G1464" i="81"/>
  <c r="G1463" i="81"/>
  <c r="G1462" i="81"/>
  <c r="G1461" i="81"/>
  <c r="G1442" i="81"/>
  <c r="G1441" i="81"/>
  <c r="G1440" i="81"/>
  <c r="G1439" i="81"/>
  <c r="G1438" i="81"/>
  <c r="G1437" i="81"/>
  <c r="G1436" i="81"/>
  <c r="G1435" i="81"/>
  <c r="G1434" i="81"/>
  <c r="G1433" i="81"/>
  <c r="G1414" i="81"/>
  <c r="G1413" i="81"/>
  <c r="G1412" i="81"/>
  <c r="G1411" i="81"/>
  <c r="G1410" i="81"/>
  <c r="G1409" i="81"/>
  <c r="G1408" i="81"/>
  <c r="G1407" i="81"/>
  <c r="G1406" i="81"/>
  <c r="G1405" i="81"/>
  <c r="G1377" i="81"/>
  <c r="G1386" i="81"/>
  <c r="G1385" i="81"/>
  <c r="G1384" i="81"/>
  <c r="G1383" i="81"/>
  <c r="G1382" i="81"/>
  <c r="G1381" i="81"/>
  <c r="G1380" i="81"/>
  <c r="G1379" i="81"/>
  <c r="G1378" i="81"/>
  <c r="G1358" i="81"/>
  <c r="G1357" i="81"/>
  <c r="G1356" i="81"/>
  <c r="G1355" i="81"/>
  <c r="G1354" i="81"/>
  <c r="G1353" i="81"/>
  <c r="G1352" i="81"/>
  <c r="G1351" i="81"/>
  <c r="G1350" i="81"/>
  <c r="G1349" i="81"/>
  <c r="G1330" i="81"/>
  <c r="G1329" i="81"/>
  <c r="G1328" i="81"/>
  <c r="G1327" i="81"/>
  <c r="G1326" i="81"/>
  <c r="G1325" i="81"/>
  <c r="G1324" i="81"/>
  <c r="G1323" i="81"/>
  <c r="G1322" i="81"/>
  <c r="G1321" i="81"/>
  <c r="G1302" i="81"/>
  <c r="G1301" i="81"/>
  <c r="G1300" i="81"/>
  <c r="G1299" i="81"/>
  <c r="G1298" i="81"/>
  <c r="G1297" i="81"/>
  <c r="G1296" i="81"/>
  <c r="G1295" i="81"/>
  <c r="G1294" i="81"/>
  <c r="G1293" i="81"/>
  <c r="G1274" i="81"/>
  <c r="G1273" i="81"/>
  <c r="G1272" i="81"/>
  <c r="G1271" i="81"/>
  <c r="G1270" i="81"/>
  <c r="G1269" i="81"/>
  <c r="G1268" i="81"/>
  <c r="G1267" i="81"/>
  <c r="G1266" i="81"/>
  <c r="G1265" i="81"/>
  <c r="G1246" i="81"/>
  <c r="G1245" i="81"/>
  <c r="G1244" i="81"/>
  <c r="G1243" i="81"/>
  <c r="G1242" i="81"/>
  <c r="G1241" i="81"/>
  <c r="G1240" i="81"/>
  <c r="G1239" i="81"/>
  <c r="G1238" i="81"/>
  <c r="G1237" i="81"/>
  <c r="G1218" i="81"/>
  <c r="G1217" i="81"/>
  <c r="G1216" i="81"/>
  <c r="G1215" i="81"/>
  <c r="G1214" i="81"/>
  <c r="G1213" i="81"/>
  <c r="G1212" i="81"/>
  <c r="G1211" i="81"/>
  <c r="G1210" i="81"/>
  <c r="G1209" i="81"/>
  <c r="C2678" i="81" l="1"/>
  <c r="C2677" i="81"/>
  <c r="C2676" i="81"/>
  <c r="C2675" i="81"/>
  <c r="C2674" i="81"/>
  <c r="C2673" i="81"/>
  <c r="C2672" i="81"/>
  <c r="C2671" i="81"/>
  <c r="C2670" i="81"/>
  <c r="C2669" i="81"/>
  <c r="C2668" i="81"/>
  <c r="C2667" i="81"/>
  <c r="C2666" i="81"/>
  <c r="C2665" i="81"/>
  <c r="C2664" i="81"/>
  <c r="C2635" i="81"/>
  <c r="C2634" i="81"/>
  <c r="C2633" i="81"/>
  <c r="C2632" i="81"/>
  <c r="C2631" i="81"/>
  <c r="C2630" i="81"/>
  <c r="C2629" i="81"/>
  <c r="C2628" i="81"/>
  <c r="C2627" i="81"/>
  <c r="C2626" i="81"/>
  <c r="C2625" i="81"/>
  <c r="C2624" i="81"/>
  <c r="C2623" i="81"/>
  <c r="C2622" i="81"/>
  <c r="C2621" i="81"/>
  <c r="C2592" i="81"/>
  <c r="C2591" i="81"/>
  <c r="C2590" i="81"/>
  <c r="C2589" i="81"/>
  <c r="C2588" i="81"/>
  <c r="C2587" i="81"/>
  <c r="C2586" i="81"/>
  <c r="C2585" i="81"/>
  <c r="C2584" i="81"/>
  <c r="C2583" i="81"/>
  <c r="C2582" i="81"/>
  <c r="C2581" i="81"/>
  <c r="C2580" i="81"/>
  <c r="C2579" i="81"/>
  <c r="C2578" i="81"/>
  <c r="C2549" i="81"/>
  <c r="C2548" i="81"/>
  <c r="C2547" i="81"/>
  <c r="C2546" i="81"/>
  <c r="C2545" i="81"/>
  <c r="C2544" i="81"/>
  <c r="C2543" i="81"/>
  <c r="C2542" i="81"/>
  <c r="C2541" i="81"/>
  <c r="C2540" i="81"/>
  <c r="C2539" i="81"/>
  <c r="C2538" i="81"/>
  <c r="C2537" i="81"/>
  <c r="C2536" i="81"/>
  <c r="C2535" i="81"/>
  <c r="C2506" i="81"/>
  <c r="C2505" i="81"/>
  <c r="C2504" i="81"/>
  <c r="C2503" i="81"/>
  <c r="C2502" i="81"/>
  <c r="C2501" i="81"/>
  <c r="C2500" i="81"/>
  <c r="C2499" i="81"/>
  <c r="C2498" i="81"/>
  <c r="C2497" i="81"/>
  <c r="C2496" i="81"/>
  <c r="C2495" i="81"/>
  <c r="C2494" i="81"/>
  <c r="C2493" i="81"/>
  <c r="C2492" i="81"/>
  <c r="C2463" i="81"/>
  <c r="C2462" i="81"/>
  <c r="C2461" i="81"/>
  <c r="C2460" i="81"/>
  <c r="C2459" i="81"/>
  <c r="C2458" i="81"/>
  <c r="C2457" i="81"/>
  <c r="C2456" i="81"/>
  <c r="C2455" i="81"/>
  <c r="C2454" i="81"/>
  <c r="C2453" i="81"/>
  <c r="C2452" i="81"/>
  <c r="C2451" i="81"/>
  <c r="C2450" i="81"/>
  <c r="C2449" i="81"/>
  <c r="C2420" i="81"/>
  <c r="C2419" i="81"/>
  <c r="C2418" i="81"/>
  <c r="C2417" i="81"/>
  <c r="C2416" i="81"/>
  <c r="C2415" i="81"/>
  <c r="C2414" i="81"/>
  <c r="C2413" i="81"/>
  <c r="C2412" i="81"/>
  <c r="C2411" i="81"/>
  <c r="C2410" i="81"/>
  <c r="C2409" i="81"/>
  <c r="C2408" i="81"/>
  <c r="C2407" i="81"/>
  <c r="C2406" i="81"/>
  <c r="C2464" i="81"/>
  <c r="C2377" i="81"/>
  <c r="C2376" i="81"/>
  <c r="C2375" i="81"/>
  <c r="C2374" i="81"/>
  <c r="C2373" i="81"/>
  <c r="C2372" i="81"/>
  <c r="C2371" i="81"/>
  <c r="C2370" i="81"/>
  <c r="C2369" i="81"/>
  <c r="C2368" i="81"/>
  <c r="C2367" i="81"/>
  <c r="C2366" i="81"/>
  <c r="C2365" i="81"/>
  <c r="C2364" i="81"/>
  <c r="C2363" i="81"/>
  <c r="C2334" i="81"/>
  <c r="C2333" i="81"/>
  <c r="C2332" i="81"/>
  <c r="C2331" i="81"/>
  <c r="C2330" i="81"/>
  <c r="C2329" i="81"/>
  <c r="C2328" i="81"/>
  <c r="C2327" i="81"/>
  <c r="C2326" i="81"/>
  <c r="C2325" i="81"/>
  <c r="C2324" i="81"/>
  <c r="C2323" i="81"/>
  <c r="C2322" i="81"/>
  <c r="C2321" i="81"/>
  <c r="C2320" i="81"/>
  <c r="C2291" i="81"/>
  <c r="C2290" i="81"/>
  <c r="C2289" i="81"/>
  <c r="C2288" i="81"/>
  <c r="C2287" i="81"/>
  <c r="C2286" i="81"/>
  <c r="C2285" i="81"/>
  <c r="C2284" i="81"/>
  <c r="C2283" i="81"/>
  <c r="C2282" i="81"/>
  <c r="C2281" i="81"/>
  <c r="C2280" i="81"/>
  <c r="C2279" i="81"/>
  <c r="C2278" i="81"/>
  <c r="C2277" i="81"/>
  <c r="C2248" i="81"/>
  <c r="C2247" i="81"/>
  <c r="C2246" i="81"/>
  <c r="C2245" i="81"/>
  <c r="C2244" i="81"/>
  <c r="C2243" i="81"/>
  <c r="C2242" i="81"/>
  <c r="C2241" i="81"/>
  <c r="C2240" i="81"/>
  <c r="C2239" i="81"/>
  <c r="C2238" i="81"/>
  <c r="C2237" i="81"/>
  <c r="C2236" i="81"/>
  <c r="C2235" i="81"/>
  <c r="C2234" i="81"/>
  <c r="C2205" i="81"/>
  <c r="C2204" i="81"/>
  <c r="C2203" i="81"/>
  <c r="C2202" i="81"/>
  <c r="C2201" i="81"/>
  <c r="C2200" i="81"/>
  <c r="C2199" i="81"/>
  <c r="C2198" i="81"/>
  <c r="C2197" i="81"/>
  <c r="C2196" i="81"/>
  <c r="C2195" i="81"/>
  <c r="C2194" i="81"/>
  <c r="C2193" i="81"/>
  <c r="C2192" i="81"/>
  <c r="C2191" i="81"/>
  <c r="C2162" i="81"/>
  <c r="C2161" i="81"/>
  <c r="C2160" i="81"/>
  <c r="C2159" i="81"/>
  <c r="C2158" i="81"/>
  <c r="C2157" i="81"/>
  <c r="C2156" i="81"/>
  <c r="C2155" i="81"/>
  <c r="C2154" i="81"/>
  <c r="C2153" i="81"/>
  <c r="C2152" i="81"/>
  <c r="C2151" i="81"/>
  <c r="C2150" i="81"/>
  <c r="C2149" i="81"/>
  <c r="C2148" i="81"/>
  <c r="C2119" i="81"/>
  <c r="C2118" i="81"/>
  <c r="C2117" i="81"/>
  <c r="C2116" i="81"/>
  <c r="C2115" i="81"/>
  <c r="C2114" i="81"/>
  <c r="C2113" i="81"/>
  <c r="C2112" i="81"/>
  <c r="C2111" i="81"/>
  <c r="C2110" i="81"/>
  <c r="C2109" i="81"/>
  <c r="C2108" i="81"/>
  <c r="C2107" i="81"/>
  <c r="C2106" i="81"/>
  <c r="C2105" i="81"/>
  <c r="C2076" i="81"/>
  <c r="C2075" i="81"/>
  <c r="C2074" i="81"/>
  <c r="C2073" i="81"/>
  <c r="C2072" i="81"/>
  <c r="C2071" i="81"/>
  <c r="C2070" i="81"/>
  <c r="C2069" i="81"/>
  <c r="C2068" i="81"/>
  <c r="C2067" i="81"/>
  <c r="C2066" i="81"/>
  <c r="C2065" i="81"/>
  <c r="C2064" i="81"/>
  <c r="C2063" i="81"/>
  <c r="C2062" i="81"/>
  <c r="C2033" i="81"/>
  <c r="C2032" i="81"/>
  <c r="C2031" i="81"/>
  <c r="C2030" i="81"/>
  <c r="C2029" i="81"/>
  <c r="C2028" i="81"/>
  <c r="C2027" i="81"/>
  <c r="C2026" i="81"/>
  <c r="C2025" i="81"/>
  <c r="C2024" i="81"/>
  <c r="C2023" i="81"/>
  <c r="C2022" i="81"/>
  <c r="C2021" i="81"/>
  <c r="C2020" i="81"/>
  <c r="C2019" i="81"/>
  <c r="G2939" i="81"/>
  <c r="C2939" i="81"/>
  <c r="B2939" i="81"/>
  <c r="A2939" i="81"/>
  <c r="G3117" i="81"/>
  <c r="G3116" i="81"/>
  <c r="G3115" i="81"/>
  <c r="G3114" i="81"/>
  <c r="G3113" i="81"/>
  <c r="G3112" i="81"/>
  <c r="G3111" i="81"/>
  <c r="G3110" i="81"/>
  <c r="G3109" i="81"/>
  <c r="G3108" i="81"/>
  <c r="C1990" i="81"/>
  <c r="C1989" i="81"/>
  <c r="C1988" i="81"/>
  <c r="C1987" i="81"/>
  <c r="C1986" i="81"/>
  <c r="C1985" i="81"/>
  <c r="C1984" i="81"/>
  <c r="C1983" i="81"/>
  <c r="C1982" i="81"/>
  <c r="C1981" i="81"/>
  <c r="C1980" i="81"/>
  <c r="C1979" i="81"/>
  <c r="C1978" i="81"/>
  <c r="C1977" i="81"/>
  <c r="C1976" i="81"/>
  <c r="C1956" i="81"/>
  <c r="C1955" i="81"/>
  <c r="C1954" i="81"/>
  <c r="C1953" i="81"/>
  <c r="C1952" i="81"/>
  <c r="C1951" i="81"/>
  <c r="C1950" i="81"/>
  <c r="C1949" i="81"/>
  <c r="C1948" i="81"/>
  <c r="C1947" i="81"/>
  <c r="C1946" i="81"/>
  <c r="C1945" i="81"/>
  <c r="C1944" i="81"/>
  <c r="C1943" i="81"/>
  <c r="C1942" i="81"/>
  <c r="C1922" i="81"/>
  <c r="C1921" i="81"/>
  <c r="C1920" i="81"/>
  <c r="C1919" i="81"/>
  <c r="C1918" i="81"/>
  <c r="C1917" i="81"/>
  <c r="C1916" i="81"/>
  <c r="C1915" i="81"/>
  <c r="C1914" i="81"/>
  <c r="C1913" i="81"/>
  <c r="C1912" i="81"/>
  <c r="C1911" i="81"/>
  <c r="C1910" i="81"/>
  <c r="C1909" i="81"/>
  <c r="C1908" i="81"/>
  <c r="C1888" i="81"/>
  <c r="C1887" i="81"/>
  <c r="C1886" i="81"/>
  <c r="C1885" i="81"/>
  <c r="C1884" i="81"/>
  <c r="C1883" i="81"/>
  <c r="C1882" i="81"/>
  <c r="C1881" i="81"/>
  <c r="C1880" i="81"/>
  <c r="C1879" i="81"/>
  <c r="C1878" i="81"/>
  <c r="C1877" i="81"/>
  <c r="C1876" i="81"/>
  <c r="C1875" i="81"/>
  <c r="C1874" i="81"/>
  <c r="C1854" i="81"/>
  <c r="C1853" i="81"/>
  <c r="C1852" i="81"/>
  <c r="C1851" i="81"/>
  <c r="C1850" i="81"/>
  <c r="C1849" i="81"/>
  <c r="C1848" i="81"/>
  <c r="C1847" i="81"/>
  <c r="C1846" i="81"/>
  <c r="C1845" i="81"/>
  <c r="C1844" i="81"/>
  <c r="C1843" i="81"/>
  <c r="C1842" i="81"/>
  <c r="C1841" i="81"/>
  <c r="C1840" i="81"/>
  <c r="C1820" i="81"/>
  <c r="C1819" i="81"/>
  <c r="C1818" i="81"/>
  <c r="C1817" i="81"/>
  <c r="C1816" i="81"/>
  <c r="C1815" i="81"/>
  <c r="C1814" i="81"/>
  <c r="C1813" i="81"/>
  <c r="C1812" i="81"/>
  <c r="C1811" i="81"/>
  <c r="C1810" i="81"/>
  <c r="C1809" i="81"/>
  <c r="C1808" i="81"/>
  <c r="C1807" i="81"/>
  <c r="C1806" i="81"/>
  <c r="C1786" i="81"/>
  <c r="C1785" i="81"/>
  <c r="C1784" i="81"/>
  <c r="C1783" i="81"/>
  <c r="C1782" i="81"/>
  <c r="C1781" i="81"/>
  <c r="C1780" i="81"/>
  <c r="C1779" i="81"/>
  <c r="C1778" i="81"/>
  <c r="C1777" i="81"/>
  <c r="C1776" i="81"/>
  <c r="C1775" i="81"/>
  <c r="C1774" i="81"/>
  <c r="C1773" i="81"/>
  <c r="C1772" i="81"/>
  <c r="C1752" i="81"/>
  <c r="C1751" i="81"/>
  <c r="C1750" i="81"/>
  <c r="C1749" i="81"/>
  <c r="C1748" i="81"/>
  <c r="C1747" i="81"/>
  <c r="C1746" i="81"/>
  <c r="C1745" i="81"/>
  <c r="C1744" i="81"/>
  <c r="C1743" i="81"/>
  <c r="C1742" i="81"/>
  <c r="C1741" i="81"/>
  <c r="C1740" i="81"/>
  <c r="C1739" i="81"/>
  <c r="C1738" i="81"/>
  <c r="C1718" i="81"/>
  <c r="C1717" i="81"/>
  <c r="C1716" i="81"/>
  <c r="C1715" i="81"/>
  <c r="C1714" i="81"/>
  <c r="C1713" i="81"/>
  <c r="C1712" i="81"/>
  <c r="C1711" i="81"/>
  <c r="C1710" i="81"/>
  <c r="C1709" i="81"/>
  <c r="C1708" i="81"/>
  <c r="C1707" i="81"/>
  <c r="C1706" i="81"/>
  <c r="C1705" i="81"/>
  <c r="C1704" i="81"/>
  <c r="C1684" i="81"/>
  <c r="C1683" i="81"/>
  <c r="C1682" i="81"/>
  <c r="C1681" i="81"/>
  <c r="C1680" i="81"/>
  <c r="C1679" i="81"/>
  <c r="C1678" i="81"/>
  <c r="C1677" i="81"/>
  <c r="C1676" i="81"/>
  <c r="C1675" i="81"/>
  <c r="C1674" i="81"/>
  <c r="C1673" i="81"/>
  <c r="C1672" i="81"/>
  <c r="C1671" i="81"/>
  <c r="C1670" i="81"/>
  <c r="C1650" i="81"/>
  <c r="C1649" i="81"/>
  <c r="C1648" i="81"/>
  <c r="C1647" i="81"/>
  <c r="C1646" i="81"/>
  <c r="C1645" i="81"/>
  <c r="C1644" i="81"/>
  <c r="C1643" i="81"/>
  <c r="C1642" i="81"/>
  <c r="C1641" i="81"/>
  <c r="C1640" i="81"/>
  <c r="C1639" i="81"/>
  <c r="C1638" i="81"/>
  <c r="C1637" i="81"/>
  <c r="C1636" i="81"/>
  <c r="C1616" i="81"/>
  <c r="C1615" i="81"/>
  <c r="C1614" i="81"/>
  <c r="C1613" i="81"/>
  <c r="C1612" i="81"/>
  <c r="C1611" i="81"/>
  <c r="C1610" i="81"/>
  <c r="C1609" i="81"/>
  <c r="C1608" i="81"/>
  <c r="C1607" i="81"/>
  <c r="C1606" i="81"/>
  <c r="C1605" i="81"/>
  <c r="C1604" i="81"/>
  <c r="C1603" i="81"/>
  <c r="C1602" i="81"/>
  <c r="G1292" i="81"/>
  <c r="C3222" i="81"/>
  <c r="C3221" i="81"/>
  <c r="C3220" i="81"/>
  <c r="C3219" i="81"/>
  <c r="C3218" i="81"/>
  <c r="C3217" i="81"/>
  <c r="C3216" i="81"/>
  <c r="C3215" i="81"/>
  <c r="C3214" i="81"/>
  <c r="C3207" i="81"/>
  <c r="C3206" i="81"/>
  <c r="C3205" i="81"/>
  <c r="C3204" i="81"/>
  <c r="C3203" i="81"/>
  <c r="C3202" i="81"/>
  <c r="C3201" i="81"/>
  <c r="C3200" i="81"/>
  <c r="C3199" i="81"/>
  <c r="C3192" i="81"/>
  <c r="C3191" i="81"/>
  <c r="C3190" i="81"/>
  <c r="C3189" i="81"/>
  <c r="C3188" i="81"/>
  <c r="C3187" i="81"/>
  <c r="C3186" i="81"/>
  <c r="C3185" i="81"/>
  <c r="C3184" i="81"/>
  <c r="C3177" i="81"/>
  <c r="C3176" i="81"/>
  <c r="C3175" i="81"/>
  <c r="C3174" i="81"/>
  <c r="C3173" i="81"/>
  <c r="C3172" i="81"/>
  <c r="C3171" i="81"/>
  <c r="C3170" i="81"/>
  <c r="C3169" i="81"/>
  <c r="AA8" i="65" l="1"/>
  <c r="AA26" i="65"/>
  <c r="AA25" i="65"/>
  <c r="AA24" i="65"/>
  <c r="AA23" i="65"/>
  <c r="AA22" i="65"/>
  <c r="AA21" i="65"/>
  <c r="AA20" i="65"/>
  <c r="AA19" i="65"/>
  <c r="AA18" i="65"/>
  <c r="AA17" i="65"/>
  <c r="AA16" i="65"/>
  <c r="AA15" i="65"/>
  <c r="AA14" i="65"/>
  <c r="AA13" i="65"/>
  <c r="AA12" i="65"/>
  <c r="AA11" i="65"/>
  <c r="AA10" i="65"/>
  <c r="AA9" i="65"/>
  <c r="C1582" i="81"/>
  <c r="C1581" i="81"/>
  <c r="C1580" i="81"/>
  <c r="C1579" i="81"/>
  <c r="C1578" i="81"/>
  <c r="C1577" i="81"/>
  <c r="C1576" i="81"/>
  <c r="C1575" i="81"/>
  <c r="C1574" i="81"/>
  <c r="C1573" i="81"/>
  <c r="C1554" i="81"/>
  <c r="C1553" i="81"/>
  <c r="C1552" i="81"/>
  <c r="C1551" i="81"/>
  <c r="C1550" i="81"/>
  <c r="C1549" i="81"/>
  <c r="C1548" i="81"/>
  <c r="C1547" i="81"/>
  <c r="C1546" i="81"/>
  <c r="C1545" i="81"/>
  <c r="C1526" i="81"/>
  <c r="C1525" i="81"/>
  <c r="C1524" i="81"/>
  <c r="C1523" i="81"/>
  <c r="C1522" i="81"/>
  <c r="C1521" i="81"/>
  <c r="C1520" i="81"/>
  <c r="C1519" i="81"/>
  <c r="C1518" i="81"/>
  <c r="C1517" i="81"/>
  <c r="C1498" i="81"/>
  <c r="C1497" i="81"/>
  <c r="C1496" i="81"/>
  <c r="C1495" i="81"/>
  <c r="C1494" i="81"/>
  <c r="C1493" i="81"/>
  <c r="C1492" i="81"/>
  <c r="C1491" i="81"/>
  <c r="C1490" i="81"/>
  <c r="C1489" i="81"/>
  <c r="C1470" i="81"/>
  <c r="C1469" i="81"/>
  <c r="C1468" i="81"/>
  <c r="C1467" i="81"/>
  <c r="C1466" i="81"/>
  <c r="C1465" i="81"/>
  <c r="C1464" i="81"/>
  <c r="C1463" i="81"/>
  <c r="C1462" i="81"/>
  <c r="C1461" i="81"/>
  <c r="C1442" i="81"/>
  <c r="C1441" i="81"/>
  <c r="C1440" i="81"/>
  <c r="C1439" i="81"/>
  <c r="C1438" i="81"/>
  <c r="C1437" i="81"/>
  <c r="C1436" i="81"/>
  <c r="C1435" i="81"/>
  <c r="C1434" i="81"/>
  <c r="C1433" i="81"/>
  <c r="C1414" i="81"/>
  <c r="C1413" i="81"/>
  <c r="C1412" i="81"/>
  <c r="C1411" i="81"/>
  <c r="C1410" i="81"/>
  <c r="C1409" i="81"/>
  <c r="C1408" i="81"/>
  <c r="C1407" i="81"/>
  <c r="C1406" i="81"/>
  <c r="C1405" i="81"/>
  <c r="C1386" i="81"/>
  <c r="C1385" i="81"/>
  <c r="C1384" i="81"/>
  <c r="C1383" i="81"/>
  <c r="C1382" i="81"/>
  <c r="C1381" i="81"/>
  <c r="C1380" i="81"/>
  <c r="C1379" i="81"/>
  <c r="C1378" i="81"/>
  <c r="C1377" i="81"/>
  <c r="C1358" i="81"/>
  <c r="C1357" i="81"/>
  <c r="C1356" i="81"/>
  <c r="C1355" i="81"/>
  <c r="C1354" i="81"/>
  <c r="C1353" i="81"/>
  <c r="C1352" i="81"/>
  <c r="C1351" i="81"/>
  <c r="C1350" i="81"/>
  <c r="C1349" i="81"/>
  <c r="C1330" i="81"/>
  <c r="C1329" i="81"/>
  <c r="C1328" i="81"/>
  <c r="C1327" i="81"/>
  <c r="C1326" i="81"/>
  <c r="C1325" i="81"/>
  <c r="C1324" i="81"/>
  <c r="C1323" i="81"/>
  <c r="C1322" i="81"/>
  <c r="C1321" i="81"/>
  <c r="C1302" i="81"/>
  <c r="C1301" i="81"/>
  <c r="C1300" i="81"/>
  <c r="C1299" i="81"/>
  <c r="C1298" i="81"/>
  <c r="C1297" i="81"/>
  <c r="C1296" i="81"/>
  <c r="C1295" i="81"/>
  <c r="C1294" i="81"/>
  <c r="C1293" i="81"/>
  <c r="C1274" i="81"/>
  <c r="C1273" i="81"/>
  <c r="C1272" i="81"/>
  <c r="C1271" i="81"/>
  <c r="C1270" i="81"/>
  <c r="C1269" i="81"/>
  <c r="C1268" i="81"/>
  <c r="C1267" i="81"/>
  <c r="C1266" i="81"/>
  <c r="C1265" i="81"/>
  <c r="C1246" i="81"/>
  <c r="C1245" i="81"/>
  <c r="C1244" i="81"/>
  <c r="C1243" i="81"/>
  <c r="C1242" i="81"/>
  <c r="C1241" i="81"/>
  <c r="C1240" i="81"/>
  <c r="C1239" i="81"/>
  <c r="C1238" i="81"/>
  <c r="C1237" i="81"/>
  <c r="C1218" i="81"/>
  <c r="C1217" i="81"/>
  <c r="C1216" i="81"/>
  <c r="C1215" i="81"/>
  <c r="C1214" i="81"/>
  <c r="C1213" i="81"/>
  <c r="C1212" i="81"/>
  <c r="C1211" i="81"/>
  <c r="C1210" i="81"/>
  <c r="C798" i="81"/>
  <c r="C797" i="81"/>
  <c r="C796" i="81"/>
  <c r="C795" i="81"/>
  <c r="C794" i="81"/>
  <c r="C793" i="81"/>
  <c r="C792" i="81"/>
  <c r="C791" i="81"/>
  <c r="C790" i="81"/>
  <c r="C789" i="81"/>
  <c r="C788" i="81"/>
  <c r="C787" i="81"/>
  <c r="C786" i="81"/>
  <c r="C785" i="81"/>
  <c r="C784" i="81"/>
  <c r="C783" i="81"/>
  <c r="C782" i="81"/>
  <c r="C781" i="81"/>
  <c r="C780" i="81"/>
  <c r="C779" i="81"/>
  <c r="C1209" i="81"/>
  <c r="C3357" i="81" l="1"/>
  <c r="C3356" i="81"/>
  <c r="C3355" i="81"/>
  <c r="C3354" i="81"/>
  <c r="C3353" i="81"/>
  <c r="C3352" i="81"/>
  <c r="C3351" i="81"/>
  <c r="C3350" i="81"/>
  <c r="C3349" i="81"/>
  <c r="C3348" i="81"/>
  <c r="C3347" i="81"/>
  <c r="C3346" i="81"/>
  <c r="D3255" i="81"/>
  <c r="D3254" i="81"/>
  <c r="D3253" i="81"/>
  <c r="D3252" i="81"/>
  <c r="D3251" i="81"/>
  <c r="D3250" i="81"/>
  <c r="D3249" i="81"/>
  <c r="D3248" i="81"/>
  <c r="D3247" i="81"/>
  <c r="D3246" i="81"/>
  <c r="D3245" i="81"/>
  <c r="D3244" i="81"/>
  <c r="D3243" i="81"/>
  <c r="D3242" i="81"/>
  <c r="D3241" i="81"/>
  <c r="D3240" i="81"/>
  <c r="D3239" i="81"/>
  <c r="D3238" i="81"/>
  <c r="D3237" i="81"/>
  <c r="D3236" i="81"/>
  <c r="D3235" i="81"/>
  <c r="C3345" i="81"/>
  <c r="C3344" i="81"/>
  <c r="C3343" i="81"/>
  <c r="C3342" i="81"/>
  <c r="C3341" i="81"/>
  <c r="C3340" i="81"/>
  <c r="C3339" i="81"/>
  <c r="C3338" i="81"/>
  <c r="C3337" i="81"/>
  <c r="C3336" i="81"/>
  <c r="C3335" i="81"/>
  <c r="C3334" i="81"/>
  <c r="C3333" i="81"/>
  <c r="C3332" i="81"/>
  <c r="C3331" i="81"/>
  <c r="C3330" i="81"/>
  <c r="C3329" i="81"/>
  <c r="C3328" i="81"/>
  <c r="C3327" i="81"/>
  <c r="C3326" i="81"/>
  <c r="C3325" i="81"/>
  <c r="C3324" i="81"/>
  <c r="C3323" i="81"/>
  <c r="C3322" i="81"/>
  <c r="C3321" i="81"/>
  <c r="C3320" i="81"/>
  <c r="C3319" i="81"/>
  <c r="C3318" i="81"/>
  <c r="C3317" i="81"/>
  <c r="C3316" i="81"/>
  <c r="C3315" i="81"/>
  <c r="C3314" i="81"/>
  <c r="C3313" i="81"/>
  <c r="C3312" i="81"/>
  <c r="C3311" i="81"/>
  <c r="C3310" i="81"/>
  <c r="C3309" i="81"/>
  <c r="C3308" i="81"/>
  <c r="C3307" i="81"/>
  <c r="C3306" i="81"/>
  <c r="C3305" i="81"/>
  <c r="C3304" i="81"/>
  <c r="C3303" i="81"/>
  <c r="C3302" i="81"/>
  <c r="C3301" i="81"/>
  <c r="C3300" i="81"/>
  <c r="C3299" i="81"/>
  <c r="C3298" i="81"/>
  <c r="C3297" i="81"/>
  <c r="C3296" i="81"/>
  <c r="C3295" i="81"/>
  <c r="C3294" i="81"/>
  <c r="C3293" i="81"/>
  <c r="C3292" i="81"/>
  <c r="C3291" i="81"/>
  <c r="C3290" i="81"/>
  <c r="C3289" i="81"/>
  <c r="C3288" i="81"/>
  <c r="C3287" i="81"/>
  <c r="C3286" i="81"/>
  <c r="C3285" i="81"/>
  <c r="C3284" i="81"/>
  <c r="C3283" i="81"/>
  <c r="C3282" i="81"/>
  <c r="C3281" i="81"/>
  <c r="C3280" i="81"/>
  <c r="C3279" i="81"/>
  <c r="C3278" i="81"/>
  <c r="C3277" i="81"/>
  <c r="C3276" i="81"/>
  <c r="C3275" i="81"/>
  <c r="C3274" i="81"/>
  <c r="C3273" i="81"/>
  <c r="C3272" i="81"/>
  <c r="C3271" i="81"/>
  <c r="C3270" i="81"/>
  <c r="C3269" i="81"/>
  <c r="C3268" i="81"/>
  <c r="C3267" i="81"/>
  <c r="C3266" i="81"/>
  <c r="C3265" i="81"/>
  <c r="C3264" i="81"/>
  <c r="C3263" i="81"/>
  <c r="C3262" i="81"/>
  <c r="C3261" i="81"/>
  <c r="C3260" i="81"/>
  <c r="C3259" i="81"/>
  <c r="C3258" i="81"/>
  <c r="C3257" i="81"/>
  <c r="C3256" i="81"/>
  <c r="C3255" i="81"/>
  <c r="C3254" i="81"/>
  <c r="C3253" i="81"/>
  <c r="C3252" i="81"/>
  <c r="C3251" i="81"/>
  <c r="C3250" i="81"/>
  <c r="C3249" i="81"/>
  <c r="C3248" i="81"/>
  <c r="C3247" i="81"/>
  <c r="C3246" i="81"/>
  <c r="C3245" i="81"/>
  <c r="C3244" i="81"/>
  <c r="C3243" i="81"/>
  <c r="C3242" i="81"/>
  <c r="C3241" i="81"/>
  <c r="C3240" i="81"/>
  <c r="C3239" i="81"/>
  <c r="C3238" i="81"/>
  <c r="C3237" i="81"/>
  <c r="C3236" i="81"/>
  <c r="C3235" i="81"/>
  <c r="AO30" i="75"/>
  <c r="AN30" i="75"/>
  <c r="AM30" i="75"/>
  <c r="AL30" i="75"/>
  <c r="AO28" i="75"/>
  <c r="AN28" i="75"/>
  <c r="AM28" i="75"/>
  <c r="AL28" i="75"/>
  <c r="AO27" i="75"/>
  <c r="AN27" i="75"/>
  <c r="AM27" i="75"/>
  <c r="AL27" i="75"/>
  <c r="AO26" i="75"/>
  <c r="AN26" i="75"/>
  <c r="AM26" i="75"/>
  <c r="AL26" i="75"/>
  <c r="AO23" i="75"/>
  <c r="AN23" i="75"/>
  <c r="AM23" i="75"/>
  <c r="AL23" i="75"/>
  <c r="AO22" i="75"/>
  <c r="AN22" i="75"/>
  <c r="AM22" i="75"/>
  <c r="AL22" i="75"/>
  <c r="AO21" i="75"/>
  <c r="AN21" i="75"/>
  <c r="AM21" i="75"/>
  <c r="AL21" i="75"/>
  <c r="AO20" i="75"/>
  <c r="AN20" i="75"/>
  <c r="AM20" i="75"/>
  <c r="AL20" i="75"/>
  <c r="AO19" i="75"/>
  <c r="AN19" i="75"/>
  <c r="AM19" i="75"/>
  <c r="AL19" i="75"/>
  <c r="AR14" i="75"/>
  <c r="AQ14" i="75"/>
  <c r="AP14" i="75"/>
  <c r="AO14" i="75"/>
  <c r="AN14" i="75"/>
  <c r="AM14" i="75"/>
  <c r="AL14" i="75"/>
  <c r="AR13" i="75"/>
  <c r="AQ13" i="75"/>
  <c r="AP13" i="75"/>
  <c r="AO13" i="75"/>
  <c r="AN13" i="75"/>
  <c r="AM13" i="75"/>
  <c r="AL13" i="75"/>
  <c r="AR12" i="75"/>
  <c r="AQ12" i="75"/>
  <c r="AP12" i="75"/>
  <c r="AO12" i="75"/>
  <c r="AN12" i="75"/>
  <c r="AM12" i="75"/>
  <c r="AL12" i="75"/>
  <c r="AR11" i="75"/>
  <c r="AQ11" i="75"/>
  <c r="AP11" i="75"/>
  <c r="AO11" i="75"/>
  <c r="AN11" i="75"/>
  <c r="AM11" i="75"/>
  <c r="AL11" i="75"/>
  <c r="AR10" i="75"/>
  <c r="AQ10" i="75"/>
  <c r="AP10" i="75"/>
  <c r="AO10" i="75"/>
  <c r="AN10" i="75"/>
  <c r="AM10" i="75"/>
  <c r="AL10" i="75"/>
  <c r="AR9" i="75"/>
  <c r="AQ9" i="75"/>
  <c r="AP9" i="75"/>
  <c r="AO9" i="75"/>
  <c r="AN9" i="75"/>
  <c r="AM9" i="75"/>
  <c r="AL9" i="75"/>
  <c r="AR8" i="75"/>
  <c r="AQ8" i="75"/>
  <c r="AP8" i="75"/>
  <c r="AO8" i="75"/>
  <c r="AN8" i="75"/>
  <c r="AM8" i="75"/>
  <c r="AL8" i="75"/>
  <c r="AR7" i="75"/>
  <c r="AQ7" i="75"/>
  <c r="AP7" i="75"/>
  <c r="AO7" i="75"/>
  <c r="AN7" i="75"/>
  <c r="AM7" i="75"/>
  <c r="AL7" i="75"/>
  <c r="C2938" i="81"/>
  <c r="C2937" i="81"/>
  <c r="C2936" i="81"/>
  <c r="C2935" i="81"/>
  <c r="C2934" i="81"/>
  <c r="C2933" i="81"/>
  <c r="C2932" i="81"/>
  <c r="C2931" i="81"/>
  <c r="C2930" i="81"/>
  <c r="C2929" i="81"/>
  <c r="C2928" i="81"/>
  <c r="C2927" i="81"/>
  <c r="C2926" i="81"/>
  <c r="C2925" i="81"/>
  <c r="C2924" i="81"/>
  <c r="C2923" i="81"/>
  <c r="C2922" i="81"/>
  <c r="C2921" i="81"/>
  <c r="C2920" i="81"/>
  <c r="C2919" i="81"/>
  <c r="C2918" i="81"/>
  <c r="C2917" i="81"/>
  <c r="C2916" i="81"/>
  <c r="C2915" i="81"/>
  <c r="C2914" i="81"/>
  <c r="C2913" i="81"/>
  <c r="C2912" i="81"/>
  <c r="C2911" i="81"/>
  <c r="C2910" i="81"/>
  <c r="C2909" i="81"/>
  <c r="C2908" i="81"/>
  <c r="C2890" i="81"/>
  <c r="C2907" i="81"/>
  <c r="C2906" i="81"/>
  <c r="C2905" i="81"/>
  <c r="C2904" i="81"/>
  <c r="C2903" i="81"/>
  <c r="C2889" i="81"/>
  <c r="C2888" i="81"/>
  <c r="C2887" i="81"/>
  <c r="C2886" i="81"/>
  <c r="C2885" i="81"/>
  <c r="C2884" i="81"/>
  <c r="C2883" i="81"/>
  <c r="C2882" i="81"/>
  <c r="C2881" i="81"/>
  <c r="C2880" i="81"/>
  <c r="C2879" i="81"/>
  <c r="C2878" i="81"/>
  <c r="AD22" i="73"/>
  <c r="AC22" i="73"/>
  <c r="AD21" i="73"/>
  <c r="AC21" i="73"/>
  <c r="AD20" i="73"/>
  <c r="AC20" i="73"/>
  <c r="AD19" i="73"/>
  <c r="AC19" i="73"/>
  <c r="AD18" i="73"/>
  <c r="AC18" i="73"/>
  <c r="AD17" i="73"/>
  <c r="AC17" i="73"/>
  <c r="AD14" i="73"/>
  <c r="AC14" i="73"/>
  <c r="AD13" i="73"/>
  <c r="AC13" i="73"/>
  <c r="AD12" i="73"/>
  <c r="AC12" i="73"/>
  <c r="AD11" i="73"/>
  <c r="AC11" i="73"/>
  <c r="AD10" i="73"/>
  <c r="AC10" i="73"/>
  <c r="AD9" i="73"/>
  <c r="AC9" i="73"/>
  <c r="AD8" i="73"/>
  <c r="AC8" i="73"/>
  <c r="AD7" i="73"/>
  <c r="AC7" i="73"/>
  <c r="AD6" i="73"/>
  <c r="AC6" i="73"/>
  <c r="B3047" i="81" l="1"/>
  <c r="B3046" i="81"/>
  <c r="B3045" i="81"/>
  <c r="B3044" i="81"/>
  <c r="B3043" i="81"/>
  <c r="B3042" i="81"/>
  <c r="B3041" i="81"/>
  <c r="B3040" i="81"/>
  <c r="B3039" i="81"/>
  <c r="B3038" i="81"/>
  <c r="B3037" i="81"/>
  <c r="B3036" i="81"/>
  <c r="B2866" i="81"/>
  <c r="B2865" i="81"/>
  <c r="B2864" i="81"/>
  <c r="B2863" i="81"/>
  <c r="B2862" i="81"/>
  <c r="B2861" i="81"/>
  <c r="B2860" i="81"/>
  <c r="B2859" i="81"/>
  <c r="B2858" i="81"/>
  <c r="B2857" i="81"/>
  <c r="B2856" i="81"/>
  <c r="B2855" i="81"/>
  <c r="B2878" i="81"/>
  <c r="B2877" i="81"/>
  <c r="B2876" i="81"/>
  <c r="B2875" i="81"/>
  <c r="B2874" i="81"/>
  <c r="B2873" i="81"/>
  <c r="B2872" i="81"/>
  <c r="B2871" i="81"/>
  <c r="B2870" i="81"/>
  <c r="B2869" i="81"/>
  <c r="B2868" i="81"/>
  <c r="B2867" i="81"/>
  <c r="B2890" i="81"/>
  <c r="B2889" i="81"/>
  <c r="B2888" i="81"/>
  <c r="B2887" i="81"/>
  <c r="B2886" i="81"/>
  <c r="B2885" i="81"/>
  <c r="B2884" i="81"/>
  <c r="B2883" i="81"/>
  <c r="B2882" i="81"/>
  <c r="B2881" i="81"/>
  <c r="B2880" i="81"/>
  <c r="B2879" i="81"/>
  <c r="B2902" i="81"/>
  <c r="B2901" i="81"/>
  <c r="B2900" i="81"/>
  <c r="B2899" i="81"/>
  <c r="B2898" i="81"/>
  <c r="B2897" i="81"/>
  <c r="B2896" i="81"/>
  <c r="B2895" i="81"/>
  <c r="B2894" i="81"/>
  <c r="B2893" i="81"/>
  <c r="B2892" i="81"/>
  <c r="B2891" i="81"/>
  <c r="B2914" i="81"/>
  <c r="B2913" i="81"/>
  <c r="B2912" i="81"/>
  <c r="B2911" i="81"/>
  <c r="B2910" i="81"/>
  <c r="B2909" i="81"/>
  <c r="B2908" i="81"/>
  <c r="B2907" i="81"/>
  <c r="B2906" i="81"/>
  <c r="B2905" i="81"/>
  <c r="B2904" i="81"/>
  <c r="B2903" i="81"/>
  <c r="B2926" i="81"/>
  <c r="B2925" i="81"/>
  <c r="B2924" i="81"/>
  <c r="B2923" i="81"/>
  <c r="B2922" i="81"/>
  <c r="B2921" i="81"/>
  <c r="B2920" i="81"/>
  <c r="B2919" i="81"/>
  <c r="B2918" i="81"/>
  <c r="B2917" i="81"/>
  <c r="B2916" i="81"/>
  <c r="B2915" i="81"/>
  <c r="B2938" i="81"/>
  <c r="B2937" i="81"/>
  <c r="B2936" i="81"/>
  <c r="B2935" i="81"/>
  <c r="B2934" i="81"/>
  <c r="B2933" i="81"/>
  <c r="B2932" i="81"/>
  <c r="B2931" i="81"/>
  <c r="B2930" i="81"/>
  <c r="B2929" i="81"/>
  <c r="B2928" i="81"/>
  <c r="B2927" i="81"/>
  <c r="B2951" i="81"/>
  <c r="B2950" i="81"/>
  <c r="B2949" i="81"/>
  <c r="B2948" i="81"/>
  <c r="B2947" i="81"/>
  <c r="B2946" i="81"/>
  <c r="B2945" i="81"/>
  <c r="B2944" i="81"/>
  <c r="B2943" i="81"/>
  <c r="B2942" i="81"/>
  <c r="B2941" i="81"/>
  <c r="B2940" i="81"/>
  <c r="B2963" i="81"/>
  <c r="B2962" i="81"/>
  <c r="B2961" i="81"/>
  <c r="B2960" i="81"/>
  <c r="B2959" i="81"/>
  <c r="B2958" i="81"/>
  <c r="B2957" i="81"/>
  <c r="B2956" i="81"/>
  <c r="B2955" i="81"/>
  <c r="B2954" i="81"/>
  <c r="B2953" i="81"/>
  <c r="B2952" i="81"/>
  <c r="B2975" i="81"/>
  <c r="B2974" i="81"/>
  <c r="B2973" i="81"/>
  <c r="B2972" i="81"/>
  <c r="B2971" i="81"/>
  <c r="B2970" i="81"/>
  <c r="B2969" i="81"/>
  <c r="B2968" i="81"/>
  <c r="B2967" i="81"/>
  <c r="B2966" i="81"/>
  <c r="B2965" i="81"/>
  <c r="B2964" i="81"/>
  <c r="B2987" i="81"/>
  <c r="B2986" i="81"/>
  <c r="B2985" i="81"/>
  <c r="B2984" i="81"/>
  <c r="B2983" i="81"/>
  <c r="B2982" i="81"/>
  <c r="B2981" i="81"/>
  <c r="B2980" i="81"/>
  <c r="B2979" i="81"/>
  <c r="B2978" i="81"/>
  <c r="B2977" i="81"/>
  <c r="B2976" i="81"/>
  <c r="B2999" i="81"/>
  <c r="B2998" i="81"/>
  <c r="B2997" i="81"/>
  <c r="B2996" i="81"/>
  <c r="B2995" i="81"/>
  <c r="B2994" i="81"/>
  <c r="B2993" i="81"/>
  <c r="B2992" i="81"/>
  <c r="B2991" i="81"/>
  <c r="B2990" i="81"/>
  <c r="B2989" i="81"/>
  <c r="B2988" i="81"/>
  <c r="B3011" i="81"/>
  <c r="B3010" i="81"/>
  <c r="B3009" i="81"/>
  <c r="B3008" i="81"/>
  <c r="B3007" i="81"/>
  <c r="B3006" i="81"/>
  <c r="B3005" i="81"/>
  <c r="B3004" i="81"/>
  <c r="B3003" i="81"/>
  <c r="B3002" i="81"/>
  <c r="B3001" i="81"/>
  <c r="B3000" i="81"/>
  <c r="B3023" i="81"/>
  <c r="B3022" i="81"/>
  <c r="B3021" i="81"/>
  <c r="B3020" i="81"/>
  <c r="B3019" i="81"/>
  <c r="B3018" i="81"/>
  <c r="B3017" i="81"/>
  <c r="B3016" i="81"/>
  <c r="B3015" i="81"/>
  <c r="B3014" i="81"/>
  <c r="B3013" i="81"/>
  <c r="B3012" i="81"/>
  <c r="B3035" i="81"/>
  <c r="B3034" i="81"/>
  <c r="B3033" i="81"/>
  <c r="B3032" i="81"/>
  <c r="B3031" i="81"/>
  <c r="B3030" i="81"/>
  <c r="B3029" i="81"/>
  <c r="B3028" i="81"/>
  <c r="B3027" i="81"/>
  <c r="B3026" i="81"/>
  <c r="B3025" i="81"/>
  <c r="B3024" i="81"/>
  <c r="B3059" i="81"/>
  <c r="B3058" i="81"/>
  <c r="B3057" i="81"/>
  <c r="B3056" i="81"/>
  <c r="B3055" i="81"/>
  <c r="B3054" i="81"/>
  <c r="B3053" i="81"/>
  <c r="B3052" i="81"/>
  <c r="B3051" i="81"/>
  <c r="B3050" i="81"/>
  <c r="B3049" i="81"/>
  <c r="B3048" i="81"/>
  <c r="B3071" i="81"/>
  <c r="B3070" i="81"/>
  <c r="B3069" i="81"/>
  <c r="B3068" i="81"/>
  <c r="B3067" i="81"/>
  <c r="B3066" i="81"/>
  <c r="B3065" i="81"/>
  <c r="B3064" i="81"/>
  <c r="B3063" i="81"/>
  <c r="B3062" i="81"/>
  <c r="B3061" i="81"/>
  <c r="B3060" i="81"/>
  <c r="B3083" i="81"/>
  <c r="B3082" i="81"/>
  <c r="B3081" i="81"/>
  <c r="B3080" i="81"/>
  <c r="B3079" i="81"/>
  <c r="B3078" i="81"/>
  <c r="B3077" i="81"/>
  <c r="B3076" i="81"/>
  <c r="B3075" i="81"/>
  <c r="B3074" i="81"/>
  <c r="B3073" i="81"/>
  <c r="B3072" i="81"/>
  <c r="B3095" i="81"/>
  <c r="B3094" i="81"/>
  <c r="B3093" i="81"/>
  <c r="B3092" i="81"/>
  <c r="B3091" i="81"/>
  <c r="B3090" i="81"/>
  <c r="B3089" i="81"/>
  <c r="B3088" i="81"/>
  <c r="B3087" i="81"/>
  <c r="B3086" i="81"/>
  <c r="B3085" i="81"/>
  <c r="B3084" i="81"/>
  <c r="B3107" i="81"/>
  <c r="B3106" i="81"/>
  <c r="B3105" i="81"/>
  <c r="B3104" i="81"/>
  <c r="B3103" i="81"/>
  <c r="B3102" i="81"/>
  <c r="B3101" i="81"/>
  <c r="B3100" i="81"/>
  <c r="B3099" i="81"/>
  <c r="B3098" i="81"/>
  <c r="B3097" i="81"/>
  <c r="B3096" i="81"/>
  <c r="C3117" i="81"/>
  <c r="C3116" i="81"/>
  <c r="C3115" i="81"/>
  <c r="C3114" i="81"/>
  <c r="C3113" i="81"/>
  <c r="C3112" i="81"/>
  <c r="C3111" i="81"/>
  <c r="C3110" i="81"/>
  <c r="C3109" i="81"/>
  <c r="C3108" i="81"/>
  <c r="C3107" i="81"/>
  <c r="C3106" i="81"/>
  <c r="C3105" i="81"/>
  <c r="C3104" i="81"/>
  <c r="C3103" i="81"/>
  <c r="C3102" i="81"/>
  <c r="C3101" i="81"/>
  <c r="C3100" i="81"/>
  <c r="C3099" i="81"/>
  <c r="C3098" i="81"/>
  <c r="C3097" i="81"/>
  <c r="C3096" i="81"/>
  <c r="C3095" i="81"/>
  <c r="C3094" i="81"/>
  <c r="C3093" i="81"/>
  <c r="C3092" i="81"/>
  <c r="C3091" i="81"/>
  <c r="C3090" i="81"/>
  <c r="C3089" i="81"/>
  <c r="C3088" i="81"/>
  <c r="C3087" i="81"/>
  <c r="C3086" i="81"/>
  <c r="C3085" i="81"/>
  <c r="C3084" i="81"/>
  <c r="C3083" i="81"/>
  <c r="C3082" i="81"/>
  <c r="C3081" i="81"/>
  <c r="C3080" i="81"/>
  <c r="C3079" i="81"/>
  <c r="C3078" i="81"/>
  <c r="C3077" i="81"/>
  <c r="C3076" i="81"/>
  <c r="C3075" i="81"/>
  <c r="C3074" i="81"/>
  <c r="C3073" i="81"/>
  <c r="C3072" i="81"/>
  <c r="C3071" i="81"/>
  <c r="C3070" i="81"/>
  <c r="C3069" i="81"/>
  <c r="C3068" i="81"/>
  <c r="C3067" i="81"/>
  <c r="C3066" i="81"/>
  <c r="C3065" i="81"/>
  <c r="C3064" i="81"/>
  <c r="C3063" i="81"/>
  <c r="C3062" i="81"/>
  <c r="C3061" i="81"/>
  <c r="C3060" i="81"/>
  <c r="C3059" i="81"/>
  <c r="C3058" i="81"/>
  <c r="C3057" i="81"/>
  <c r="C3056" i="81"/>
  <c r="C3055" i="81"/>
  <c r="C3054" i="81"/>
  <c r="C3053" i="81"/>
  <c r="C3052" i="81"/>
  <c r="C3051" i="81"/>
  <c r="C3050" i="81"/>
  <c r="C3049" i="81"/>
  <c r="C3048" i="81"/>
  <c r="C3047" i="81"/>
  <c r="C3046" i="81"/>
  <c r="C3045" i="81"/>
  <c r="C3044" i="81"/>
  <c r="C3043" i="81"/>
  <c r="C3042" i="81"/>
  <c r="C3041" i="81"/>
  <c r="C3040" i="81"/>
  <c r="C3039" i="81"/>
  <c r="C3038" i="81"/>
  <c r="C3037" i="81"/>
  <c r="C3036" i="81"/>
  <c r="C3035" i="81"/>
  <c r="C3034" i="81"/>
  <c r="C3033" i="81"/>
  <c r="C3032" i="81"/>
  <c r="C3031" i="81"/>
  <c r="C3030" i="81"/>
  <c r="C3029" i="81"/>
  <c r="C3028" i="81"/>
  <c r="C3027" i="81"/>
  <c r="C3026" i="81"/>
  <c r="C3025" i="81"/>
  <c r="C3024" i="81"/>
  <c r="C3023" i="81"/>
  <c r="C3022" i="81"/>
  <c r="C3021" i="81"/>
  <c r="C3020" i="81"/>
  <c r="C3019" i="81"/>
  <c r="C3018" i="81"/>
  <c r="C3017" i="81"/>
  <c r="C3016" i="81"/>
  <c r="C3015" i="81"/>
  <c r="C3014" i="81"/>
  <c r="C3013" i="81"/>
  <c r="C3012" i="81"/>
  <c r="C3011" i="81"/>
  <c r="C3010" i="81"/>
  <c r="C3009" i="81"/>
  <c r="C3008" i="81"/>
  <c r="C3007" i="81"/>
  <c r="C3006" i="81"/>
  <c r="C3005" i="81"/>
  <c r="C3004" i="81"/>
  <c r="C3003" i="81"/>
  <c r="C3002" i="81"/>
  <c r="C3001" i="81"/>
  <c r="C3000" i="81"/>
  <c r="C2999" i="81"/>
  <c r="C2998" i="81"/>
  <c r="C2997" i="81"/>
  <c r="C2996" i="81"/>
  <c r="C2995" i="81"/>
  <c r="C2994" i="81"/>
  <c r="C2993" i="81"/>
  <c r="C2992" i="81"/>
  <c r="C2991" i="81"/>
  <c r="C2990" i="81"/>
  <c r="C2989" i="81"/>
  <c r="C2988" i="81"/>
  <c r="C2987" i="81"/>
  <c r="C2986" i="81"/>
  <c r="C2985" i="81"/>
  <c r="C2984" i="81"/>
  <c r="C2983" i="81"/>
  <c r="C2982" i="81"/>
  <c r="C2981" i="81"/>
  <c r="C2980" i="81"/>
  <c r="C2979" i="81"/>
  <c r="C2978" i="81"/>
  <c r="C2977" i="81"/>
  <c r="C2976" i="81"/>
  <c r="C2975" i="81"/>
  <c r="C2974" i="81"/>
  <c r="C2973" i="81"/>
  <c r="C2972" i="81"/>
  <c r="C2971" i="81"/>
  <c r="C2970" i="81"/>
  <c r="C2969" i="81"/>
  <c r="C2968" i="81"/>
  <c r="C2967" i="81"/>
  <c r="C2966" i="81"/>
  <c r="C2965" i="81"/>
  <c r="C2964" i="81"/>
  <c r="C2963" i="81"/>
  <c r="C2962" i="81"/>
  <c r="C2961" i="81"/>
  <c r="C2960" i="81"/>
  <c r="C2959" i="81"/>
  <c r="C2958" i="81"/>
  <c r="C2957" i="81"/>
  <c r="C2956" i="81"/>
  <c r="C2955" i="81"/>
  <c r="C2954" i="81"/>
  <c r="C2953" i="81"/>
  <c r="C2952" i="81"/>
  <c r="C2951" i="81"/>
  <c r="C2950" i="81"/>
  <c r="C2949" i="81"/>
  <c r="C2948" i="81"/>
  <c r="C2947" i="81"/>
  <c r="C2946" i="81"/>
  <c r="C2945" i="81"/>
  <c r="C2944" i="81"/>
  <c r="C2943" i="81"/>
  <c r="C2942" i="81"/>
  <c r="C2941" i="81"/>
  <c r="C2940" i="81"/>
  <c r="C2902" i="81"/>
  <c r="C2901" i="81"/>
  <c r="C2900" i="81"/>
  <c r="C2899" i="81"/>
  <c r="C2898" i="81"/>
  <c r="C2897" i="81"/>
  <c r="C2896" i="81"/>
  <c r="C2895" i="81"/>
  <c r="C2894" i="81"/>
  <c r="C2893" i="81"/>
  <c r="C2892" i="81"/>
  <c r="C2891" i="81"/>
  <c r="C2877" i="81"/>
  <c r="C2876" i="81"/>
  <c r="C2875" i="81"/>
  <c r="C2874" i="81"/>
  <c r="C2873" i="81"/>
  <c r="C2872" i="81"/>
  <c r="C2871" i="81"/>
  <c r="C2870" i="81"/>
  <c r="C2869" i="81"/>
  <c r="C2868" i="81"/>
  <c r="C2867" i="81"/>
  <c r="C2866" i="81"/>
  <c r="C2865" i="81"/>
  <c r="C2864" i="81"/>
  <c r="C2863" i="81"/>
  <c r="C2862" i="81"/>
  <c r="C2861" i="81"/>
  <c r="C2860" i="81"/>
  <c r="C2859" i="81"/>
  <c r="C2858" i="81"/>
  <c r="C2857" i="81"/>
  <c r="C2856" i="81"/>
  <c r="C2855" i="81"/>
  <c r="A3383" i="81"/>
  <c r="A3382" i="81"/>
  <c r="A3381" i="81"/>
  <c r="A3380" i="81"/>
  <c r="A3379" i="81"/>
  <c r="A3378" i="81"/>
  <c r="A3377" i="81"/>
  <c r="A3376" i="81"/>
  <c r="A3375" i="81"/>
  <c r="A3374" i="81"/>
  <c r="A3373" i="81"/>
  <c r="A3372" i="81"/>
  <c r="A3371" i="81"/>
  <c r="A3370" i="81"/>
  <c r="A3369" i="81"/>
  <c r="A3368" i="81"/>
  <c r="A3367" i="81"/>
  <c r="A3366" i="81"/>
  <c r="A3365" i="81"/>
  <c r="A3364" i="81"/>
  <c r="A3363" i="81"/>
  <c r="A3362" i="81"/>
  <c r="A3361" i="81"/>
  <c r="A3360" i="81"/>
  <c r="A3359" i="81"/>
  <c r="A3358" i="81"/>
  <c r="A3357" i="81"/>
  <c r="A3356" i="81"/>
  <c r="A3355" i="81"/>
  <c r="A3354" i="81"/>
  <c r="A3353" i="81"/>
  <c r="A3352" i="81"/>
  <c r="A3351" i="81"/>
  <c r="A3350" i="81"/>
  <c r="A3349" i="81"/>
  <c r="A3348" i="81"/>
  <c r="A3347" i="81"/>
  <c r="A3346" i="81"/>
  <c r="A3345" i="81"/>
  <c r="A3344" i="81"/>
  <c r="A3343" i="81"/>
  <c r="A3342" i="81"/>
  <c r="A3341" i="81"/>
  <c r="A3340" i="81"/>
  <c r="A3339" i="81"/>
  <c r="A3338" i="81"/>
  <c r="A3337" i="81"/>
  <c r="A3336" i="81"/>
  <c r="A3335" i="81"/>
  <c r="A3334" i="81"/>
  <c r="A3333" i="81"/>
  <c r="A3332" i="81"/>
  <c r="A3331" i="81"/>
  <c r="A3330" i="81"/>
  <c r="A3329" i="81"/>
  <c r="A3328" i="81"/>
  <c r="A3327" i="81"/>
  <c r="A3326" i="81"/>
  <c r="A3325" i="81"/>
  <c r="A3324" i="81"/>
  <c r="A3323" i="81"/>
  <c r="A3322" i="81"/>
  <c r="A3321" i="81"/>
  <c r="A3320" i="81"/>
  <c r="A3319" i="81"/>
  <c r="A3318" i="81"/>
  <c r="A3317" i="81"/>
  <c r="A3316" i="81"/>
  <c r="A3315" i="81"/>
  <c r="A3314" i="81"/>
  <c r="A3313" i="81"/>
  <c r="A3312" i="81"/>
  <c r="A3311" i="81"/>
  <c r="A3310" i="81"/>
  <c r="A3309" i="81"/>
  <c r="A3308" i="81"/>
  <c r="A3307" i="81"/>
  <c r="A3306" i="81"/>
  <c r="A3305" i="81"/>
  <c r="A3304" i="81"/>
  <c r="A3303" i="81"/>
  <c r="A3302" i="81"/>
  <c r="A3301" i="81"/>
  <c r="A3300" i="81"/>
  <c r="A3299" i="81"/>
  <c r="A3298" i="81"/>
  <c r="A3297" i="81"/>
  <c r="A3296" i="81"/>
  <c r="A3295" i="81"/>
  <c r="A3294" i="81"/>
  <c r="A3293" i="81"/>
  <c r="A3292" i="81"/>
  <c r="A3291" i="81"/>
  <c r="A3290" i="81"/>
  <c r="A3289" i="81"/>
  <c r="A3288" i="81"/>
  <c r="A3287" i="81"/>
  <c r="A3286" i="81"/>
  <c r="A3285" i="81"/>
  <c r="A3284" i="81"/>
  <c r="A3283" i="81"/>
  <c r="A3282" i="81"/>
  <c r="A3281" i="81"/>
  <c r="A3280" i="81"/>
  <c r="A3279" i="81"/>
  <c r="A3278" i="81"/>
  <c r="A3277" i="81"/>
  <c r="A3276" i="81"/>
  <c r="A3275" i="81"/>
  <c r="A3274" i="81"/>
  <c r="A3273" i="81"/>
  <c r="A3272" i="81"/>
  <c r="A3271" i="81"/>
  <c r="A3270" i="81"/>
  <c r="A3269" i="81"/>
  <c r="A3268" i="81"/>
  <c r="A3267" i="81"/>
  <c r="A3266" i="81"/>
  <c r="A3265" i="81"/>
  <c r="A3264" i="81"/>
  <c r="A3263" i="81"/>
  <c r="A3262" i="81"/>
  <c r="A3261" i="81"/>
  <c r="A3260" i="81"/>
  <c r="A3259" i="81"/>
  <c r="A3258" i="81"/>
  <c r="A3257" i="81"/>
  <c r="A3256" i="81"/>
  <c r="A3255" i="81"/>
  <c r="A3254" i="81"/>
  <c r="A3253" i="81"/>
  <c r="A3252" i="81"/>
  <c r="A3251" i="81"/>
  <c r="A3250" i="81"/>
  <c r="A3249" i="81"/>
  <c r="A3248" i="81"/>
  <c r="A3247" i="81"/>
  <c r="A3246" i="81"/>
  <c r="A3245" i="81"/>
  <c r="A3244" i="81"/>
  <c r="A3243" i="81"/>
  <c r="A3242" i="81"/>
  <c r="A3241" i="81"/>
  <c r="A3240" i="81"/>
  <c r="A3239" i="81"/>
  <c r="A3238" i="81"/>
  <c r="A3237" i="81"/>
  <c r="A3236" i="81"/>
  <c r="A3235" i="81"/>
  <c r="A3234" i="81"/>
  <c r="A3233" i="81"/>
  <c r="A3232" i="81"/>
  <c r="A3231" i="81"/>
  <c r="A3230" i="81"/>
  <c r="A3229" i="81"/>
  <c r="A3228" i="81"/>
  <c r="A3227" i="81"/>
  <c r="A3226" i="81"/>
  <c r="A3225" i="81"/>
  <c r="A3224" i="81"/>
  <c r="A3223" i="81"/>
  <c r="A3222" i="81"/>
  <c r="A3221" i="81"/>
  <c r="A3220" i="81"/>
  <c r="A3219" i="81"/>
  <c r="A3218" i="81"/>
  <c r="A3217" i="81"/>
  <c r="A3216" i="81"/>
  <c r="A3215" i="81"/>
  <c r="A3214" i="81"/>
  <c r="A3213" i="81"/>
  <c r="A3212" i="81"/>
  <c r="A3211" i="81"/>
  <c r="A3210" i="81"/>
  <c r="A3209" i="81"/>
  <c r="A3208" i="81"/>
  <c r="A3207" i="81"/>
  <c r="A3206" i="81"/>
  <c r="A3205" i="81"/>
  <c r="A3204" i="81"/>
  <c r="A3203" i="81"/>
  <c r="A3202" i="81"/>
  <c r="A3201" i="81"/>
  <c r="A3200" i="81"/>
  <c r="A3199" i="81"/>
  <c r="A3198" i="81"/>
  <c r="A3197" i="81"/>
  <c r="A3196" i="81"/>
  <c r="A3195" i="81"/>
  <c r="A3194" i="81"/>
  <c r="A3193" i="81"/>
  <c r="A3192" i="81"/>
  <c r="A3191" i="81"/>
  <c r="A3190" i="81"/>
  <c r="A3189" i="81"/>
  <c r="A3188" i="81"/>
  <c r="A3187" i="81"/>
  <c r="A3186" i="81"/>
  <c r="A3185" i="81"/>
  <c r="A3184" i="81"/>
  <c r="A3183" i="81"/>
  <c r="A3182" i="81"/>
  <c r="A3181" i="81"/>
  <c r="A3180" i="81"/>
  <c r="A3179" i="81"/>
  <c r="A3178" i="81"/>
  <c r="A3177" i="81"/>
  <c r="A3176" i="81"/>
  <c r="A3175" i="81"/>
  <c r="A3174" i="81"/>
  <c r="A3173" i="81"/>
  <c r="A3172" i="81"/>
  <c r="A3171" i="81"/>
  <c r="A3170" i="81"/>
  <c r="A3169" i="81"/>
  <c r="A3168" i="81"/>
  <c r="A3167" i="81"/>
  <c r="A3166" i="81"/>
  <c r="A3165" i="81"/>
  <c r="A3164" i="81"/>
  <c r="A3163" i="81"/>
  <c r="A3162" i="81"/>
  <c r="A3161" i="81"/>
  <c r="A3160" i="81"/>
  <c r="A3159" i="81"/>
  <c r="A3158" i="81"/>
  <c r="A3157" i="81"/>
  <c r="A3156" i="81"/>
  <c r="A3155" i="81"/>
  <c r="A3154" i="81"/>
  <c r="A3153" i="81"/>
  <c r="A3152" i="81"/>
  <c r="A3151" i="81"/>
  <c r="A3150" i="81"/>
  <c r="A3149" i="81"/>
  <c r="A3148" i="81"/>
  <c r="A3147" i="81"/>
  <c r="A3146" i="81"/>
  <c r="A3145" i="81"/>
  <c r="A3144" i="81"/>
  <c r="A3143" i="81"/>
  <c r="A3142" i="81"/>
  <c r="A3141" i="81"/>
  <c r="A3140" i="81"/>
  <c r="A3139" i="81"/>
  <c r="A3138" i="81"/>
  <c r="A3137" i="81"/>
  <c r="A3136" i="81"/>
  <c r="A3135" i="81"/>
  <c r="A3134" i="81"/>
  <c r="A3133" i="81"/>
  <c r="A3132" i="81"/>
  <c r="A3131" i="81"/>
  <c r="A3130" i="81"/>
  <c r="A3129" i="81"/>
  <c r="A3128" i="81"/>
  <c r="A3127" i="81"/>
  <c r="A3126" i="81"/>
  <c r="A3125" i="81"/>
  <c r="A3124" i="81"/>
  <c r="A3123" i="81"/>
  <c r="A3122" i="81"/>
  <c r="A3121" i="81"/>
  <c r="A3120" i="81"/>
  <c r="A3119" i="81"/>
  <c r="A3118" i="81"/>
  <c r="A3117" i="81"/>
  <c r="A3116" i="81"/>
  <c r="A3115" i="81"/>
  <c r="A3114" i="81"/>
  <c r="A3113" i="81"/>
  <c r="A3112" i="81"/>
  <c r="A3111" i="81"/>
  <c r="A3110" i="81"/>
  <c r="A3109" i="81"/>
  <c r="A3108" i="81"/>
  <c r="A3107" i="81"/>
  <c r="A3106" i="81"/>
  <c r="A3105" i="81"/>
  <c r="A3104" i="81"/>
  <c r="A3103" i="81"/>
  <c r="A3102" i="81"/>
  <c r="A3101" i="81"/>
  <c r="A3100" i="81"/>
  <c r="A3099" i="81"/>
  <c r="A3098" i="81"/>
  <c r="A3097" i="81"/>
  <c r="A3096" i="81"/>
  <c r="A3095" i="81"/>
  <c r="A3094" i="81"/>
  <c r="A3093" i="81"/>
  <c r="A3092" i="81"/>
  <c r="A3091" i="81"/>
  <c r="A3090" i="81"/>
  <c r="A3089" i="81"/>
  <c r="A3088" i="81"/>
  <c r="A3087" i="81"/>
  <c r="A3086" i="81"/>
  <c r="A3085" i="81"/>
  <c r="A3084" i="81"/>
  <c r="A3083" i="81"/>
  <c r="A3082" i="81"/>
  <c r="A3081" i="81"/>
  <c r="A3080" i="81"/>
  <c r="A3079" i="81"/>
  <c r="A3078" i="81"/>
  <c r="A3077" i="81"/>
  <c r="A3076" i="81"/>
  <c r="A3075" i="81"/>
  <c r="A3074" i="81"/>
  <c r="A3073" i="81"/>
  <c r="A3072" i="81"/>
  <c r="A3071" i="81"/>
  <c r="A3070" i="81"/>
  <c r="A3069" i="81"/>
  <c r="A3068" i="81"/>
  <c r="A3067" i="81"/>
  <c r="A3066" i="81"/>
  <c r="A3065" i="81"/>
  <c r="A3064" i="81"/>
  <c r="A3063" i="81"/>
  <c r="A3062" i="81"/>
  <c r="A3061" i="81"/>
  <c r="A3060" i="81"/>
  <c r="A3059" i="81"/>
  <c r="A3058" i="81"/>
  <c r="A3057" i="81"/>
  <c r="A3056" i="81"/>
  <c r="A3055" i="81"/>
  <c r="A3054" i="81"/>
  <c r="A3053" i="81"/>
  <c r="A3052" i="81"/>
  <c r="A3051" i="81"/>
  <c r="A3050" i="81"/>
  <c r="A3049" i="81"/>
  <c r="A3048" i="81"/>
  <c r="A3047" i="81"/>
  <c r="A3046" i="81"/>
  <c r="A3045" i="81"/>
  <c r="A3044" i="81"/>
  <c r="A3043" i="81"/>
  <c r="A3042" i="81"/>
  <c r="A3041" i="81"/>
  <c r="A3040" i="81"/>
  <c r="A3039" i="81"/>
  <c r="A3038" i="81"/>
  <c r="A3037" i="81"/>
  <c r="A3036" i="81"/>
  <c r="A3035" i="81"/>
  <c r="A3034" i="81"/>
  <c r="A3033" i="81"/>
  <c r="A3032" i="81"/>
  <c r="A3031" i="81"/>
  <c r="A3030" i="81"/>
  <c r="A3029" i="81"/>
  <c r="A3028" i="81"/>
  <c r="A3027" i="81"/>
  <c r="A3026" i="81"/>
  <c r="A3025" i="81"/>
  <c r="A3024" i="81"/>
  <c r="A3023" i="81"/>
  <c r="A3022" i="81"/>
  <c r="A3021" i="81"/>
  <c r="A3020" i="81"/>
  <c r="A3019" i="81"/>
  <c r="A3018" i="81"/>
  <c r="A3017" i="81"/>
  <c r="A3016" i="81"/>
  <c r="A3015" i="81"/>
  <c r="A3014" i="81"/>
  <c r="A3013" i="81"/>
  <c r="A3012" i="81"/>
  <c r="A3011" i="81"/>
  <c r="A3010" i="81"/>
  <c r="A3009" i="81"/>
  <c r="A3008" i="81"/>
  <c r="A3007" i="81"/>
  <c r="A3006" i="81"/>
  <c r="A3005" i="81"/>
  <c r="A3004" i="81"/>
  <c r="A3003" i="81"/>
  <c r="A3002" i="81"/>
  <c r="A3001" i="81"/>
  <c r="A3000" i="81"/>
  <c r="A2999" i="81"/>
  <c r="A2998" i="81"/>
  <c r="A2997" i="81"/>
  <c r="A2996" i="81"/>
  <c r="A2995" i="81"/>
  <c r="A2994" i="81"/>
  <c r="A2993" i="81"/>
  <c r="A2992" i="81"/>
  <c r="A2991" i="81"/>
  <c r="A2990" i="81"/>
  <c r="A2989" i="81"/>
  <c r="A2988" i="81"/>
  <c r="A2987" i="81"/>
  <c r="A2986" i="81"/>
  <c r="A2985" i="81"/>
  <c r="A2984" i="81"/>
  <c r="A2983" i="81"/>
  <c r="A2982" i="81"/>
  <c r="A2981" i="81"/>
  <c r="A2980" i="81"/>
  <c r="A2979" i="81"/>
  <c r="A2978" i="81"/>
  <c r="A2977" i="81"/>
  <c r="A2976" i="81"/>
  <c r="A2975" i="81"/>
  <c r="A2974" i="81"/>
  <c r="A2973" i="81"/>
  <c r="A2972" i="81"/>
  <c r="A2971" i="81"/>
  <c r="A2970" i="81"/>
  <c r="A2969" i="81"/>
  <c r="A2968" i="81"/>
  <c r="A2967" i="81"/>
  <c r="A2966" i="81"/>
  <c r="A2965" i="81"/>
  <c r="A2964" i="81"/>
  <c r="A2963" i="81"/>
  <c r="A2962" i="81"/>
  <c r="A2961" i="81"/>
  <c r="A2960" i="81"/>
  <c r="A2959" i="81"/>
  <c r="A2958" i="81"/>
  <c r="A2957" i="81"/>
  <c r="A2956" i="81"/>
  <c r="A2955" i="81"/>
  <c r="A2954" i="81"/>
  <c r="A2953" i="81"/>
  <c r="A2952" i="81"/>
  <c r="A2951" i="81"/>
  <c r="A2950" i="81"/>
  <c r="A2949" i="81"/>
  <c r="A2948" i="81"/>
  <c r="A2947" i="81"/>
  <c r="A2946" i="81"/>
  <c r="A2945" i="81"/>
  <c r="A2944" i="81"/>
  <c r="A2943" i="81"/>
  <c r="A2942" i="81"/>
  <c r="A2941" i="81"/>
  <c r="A2940" i="81"/>
  <c r="A2938" i="81"/>
  <c r="A2937" i="81"/>
  <c r="A2936" i="81"/>
  <c r="A2935" i="81"/>
  <c r="A2934" i="81"/>
  <c r="A2933" i="81"/>
  <c r="A2932" i="81"/>
  <c r="A2931" i="81"/>
  <c r="A2930" i="81"/>
  <c r="A2929" i="81"/>
  <c r="A2928" i="81"/>
  <c r="A2927" i="81"/>
  <c r="A2926" i="81"/>
  <c r="A2925" i="81"/>
  <c r="A2924" i="81"/>
  <c r="A2923" i="81"/>
  <c r="A2922" i="81"/>
  <c r="A2921" i="81"/>
  <c r="A2920" i="81"/>
  <c r="A2919" i="81"/>
  <c r="A2918" i="81"/>
  <c r="A2917" i="81"/>
  <c r="A2916" i="81"/>
  <c r="A2915" i="81"/>
  <c r="A2914" i="81"/>
  <c r="A2913" i="81"/>
  <c r="A2912" i="81"/>
  <c r="A2911" i="81"/>
  <c r="A2910" i="81"/>
  <c r="A2909" i="81"/>
  <c r="A2908" i="81"/>
  <c r="A2907" i="81"/>
  <c r="A2906" i="81"/>
  <c r="A2905" i="81"/>
  <c r="A2904" i="81"/>
  <c r="A2903" i="81"/>
  <c r="A2902" i="81"/>
  <c r="A2901" i="81"/>
  <c r="A2900" i="81"/>
  <c r="A2899" i="81"/>
  <c r="A2898" i="81"/>
  <c r="A2897" i="81"/>
  <c r="A2896" i="81"/>
  <c r="A2895" i="81"/>
  <c r="A2894" i="81"/>
  <c r="A2893" i="81"/>
  <c r="A2892" i="81"/>
  <c r="A2891" i="81"/>
  <c r="A2890" i="81"/>
  <c r="A2889" i="81"/>
  <c r="A2888" i="81"/>
  <c r="A2887" i="81"/>
  <c r="A2886" i="81"/>
  <c r="A2885" i="81"/>
  <c r="A2884" i="81"/>
  <c r="A2883" i="81"/>
  <c r="A2882" i="81"/>
  <c r="A2881" i="81"/>
  <c r="A2880" i="81"/>
  <c r="A2879" i="81"/>
  <c r="A2878" i="81"/>
  <c r="A2877" i="81"/>
  <c r="A2876" i="81"/>
  <c r="A2875" i="81"/>
  <c r="A2874" i="81"/>
  <c r="A2873" i="81"/>
  <c r="A2872" i="81"/>
  <c r="A2871" i="81"/>
  <c r="A2870" i="81"/>
  <c r="A2869" i="81"/>
  <c r="A2868" i="81"/>
  <c r="A2867" i="81"/>
  <c r="A2866" i="81"/>
  <c r="A2865" i="81"/>
  <c r="A2864" i="81"/>
  <c r="A2863" i="81"/>
  <c r="A2862" i="81"/>
  <c r="A2861" i="81"/>
  <c r="A2860" i="81"/>
  <c r="A2859" i="81"/>
  <c r="A2858" i="81"/>
  <c r="A2857" i="81"/>
  <c r="A2856" i="81"/>
  <c r="A2855" i="81"/>
  <c r="A2854" i="81"/>
  <c r="A2853" i="81"/>
  <c r="A2852" i="81"/>
  <c r="A2851" i="81"/>
  <c r="A2850" i="81"/>
  <c r="A2849" i="81"/>
  <c r="A2848" i="81"/>
  <c r="A2847" i="81"/>
  <c r="A2846" i="81"/>
  <c r="A2845" i="81"/>
  <c r="A2844" i="81"/>
  <c r="A2843" i="81"/>
  <c r="A2842" i="81"/>
  <c r="A2841" i="81"/>
  <c r="A2840" i="81"/>
  <c r="A2839" i="81"/>
  <c r="A2838" i="81"/>
  <c r="A2837" i="81"/>
  <c r="A2836" i="81"/>
  <c r="A2835" i="81"/>
  <c r="A2834" i="81"/>
  <c r="A2833" i="81"/>
  <c r="A2832" i="81"/>
  <c r="A2831" i="81"/>
  <c r="A2830" i="81"/>
  <c r="A2829" i="81"/>
  <c r="A2828" i="81"/>
  <c r="A2827" i="81"/>
  <c r="A2826" i="81"/>
  <c r="A2825" i="81"/>
  <c r="A2824" i="81"/>
  <c r="A2823" i="81"/>
  <c r="A2822" i="81"/>
  <c r="A2821" i="81"/>
  <c r="A2820" i="81"/>
  <c r="A2819" i="81"/>
  <c r="A2818" i="81"/>
  <c r="A2817" i="81"/>
  <c r="A2816" i="81"/>
  <c r="A2815" i="81"/>
  <c r="A2814" i="81"/>
  <c r="A2813" i="81"/>
  <c r="A2812" i="81"/>
  <c r="A2811" i="81"/>
  <c r="A2810" i="81"/>
  <c r="A2809" i="81"/>
  <c r="A2808" i="81"/>
  <c r="A2807" i="81"/>
  <c r="A2806" i="81"/>
  <c r="A2805" i="81"/>
  <c r="A2804" i="81"/>
  <c r="A2803" i="81"/>
  <c r="A2802" i="81"/>
  <c r="A2801" i="81"/>
  <c r="A2800" i="81"/>
  <c r="A2799" i="81"/>
  <c r="A2798" i="81"/>
  <c r="A2797" i="81"/>
  <c r="A2796" i="81"/>
  <c r="A2795" i="81"/>
  <c r="A2794" i="81"/>
  <c r="A2793" i="81"/>
  <c r="A2792" i="81"/>
  <c r="A2791" i="81"/>
  <c r="A2790" i="81"/>
  <c r="A2789" i="81"/>
  <c r="A2788" i="81"/>
  <c r="A2787" i="81"/>
  <c r="A2786" i="81"/>
  <c r="A2785" i="81"/>
  <c r="A2784" i="81"/>
  <c r="A2783" i="81"/>
  <c r="A2782" i="81"/>
  <c r="A2781" i="81"/>
  <c r="A2780" i="81"/>
  <c r="A2779" i="81"/>
  <c r="A2778" i="81"/>
  <c r="A2777" i="81"/>
  <c r="A2776" i="81"/>
  <c r="A2775" i="81"/>
  <c r="A2774" i="81"/>
  <c r="A2773" i="81"/>
  <c r="A2772" i="81"/>
  <c r="A2771" i="81"/>
  <c r="A2770" i="81"/>
  <c r="A2769" i="81"/>
  <c r="A2768" i="81"/>
  <c r="A2767" i="81"/>
  <c r="A2766" i="81"/>
  <c r="A2765" i="81"/>
  <c r="A2764" i="81"/>
  <c r="A2763" i="81"/>
  <c r="A2762" i="81"/>
  <c r="A2761" i="81"/>
  <c r="A2760" i="81"/>
  <c r="A2759" i="81"/>
  <c r="A2758" i="81"/>
  <c r="A2757" i="81"/>
  <c r="A2756" i="81"/>
  <c r="A2755" i="81"/>
  <c r="A2754" i="81"/>
  <c r="A2753" i="81"/>
  <c r="A2752" i="81"/>
  <c r="A2751" i="81"/>
  <c r="A2750" i="81"/>
  <c r="A2749" i="81"/>
  <c r="A2748" i="81"/>
  <c r="A2747" i="81"/>
  <c r="A2746" i="81"/>
  <c r="A2745" i="81"/>
  <c r="A2744" i="81"/>
  <c r="A2743" i="81"/>
  <c r="A2742" i="81"/>
  <c r="A2741" i="81"/>
  <c r="A2740" i="81"/>
  <c r="A2739" i="81"/>
  <c r="A2738" i="81"/>
  <c r="A2737" i="81"/>
  <c r="A2736" i="81"/>
  <c r="A2735" i="81"/>
  <c r="A2734" i="81"/>
  <c r="A2733" i="81"/>
  <c r="A2732" i="81"/>
  <c r="A2731" i="81"/>
  <c r="A2730" i="81"/>
  <c r="A2729" i="81"/>
  <c r="A2728" i="81"/>
  <c r="A2727" i="81"/>
  <c r="A2726" i="81"/>
  <c r="A2725" i="81"/>
  <c r="A2724" i="81"/>
  <c r="A2723" i="81"/>
  <c r="A2722" i="81"/>
  <c r="A2721" i="81"/>
  <c r="A2720" i="81"/>
  <c r="A2719" i="81"/>
  <c r="A2718" i="81"/>
  <c r="A2717" i="81"/>
  <c r="A2716" i="81"/>
  <c r="A2715" i="81"/>
  <c r="A2714" i="81"/>
  <c r="A2713" i="81"/>
  <c r="A2712" i="81"/>
  <c r="A2711" i="81"/>
  <c r="A2710" i="81"/>
  <c r="A2709" i="81"/>
  <c r="A2708" i="81"/>
  <c r="A2707" i="81"/>
  <c r="A2706" i="81"/>
  <c r="A2705" i="81"/>
  <c r="A2704" i="81"/>
  <c r="A2703" i="81"/>
  <c r="A2702" i="81"/>
  <c r="A2701" i="81"/>
  <c r="A2700" i="81"/>
  <c r="A2699" i="81"/>
  <c r="A2698" i="81"/>
  <c r="A2697" i="81"/>
  <c r="A2696" i="81"/>
  <c r="A2695" i="81"/>
  <c r="A2694" i="81"/>
  <c r="A2693" i="81"/>
  <c r="A2692" i="81"/>
  <c r="A2691" i="81"/>
  <c r="A2690" i="81"/>
  <c r="A2689" i="81"/>
  <c r="A2688" i="81"/>
  <c r="A2687" i="81"/>
  <c r="A2686" i="81"/>
  <c r="A2685" i="81"/>
  <c r="A2684" i="81"/>
  <c r="A2683" i="81"/>
  <c r="A2682" i="81"/>
  <c r="A2681" i="81"/>
  <c r="A2680" i="81"/>
  <c r="A2679" i="81"/>
  <c r="A2678" i="81"/>
  <c r="A2677" i="81"/>
  <c r="A2676" i="81"/>
  <c r="A2675" i="81"/>
  <c r="A2674" i="81"/>
  <c r="A2673" i="81"/>
  <c r="A2672" i="81"/>
  <c r="A2671" i="81"/>
  <c r="A2670" i="81"/>
  <c r="A2669" i="81"/>
  <c r="A2668" i="81"/>
  <c r="A2667" i="81"/>
  <c r="A2666" i="81"/>
  <c r="A2665" i="81"/>
  <c r="A2664" i="81"/>
  <c r="A2663" i="81"/>
  <c r="A2662" i="81"/>
  <c r="A2661" i="81"/>
  <c r="A2660" i="81"/>
  <c r="A2659" i="81"/>
  <c r="A2658" i="81"/>
  <c r="A2657" i="81"/>
  <c r="A2656" i="81"/>
  <c r="A2655" i="81"/>
  <c r="A2654" i="81"/>
  <c r="A2653" i="81"/>
  <c r="A2652" i="81"/>
  <c r="A2651" i="81"/>
  <c r="A2650" i="81"/>
  <c r="A2649" i="81"/>
  <c r="A2648" i="81"/>
  <c r="A2647" i="81"/>
  <c r="A2646" i="81"/>
  <c r="A2645" i="81"/>
  <c r="A2644" i="81"/>
  <c r="A2643" i="81"/>
  <c r="A2642" i="81"/>
  <c r="A2641" i="81"/>
  <c r="A2640" i="81"/>
  <c r="A2639" i="81"/>
  <c r="A2638" i="81"/>
  <c r="A2637" i="81"/>
  <c r="A2636" i="81"/>
  <c r="A2635" i="81"/>
  <c r="A2634" i="81"/>
  <c r="A2633" i="81"/>
  <c r="A2632" i="81"/>
  <c r="A2631" i="81"/>
  <c r="A2630" i="81"/>
  <c r="A2629" i="81"/>
  <c r="A2628" i="81"/>
  <c r="A2627" i="81"/>
  <c r="A2626" i="81"/>
  <c r="A2625" i="81"/>
  <c r="A2624" i="81"/>
  <c r="A2623" i="81"/>
  <c r="A2622" i="81"/>
  <c r="A2621" i="81"/>
  <c r="A2620" i="81"/>
  <c r="A2619" i="81"/>
  <c r="A2618" i="81"/>
  <c r="A2617" i="81"/>
  <c r="A2616" i="81"/>
  <c r="A2615" i="81"/>
  <c r="A2614" i="81"/>
  <c r="A2613" i="81"/>
  <c r="A2612" i="81"/>
  <c r="A2611" i="81"/>
  <c r="A2610" i="81"/>
  <c r="A2609" i="81"/>
  <c r="A2608" i="81"/>
  <c r="A2607" i="81"/>
  <c r="A2606" i="81"/>
  <c r="A2605" i="81"/>
  <c r="A2604" i="81"/>
  <c r="A2603" i="81"/>
  <c r="A2602" i="81"/>
  <c r="A2601" i="81"/>
  <c r="A2600" i="81"/>
  <c r="A2599" i="81"/>
  <c r="A2598" i="81"/>
  <c r="A2597" i="81"/>
  <c r="A2596" i="81"/>
  <c r="A2595" i="81"/>
  <c r="A2594" i="81"/>
  <c r="A2593" i="81"/>
  <c r="A2592" i="81"/>
  <c r="A2591" i="81"/>
  <c r="A2590" i="81"/>
  <c r="A2589" i="81"/>
  <c r="A2588" i="81"/>
  <c r="A2587" i="81"/>
  <c r="A2586" i="81"/>
  <c r="A2585" i="81"/>
  <c r="A2584" i="81"/>
  <c r="A2583" i="81"/>
  <c r="A2582" i="81"/>
  <c r="A2581" i="81"/>
  <c r="A2580" i="81"/>
  <c r="A2579" i="81"/>
  <c r="A2578" i="81"/>
  <c r="A2577" i="81"/>
  <c r="A2576" i="81"/>
  <c r="A2575" i="81"/>
  <c r="A2574" i="81"/>
  <c r="A2573" i="81"/>
  <c r="A2572" i="81"/>
  <c r="A2571" i="81"/>
  <c r="A2570" i="81"/>
  <c r="A2569" i="81"/>
  <c r="A2568" i="81"/>
  <c r="A2567" i="81"/>
  <c r="A2566" i="81"/>
  <c r="A2565" i="81"/>
  <c r="A2564" i="81"/>
  <c r="A2563" i="81"/>
  <c r="A2562" i="81"/>
  <c r="A2561" i="81"/>
  <c r="A2560" i="81"/>
  <c r="A2559" i="81"/>
  <c r="A2558" i="81"/>
  <c r="A2557" i="81"/>
  <c r="A2556" i="81"/>
  <c r="A2555" i="81"/>
  <c r="A2554" i="81"/>
  <c r="A2553" i="81"/>
  <c r="A2552" i="81"/>
  <c r="A2551" i="81"/>
  <c r="A2550" i="81"/>
  <c r="A2549" i="81"/>
  <c r="A2548" i="81"/>
  <c r="A2547" i="81"/>
  <c r="A2546" i="81"/>
  <c r="A2545" i="81"/>
  <c r="A2544" i="81"/>
  <c r="A2543" i="81"/>
  <c r="A2542" i="81"/>
  <c r="A2541" i="81"/>
  <c r="A2540" i="81"/>
  <c r="A2539" i="81"/>
  <c r="A2538" i="81"/>
  <c r="A2537" i="81"/>
  <c r="A2536" i="81"/>
  <c r="A2535" i="81"/>
  <c r="A2534" i="81"/>
  <c r="A2533" i="81"/>
  <c r="A2532" i="81"/>
  <c r="A2531" i="81"/>
  <c r="A2530" i="81"/>
  <c r="A2529" i="81"/>
  <c r="A2528" i="81"/>
  <c r="A2527" i="81"/>
  <c r="A2526" i="81"/>
  <c r="A2525" i="81"/>
  <c r="A2524" i="81"/>
  <c r="A2523" i="81"/>
  <c r="A2522" i="81"/>
  <c r="A2521" i="81"/>
  <c r="A2520" i="81"/>
  <c r="A2519" i="81"/>
  <c r="A2518" i="81"/>
  <c r="A2517" i="81"/>
  <c r="A2516" i="81"/>
  <c r="A2515" i="81"/>
  <c r="A2514" i="81"/>
  <c r="A2513" i="81"/>
  <c r="A2512" i="81"/>
  <c r="A2511" i="81"/>
  <c r="A2510" i="81"/>
  <c r="A2509" i="81"/>
  <c r="A2508" i="81"/>
  <c r="A2507" i="81"/>
  <c r="A2506" i="81"/>
  <c r="A2505" i="81"/>
  <c r="A2504" i="81"/>
  <c r="A2503" i="81"/>
  <c r="A2502" i="81"/>
  <c r="A2501" i="81"/>
  <c r="A2500" i="81"/>
  <c r="A2499" i="81"/>
  <c r="A2498" i="81"/>
  <c r="A2497" i="81"/>
  <c r="A2496" i="81"/>
  <c r="A2495" i="81"/>
  <c r="A2494" i="81"/>
  <c r="A2493" i="81"/>
  <c r="A2492" i="81"/>
  <c r="A2491" i="81"/>
  <c r="A2490" i="81"/>
  <c r="A2489" i="81"/>
  <c r="A2488" i="81"/>
  <c r="A2487" i="81"/>
  <c r="A2486" i="81"/>
  <c r="A2485" i="81"/>
  <c r="A2484" i="81"/>
  <c r="A2483" i="81"/>
  <c r="A2482" i="81"/>
  <c r="A2481" i="81"/>
  <c r="A2480" i="81"/>
  <c r="A2479" i="81"/>
  <c r="A2478" i="81"/>
  <c r="A2477" i="81"/>
  <c r="A2476" i="81"/>
  <c r="A2475" i="81"/>
  <c r="A2474" i="81"/>
  <c r="A2473" i="81"/>
  <c r="A2472" i="81"/>
  <c r="A2471" i="81"/>
  <c r="A2470" i="81"/>
  <c r="A2469" i="81"/>
  <c r="A2468" i="81"/>
  <c r="A2467" i="81"/>
  <c r="A2466" i="81"/>
  <c r="A2465" i="81"/>
  <c r="A2464" i="81"/>
  <c r="A2463" i="81"/>
  <c r="A2462" i="81"/>
  <c r="A2461" i="81"/>
  <c r="A2460" i="81"/>
  <c r="A2459" i="81"/>
  <c r="A2458" i="81"/>
  <c r="A2457" i="81"/>
  <c r="A2456" i="81"/>
  <c r="A2455" i="81"/>
  <c r="A2454" i="81"/>
  <c r="A2453" i="81"/>
  <c r="A2452" i="81"/>
  <c r="A2451" i="81"/>
  <c r="A2450" i="81"/>
  <c r="A2449" i="81"/>
  <c r="A2448" i="81"/>
  <c r="A2447" i="81"/>
  <c r="A2446" i="81"/>
  <c r="A2445" i="81"/>
  <c r="A2444" i="81"/>
  <c r="A2443" i="81"/>
  <c r="A2442" i="81"/>
  <c r="A2441" i="81"/>
  <c r="A2440" i="81"/>
  <c r="A2439" i="81"/>
  <c r="A2438" i="81"/>
  <c r="A2437" i="81"/>
  <c r="A2436" i="81"/>
  <c r="A2435" i="81"/>
  <c r="A2434" i="81"/>
  <c r="A2433" i="81"/>
  <c r="A2432" i="81"/>
  <c r="A2431" i="81"/>
  <c r="A2430" i="81"/>
  <c r="A2429" i="81"/>
  <c r="A2428" i="81"/>
  <c r="A2427" i="81"/>
  <c r="A2426" i="81"/>
  <c r="A2425" i="81"/>
  <c r="A2424" i="81"/>
  <c r="A2423" i="81"/>
  <c r="A2422" i="81"/>
  <c r="A2421" i="81"/>
  <c r="A2420" i="81"/>
  <c r="A2419" i="81"/>
  <c r="A2418" i="81"/>
  <c r="A2417" i="81"/>
  <c r="A2416" i="81"/>
  <c r="A2415" i="81"/>
  <c r="A2414" i="81"/>
  <c r="A2413" i="81"/>
  <c r="A2412" i="81"/>
  <c r="A2411" i="81"/>
  <c r="A2410" i="81"/>
  <c r="A2409" i="81"/>
  <c r="A2408" i="81"/>
  <c r="A2407" i="81"/>
  <c r="A2406" i="81"/>
  <c r="A2405" i="81"/>
  <c r="A2404" i="81"/>
  <c r="A2403" i="81"/>
  <c r="A2402" i="81"/>
  <c r="A2401" i="81"/>
  <c r="A2400" i="81"/>
  <c r="A2399" i="81"/>
  <c r="A2398" i="81"/>
  <c r="A2397" i="81"/>
  <c r="A2396" i="81"/>
  <c r="A2395" i="81"/>
  <c r="A2394" i="81"/>
  <c r="A2393" i="81"/>
  <c r="A2392" i="81"/>
  <c r="A2391" i="81"/>
  <c r="A2390" i="81"/>
  <c r="A2389" i="81"/>
  <c r="A2388" i="81"/>
  <c r="A2387" i="81"/>
  <c r="A2386" i="81"/>
  <c r="A2385" i="81"/>
  <c r="A2384" i="81"/>
  <c r="A2383" i="81"/>
  <c r="A2382" i="81"/>
  <c r="A2381" i="81"/>
  <c r="A2380" i="81"/>
  <c r="A2379" i="81"/>
  <c r="A2378" i="81"/>
  <c r="A2377" i="81"/>
  <c r="A2376" i="81"/>
  <c r="A2375" i="81"/>
  <c r="A2374" i="81"/>
  <c r="A2373" i="81"/>
  <c r="A2372" i="81"/>
  <c r="A2371" i="81"/>
  <c r="A2370" i="81"/>
  <c r="A2369" i="81"/>
  <c r="A2368" i="81"/>
  <c r="A2367" i="81"/>
  <c r="A2366" i="81"/>
  <c r="A2365" i="81"/>
  <c r="A2364" i="81"/>
  <c r="A2363" i="81"/>
  <c r="A2362" i="81"/>
  <c r="A2361" i="81"/>
  <c r="A2360" i="81"/>
  <c r="A2359" i="81"/>
  <c r="A2358" i="81"/>
  <c r="A2357" i="81"/>
  <c r="A2356" i="81"/>
  <c r="A2355" i="81"/>
  <c r="A2354" i="81"/>
  <c r="A2353" i="81"/>
  <c r="A2352" i="81"/>
  <c r="A2351" i="81"/>
  <c r="A2350" i="81"/>
  <c r="A2349" i="81"/>
  <c r="A2348" i="81"/>
  <c r="A2347" i="81"/>
  <c r="A2346" i="81"/>
  <c r="A2345" i="81"/>
  <c r="A2344" i="81"/>
  <c r="A2343" i="81"/>
  <c r="A2342" i="81"/>
  <c r="A2341" i="81"/>
  <c r="A2340" i="81"/>
  <c r="A2339" i="81"/>
  <c r="A2338" i="81"/>
  <c r="A2337" i="81"/>
  <c r="A2336" i="81"/>
  <c r="A2335" i="81"/>
  <c r="A2334" i="81"/>
  <c r="A2333" i="81"/>
  <c r="A2332" i="81"/>
  <c r="A2331" i="81"/>
  <c r="A2330" i="81"/>
  <c r="A2329" i="81"/>
  <c r="A2328" i="81"/>
  <c r="A2327" i="81"/>
  <c r="A2326" i="81"/>
  <c r="A2325" i="81"/>
  <c r="A2324" i="81"/>
  <c r="A2323" i="81"/>
  <c r="A2322" i="81"/>
  <c r="A2321" i="81"/>
  <c r="A2320" i="81"/>
  <c r="A2319" i="81"/>
  <c r="A2318" i="81"/>
  <c r="A2317" i="81"/>
  <c r="A2316" i="81"/>
  <c r="A2315" i="81"/>
  <c r="A2314" i="81"/>
  <c r="A2313" i="81"/>
  <c r="A2312" i="81"/>
  <c r="A2311" i="81"/>
  <c r="A2310" i="81"/>
  <c r="A2309" i="81"/>
  <c r="A2308" i="81"/>
  <c r="A2307" i="81"/>
  <c r="A2306" i="81"/>
  <c r="A2305" i="81"/>
  <c r="A2304" i="81"/>
  <c r="A2303" i="81"/>
  <c r="A2302" i="81"/>
  <c r="A2301" i="81"/>
  <c r="A2300" i="81"/>
  <c r="A2299" i="81"/>
  <c r="A2298" i="81"/>
  <c r="A2297" i="81"/>
  <c r="A2296" i="81"/>
  <c r="A2295" i="81"/>
  <c r="A2294" i="81"/>
  <c r="A2293" i="81"/>
  <c r="A2292" i="81"/>
  <c r="A2291" i="81"/>
  <c r="A2290" i="81"/>
  <c r="A2289" i="81"/>
  <c r="A2288" i="81"/>
  <c r="A2287" i="81"/>
  <c r="A2286" i="81"/>
  <c r="A2285" i="81"/>
  <c r="A2284" i="81"/>
  <c r="A2283" i="81"/>
  <c r="A2282" i="81"/>
  <c r="A2281" i="81"/>
  <c r="A2280" i="81"/>
  <c r="A2279" i="81"/>
  <c r="A2278" i="81"/>
  <c r="A2277" i="81"/>
  <c r="A2276" i="81"/>
  <c r="A2275" i="81"/>
  <c r="A2274" i="81"/>
  <c r="A2273" i="81"/>
  <c r="A2272" i="81"/>
  <c r="A2271" i="81"/>
  <c r="A2270" i="81"/>
  <c r="A2269" i="81"/>
  <c r="A2268" i="81"/>
  <c r="A2267" i="81"/>
  <c r="A2266" i="81"/>
  <c r="A2265" i="81"/>
  <c r="A2264" i="81"/>
  <c r="A2263" i="81"/>
  <c r="A2262" i="81"/>
  <c r="A2261" i="81"/>
  <c r="A2260" i="81"/>
  <c r="A2259" i="81"/>
  <c r="A2258" i="81"/>
  <c r="A2257" i="81"/>
  <c r="A2256" i="81"/>
  <c r="A2255" i="81"/>
  <c r="A2254" i="81"/>
  <c r="A2253" i="81"/>
  <c r="A2252" i="81"/>
  <c r="A2251" i="81"/>
  <c r="A2250" i="81"/>
  <c r="A2249" i="81"/>
  <c r="A2248" i="81"/>
  <c r="A2247" i="81"/>
  <c r="A2246" i="81"/>
  <c r="A2245" i="81"/>
  <c r="A2244" i="81"/>
  <c r="A2243" i="81"/>
  <c r="A2242" i="81"/>
  <c r="A2241" i="81"/>
  <c r="A2240" i="81"/>
  <c r="A2239" i="81"/>
  <c r="A2238" i="81"/>
  <c r="A2237" i="81"/>
  <c r="A2236" i="81"/>
  <c r="A2235" i="81"/>
  <c r="A2234" i="81"/>
  <c r="A2233" i="81"/>
  <c r="A2232" i="81"/>
  <c r="A2231" i="81"/>
  <c r="A2230" i="81"/>
  <c r="A2229" i="81"/>
  <c r="A2228" i="81"/>
  <c r="A2227" i="81"/>
  <c r="A2226" i="81"/>
  <c r="A2225" i="81"/>
  <c r="A2224" i="81"/>
  <c r="A2223" i="81"/>
  <c r="A2222" i="81"/>
  <c r="A2221" i="81"/>
  <c r="A2220" i="81"/>
  <c r="A2219" i="81"/>
  <c r="A2218" i="81"/>
  <c r="A2217" i="81"/>
  <c r="A2216" i="81"/>
  <c r="A2215" i="81"/>
  <c r="A2214" i="81"/>
  <c r="A2213" i="81"/>
  <c r="A2212" i="81"/>
  <c r="A2211" i="81"/>
  <c r="A2210" i="81"/>
  <c r="A2209" i="81"/>
  <c r="A2208" i="81"/>
  <c r="A2207" i="81"/>
  <c r="A2206" i="81"/>
  <c r="A2205" i="81"/>
  <c r="A2204" i="81"/>
  <c r="A2203" i="81"/>
  <c r="A2202" i="81"/>
  <c r="A2201" i="81"/>
  <c r="A2200" i="81"/>
  <c r="A2199" i="81"/>
  <c r="A2198" i="81"/>
  <c r="A2197" i="81"/>
  <c r="A2196" i="81"/>
  <c r="A2195" i="81"/>
  <c r="A2194" i="81"/>
  <c r="A2193" i="81"/>
  <c r="A2192" i="81"/>
  <c r="A2191" i="81"/>
  <c r="A2190" i="81"/>
  <c r="A2189" i="81"/>
  <c r="A2188" i="81"/>
  <c r="A2187" i="81"/>
  <c r="A2186" i="81"/>
  <c r="A2185" i="81"/>
  <c r="A2184" i="81"/>
  <c r="A2183" i="81"/>
  <c r="A2182" i="81"/>
  <c r="A2181" i="81"/>
  <c r="A2180" i="81"/>
  <c r="A2179" i="81"/>
  <c r="A2178" i="81"/>
  <c r="A2177" i="81"/>
  <c r="A2176" i="81"/>
  <c r="A2175" i="81"/>
  <c r="A2174" i="81"/>
  <c r="A2173" i="81"/>
  <c r="A2172" i="81"/>
  <c r="A2171" i="81"/>
  <c r="A2170" i="81"/>
  <c r="A2169" i="81"/>
  <c r="A2168" i="81"/>
  <c r="A2167" i="81"/>
  <c r="A2166" i="81"/>
  <c r="A2165" i="81"/>
  <c r="A2164" i="81"/>
  <c r="A2163" i="81"/>
  <c r="A2162" i="81"/>
  <c r="A2161" i="81"/>
  <c r="A2160" i="81"/>
  <c r="A2159" i="81"/>
  <c r="A2158" i="81"/>
  <c r="A2157" i="81"/>
  <c r="A2156" i="81"/>
  <c r="A2155" i="81"/>
  <c r="A2154" i="81"/>
  <c r="A2153" i="81"/>
  <c r="A2152" i="81"/>
  <c r="A2151" i="81"/>
  <c r="A2150" i="81"/>
  <c r="A2149" i="81"/>
  <c r="A2148" i="81"/>
  <c r="A2147" i="81"/>
  <c r="A2146" i="81"/>
  <c r="A2145" i="81"/>
  <c r="A2144" i="81"/>
  <c r="A2143" i="81"/>
  <c r="A2142" i="81"/>
  <c r="A2141" i="81"/>
  <c r="A2140" i="81"/>
  <c r="A2139" i="81"/>
  <c r="A2138" i="81"/>
  <c r="A2137" i="81"/>
  <c r="A2136" i="81"/>
  <c r="A2135" i="81"/>
  <c r="A2134" i="81"/>
  <c r="A2133" i="81"/>
  <c r="A2132" i="81"/>
  <c r="A2131" i="81"/>
  <c r="A2130" i="81"/>
  <c r="A2129" i="81"/>
  <c r="A2128" i="81"/>
  <c r="A2127" i="81"/>
  <c r="A2126" i="81"/>
  <c r="A2125" i="81"/>
  <c r="A2124" i="81"/>
  <c r="A2123" i="81"/>
  <c r="A2122" i="81"/>
  <c r="A2121" i="81"/>
  <c r="A2120" i="81"/>
  <c r="A2119" i="81"/>
  <c r="A2118" i="81"/>
  <c r="A2117" i="81"/>
  <c r="A2116" i="81"/>
  <c r="A2115" i="81"/>
  <c r="A2114" i="81"/>
  <c r="A2113" i="81"/>
  <c r="A2112" i="81"/>
  <c r="A2111" i="81"/>
  <c r="A2110" i="81"/>
  <c r="A2109" i="81"/>
  <c r="A2108" i="81"/>
  <c r="A2107" i="81"/>
  <c r="A2106" i="81"/>
  <c r="A2105" i="81"/>
  <c r="A2104" i="81"/>
  <c r="A2103" i="81"/>
  <c r="A2102" i="81"/>
  <c r="A2101" i="81"/>
  <c r="A2100" i="81"/>
  <c r="A2099" i="81"/>
  <c r="A2098" i="81"/>
  <c r="A2097" i="81"/>
  <c r="A2096" i="81"/>
  <c r="A2095" i="81"/>
  <c r="A2094" i="81"/>
  <c r="A2093" i="81"/>
  <c r="A2092" i="81"/>
  <c r="A2091" i="81"/>
  <c r="A2090" i="81"/>
  <c r="A2089" i="81"/>
  <c r="A2088" i="81"/>
  <c r="A2087" i="81"/>
  <c r="A2086" i="81"/>
  <c r="A2085" i="81"/>
  <c r="A2084" i="81"/>
  <c r="A2083" i="81"/>
  <c r="A2082" i="81"/>
  <c r="A2081" i="81"/>
  <c r="A2080" i="81"/>
  <c r="A2079" i="81"/>
  <c r="A2078" i="81"/>
  <c r="A2077" i="81"/>
  <c r="A2076" i="81"/>
  <c r="A2075" i="81"/>
  <c r="A2074" i="81"/>
  <c r="A2073" i="81"/>
  <c r="A2072" i="81"/>
  <c r="A2071" i="81"/>
  <c r="A2070" i="81"/>
  <c r="A2069" i="81"/>
  <c r="A2068" i="81"/>
  <c r="A2067" i="81"/>
  <c r="A2066" i="81"/>
  <c r="A2065" i="81"/>
  <c r="A2064" i="81"/>
  <c r="A2063" i="81"/>
  <c r="A2062" i="81"/>
  <c r="A2061" i="81"/>
  <c r="A2060" i="81"/>
  <c r="A2059" i="81"/>
  <c r="A2058" i="81"/>
  <c r="A2057" i="81"/>
  <c r="A2056" i="81"/>
  <c r="A2055" i="81"/>
  <c r="A2054" i="81"/>
  <c r="A2053" i="81"/>
  <c r="A2052" i="81"/>
  <c r="A2051" i="81"/>
  <c r="A2050" i="81"/>
  <c r="A2049" i="81"/>
  <c r="A2048" i="81"/>
  <c r="A2047" i="81"/>
  <c r="A2046" i="81"/>
  <c r="A2045" i="81"/>
  <c r="A2044" i="81"/>
  <c r="A2043" i="81"/>
  <c r="A2042" i="81"/>
  <c r="A2041" i="81"/>
  <c r="A2040" i="81"/>
  <c r="A2039" i="81"/>
  <c r="A2038" i="81"/>
  <c r="A2037" i="81"/>
  <c r="A2036" i="81"/>
  <c r="A2035" i="81"/>
  <c r="A2034" i="81"/>
  <c r="A2033" i="81"/>
  <c r="A2032" i="81"/>
  <c r="A2031" i="81"/>
  <c r="A2030" i="81"/>
  <c r="A2029" i="81"/>
  <c r="A2028" i="81"/>
  <c r="A2027" i="81"/>
  <c r="A2026" i="81"/>
  <c r="A2025" i="81"/>
  <c r="A2024" i="81"/>
  <c r="A2023" i="81"/>
  <c r="A2022" i="81"/>
  <c r="A2021" i="81"/>
  <c r="A2020" i="81"/>
  <c r="A2019" i="81"/>
  <c r="A2018" i="81"/>
  <c r="A2017" i="81"/>
  <c r="A2016" i="81"/>
  <c r="A2015" i="81"/>
  <c r="A2014" i="81"/>
  <c r="A2013" i="81"/>
  <c r="A2012" i="81"/>
  <c r="A2011" i="81"/>
  <c r="A2010" i="81"/>
  <c r="A2009" i="81"/>
  <c r="A2008" i="81"/>
  <c r="A2007" i="81"/>
  <c r="A2006" i="81"/>
  <c r="A2005" i="81"/>
  <c r="A2004" i="81"/>
  <c r="A2003" i="81"/>
  <c r="A2002" i="81"/>
  <c r="A2001" i="81"/>
  <c r="A2000" i="81"/>
  <c r="A1999" i="81"/>
  <c r="A1998" i="81"/>
  <c r="A1997" i="81"/>
  <c r="A1996" i="81"/>
  <c r="A1995" i="81"/>
  <c r="A1994" i="81"/>
  <c r="A1993" i="81"/>
  <c r="A1992" i="81"/>
  <c r="A1991" i="81"/>
  <c r="A1990" i="81"/>
  <c r="A1989" i="81"/>
  <c r="A1988" i="81"/>
  <c r="A1987" i="81"/>
  <c r="A1986" i="81"/>
  <c r="A1985" i="81"/>
  <c r="A1984" i="81"/>
  <c r="A1983" i="81"/>
  <c r="A1982" i="81"/>
  <c r="A1981" i="81"/>
  <c r="A1980" i="81"/>
  <c r="A1979" i="81"/>
  <c r="A1978" i="81"/>
  <c r="A1977" i="81"/>
  <c r="A1976" i="81"/>
  <c r="A1975" i="81"/>
  <c r="A1974" i="81"/>
  <c r="A1973" i="81"/>
  <c r="A1972" i="81"/>
  <c r="A1971" i="81"/>
  <c r="A1970" i="81"/>
  <c r="A1969" i="81"/>
  <c r="A1968" i="81"/>
  <c r="A1967" i="81"/>
  <c r="A1966" i="81"/>
  <c r="A1965" i="81"/>
  <c r="A1964" i="81"/>
  <c r="A1963" i="81"/>
  <c r="A1962" i="81"/>
  <c r="A1961" i="81"/>
  <c r="A1960" i="81"/>
  <c r="A1959" i="81"/>
  <c r="A1958" i="81"/>
  <c r="A1957" i="81"/>
  <c r="A1956" i="81"/>
  <c r="A1955" i="81"/>
  <c r="A1954" i="81"/>
  <c r="A1953" i="81"/>
  <c r="A1952" i="81"/>
  <c r="A1951" i="81"/>
  <c r="A1950" i="81"/>
  <c r="A1949" i="81"/>
  <c r="A1948" i="81"/>
  <c r="A1947" i="81"/>
  <c r="A1946" i="81"/>
  <c r="A1945" i="81"/>
  <c r="A1944" i="81"/>
  <c r="A1943" i="81"/>
  <c r="A1942" i="81"/>
  <c r="A1941" i="81"/>
  <c r="A1940" i="81"/>
  <c r="A1939" i="81"/>
  <c r="A1938" i="81"/>
  <c r="A1937" i="81"/>
  <c r="A1936" i="81"/>
  <c r="A1935" i="81"/>
  <c r="A1934" i="81"/>
  <c r="A1933" i="81"/>
  <c r="A1932" i="81"/>
  <c r="A1931" i="81"/>
  <c r="A1930" i="81"/>
  <c r="A1929" i="81"/>
  <c r="A1928" i="81"/>
  <c r="A1927" i="81"/>
  <c r="A1926" i="81"/>
  <c r="A1925" i="81"/>
  <c r="A1924" i="81"/>
  <c r="A1923" i="81"/>
  <c r="A1922" i="81"/>
  <c r="A1921" i="81"/>
  <c r="A1920" i="81"/>
  <c r="A1919" i="81"/>
  <c r="A1918" i="81"/>
  <c r="A1917" i="81"/>
  <c r="A1916" i="81"/>
  <c r="A1915" i="81"/>
  <c r="A1914" i="81"/>
  <c r="A1913" i="81"/>
  <c r="A1912" i="81"/>
  <c r="A1911" i="81"/>
  <c r="A1910" i="81"/>
  <c r="A1909" i="81"/>
  <c r="A1908" i="81"/>
  <c r="A1907" i="81"/>
  <c r="A1906" i="81"/>
  <c r="A1905" i="81"/>
  <c r="A1904" i="81"/>
  <c r="A1903" i="81"/>
  <c r="A1902" i="81"/>
  <c r="A1901" i="81"/>
  <c r="A1900" i="81"/>
  <c r="A1899" i="81"/>
  <c r="A1898" i="81"/>
  <c r="A1897" i="81"/>
  <c r="A1896" i="81"/>
  <c r="A1895" i="81"/>
  <c r="A1894" i="81"/>
  <c r="A1893" i="81"/>
  <c r="A1892" i="81"/>
  <c r="A1891" i="81"/>
  <c r="A1890" i="81"/>
  <c r="A1889" i="81"/>
  <c r="A1888" i="81"/>
  <c r="A1887" i="81"/>
  <c r="A1886" i="81"/>
  <c r="A1885" i="81"/>
  <c r="A1884" i="81"/>
  <c r="A1883" i="81"/>
  <c r="A1882" i="81"/>
  <c r="A1881" i="81"/>
  <c r="A1880" i="81"/>
  <c r="A1879" i="81"/>
  <c r="A1878" i="81"/>
  <c r="A1877" i="81"/>
  <c r="A1876" i="81"/>
  <c r="A1875" i="81"/>
  <c r="A1874" i="81"/>
  <c r="A1873" i="81"/>
  <c r="A1872" i="81"/>
  <c r="A1871" i="81"/>
  <c r="A1870" i="81"/>
  <c r="A1869" i="81"/>
  <c r="A1868" i="81"/>
  <c r="A1867" i="81"/>
  <c r="A1866" i="81"/>
  <c r="A1865" i="81"/>
  <c r="A1864" i="81"/>
  <c r="A1863" i="81"/>
  <c r="A1862" i="81"/>
  <c r="A1861" i="81"/>
  <c r="A1860" i="81"/>
  <c r="A1859" i="81"/>
  <c r="A1858" i="81"/>
  <c r="A1857" i="81"/>
  <c r="A1856" i="81"/>
  <c r="A1855" i="81"/>
  <c r="A1854" i="81"/>
  <c r="A1853" i="81"/>
  <c r="A1852" i="81"/>
  <c r="A1851" i="81"/>
  <c r="A1850" i="81"/>
  <c r="A1849" i="81"/>
  <c r="A1848" i="81"/>
  <c r="A1847" i="81"/>
  <c r="A1846" i="81"/>
  <c r="A1845" i="81"/>
  <c r="A1844" i="81"/>
  <c r="A1843" i="81"/>
  <c r="A1842" i="81"/>
  <c r="A1841" i="81"/>
  <c r="A1840" i="81"/>
  <c r="A1839" i="81"/>
  <c r="A1838" i="81"/>
  <c r="A1837" i="81"/>
  <c r="A1836" i="81"/>
  <c r="A1835" i="81"/>
  <c r="A1834" i="81"/>
  <c r="A1833" i="81"/>
  <c r="A1832" i="81"/>
  <c r="A1831" i="81"/>
  <c r="A1830" i="81"/>
  <c r="A1829" i="81"/>
  <c r="A1828" i="81"/>
  <c r="A1827" i="81"/>
  <c r="A1826" i="81"/>
  <c r="A1825" i="81"/>
  <c r="A1824" i="81"/>
  <c r="A1823" i="81"/>
  <c r="A1822" i="81"/>
  <c r="A1821" i="81"/>
  <c r="A1820" i="81"/>
  <c r="A1819" i="81"/>
  <c r="A1818" i="81"/>
  <c r="A1817" i="81"/>
  <c r="A1816" i="81"/>
  <c r="A1815" i="81"/>
  <c r="A1814" i="81"/>
  <c r="A1813" i="81"/>
  <c r="A1812" i="81"/>
  <c r="A1811" i="81"/>
  <c r="A1810" i="81"/>
  <c r="A1809" i="81"/>
  <c r="A1808" i="81"/>
  <c r="A1807" i="81"/>
  <c r="A1806" i="81"/>
  <c r="A1805" i="81"/>
  <c r="A1804" i="81"/>
  <c r="A1803" i="81"/>
  <c r="A1802" i="81"/>
  <c r="A1801" i="81"/>
  <c r="A1800" i="81"/>
  <c r="A1799" i="81"/>
  <c r="A1798" i="81"/>
  <c r="A1797" i="81"/>
  <c r="A1796" i="81"/>
  <c r="A1795" i="81"/>
  <c r="A1794" i="81"/>
  <c r="A1793" i="81"/>
  <c r="A1792" i="81"/>
  <c r="A1791" i="81"/>
  <c r="A1790" i="81"/>
  <c r="A1789" i="81"/>
  <c r="A1788" i="81"/>
  <c r="A1787" i="81"/>
  <c r="A1786" i="81"/>
  <c r="A1785" i="81"/>
  <c r="A1784" i="81"/>
  <c r="A1783" i="81"/>
  <c r="A1782" i="81"/>
  <c r="A1781" i="81"/>
  <c r="A1780" i="81"/>
  <c r="A1779" i="81"/>
  <c r="A1778" i="81"/>
  <c r="A1777" i="81"/>
  <c r="A1776" i="81"/>
  <c r="A1775" i="81"/>
  <c r="A1774" i="81"/>
  <c r="A1773" i="81"/>
  <c r="A1772" i="81"/>
  <c r="A1771" i="81"/>
  <c r="A1770" i="81"/>
  <c r="A1769" i="81"/>
  <c r="A1768" i="81"/>
  <c r="A1767" i="81"/>
  <c r="A1766" i="81"/>
  <c r="A1765" i="81"/>
  <c r="A1764" i="81"/>
  <c r="A1763" i="81"/>
  <c r="A1762" i="81"/>
  <c r="A1761" i="81"/>
  <c r="A1760" i="81"/>
  <c r="A1759" i="81"/>
  <c r="A1758" i="81"/>
  <c r="A1757" i="81"/>
  <c r="A1756" i="81"/>
  <c r="A1755" i="81"/>
  <c r="A1754" i="81"/>
  <c r="A1753" i="81"/>
  <c r="A1752" i="81"/>
  <c r="A1751" i="81"/>
  <c r="A1750" i="81"/>
  <c r="A1749" i="81"/>
  <c r="A1748" i="81"/>
  <c r="A1747" i="81"/>
  <c r="A1746" i="81"/>
  <c r="A1745" i="81"/>
  <c r="A1744" i="81"/>
  <c r="A1743" i="81"/>
  <c r="A1742" i="81"/>
  <c r="A1741" i="81"/>
  <c r="A1740" i="81"/>
  <c r="A1739" i="81"/>
  <c r="A1738" i="81"/>
  <c r="A1737" i="81"/>
  <c r="A1736" i="81"/>
  <c r="A1735" i="81"/>
  <c r="A1734" i="81"/>
  <c r="A1733" i="81"/>
  <c r="A1732" i="81"/>
  <c r="A1731" i="81"/>
  <c r="A1730" i="81"/>
  <c r="A1729" i="81"/>
  <c r="A1728" i="81"/>
  <c r="A1727" i="81"/>
  <c r="A1726" i="81"/>
  <c r="A1725" i="81"/>
  <c r="A1724" i="81"/>
  <c r="A1723" i="81"/>
  <c r="A1722" i="81"/>
  <c r="A1721" i="81"/>
  <c r="A1720" i="81"/>
  <c r="A1719" i="81"/>
  <c r="A1718" i="81"/>
  <c r="A1717" i="81"/>
  <c r="A1716" i="81"/>
  <c r="A1715" i="81"/>
  <c r="A1714" i="81"/>
  <c r="A1713" i="81"/>
  <c r="A1712" i="81"/>
  <c r="A1711" i="81"/>
  <c r="A1710" i="81"/>
  <c r="A1709" i="81"/>
  <c r="A1708" i="81"/>
  <c r="A1707" i="81"/>
  <c r="A1706" i="81"/>
  <c r="A1705" i="81"/>
  <c r="A1704" i="81"/>
  <c r="A1703" i="81"/>
  <c r="A1702" i="81"/>
  <c r="A1701" i="81"/>
  <c r="A1700" i="81"/>
  <c r="A1699" i="81"/>
  <c r="A1698" i="81"/>
  <c r="A1697" i="81"/>
  <c r="A1696" i="81"/>
  <c r="A1695" i="81"/>
  <c r="A1694" i="81"/>
  <c r="A1693" i="81"/>
  <c r="A1692" i="81"/>
  <c r="A1691" i="81"/>
  <c r="A1690" i="81"/>
  <c r="A1689" i="81"/>
  <c r="A1688" i="81"/>
  <c r="A1687" i="81"/>
  <c r="A1686" i="81"/>
  <c r="A1685" i="81"/>
  <c r="A1684" i="81"/>
  <c r="A1683" i="81"/>
  <c r="A1682" i="81"/>
  <c r="A1681" i="81"/>
  <c r="A1680" i="81"/>
  <c r="A1679" i="81"/>
  <c r="A1678" i="81"/>
  <c r="A1677" i="81"/>
  <c r="A1676" i="81"/>
  <c r="A1675" i="81"/>
  <c r="A1674" i="81"/>
  <c r="A1673" i="81"/>
  <c r="A1672" i="81"/>
  <c r="A1671" i="81"/>
  <c r="A1670" i="81"/>
  <c r="A1669" i="81"/>
  <c r="A1668" i="81"/>
  <c r="A1667" i="81"/>
  <c r="A1666" i="81"/>
  <c r="A1665" i="81"/>
  <c r="A1664" i="81"/>
  <c r="A1663" i="81"/>
  <c r="A1662" i="81"/>
  <c r="A1661" i="81"/>
  <c r="A1660" i="81"/>
  <c r="A1659" i="81"/>
  <c r="A1658" i="81"/>
  <c r="A1657" i="81"/>
  <c r="A1656" i="81"/>
  <c r="A1655" i="81"/>
  <c r="A1654" i="81"/>
  <c r="A1653" i="81"/>
  <c r="A1652" i="81"/>
  <c r="A1651" i="81"/>
  <c r="A1650" i="81"/>
  <c r="A1649" i="81"/>
  <c r="A1648" i="81"/>
  <c r="A1647" i="81"/>
  <c r="A1646" i="81"/>
  <c r="A1645" i="81"/>
  <c r="A1644" i="81"/>
  <c r="A1643" i="81"/>
  <c r="A1642" i="81"/>
  <c r="A1641" i="81"/>
  <c r="A1640" i="81"/>
  <c r="A1639" i="81"/>
  <c r="A1638" i="81"/>
  <c r="A1637" i="81"/>
  <c r="A1636" i="81"/>
  <c r="A1635" i="81"/>
  <c r="A1634" i="81"/>
  <c r="A1633" i="81"/>
  <c r="A1632" i="81"/>
  <c r="A1631" i="81"/>
  <c r="A1630" i="81"/>
  <c r="A1629" i="81"/>
  <c r="A1628" i="81"/>
  <c r="A1627" i="81"/>
  <c r="A1626" i="81"/>
  <c r="A1625" i="81"/>
  <c r="A1624" i="81"/>
  <c r="A1623" i="81"/>
  <c r="A1622" i="81"/>
  <c r="A1621" i="81"/>
  <c r="A1620" i="81"/>
  <c r="A1619" i="81"/>
  <c r="A1618" i="81"/>
  <c r="A1617" i="81"/>
  <c r="A1616" i="81"/>
  <c r="A1615" i="81"/>
  <c r="A1614" i="81"/>
  <c r="A1613" i="81"/>
  <c r="A1612" i="81"/>
  <c r="A1611" i="81"/>
  <c r="A1610" i="81"/>
  <c r="A1609" i="81"/>
  <c r="A1608" i="81"/>
  <c r="A1607" i="81"/>
  <c r="A1606" i="81"/>
  <c r="A1605" i="81"/>
  <c r="A1604" i="81"/>
  <c r="A1603" i="81"/>
  <c r="A1602" i="81"/>
  <c r="A1601" i="81"/>
  <c r="A1600" i="81"/>
  <c r="A1599" i="81"/>
  <c r="A1598" i="81"/>
  <c r="A1597" i="81"/>
  <c r="A1596" i="81"/>
  <c r="A1595" i="81"/>
  <c r="A1594" i="81"/>
  <c r="A1593" i="81"/>
  <c r="A1592" i="81"/>
  <c r="A1591" i="81"/>
  <c r="A1590" i="81"/>
  <c r="A1589" i="81"/>
  <c r="A1588" i="81"/>
  <c r="A1587" i="81"/>
  <c r="A1586" i="81"/>
  <c r="A1585" i="81"/>
  <c r="A1584" i="81"/>
  <c r="A1583" i="81"/>
  <c r="A1582" i="81"/>
  <c r="A1581" i="81"/>
  <c r="A1580" i="81"/>
  <c r="A1579" i="81"/>
  <c r="A1578" i="81"/>
  <c r="A1577" i="81"/>
  <c r="A1576" i="81"/>
  <c r="A1575" i="81"/>
  <c r="A1574" i="81"/>
  <c r="A1573" i="81"/>
  <c r="A1572" i="81"/>
  <c r="A1571" i="81"/>
  <c r="A1570" i="81"/>
  <c r="A1569" i="81"/>
  <c r="A1568" i="81"/>
  <c r="A1567" i="81"/>
  <c r="A1566" i="81"/>
  <c r="A1565" i="81"/>
  <c r="A1564" i="81"/>
  <c r="A1563" i="81"/>
  <c r="A1562" i="81"/>
  <c r="A1561" i="81"/>
  <c r="A1560" i="81"/>
  <c r="A1559" i="81"/>
  <c r="A1558" i="81"/>
  <c r="A1557" i="81"/>
  <c r="A1556" i="81"/>
  <c r="A1555" i="81"/>
  <c r="A1554" i="81"/>
  <c r="A1553" i="81"/>
  <c r="A1552" i="81"/>
  <c r="A1551" i="81"/>
  <c r="A1550" i="81"/>
  <c r="A1549" i="81"/>
  <c r="A1548" i="81"/>
  <c r="A1547" i="81"/>
  <c r="A1546" i="81"/>
  <c r="A1545" i="81"/>
  <c r="A1544" i="81"/>
  <c r="A1543" i="81"/>
  <c r="A1542" i="81"/>
  <c r="A1541" i="81"/>
  <c r="A1540" i="81"/>
  <c r="A1539" i="81"/>
  <c r="A1538" i="81"/>
  <c r="A1537" i="81"/>
  <c r="A1536" i="81"/>
  <c r="A1535" i="81"/>
  <c r="A1534" i="81"/>
  <c r="A1533" i="81"/>
  <c r="A1532" i="81"/>
  <c r="A1531" i="81"/>
  <c r="A1530" i="81"/>
  <c r="A1529" i="81"/>
  <c r="A1528" i="81"/>
  <c r="A1527" i="81"/>
  <c r="A1526" i="81"/>
  <c r="A1525" i="81"/>
  <c r="A1524" i="81"/>
  <c r="A1523" i="81"/>
  <c r="A1522" i="81"/>
  <c r="A1521" i="81"/>
  <c r="A1520" i="81"/>
  <c r="A1519" i="81"/>
  <c r="A1518" i="81"/>
  <c r="A1517" i="81"/>
  <c r="A1516" i="81"/>
  <c r="A1515" i="81"/>
  <c r="A1514" i="81"/>
  <c r="A1513" i="81"/>
  <c r="A1512" i="81"/>
  <c r="A1511" i="81"/>
  <c r="A1510" i="81"/>
  <c r="A1509" i="81"/>
  <c r="A1508" i="81"/>
  <c r="A1507" i="81"/>
  <c r="A1506" i="81"/>
  <c r="A1505" i="81"/>
  <c r="A1504" i="81"/>
  <c r="A1503" i="81"/>
  <c r="A1502" i="81"/>
  <c r="A1501" i="81"/>
  <c r="A1500" i="81"/>
  <c r="A1499" i="81"/>
  <c r="A1498" i="81"/>
  <c r="A1497" i="81"/>
  <c r="A1496" i="81"/>
  <c r="A1495" i="81"/>
  <c r="A1494" i="81"/>
  <c r="A1493" i="81"/>
  <c r="A1492" i="81"/>
  <c r="A1491" i="81"/>
  <c r="A1490" i="81"/>
  <c r="A1489" i="81"/>
  <c r="A1488" i="81"/>
  <c r="A1487" i="81"/>
  <c r="A1486" i="81"/>
  <c r="A1485" i="81"/>
  <c r="A1484" i="81"/>
  <c r="A1483" i="81"/>
  <c r="A1482" i="81"/>
  <c r="A1481" i="81"/>
  <c r="A1480" i="81"/>
  <c r="A1479" i="81"/>
  <c r="A1478" i="81"/>
  <c r="A1477" i="81"/>
  <c r="A1476" i="81"/>
  <c r="A1475" i="81"/>
  <c r="A1474" i="81"/>
  <c r="A1473" i="81"/>
  <c r="A1472" i="81"/>
  <c r="A1471" i="81"/>
  <c r="A1470" i="81"/>
  <c r="A1469" i="81"/>
  <c r="A1468" i="81"/>
  <c r="A1467" i="81"/>
  <c r="A1466" i="81"/>
  <c r="A1465" i="81"/>
  <c r="A1464" i="81"/>
  <c r="A1463" i="81"/>
  <c r="A1462" i="81"/>
  <c r="A1461" i="81"/>
  <c r="A1460" i="81"/>
  <c r="A1459" i="81"/>
  <c r="A1458" i="81"/>
  <c r="A1457" i="81"/>
  <c r="A1456" i="81"/>
  <c r="A1455" i="81"/>
  <c r="A1454" i="81"/>
  <c r="A1453" i="81"/>
  <c r="A1452" i="81"/>
  <c r="A1451" i="81"/>
  <c r="A1450" i="81"/>
  <c r="A1449" i="81"/>
  <c r="A1448" i="81"/>
  <c r="A1447" i="81"/>
  <c r="A1446" i="81"/>
  <c r="A1445" i="81"/>
  <c r="A1444" i="81"/>
  <c r="A1443" i="81"/>
  <c r="A1442" i="81"/>
  <c r="A1441" i="81"/>
  <c r="A1440" i="81"/>
  <c r="A1439" i="81"/>
  <c r="A1438" i="81"/>
  <c r="A1437" i="81"/>
  <c r="A1436" i="81"/>
  <c r="A1435" i="81"/>
  <c r="A1434" i="81"/>
  <c r="A1433" i="81"/>
  <c r="A1432" i="81"/>
  <c r="A1431" i="81"/>
  <c r="A1430" i="81"/>
  <c r="A1429" i="81"/>
  <c r="A1428" i="81"/>
  <c r="A1427" i="81"/>
  <c r="A1426" i="81"/>
  <c r="A1425" i="81"/>
  <c r="A1424" i="81"/>
  <c r="A1423" i="81"/>
  <c r="A1422" i="81"/>
  <c r="A1421" i="81"/>
  <c r="A1420" i="81"/>
  <c r="A1419" i="81"/>
  <c r="A1418" i="81"/>
  <c r="A1417" i="81"/>
  <c r="A1416" i="81"/>
  <c r="A1415" i="81"/>
  <c r="A1414" i="81"/>
  <c r="A1413" i="81"/>
  <c r="A1412" i="81"/>
  <c r="A1411" i="81"/>
  <c r="A1410" i="81"/>
  <c r="A1409" i="81"/>
  <c r="A1408" i="81"/>
  <c r="A1407" i="81"/>
  <c r="A1406" i="81"/>
  <c r="A1405" i="81"/>
  <c r="A1404" i="81"/>
  <c r="A1403" i="81"/>
  <c r="A1402" i="81"/>
  <c r="A1401" i="81"/>
  <c r="A1400" i="81"/>
  <c r="A1399" i="81"/>
  <c r="A1398" i="81"/>
  <c r="A1397" i="81"/>
  <c r="A1396" i="81"/>
  <c r="A1395" i="81"/>
  <c r="A1394" i="81"/>
  <c r="A1393" i="81"/>
  <c r="A1392" i="81"/>
  <c r="A1391" i="81"/>
  <c r="A1390" i="81"/>
  <c r="A1389" i="81"/>
  <c r="A1388" i="81"/>
  <c r="A1387" i="81"/>
  <c r="A1386" i="81"/>
  <c r="A1385" i="81"/>
  <c r="A1384" i="81"/>
  <c r="A1383" i="81"/>
  <c r="A1382" i="81"/>
  <c r="A1381" i="81"/>
  <c r="A1380" i="81"/>
  <c r="A1379" i="81"/>
  <c r="A1378" i="81"/>
  <c r="A1377" i="81"/>
  <c r="A1376" i="81"/>
  <c r="A1375" i="81"/>
  <c r="A1374" i="81"/>
  <c r="A1373" i="81"/>
  <c r="A1372" i="81"/>
  <c r="A1371" i="81"/>
  <c r="A1370" i="81"/>
  <c r="A1369" i="81"/>
  <c r="A1368" i="81"/>
  <c r="A1367" i="81"/>
  <c r="A1366" i="81"/>
  <c r="A1365" i="81"/>
  <c r="A1364" i="81"/>
  <c r="A1363" i="81"/>
  <c r="A1362" i="81"/>
  <c r="A1361" i="81"/>
  <c r="A1360" i="81"/>
  <c r="A1359" i="81"/>
  <c r="A1358" i="81"/>
  <c r="A1357" i="81"/>
  <c r="A1356" i="81"/>
  <c r="A1355" i="81"/>
  <c r="A1354" i="81"/>
  <c r="A1353" i="81"/>
  <c r="A1352" i="81"/>
  <c r="A1351" i="81"/>
  <c r="A1350" i="81"/>
  <c r="A1349" i="81"/>
  <c r="A1348" i="81"/>
  <c r="A1347" i="81"/>
  <c r="A1346" i="81"/>
  <c r="A1345" i="81"/>
  <c r="A1344" i="81"/>
  <c r="A1343" i="81"/>
  <c r="A1342" i="81"/>
  <c r="A1341" i="81"/>
  <c r="A1340" i="81"/>
  <c r="A1339" i="81"/>
  <c r="A1338" i="81"/>
  <c r="A1337" i="81"/>
  <c r="A1336" i="81"/>
  <c r="A1335" i="81"/>
  <c r="A1334" i="81"/>
  <c r="A1333" i="81"/>
  <c r="A1332" i="81"/>
  <c r="A1331" i="81"/>
  <c r="A1330" i="81"/>
  <c r="A1329" i="81"/>
  <c r="A1328" i="81"/>
  <c r="A1327" i="81"/>
  <c r="A1326" i="81"/>
  <c r="A1325" i="81"/>
  <c r="A1324" i="81"/>
  <c r="A1323" i="81"/>
  <c r="A1322" i="81"/>
  <c r="A1321" i="81"/>
  <c r="A1320" i="81"/>
  <c r="A1319" i="81"/>
  <c r="A1318" i="81"/>
  <c r="A1317" i="81"/>
  <c r="A1316" i="81"/>
  <c r="A1315" i="81"/>
  <c r="A1314" i="81"/>
  <c r="A1313" i="81"/>
  <c r="A1312" i="81"/>
  <c r="A1311" i="81"/>
  <c r="A1310" i="81"/>
  <c r="A1309" i="81"/>
  <c r="A1308" i="81"/>
  <c r="A1307" i="81"/>
  <c r="A1306" i="81"/>
  <c r="A1305" i="81"/>
  <c r="A1304" i="81"/>
  <c r="A1303" i="81"/>
  <c r="A1302" i="81"/>
  <c r="A1301" i="81"/>
  <c r="A1300" i="81"/>
  <c r="A1299" i="81"/>
  <c r="A1298" i="81"/>
  <c r="A1297" i="81"/>
  <c r="A1296" i="81"/>
  <c r="A1295" i="81"/>
  <c r="A1294" i="81"/>
  <c r="A1293" i="81"/>
  <c r="A1292" i="81"/>
  <c r="A1291" i="81"/>
  <c r="A1290" i="81"/>
  <c r="A1289" i="81"/>
  <c r="A1288" i="81"/>
  <c r="A1287" i="81"/>
  <c r="A1286" i="81"/>
  <c r="A1285" i="81"/>
  <c r="A1284" i="81"/>
  <c r="A1283" i="81"/>
  <c r="A1282" i="81"/>
  <c r="A1281" i="81"/>
  <c r="A1280" i="81"/>
  <c r="A1279" i="81"/>
  <c r="A1278" i="81"/>
  <c r="A1277" i="81"/>
  <c r="A1276" i="81"/>
  <c r="A1275" i="81"/>
  <c r="A1274" i="81"/>
  <c r="A1273" i="81"/>
  <c r="A1272" i="81"/>
  <c r="A1271" i="81"/>
  <c r="A1270" i="81"/>
  <c r="A1269" i="81"/>
  <c r="A1268" i="81"/>
  <c r="A1267" i="81"/>
  <c r="A1266" i="81"/>
  <c r="A1265" i="81"/>
  <c r="A1264" i="81"/>
  <c r="A1263" i="81"/>
  <c r="A1262" i="81"/>
  <c r="A1261" i="81"/>
  <c r="A1260" i="81"/>
  <c r="A1259" i="81"/>
  <c r="A1258" i="81"/>
  <c r="A1257" i="81"/>
  <c r="A1256" i="81"/>
  <c r="A1255" i="81"/>
  <c r="A1254" i="81"/>
  <c r="A1253" i="81"/>
  <c r="A1252" i="81"/>
  <c r="A1251" i="81"/>
  <c r="A1250" i="81"/>
  <c r="A1249" i="81"/>
  <c r="A1248" i="81"/>
  <c r="A1247" i="81"/>
  <c r="A1246" i="81"/>
  <c r="A1245" i="81"/>
  <c r="A1244" i="81"/>
  <c r="A1243" i="81"/>
  <c r="A1242" i="81"/>
  <c r="A1241" i="81"/>
  <c r="A1240" i="81"/>
  <c r="A1239" i="81"/>
  <c r="A1238" i="81"/>
  <c r="A1237" i="81"/>
  <c r="A1236" i="81"/>
  <c r="A1235" i="81"/>
  <c r="A1234" i="81"/>
  <c r="A1233" i="81"/>
  <c r="A1232" i="81"/>
  <c r="A1231" i="81"/>
  <c r="A1230" i="81"/>
  <c r="A1229" i="81"/>
  <c r="A1228" i="81"/>
  <c r="A1227" i="81"/>
  <c r="A1226" i="81"/>
  <c r="A1225" i="81"/>
  <c r="A1224" i="81"/>
  <c r="A1223" i="81"/>
  <c r="A1222" i="81"/>
  <c r="A1221" i="81"/>
  <c r="A1220" i="81"/>
  <c r="A1219" i="81"/>
  <c r="A1218" i="81"/>
  <c r="A1217" i="81"/>
  <c r="A1216" i="81"/>
  <c r="A1215" i="81"/>
  <c r="A1214" i="81"/>
  <c r="A1213" i="81"/>
  <c r="A1212" i="81"/>
  <c r="A1211" i="81"/>
  <c r="A1210" i="81"/>
  <c r="A1209" i="81"/>
  <c r="A1208" i="81"/>
  <c r="A1207" i="81"/>
  <c r="A1206" i="81"/>
  <c r="A1205" i="81"/>
  <c r="A1204" i="81"/>
  <c r="A1203" i="81"/>
  <c r="A1202" i="81"/>
  <c r="A1201" i="81"/>
  <c r="A1200" i="81"/>
  <c r="A1199" i="81"/>
  <c r="A1198" i="81"/>
  <c r="A1197" i="81"/>
  <c r="A1196" i="81"/>
  <c r="A1195" i="81"/>
  <c r="A1194" i="81"/>
  <c r="A1193" i="81"/>
  <c r="A1192" i="81"/>
  <c r="A1191" i="81"/>
  <c r="A1190" i="81"/>
  <c r="A1189" i="81"/>
  <c r="A1188" i="81"/>
  <c r="A1187" i="81"/>
  <c r="A1186" i="81"/>
  <c r="A1185" i="81"/>
  <c r="A1184" i="81"/>
  <c r="A1183" i="81"/>
  <c r="A1182" i="81"/>
  <c r="A1181" i="81"/>
  <c r="A1180" i="81"/>
  <c r="A1179" i="81"/>
  <c r="A1178" i="81"/>
  <c r="A1177" i="81"/>
  <c r="A1176" i="81"/>
  <c r="A1175" i="81"/>
  <c r="A1174" i="81"/>
  <c r="A1173" i="81"/>
  <c r="A1172" i="81"/>
  <c r="A1171" i="81"/>
  <c r="A1170" i="81"/>
  <c r="A1169" i="81"/>
  <c r="A1168" i="81"/>
  <c r="A1167" i="81"/>
  <c r="A1166" i="81"/>
  <c r="A1165" i="81"/>
  <c r="A1164" i="81"/>
  <c r="A1163" i="81"/>
  <c r="A1162" i="81"/>
  <c r="A1161" i="81"/>
  <c r="A1160" i="81"/>
  <c r="A1159" i="81"/>
  <c r="A1158" i="81"/>
  <c r="A1157" i="81"/>
  <c r="A1156" i="81"/>
  <c r="A1155" i="81"/>
  <c r="A1154" i="81"/>
  <c r="A1153" i="81"/>
  <c r="A1152" i="81"/>
  <c r="A1151" i="81"/>
  <c r="A1150" i="81"/>
  <c r="A1149" i="81"/>
  <c r="A1148" i="81"/>
  <c r="A1147" i="81"/>
  <c r="A1146" i="81"/>
  <c r="A1145" i="81"/>
  <c r="A1144" i="81"/>
  <c r="A1143" i="81"/>
  <c r="A1142" i="81"/>
  <c r="A1141" i="81"/>
  <c r="A1140" i="81"/>
  <c r="A1139" i="81"/>
  <c r="A1138" i="81"/>
  <c r="A1137" i="81"/>
  <c r="A1136" i="81"/>
  <c r="A1135" i="81"/>
  <c r="A1134" i="81"/>
  <c r="A1133" i="81"/>
  <c r="A1132" i="81"/>
  <c r="A1131" i="81"/>
  <c r="A1130" i="81"/>
  <c r="A1129" i="81"/>
  <c r="A1128" i="81"/>
  <c r="A1127" i="81"/>
  <c r="A1126" i="81"/>
  <c r="A1125" i="81"/>
  <c r="A1124" i="81"/>
  <c r="A1123" i="81"/>
  <c r="A1122" i="81"/>
  <c r="A1121" i="81"/>
  <c r="A1120" i="81"/>
  <c r="A1119" i="81"/>
  <c r="A1118" i="81"/>
  <c r="A1117" i="81"/>
  <c r="A1116" i="81"/>
  <c r="A1115" i="81"/>
  <c r="A1114" i="81"/>
  <c r="A1113" i="81"/>
  <c r="A1112" i="81"/>
  <c r="A1111" i="81"/>
  <c r="A1110" i="81"/>
  <c r="A1109" i="81"/>
  <c r="A1108" i="81"/>
  <c r="A1107" i="81"/>
  <c r="A1106" i="81"/>
  <c r="A1105" i="81"/>
  <c r="A1104" i="81"/>
  <c r="A1103" i="81"/>
  <c r="A1102" i="81"/>
  <c r="A1101" i="81"/>
  <c r="A1100" i="81"/>
  <c r="A1099" i="81"/>
  <c r="A1098" i="81"/>
  <c r="A1097" i="81"/>
  <c r="A1096" i="81"/>
  <c r="A1095" i="81"/>
  <c r="A1094" i="81"/>
  <c r="A1093" i="81"/>
  <c r="A1092" i="81"/>
  <c r="A1091" i="81"/>
  <c r="A1090" i="81"/>
  <c r="A1089" i="81"/>
  <c r="A1088" i="81"/>
  <c r="A1087" i="81"/>
  <c r="A1086" i="81"/>
  <c r="A1085" i="81"/>
  <c r="A1084" i="81"/>
  <c r="A1083" i="81"/>
  <c r="A1082" i="81"/>
  <c r="A1081" i="81"/>
  <c r="A1080" i="81"/>
  <c r="A1079" i="81"/>
  <c r="A1078" i="81"/>
  <c r="A1077" i="81"/>
  <c r="A1076" i="81"/>
  <c r="A1075" i="81"/>
  <c r="A1074" i="81"/>
  <c r="A1073" i="81"/>
  <c r="A1072" i="81"/>
  <c r="A1071" i="81"/>
  <c r="A1070" i="81"/>
  <c r="A1069" i="81"/>
  <c r="A1068" i="81"/>
  <c r="A1067" i="81"/>
  <c r="A1066" i="81"/>
  <c r="A1065" i="81"/>
  <c r="A1064" i="81"/>
  <c r="A1063" i="81"/>
  <c r="A1062" i="81"/>
  <c r="A1061" i="81"/>
  <c r="A1060" i="81"/>
  <c r="A1059" i="81"/>
  <c r="A1058" i="81"/>
  <c r="A1057" i="81"/>
  <c r="A1056" i="81"/>
  <c r="A1055" i="81"/>
  <c r="A1054" i="81"/>
  <c r="A1053" i="81"/>
  <c r="A1052" i="81"/>
  <c r="A1051" i="81"/>
  <c r="A1050" i="81"/>
  <c r="A1049" i="81"/>
  <c r="A1048" i="81"/>
  <c r="A1047" i="81"/>
  <c r="A1046" i="81"/>
  <c r="A1045" i="81"/>
  <c r="A1044" i="81"/>
  <c r="A1037" i="81"/>
  <c r="A1036" i="81"/>
  <c r="A1035" i="81"/>
  <c r="A1034" i="81"/>
  <c r="A1033" i="81"/>
  <c r="A1032" i="81"/>
  <c r="A1031" i="81"/>
  <c r="A1030" i="81"/>
  <c r="A1029" i="81"/>
  <c r="A1028" i="81"/>
  <c r="A1027" i="81"/>
  <c r="A1026" i="81"/>
  <c r="A1025" i="81"/>
  <c r="A1024" i="81"/>
  <c r="A1023" i="81"/>
  <c r="A1022" i="81"/>
  <c r="A1021" i="81"/>
  <c r="A1020" i="81"/>
  <c r="A1019" i="81"/>
  <c r="A1018" i="81"/>
  <c r="A1017" i="81"/>
  <c r="A1016" i="81"/>
  <c r="A1015" i="81"/>
  <c r="A1014" i="81"/>
  <c r="A1013" i="81"/>
  <c r="A1012" i="81"/>
  <c r="A1011" i="81"/>
  <c r="A1010" i="81"/>
  <c r="A1009" i="81"/>
  <c r="A1008" i="81"/>
  <c r="A1007" i="81"/>
  <c r="A1006" i="81"/>
  <c r="A1005" i="81"/>
  <c r="A1004" i="81"/>
  <c r="A1003" i="81"/>
  <c r="A1002" i="81"/>
  <c r="A1001" i="81"/>
  <c r="A1000" i="81"/>
  <c r="A999" i="81"/>
  <c r="A998" i="81"/>
  <c r="A997" i="81"/>
  <c r="A996" i="81"/>
  <c r="A995" i="81"/>
  <c r="A994" i="81"/>
  <c r="A993" i="81"/>
  <c r="A992" i="81"/>
  <c r="A991" i="81"/>
  <c r="A990" i="81"/>
  <c r="A989" i="81"/>
  <c r="A988" i="81"/>
  <c r="A987" i="81"/>
  <c r="A986" i="81"/>
  <c r="A985" i="81"/>
  <c r="A984" i="81"/>
  <c r="A983" i="81"/>
  <c r="A982" i="81"/>
  <c r="A981" i="81"/>
  <c r="A980" i="81"/>
  <c r="A979" i="81"/>
  <c r="A978" i="81"/>
  <c r="A977" i="81"/>
  <c r="A976" i="81"/>
  <c r="A975" i="81"/>
  <c r="A974" i="81"/>
  <c r="A973" i="81"/>
  <c r="A972" i="81"/>
  <c r="A971" i="81"/>
  <c r="A970" i="81"/>
  <c r="A969" i="81"/>
  <c r="A968" i="81"/>
  <c r="A967" i="81"/>
  <c r="A966" i="81"/>
  <c r="A965" i="81"/>
  <c r="A964" i="81"/>
  <c r="A963" i="81"/>
  <c r="A962" i="81"/>
  <c r="A961" i="81"/>
  <c r="A960" i="81"/>
  <c r="A959" i="81"/>
  <c r="A958" i="81"/>
  <c r="A957" i="81"/>
  <c r="A956" i="81"/>
  <c r="A955" i="81"/>
  <c r="A954" i="81"/>
  <c r="A953" i="81"/>
  <c r="A952" i="81"/>
  <c r="A951" i="81"/>
  <c r="A950" i="81"/>
  <c r="A949" i="81"/>
  <c r="A948" i="81"/>
  <c r="A947" i="81"/>
  <c r="A946" i="81"/>
  <c r="A945" i="81"/>
  <c r="A944" i="81"/>
  <c r="A943" i="81"/>
  <c r="A942" i="81"/>
  <c r="A941" i="81"/>
  <c r="A940" i="81"/>
  <c r="A939" i="81"/>
  <c r="A938" i="81"/>
  <c r="A937" i="81"/>
  <c r="A936" i="81"/>
  <c r="A935" i="81"/>
  <c r="A934" i="81"/>
  <c r="A933" i="81"/>
  <c r="A932" i="81"/>
  <c r="A931" i="81"/>
  <c r="A930" i="81"/>
  <c r="A929" i="81"/>
  <c r="A928" i="81"/>
  <c r="A927" i="81"/>
  <c r="A926" i="81"/>
  <c r="A925" i="81"/>
  <c r="A924" i="81"/>
  <c r="A923" i="81"/>
  <c r="A922" i="81"/>
  <c r="A921" i="81"/>
  <c r="A920" i="81"/>
  <c r="A919" i="81"/>
  <c r="A918" i="81"/>
  <c r="A917" i="81"/>
  <c r="A916" i="81"/>
  <c r="A915" i="81"/>
  <c r="A914" i="81"/>
  <c r="A913" i="81"/>
  <c r="A912" i="81"/>
  <c r="A911" i="81"/>
  <c r="A910" i="81"/>
  <c r="A909" i="81"/>
  <c r="A908" i="81"/>
  <c r="A907" i="81"/>
  <c r="A906" i="81"/>
  <c r="A905" i="81"/>
  <c r="A904" i="81"/>
  <c r="A903" i="81"/>
  <c r="A902" i="81"/>
  <c r="A901" i="81"/>
  <c r="A900" i="81"/>
  <c r="A899" i="81"/>
  <c r="A898" i="81"/>
  <c r="A897" i="81"/>
  <c r="A896" i="81"/>
  <c r="A895" i="81"/>
  <c r="A894" i="81"/>
  <c r="A893" i="81"/>
  <c r="A892" i="81"/>
  <c r="A891" i="81"/>
  <c r="A890" i="81"/>
  <c r="A889" i="81"/>
  <c r="A888" i="81"/>
  <c r="A887" i="81"/>
  <c r="A886" i="81"/>
  <c r="A885" i="81"/>
  <c r="A884" i="81"/>
  <c r="A883" i="81"/>
  <c r="A882" i="81"/>
  <c r="A881" i="81"/>
  <c r="A880" i="81"/>
  <c r="A879" i="81"/>
  <c r="A878" i="81"/>
  <c r="A877" i="81"/>
  <c r="A876" i="81"/>
  <c r="A875" i="81"/>
  <c r="A874" i="81"/>
  <c r="A873" i="81"/>
  <c r="A872" i="81"/>
  <c r="A871" i="81"/>
  <c r="A870" i="81"/>
  <c r="A869" i="81"/>
  <c r="A868" i="81"/>
  <c r="A867" i="81"/>
  <c r="A866" i="81"/>
  <c r="A865" i="81"/>
  <c r="A864" i="81"/>
  <c r="A863" i="81"/>
  <c r="A862" i="81"/>
  <c r="A861" i="81"/>
  <c r="A860" i="81"/>
  <c r="A859" i="81"/>
  <c r="A858" i="81"/>
  <c r="A857" i="81"/>
  <c r="A856" i="81"/>
  <c r="A855" i="81"/>
  <c r="A854" i="81"/>
  <c r="A853" i="81"/>
  <c r="A852" i="81"/>
  <c r="A851" i="81"/>
  <c r="A850" i="81"/>
  <c r="A849" i="81"/>
  <c r="A848" i="81"/>
  <c r="A847" i="81"/>
  <c r="A846" i="81"/>
  <c r="A845" i="81"/>
  <c r="A844" i="81"/>
  <c r="A843" i="81"/>
  <c r="A842" i="81"/>
  <c r="A841" i="81"/>
  <c r="A840" i="81"/>
  <c r="A839" i="81"/>
  <c r="A838" i="81"/>
  <c r="A837" i="81"/>
  <c r="A836" i="81"/>
  <c r="A835" i="81"/>
  <c r="A834" i="81"/>
  <c r="A833" i="81"/>
  <c r="A832" i="81"/>
  <c r="A831" i="81"/>
  <c r="A830" i="81"/>
  <c r="A829" i="81"/>
  <c r="A828" i="81"/>
  <c r="A827" i="81"/>
  <c r="A826" i="81"/>
  <c r="A825" i="81"/>
  <c r="A824" i="81"/>
  <c r="A823" i="81"/>
  <c r="A822" i="81"/>
  <c r="A821" i="81"/>
  <c r="A820" i="81"/>
  <c r="A819" i="81"/>
  <c r="A818" i="81"/>
  <c r="A817" i="81"/>
  <c r="A816" i="81"/>
  <c r="A815" i="81"/>
  <c r="A814" i="81"/>
  <c r="A813" i="81"/>
  <c r="A812" i="81"/>
  <c r="A811" i="81"/>
  <c r="A810" i="81"/>
  <c r="A809" i="81"/>
  <c r="A808" i="81"/>
  <c r="A807" i="81"/>
  <c r="A806" i="81"/>
  <c r="A805" i="81"/>
  <c r="A804" i="81"/>
  <c r="A803" i="81"/>
  <c r="A802" i="81"/>
  <c r="A801" i="81"/>
  <c r="A800" i="81"/>
  <c r="A799" i="81"/>
  <c r="A798" i="81"/>
  <c r="A797" i="81"/>
  <c r="A796" i="81"/>
  <c r="A795" i="81"/>
  <c r="A794" i="81"/>
  <c r="A793" i="81"/>
  <c r="A792" i="81"/>
  <c r="A791" i="81"/>
  <c r="A790" i="81"/>
  <c r="A789" i="81"/>
  <c r="A788" i="81"/>
  <c r="A787" i="81"/>
  <c r="A786" i="81"/>
  <c r="A785" i="81"/>
  <c r="A784" i="81"/>
  <c r="A783" i="81"/>
  <c r="A782" i="81"/>
  <c r="A781" i="81"/>
  <c r="A780" i="81"/>
  <c r="A779" i="81"/>
  <c r="A778" i="81"/>
  <c r="A777" i="81"/>
  <c r="A776" i="81"/>
  <c r="A775" i="81"/>
  <c r="A774" i="81"/>
  <c r="A773" i="81"/>
  <c r="A772" i="81"/>
  <c r="A771" i="81"/>
  <c r="A770" i="81"/>
  <c r="A769" i="81"/>
  <c r="A768" i="81"/>
  <c r="A767" i="81"/>
  <c r="A766" i="81"/>
  <c r="A765" i="81"/>
  <c r="A764" i="81"/>
  <c r="A763" i="81"/>
  <c r="A762" i="81"/>
  <c r="A761" i="81"/>
  <c r="A760" i="81"/>
  <c r="A759" i="81"/>
  <c r="A758" i="81"/>
  <c r="A757" i="81"/>
  <c r="A756" i="81"/>
  <c r="A755" i="81"/>
  <c r="A754" i="81"/>
  <c r="A753" i="81"/>
  <c r="A752" i="81"/>
  <c r="A751" i="81"/>
  <c r="A750" i="81"/>
  <c r="A749" i="81"/>
  <c r="A748" i="81"/>
  <c r="A747" i="81"/>
  <c r="A746" i="81"/>
  <c r="A745" i="81"/>
  <c r="A744" i="81"/>
  <c r="A743" i="81"/>
  <c r="A742" i="81"/>
  <c r="A741" i="81"/>
  <c r="A740" i="81"/>
  <c r="A739" i="81"/>
  <c r="A738" i="81"/>
  <c r="A737" i="81"/>
  <c r="A736" i="81"/>
  <c r="A735" i="81"/>
  <c r="A734" i="81"/>
  <c r="A733" i="81"/>
  <c r="A732" i="81"/>
  <c r="A731" i="81"/>
  <c r="A730" i="81"/>
  <c r="A729" i="81"/>
  <c r="A728" i="81"/>
  <c r="A727" i="81"/>
  <c r="A726" i="81"/>
  <c r="A725" i="81"/>
  <c r="A724" i="81"/>
  <c r="A723" i="81"/>
  <c r="A722" i="81"/>
  <c r="A721" i="81"/>
  <c r="A720" i="81"/>
  <c r="A719" i="81"/>
  <c r="A718" i="81"/>
  <c r="A717" i="81"/>
  <c r="A716" i="81"/>
  <c r="A715" i="81"/>
  <c r="A714" i="81"/>
  <c r="A713" i="81"/>
  <c r="A712" i="81"/>
  <c r="A711" i="81"/>
  <c r="A710" i="81"/>
  <c r="A709" i="81"/>
  <c r="A708" i="81"/>
  <c r="A707" i="81"/>
  <c r="A706" i="81"/>
  <c r="A705" i="81"/>
  <c r="A704" i="81"/>
  <c r="A703" i="81"/>
  <c r="A702" i="81"/>
  <c r="A701" i="81"/>
  <c r="A700" i="81"/>
  <c r="A699" i="81"/>
  <c r="A698" i="81"/>
  <c r="A697" i="81"/>
  <c r="A696" i="81"/>
  <c r="A695" i="81"/>
  <c r="A694" i="81"/>
  <c r="A693" i="81"/>
  <c r="A692" i="81"/>
  <c r="A691" i="81"/>
  <c r="A690" i="81"/>
  <c r="A689" i="81"/>
  <c r="A688" i="81"/>
  <c r="A687" i="81"/>
  <c r="A686" i="81"/>
  <c r="A685" i="81"/>
  <c r="A684" i="81"/>
  <c r="A683" i="81"/>
  <c r="A682" i="81"/>
  <c r="A681" i="81"/>
  <c r="A680" i="81"/>
  <c r="A679" i="81"/>
  <c r="A673" i="81"/>
  <c r="A672" i="81"/>
  <c r="A671" i="81"/>
  <c r="A670" i="81"/>
  <c r="A669" i="81"/>
  <c r="A668" i="81"/>
  <c r="A667" i="81"/>
  <c r="A666" i="81"/>
  <c r="A665" i="81"/>
  <c r="A664" i="81"/>
  <c r="A663" i="81"/>
  <c r="A662" i="81"/>
  <c r="A661" i="81"/>
  <c r="A660" i="81"/>
  <c r="A659" i="81"/>
  <c r="A658" i="81"/>
  <c r="A657" i="81"/>
  <c r="A656" i="81"/>
  <c r="A655" i="81"/>
  <c r="A654" i="81"/>
  <c r="A653" i="81"/>
  <c r="A652" i="81"/>
  <c r="A651" i="81"/>
  <c r="A650" i="81"/>
  <c r="A636" i="81"/>
  <c r="A635" i="81"/>
  <c r="A634" i="81"/>
  <c r="A633" i="81"/>
  <c r="A632" i="81"/>
  <c r="A631" i="81"/>
  <c r="A630" i="81"/>
  <c r="A629" i="81"/>
  <c r="A628" i="81"/>
  <c r="A627" i="81"/>
  <c r="A626" i="81"/>
  <c r="A625" i="81"/>
  <c r="A624" i="81"/>
  <c r="A623" i="81"/>
  <c r="A622" i="81"/>
  <c r="A621" i="81"/>
  <c r="A620" i="81"/>
  <c r="A619" i="81"/>
  <c r="A618" i="81"/>
  <c r="A617" i="81"/>
  <c r="A616" i="81"/>
  <c r="A615" i="81"/>
  <c r="A614" i="81"/>
  <c r="A613" i="81"/>
  <c r="A612" i="81"/>
  <c r="A611" i="81"/>
  <c r="A610" i="81"/>
  <c r="A609" i="81"/>
  <c r="A608" i="81"/>
  <c r="A607" i="81"/>
  <c r="A606" i="81"/>
  <c r="A605" i="81"/>
  <c r="A604" i="81"/>
  <c r="A603" i="81"/>
  <c r="A602" i="81"/>
  <c r="A601" i="81"/>
  <c r="A600" i="81"/>
  <c r="A599" i="81"/>
  <c r="A598" i="81"/>
  <c r="A597" i="81"/>
  <c r="A596" i="81"/>
  <c r="A591" i="81"/>
  <c r="A590" i="81"/>
  <c r="A589" i="81"/>
  <c r="A588" i="81"/>
  <c r="A587" i="81"/>
  <c r="A586" i="81"/>
  <c r="A585" i="81"/>
  <c r="A561" i="81"/>
  <c r="A560" i="81"/>
  <c r="A559" i="81"/>
  <c r="A558" i="81"/>
  <c r="A557" i="81"/>
  <c r="A556" i="81"/>
  <c r="A555" i="81"/>
  <c r="A552" i="81"/>
  <c r="A551" i="81"/>
  <c r="A550" i="81"/>
  <c r="A549" i="81"/>
  <c r="A548" i="81"/>
  <c r="A547" i="81"/>
  <c r="A546" i="81"/>
  <c r="A545" i="81"/>
  <c r="A544" i="81"/>
  <c r="A543" i="81"/>
  <c r="A542" i="81"/>
  <c r="A541" i="81"/>
  <c r="A540" i="81"/>
  <c r="A539" i="81"/>
  <c r="A538" i="81"/>
  <c r="A537" i="81"/>
  <c r="A536" i="81"/>
  <c r="A535" i="81"/>
  <c r="A534" i="81"/>
  <c r="A533" i="81"/>
  <c r="A532" i="81"/>
  <c r="A529" i="81"/>
  <c r="A528" i="81"/>
  <c r="A527" i="81"/>
  <c r="A526" i="81"/>
  <c r="A525" i="81"/>
  <c r="A524" i="81"/>
  <c r="A523" i="81"/>
  <c r="A522" i="81"/>
  <c r="A521" i="81"/>
  <c r="A520" i="81"/>
  <c r="A519" i="81"/>
  <c r="A518" i="81"/>
  <c r="A517" i="81"/>
  <c r="A516" i="81"/>
  <c r="A515" i="81"/>
  <c r="A514" i="81"/>
  <c r="A513" i="81"/>
  <c r="A512" i="81"/>
  <c r="A511" i="81"/>
  <c r="A510" i="81"/>
  <c r="A509" i="81"/>
  <c r="A506" i="81"/>
  <c r="A505" i="81"/>
  <c r="A504" i="81"/>
  <c r="A503" i="81"/>
  <c r="A502" i="81"/>
  <c r="A501" i="81"/>
  <c r="A500" i="81"/>
  <c r="A499" i="81"/>
  <c r="A498" i="81"/>
  <c r="A497" i="81"/>
  <c r="A496" i="81"/>
  <c r="A495" i="81"/>
  <c r="A494" i="81"/>
  <c r="A493" i="81"/>
  <c r="A492" i="81"/>
  <c r="A491" i="81"/>
  <c r="A490" i="81"/>
  <c r="A489" i="81"/>
  <c r="A488" i="81"/>
  <c r="A487" i="81"/>
  <c r="A486" i="81"/>
  <c r="A485" i="81"/>
  <c r="A483" i="81"/>
  <c r="A482" i="81"/>
  <c r="A481" i="81"/>
  <c r="A480" i="81"/>
  <c r="A479" i="81"/>
  <c r="A478" i="81"/>
  <c r="A477" i="81"/>
  <c r="A476" i="81"/>
  <c r="A475" i="81"/>
  <c r="A474" i="81"/>
  <c r="A473" i="81"/>
  <c r="A472" i="81"/>
  <c r="A471" i="81"/>
  <c r="A470" i="81"/>
  <c r="A469" i="81"/>
  <c r="A468" i="81"/>
  <c r="A467" i="81"/>
  <c r="A466" i="81"/>
  <c r="A465" i="81"/>
  <c r="A463" i="81"/>
  <c r="A462" i="81"/>
  <c r="A461" i="81"/>
  <c r="A460" i="81"/>
  <c r="A459" i="81"/>
  <c r="A458" i="81"/>
  <c r="A457" i="81"/>
  <c r="A456" i="81"/>
  <c r="A455" i="81"/>
  <c r="A454" i="81"/>
  <c r="A453" i="81"/>
  <c r="A452" i="81"/>
  <c r="A451" i="81"/>
  <c r="A450" i="81"/>
  <c r="A449" i="81"/>
  <c r="A448" i="81"/>
  <c r="A447" i="81"/>
  <c r="A446" i="81"/>
  <c r="A445" i="81"/>
  <c r="A443" i="81"/>
  <c r="A442" i="81"/>
  <c r="A441" i="81"/>
  <c r="A440" i="81"/>
  <c r="A439" i="81"/>
  <c r="A438" i="81"/>
  <c r="A437" i="81"/>
  <c r="A436" i="81"/>
  <c r="A435" i="81"/>
  <c r="A434" i="81"/>
  <c r="A433" i="81"/>
  <c r="A432" i="81"/>
  <c r="A431" i="81"/>
  <c r="A430" i="81"/>
  <c r="A429" i="81"/>
  <c r="A428" i="81"/>
  <c r="A427" i="81"/>
  <c r="A426" i="81"/>
  <c r="A425" i="81"/>
  <c r="A424" i="81"/>
  <c r="A423" i="81"/>
  <c r="A422" i="81"/>
  <c r="A421" i="81"/>
  <c r="A420" i="81"/>
  <c r="A419" i="81"/>
  <c r="A418" i="81"/>
  <c r="A417" i="81"/>
  <c r="A416" i="81"/>
  <c r="A415" i="81"/>
  <c r="A414" i="81"/>
  <c r="A413" i="81"/>
  <c r="A412" i="81"/>
  <c r="A411" i="81"/>
  <c r="A410" i="81"/>
  <c r="A409" i="81"/>
  <c r="A408" i="81"/>
  <c r="A407" i="81"/>
  <c r="A406" i="81"/>
  <c r="A405" i="81"/>
  <c r="A404" i="81"/>
  <c r="A398" i="81"/>
  <c r="A397" i="81"/>
  <c r="A396" i="81"/>
  <c r="A395" i="81"/>
  <c r="A394" i="81"/>
  <c r="A393" i="81"/>
  <c r="A392" i="81"/>
  <c r="A391" i="81"/>
  <c r="A390" i="81"/>
  <c r="A389" i="81"/>
  <c r="A388" i="81"/>
  <c r="A387" i="81"/>
  <c r="A386" i="81"/>
  <c r="A385" i="81"/>
  <c r="A378" i="81"/>
  <c r="A377" i="81"/>
  <c r="A376" i="81"/>
  <c r="A375" i="81"/>
  <c r="A374" i="81"/>
  <c r="A373" i="81"/>
  <c r="A372" i="81"/>
  <c r="A371" i="81"/>
  <c r="A370" i="81"/>
  <c r="A369" i="81"/>
  <c r="A368" i="81"/>
  <c r="A367" i="81"/>
  <c r="A366" i="81"/>
  <c r="A357" i="81"/>
  <c r="A356" i="81"/>
  <c r="A355" i="81"/>
  <c r="A354" i="81"/>
  <c r="A353" i="81"/>
  <c r="A352" i="81"/>
  <c r="A351" i="81"/>
  <c r="A350" i="81"/>
  <c r="A349" i="81"/>
  <c r="A348" i="81"/>
  <c r="A347" i="81"/>
  <c r="A346" i="81"/>
  <c r="A345" i="81"/>
  <c r="A344" i="81"/>
  <c r="A343" i="81"/>
  <c r="A342" i="81"/>
  <c r="A341" i="81"/>
  <c r="A340" i="81"/>
  <c r="A339" i="81"/>
  <c r="A338" i="81"/>
  <c r="A337" i="81"/>
  <c r="A336" i="81"/>
  <c r="A335" i="81"/>
  <c r="A334" i="81"/>
  <c r="A333" i="81"/>
  <c r="A332" i="81"/>
  <c r="A331" i="81"/>
  <c r="A330" i="81"/>
  <c r="A329" i="81"/>
  <c r="A328" i="81"/>
  <c r="A327" i="81"/>
  <c r="A326" i="81"/>
  <c r="A325" i="81"/>
  <c r="A313" i="81"/>
  <c r="A312" i="81"/>
  <c r="A311" i="81"/>
  <c r="A310" i="81"/>
  <c r="A309" i="81"/>
  <c r="A308" i="81"/>
  <c r="A307" i="81"/>
  <c r="A306" i="81"/>
  <c r="A305" i="81"/>
  <c r="A304" i="81"/>
  <c r="A303" i="81"/>
  <c r="A302" i="81"/>
  <c r="A301" i="81"/>
  <c r="A300" i="81"/>
  <c r="A299" i="81"/>
  <c r="A298" i="81"/>
  <c r="A297" i="81"/>
  <c r="A296" i="81"/>
  <c r="A295" i="81"/>
  <c r="A294" i="81"/>
  <c r="A293" i="81"/>
  <c r="A292" i="81"/>
  <c r="A291" i="81"/>
  <c r="A290" i="81"/>
  <c r="A289" i="81"/>
  <c r="A288" i="81"/>
  <c r="A287" i="81"/>
  <c r="A286" i="81"/>
  <c r="A285" i="81"/>
  <c r="A284" i="81"/>
  <c r="A283" i="81"/>
  <c r="A282" i="81"/>
  <c r="A281" i="81"/>
  <c r="A280" i="81"/>
  <c r="A279" i="81"/>
  <c r="A278" i="81"/>
  <c r="A277" i="81"/>
  <c r="A276" i="81"/>
  <c r="A275" i="81"/>
  <c r="A274" i="81"/>
  <c r="A273" i="81"/>
  <c r="A272" i="81"/>
  <c r="A271" i="81"/>
  <c r="A270" i="81"/>
  <c r="A269" i="81"/>
  <c r="A268" i="81"/>
  <c r="A267" i="81"/>
  <c r="A266" i="81"/>
  <c r="A265" i="81"/>
  <c r="A264" i="81"/>
  <c r="A263" i="81"/>
  <c r="A262" i="81"/>
  <c r="A261" i="81"/>
  <c r="A260" i="81"/>
  <c r="A259" i="81"/>
  <c r="A240" i="81"/>
  <c r="A233" i="81"/>
  <c r="A232" i="81"/>
  <c r="A231" i="81"/>
  <c r="A230" i="81"/>
  <c r="A229" i="81"/>
  <c r="A228" i="81"/>
  <c r="A227" i="81"/>
  <c r="A226" i="81"/>
  <c r="A225" i="81"/>
  <c r="A224" i="81"/>
  <c r="A223" i="81"/>
  <c r="A222" i="81"/>
  <c r="A221" i="81"/>
  <c r="A220" i="81"/>
  <c r="A219" i="81"/>
  <c r="A218" i="81"/>
  <c r="A217" i="81"/>
  <c r="A216" i="81"/>
  <c r="A215" i="81"/>
  <c r="A214" i="81"/>
  <c r="A213" i="81"/>
  <c r="A212" i="81"/>
  <c r="A211" i="81"/>
  <c r="A210" i="81"/>
  <c r="A209" i="81"/>
  <c r="A208" i="81"/>
  <c r="A207" i="81"/>
  <c r="A206" i="81"/>
  <c r="A205" i="81"/>
  <c r="A204" i="81"/>
  <c r="A203" i="81"/>
  <c r="A202" i="81"/>
  <c r="A201" i="81"/>
  <c r="A200" i="81"/>
  <c r="A199" i="81"/>
  <c r="A198" i="81"/>
  <c r="A197" i="81"/>
  <c r="A196" i="81"/>
  <c r="A195" i="81"/>
  <c r="A194" i="81"/>
  <c r="A193" i="81"/>
  <c r="A192" i="81"/>
  <c r="A191" i="81"/>
  <c r="A190" i="81"/>
  <c r="A189" i="81"/>
  <c r="A188" i="81"/>
  <c r="A187" i="81"/>
  <c r="A186" i="81"/>
  <c r="A185" i="81"/>
  <c r="A184" i="81"/>
  <c r="A183" i="81"/>
  <c r="A182" i="81"/>
  <c r="A181" i="81"/>
  <c r="A180" i="81"/>
  <c r="A179" i="81"/>
  <c r="A178" i="81"/>
  <c r="A177" i="81"/>
  <c r="A176" i="81"/>
  <c r="A175" i="81"/>
  <c r="A174" i="81"/>
  <c r="A173" i="81"/>
  <c r="A172" i="81"/>
  <c r="A171" i="81"/>
  <c r="A170" i="81"/>
  <c r="A169" i="81"/>
  <c r="A168" i="81"/>
  <c r="A167" i="81"/>
  <c r="A166" i="81"/>
  <c r="A165" i="81"/>
  <c r="A164" i="81"/>
  <c r="A163" i="81"/>
  <c r="A162" i="81"/>
  <c r="A161" i="81"/>
  <c r="A160" i="81"/>
  <c r="A159" i="81"/>
  <c r="A158" i="81"/>
  <c r="A157" i="81"/>
  <c r="A156" i="81"/>
  <c r="A155" i="81"/>
  <c r="A154" i="81"/>
  <c r="A153" i="81"/>
  <c r="A152" i="81"/>
  <c r="A151" i="81"/>
  <c r="A150" i="81"/>
  <c r="A149" i="81"/>
  <c r="A148" i="81"/>
  <c r="A147" i="81"/>
  <c r="A146" i="81"/>
  <c r="A145" i="81"/>
  <c r="A144" i="81"/>
  <c r="A143" i="81"/>
  <c r="A142" i="81"/>
  <c r="A141" i="81"/>
  <c r="A140" i="81"/>
  <c r="A139" i="81"/>
  <c r="A138" i="81"/>
  <c r="A137" i="81"/>
  <c r="A136" i="81"/>
  <c r="A135" i="81"/>
  <c r="A134" i="81"/>
  <c r="A133" i="81"/>
  <c r="A132" i="81"/>
  <c r="A131" i="81"/>
  <c r="A130" i="81"/>
  <c r="A129" i="81"/>
  <c r="A128" i="81"/>
  <c r="A127" i="81"/>
  <c r="A126" i="81"/>
  <c r="A125" i="81"/>
  <c r="A124" i="81"/>
  <c r="A123" i="81"/>
  <c r="A122" i="81"/>
  <c r="A121" i="81"/>
  <c r="A120" i="81"/>
  <c r="A119" i="81"/>
  <c r="A118" i="81"/>
  <c r="A117" i="81"/>
  <c r="A116" i="81"/>
  <c r="A115" i="81"/>
  <c r="A114" i="81"/>
  <c r="A113" i="81"/>
  <c r="A112" i="81"/>
  <c r="A111" i="81"/>
  <c r="A110" i="81"/>
  <c r="A109" i="81"/>
  <c r="A108" i="81"/>
  <c r="A107" i="81"/>
  <c r="A106" i="81"/>
  <c r="A105" i="81"/>
  <c r="A104" i="81"/>
  <c r="A103" i="81"/>
  <c r="A102" i="81"/>
  <c r="A101" i="81"/>
  <c r="A100" i="81"/>
  <c r="A99" i="81"/>
  <c r="A98" i="81"/>
  <c r="A97" i="81"/>
  <c r="A96" i="81"/>
  <c r="A95" i="81"/>
  <c r="A94" i="81"/>
  <c r="A93" i="81"/>
  <c r="A92" i="81"/>
  <c r="A91" i="81"/>
  <c r="A90" i="81"/>
  <c r="A89" i="81"/>
  <c r="A88" i="81"/>
  <c r="A87" i="81"/>
  <c r="A86" i="81"/>
  <c r="A85" i="81"/>
  <c r="A84" i="81"/>
  <c r="A83" i="81"/>
  <c r="A82" i="81"/>
  <c r="A81" i="81"/>
  <c r="A80" i="81"/>
  <c r="A79" i="81"/>
  <c r="A78" i="81"/>
  <c r="A77" i="81"/>
  <c r="A76" i="81"/>
  <c r="A75" i="81"/>
  <c r="A74" i="81"/>
  <c r="A73" i="81"/>
  <c r="A72" i="81"/>
  <c r="A71" i="81"/>
  <c r="A70" i="81"/>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C1975" i="81"/>
  <c r="C1974" i="81"/>
  <c r="C1973" i="81"/>
  <c r="C1972" i="81"/>
  <c r="C1971" i="81"/>
  <c r="C1970" i="81"/>
  <c r="C1969" i="81"/>
  <c r="C1968" i="81"/>
  <c r="C1967" i="81"/>
  <c r="C1966" i="81"/>
  <c r="C1965" i="81"/>
  <c r="C1964" i="81"/>
  <c r="C1963" i="81"/>
  <c r="C1962" i="81"/>
  <c r="C1961" i="81"/>
  <c r="C1960" i="81"/>
  <c r="C1959" i="81"/>
  <c r="C1958" i="81"/>
  <c r="C1957" i="81"/>
  <c r="C1941" i="81"/>
  <c r="C1940" i="81"/>
  <c r="C1939" i="81"/>
  <c r="C1938" i="81"/>
  <c r="C1937" i="81"/>
  <c r="C1936" i="81"/>
  <c r="C1935" i="81"/>
  <c r="C1934" i="81"/>
  <c r="C1933" i="81"/>
  <c r="C1932" i="81"/>
  <c r="C1931" i="81"/>
  <c r="C1930" i="81"/>
  <c r="C1929" i="81"/>
  <c r="C1928" i="81"/>
  <c r="C1927" i="81"/>
  <c r="C1926" i="81"/>
  <c r="C1925" i="81"/>
  <c r="C1924" i="81"/>
  <c r="C1923" i="81"/>
  <c r="C1907" i="81"/>
  <c r="C1906" i="81"/>
  <c r="C1905" i="81"/>
  <c r="C1904" i="81"/>
  <c r="C1903" i="81"/>
  <c r="C1902" i="81"/>
  <c r="C1901" i="81"/>
  <c r="C1900" i="81"/>
  <c r="C1899" i="81"/>
  <c r="C1898" i="81"/>
  <c r="C1897" i="81"/>
  <c r="C1896" i="81"/>
  <c r="C1895" i="81"/>
  <c r="C1894" i="81"/>
  <c r="C1893" i="81"/>
  <c r="C1892" i="81"/>
  <c r="C1891" i="81"/>
  <c r="C1890" i="81"/>
  <c r="C1889" i="81"/>
  <c r="C1873" i="81"/>
  <c r="C1872" i="81"/>
  <c r="C1871" i="81"/>
  <c r="C1870" i="81"/>
  <c r="C1869" i="81"/>
  <c r="C1868" i="81"/>
  <c r="C1867" i="81"/>
  <c r="C1866" i="81"/>
  <c r="C1865" i="81"/>
  <c r="C1864" i="81"/>
  <c r="C1863" i="81"/>
  <c r="C1862" i="81"/>
  <c r="C1861" i="81"/>
  <c r="C1860" i="81"/>
  <c r="C1859" i="81"/>
  <c r="C1858" i="81"/>
  <c r="C1857" i="81"/>
  <c r="C1856" i="81"/>
  <c r="C1855" i="81"/>
  <c r="C1839" i="81"/>
  <c r="C1838" i="81"/>
  <c r="C1837" i="81"/>
  <c r="C1836" i="81"/>
  <c r="C1835" i="81"/>
  <c r="C1834" i="81"/>
  <c r="C1833" i="81"/>
  <c r="C1832" i="81"/>
  <c r="C1831" i="81"/>
  <c r="C1830" i="81"/>
  <c r="C1829" i="81"/>
  <c r="C1828" i="81"/>
  <c r="C1827" i="81"/>
  <c r="C1826" i="81"/>
  <c r="C1825" i="81"/>
  <c r="C1824" i="81"/>
  <c r="C1823" i="81"/>
  <c r="C1822" i="81"/>
  <c r="C1821" i="81"/>
  <c r="C1805" i="81"/>
  <c r="C1804" i="81"/>
  <c r="C1803" i="81"/>
  <c r="C1802" i="81"/>
  <c r="C1801" i="81"/>
  <c r="C1800" i="81"/>
  <c r="C1799" i="81"/>
  <c r="C1798" i="81"/>
  <c r="C1797" i="81"/>
  <c r="C1796" i="81"/>
  <c r="C1795" i="81"/>
  <c r="C1794" i="81"/>
  <c r="C1793" i="81"/>
  <c r="C1792" i="81"/>
  <c r="C1791" i="81"/>
  <c r="C1790" i="81"/>
  <c r="C1789" i="81"/>
  <c r="C1788" i="81"/>
  <c r="C1787" i="81"/>
  <c r="C1771" i="81"/>
  <c r="C1770" i="81"/>
  <c r="C1769" i="81"/>
  <c r="C1768" i="81"/>
  <c r="C1767" i="81"/>
  <c r="C1766" i="81"/>
  <c r="C1765" i="81"/>
  <c r="C1764" i="81"/>
  <c r="C1763" i="81"/>
  <c r="C1762" i="81"/>
  <c r="C1761" i="81"/>
  <c r="C1760" i="81"/>
  <c r="C1759" i="81"/>
  <c r="C1758" i="81"/>
  <c r="C1757" i="81"/>
  <c r="C1756" i="81"/>
  <c r="C1755" i="81"/>
  <c r="C1754" i="81"/>
  <c r="C1753" i="81"/>
  <c r="C1737" i="81"/>
  <c r="C1736" i="81"/>
  <c r="C1735" i="81"/>
  <c r="C1734" i="81"/>
  <c r="C1733" i="81"/>
  <c r="C1732" i="81"/>
  <c r="C1731" i="81"/>
  <c r="C1730" i="81"/>
  <c r="C1729" i="81"/>
  <c r="C1728" i="81"/>
  <c r="C1727" i="81"/>
  <c r="C1726" i="81"/>
  <c r="C1725" i="81"/>
  <c r="C1724" i="81"/>
  <c r="C1723" i="81"/>
  <c r="C1722" i="81"/>
  <c r="C1721" i="81"/>
  <c r="C1720" i="81"/>
  <c r="C1719" i="81"/>
  <c r="C1703" i="81"/>
  <c r="C1702" i="81"/>
  <c r="C1701" i="81"/>
  <c r="C1700" i="81"/>
  <c r="C1699" i="81"/>
  <c r="C1698" i="81"/>
  <c r="C1697" i="81"/>
  <c r="C1696" i="81"/>
  <c r="C1695" i="81"/>
  <c r="C1694" i="81"/>
  <c r="C1693" i="81"/>
  <c r="C1692" i="81"/>
  <c r="C1691" i="81"/>
  <c r="C1690" i="81"/>
  <c r="C1689" i="81"/>
  <c r="C1688" i="81"/>
  <c r="C1687" i="81"/>
  <c r="C1686" i="81"/>
  <c r="C1685" i="81"/>
  <c r="C1669" i="81"/>
  <c r="C1668" i="81"/>
  <c r="C1667" i="81"/>
  <c r="C1666" i="81"/>
  <c r="C1665" i="81"/>
  <c r="C1664" i="81"/>
  <c r="C1663" i="81"/>
  <c r="C1662" i="81"/>
  <c r="C1661" i="81"/>
  <c r="C1660" i="81"/>
  <c r="C1659" i="81"/>
  <c r="C1658" i="81"/>
  <c r="C1657" i="81"/>
  <c r="C1656" i="81"/>
  <c r="C1655" i="81"/>
  <c r="C1654" i="81"/>
  <c r="C1653" i="81"/>
  <c r="C1652" i="81"/>
  <c r="C1651" i="81"/>
  <c r="C1635" i="81"/>
  <c r="C1634" i="81"/>
  <c r="C1633" i="81"/>
  <c r="C1632" i="81"/>
  <c r="C1631" i="81"/>
  <c r="C1630" i="81"/>
  <c r="C1629" i="81"/>
  <c r="C1628" i="81"/>
  <c r="C1627" i="81"/>
  <c r="C1626" i="81"/>
  <c r="C1625" i="81"/>
  <c r="C1624" i="81"/>
  <c r="C1623" i="81"/>
  <c r="C1622" i="81"/>
  <c r="C1621" i="81"/>
  <c r="C1620" i="81"/>
  <c r="C1619" i="81"/>
  <c r="C1618" i="81"/>
  <c r="C1617" i="81"/>
  <c r="C1601" i="81"/>
  <c r="C1600" i="81"/>
  <c r="C1599" i="81"/>
  <c r="C1598" i="81"/>
  <c r="C1597" i="81"/>
  <c r="C1596" i="81"/>
  <c r="C1595" i="81"/>
  <c r="C1594" i="81"/>
  <c r="C1593" i="81"/>
  <c r="C1592" i="81"/>
  <c r="C1591" i="81"/>
  <c r="C1590" i="81"/>
  <c r="C1589" i="81"/>
  <c r="C1588" i="81"/>
  <c r="C1587" i="81"/>
  <c r="C1586" i="81"/>
  <c r="C1585" i="81"/>
  <c r="C1584" i="81"/>
  <c r="C1583" i="81"/>
  <c r="C1572" i="81"/>
  <c r="C1571" i="81"/>
  <c r="C1570" i="81"/>
  <c r="C1569" i="81"/>
  <c r="C1568" i="81"/>
  <c r="C1567" i="81"/>
  <c r="C1566" i="81"/>
  <c r="C1565" i="81"/>
  <c r="C1564" i="81"/>
  <c r="C1563" i="81"/>
  <c r="C1562" i="81"/>
  <c r="C1561" i="81"/>
  <c r="C1560" i="81"/>
  <c r="C1559" i="81"/>
  <c r="C1558" i="81"/>
  <c r="C1557" i="81"/>
  <c r="C1556" i="81"/>
  <c r="C1555" i="81"/>
  <c r="C1544" i="81"/>
  <c r="C1543" i="81"/>
  <c r="C1542" i="81"/>
  <c r="C1541" i="81"/>
  <c r="C1540" i="81"/>
  <c r="C1539" i="81"/>
  <c r="C1538" i="81"/>
  <c r="C1537" i="81"/>
  <c r="C1536" i="81"/>
  <c r="C1535" i="81"/>
  <c r="C1534" i="81"/>
  <c r="C1533" i="81"/>
  <c r="C1532" i="81"/>
  <c r="C1531" i="81"/>
  <c r="C1530" i="81"/>
  <c r="C1529" i="81"/>
  <c r="C1528" i="81"/>
  <c r="C1527" i="81"/>
  <c r="C1516" i="81"/>
  <c r="C1515" i="81"/>
  <c r="C1514" i="81"/>
  <c r="C1513" i="81"/>
  <c r="C1512" i="81"/>
  <c r="C1511" i="81"/>
  <c r="C1510" i="81"/>
  <c r="C1509" i="81"/>
  <c r="C1508" i="81"/>
  <c r="C1507" i="81"/>
  <c r="C1506" i="81"/>
  <c r="C1505" i="81"/>
  <c r="C1504" i="81"/>
  <c r="C1503" i="81"/>
  <c r="C1502" i="81"/>
  <c r="C1501" i="81"/>
  <c r="C1500" i="81"/>
  <c r="C1499" i="81"/>
  <c r="C1488" i="81"/>
  <c r="C1487" i="81"/>
  <c r="C1486" i="81"/>
  <c r="C1485" i="81"/>
  <c r="C1484" i="81"/>
  <c r="C1483" i="81"/>
  <c r="C1482" i="81"/>
  <c r="C1481" i="81"/>
  <c r="C1480" i="81"/>
  <c r="C1479" i="81"/>
  <c r="C1478" i="81"/>
  <c r="C1477" i="81"/>
  <c r="C1476" i="81"/>
  <c r="C1475" i="81"/>
  <c r="C1474" i="81"/>
  <c r="C1473" i="81"/>
  <c r="C1472" i="81"/>
  <c r="C1471" i="81"/>
  <c r="C1460" i="81"/>
  <c r="C1459" i="81"/>
  <c r="C1458" i="81"/>
  <c r="C1457" i="81"/>
  <c r="C1456" i="81"/>
  <c r="C1455" i="81"/>
  <c r="C1454" i="81"/>
  <c r="C1453" i="81"/>
  <c r="C1452" i="81"/>
  <c r="C1451" i="81"/>
  <c r="C1450" i="81"/>
  <c r="C1449" i="81"/>
  <c r="C1448" i="81"/>
  <c r="C1447" i="81"/>
  <c r="C1446" i="81"/>
  <c r="C1445" i="81"/>
  <c r="C1444" i="81"/>
  <c r="C1443" i="81"/>
  <c r="C1432" i="81"/>
  <c r="C1431" i="81"/>
  <c r="C1430" i="81"/>
  <c r="C1429" i="81"/>
  <c r="C1428" i="81"/>
  <c r="C1427" i="81"/>
  <c r="C1426" i="81"/>
  <c r="C1425" i="81"/>
  <c r="C1424" i="81"/>
  <c r="C1423" i="81"/>
  <c r="C1422" i="81"/>
  <c r="C1421" i="81"/>
  <c r="C1420" i="81"/>
  <c r="C1419" i="81"/>
  <c r="C1418" i="81"/>
  <c r="C1417" i="81"/>
  <c r="C1416" i="81"/>
  <c r="C1415" i="81"/>
  <c r="C1404" i="81"/>
  <c r="C1403" i="81"/>
  <c r="C1402" i="81"/>
  <c r="C1401" i="81"/>
  <c r="C1400" i="81"/>
  <c r="C1399" i="81"/>
  <c r="C1398" i="81"/>
  <c r="C1397" i="81"/>
  <c r="C1396" i="81"/>
  <c r="C1395" i="81"/>
  <c r="C1394" i="81"/>
  <c r="C1393" i="81"/>
  <c r="C1392" i="81"/>
  <c r="C1391" i="81"/>
  <c r="C1390" i="81"/>
  <c r="C1389" i="81"/>
  <c r="C1388" i="81"/>
  <c r="C1387" i="81"/>
  <c r="C1376" i="81"/>
  <c r="C1375" i="81"/>
  <c r="C1374" i="81"/>
  <c r="C1373" i="81"/>
  <c r="C1372" i="81"/>
  <c r="C1371" i="81"/>
  <c r="C1370" i="81"/>
  <c r="C1369" i="81"/>
  <c r="C1368" i="81"/>
  <c r="C1367" i="81"/>
  <c r="C1366" i="81"/>
  <c r="C1365" i="81"/>
  <c r="C1364" i="81"/>
  <c r="C1363" i="81"/>
  <c r="C1362" i="81"/>
  <c r="C1361" i="81"/>
  <c r="C1360" i="81"/>
  <c r="C1359" i="81"/>
  <c r="C1348" i="81"/>
  <c r="C1347" i="81"/>
  <c r="C1346" i="81"/>
  <c r="C1345" i="81"/>
  <c r="C1344" i="81"/>
  <c r="C1343" i="81"/>
  <c r="C1342" i="81"/>
  <c r="C1341" i="81"/>
  <c r="C1340" i="81"/>
  <c r="C1339" i="81"/>
  <c r="C1338" i="81"/>
  <c r="C1337" i="81"/>
  <c r="C1336" i="81"/>
  <c r="C1335" i="81"/>
  <c r="C1334" i="81"/>
  <c r="C1333" i="81"/>
  <c r="C1332" i="81"/>
  <c r="C1331" i="81"/>
  <c r="C1320" i="81"/>
  <c r="C1319" i="81"/>
  <c r="C1318" i="81"/>
  <c r="C1317" i="81"/>
  <c r="C1316" i="81"/>
  <c r="C1315" i="81"/>
  <c r="C1314" i="81"/>
  <c r="C1313" i="81"/>
  <c r="C1312" i="81"/>
  <c r="C1311" i="81"/>
  <c r="C1310" i="81"/>
  <c r="C1309" i="81"/>
  <c r="C1308" i="81"/>
  <c r="C1307" i="81"/>
  <c r="C1306" i="81"/>
  <c r="C1305" i="81"/>
  <c r="C1304" i="81"/>
  <c r="C1303" i="81"/>
  <c r="C1292" i="81"/>
  <c r="C1291" i="81"/>
  <c r="C1290" i="81"/>
  <c r="C1289" i="81"/>
  <c r="C1288" i="81"/>
  <c r="C1287" i="81"/>
  <c r="C1286" i="81"/>
  <c r="C1285" i="81"/>
  <c r="C1284" i="81"/>
  <c r="C1283" i="81"/>
  <c r="C1282" i="81"/>
  <c r="C1281" i="81"/>
  <c r="C1280" i="81"/>
  <c r="C1279" i="81"/>
  <c r="C1278" i="81"/>
  <c r="C1277" i="81"/>
  <c r="C1276" i="81"/>
  <c r="C1275" i="81"/>
  <c r="C1264" i="81"/>
  <c r="C1263" i="81"/>
  <c r="C1262" i="81"/>
  <c r="C1261" i="81"/>
  <c r="C1260" i="81"/>
  <c r="C1259" i="81"/>
  <c r="C1258" i="81"/>
  <c r="C1257" i="81"/>
  <c r="C1256" i="81"/>
  <c r="C1255" i="81"/>
  <c r="C1254" i="81"/>
  <c r="C1253" i="81"/>
  <c r="C1252" i="81"/>
  <c r="C1251" i="81"/>
  <c r="C1250" i="81"/>
  <c r="C1249" i="81"/>
  <c r="C1248" i="81"/>
  <c r="C1247" i="81"/>
  <c r="C1236" i="81"/>
  <c r="C1235" i="81"/>
  <c r="C1234" i="81"/>
  <c r="C1233" i="81"/>
  <c r="C1232" i="81"/>
  <c r="C1231" i="81"/>
  <c r="C1230" i="81"/>
  <c r="C1229" i="81"/>
  <c r="C1228" i="81"/>
  <c r="C1227" i="81"/>
  <c r="C1226" i="81"/>
  <c r="C1225" i="81"/>
  <c r="C1224" i="81"/>
  <c r="C1223" i="81"/>
  <c r="C1222" i="81"/>
  <c r="C1221" i="81"/>
  <c r="C1220" i="81"/>
  <c r="C1219" i="81"/>
  <c r="C1208" i="81"/>
  <c r="C1207" i="81"/>
  <c r="C1206" i="81"/>
  <c r="C1205" i="81"/>
  <c r="C1204" i="81"/>
  <c r="C1203" i="81"/>
  <c r="C1202" i="81"/>
  <c r="C1201" i="81"/>
  <c r="C1200" i="81"/>
  <c r="C1199" i="81"/>
  <c r="C1198" i="81"/>
  <c r="C1197" i="81"/>
  <c r="C1196" i="81"/>
  <c r="C1195" i="81"/>
  <c r="C1194" i="81"/>
  <c r="C1193" i="81"/>
  <c r="C1192" i="81"/>
  <c r="C1191" i="81"/>
  <c r="C1190" i="81" l="1"/>
  <c r="C1189" i="81"/>
  <c r="C1188" i="81"/>
  <c r="C1187" i="81"/>
  <c r="C1186" i="81"/>
  <c r="C1185" i="81"/>
  <c r="C1184" i="81"/>
  <c r="C1183" i="81"/>
  <c r="C1182" i="81"/>
  <c r="C1181" i="81"/>
  <c r="C1180" i="81"/>
  <c r="C1179" i="81"/>
  <c r="C1178" i="81"/>
  <c r="C1177" i="81"/>
  <c r="C1176" i="81"/>
  <c r="C1175" i="81"/>
  <c r="C1174" i="81"/>
  <c r="C1173" i="81"/>
  <c r="C1172" i="81"/>
  <c r="C1171" i="81"/>
  <c r="C1170" i="81"/>
  <c r="C1169" i="81"/>
  <c r="C1168" i="81"/>
  <c r="C1167" i="81"/>
  <c r="C1166" i="81"/>
  <c r="C1165" i="81"/>
  <c r="C1164" i="81"/>
  <c r="C1163" i="81"/>
  <c r="C1162" i="81"/>
  <c r="C1161" i="81"/>
  <c r="C1160" i="81"/>
  <c r="C1159" i="81"/>
  <c r="C1158" i="81"/>
  <c r="C1157" i="81"/>
  <c r="C1156" i="81"/>
  <c r="C1155" i="81"/>
  <c r="C1154" i="81"/>
  <c r="C1153" i="81"/>
  <c r="C1152" i="81"/>
  <c r="C1151" i="81"/>
  <c r="C1150" i="81"/>
  <c r="C1149" i="81"/>
  <c r="C1148" i="81"/>
  <c r="C1147" i="81"/>
  <c r="C1146" i="81"/>
  <c r="C1145" i="81"/>
  <c r="C1144" i="81"/>
  <c r="C1143" i="81"/>
  <c r="C1142" i="81"/>
  <c r="C1141" i="81"/>
  <c r="C1140" i="81"/>
  <c r="C1139" i="81"/>
  <c r="C1138" i="81"/>
  <c r="C1137" i="81"/>
  <c r="C1136" i="81"/>
  <c r="C1135" i="81"/>
  <c r="C1134" i="81"/>
  <c r="C1010" i="81"/>
  <c r="C1009" i="81"/>
  <c r="C1008" i="81"/>
  <c r="C1007" i="81"/>
  <c r="C1006" i="81"/>
  <c r="C1005" i="81"/>
  <c r="C1004" i="81"/>
  <c r="C1003" i="81"/>
  <c r="C1002" i="81"/>
  <c r="C1001" i="81"/>
  <c r="C1000" i="81"/>
  <c r="C918" i="81"/>
  <c r="C917" i="81"/>
  <c r="C916" i="81"/>
  <c r="C915" i="81"/>
  <c r="C914" i="81"/>
  <c r="C913" i="81"/>
  <c r="C912" i="81"/>
  <c r="C911" i="81"/>
  <c r="C910" i="81"/>
  <c r="C909" i="81"/>
  <c r="C908" i="81"/>
  <c r="C907" i="81"/>
  <c r="C906" i="81"/>
  <c r="C905" i="81"/>
  <c r="C904" i="81"/>
  <c r="C903" i="81"/>
  <c r="C902" i="81"/>
  <c r="C901" i="81"/>
  <c r="C900" i="81"/>
  <c r="C899" i="81"/>
  <c r="C229" i="81"/>
  <c r="C228" i="81"/>
  <c r="C227" i="81"/>
  <c r="C226" i="81"/>
  <c r="C225" i="81"/>
  <c r="C224" i="81"/>
  <c r="C1133" i="81"/>
  <c r="C1132" i="81"/>
  <c r="C1131" i="81"/>
  <c r="C1130" i="81"/>
  <c r="C1129" i="81"/>
  <c r="C1128" i="81"/>
  <c r="C1127" i="81"/>
  <c r="C1126" i="81"/>
  <c r="C1125" i="81"/>
  <c r="C1124" i="81"/>
  <c r="C1123" i="81"/>
  <c r="C1122" i="81"/>
  <c r="C1121" i="81"/>
  <c r="C1120" i="81"/>
  <c r="C1119" i="81"/>
  <c r="C1118" i="81"/>
  <c r="C1117" i="81"/>
  <c r="C1116" i="81"/>
  <c r="C1115" i="81"/>
  <c r="C1114" i="81"/>
  <c r="C1113" i="81"/>
  <c r="C1112" i="81"/>
  <c r="C1111" i="81"/>
  <c r="C1110" i="81"/>
  <c r="C1109" i="81"/>
  <c r="C1108" i="81"/>
  <c r="C1107" i="81"/>
  <c r="C1106" i="81"/>
  <c r="C1105" i="81"/>
  <c r="C1104" i="81"/>
  <c r="C1103" i="81"/>
  <c r="C1102" i="81"/>
  <c r="C1101" i="81"/>
  <c r="C1100" i="81"/>
  <c r="C1099" i="81"/>
  <c r="C1098" i="81"/>
  <c r="C1097" i="81"/>
  <c r="C1096" i="81"/>
  <c r="C1095" i="81"/>
  <c r="C1094" i="81"/>
  <c r="C1093" i="81"/>
  <c r="C1092" i="81"/>
  <c r="C1091" i="81"/>
  <c r="C1090" i="81"/>
  <c r="C1089" i="81"/>
  <c r="C1088" i="81"/>
  <c r="C1087" i="81"/>
  <c r="C1086" i="81"/>
  <c r="C1085" i="81"/>
  <c r="C1084" i="81"/>
  <c r="C1083" i="81"/>
  <c r="C1082" i="81"/>
  <c r="C1081" i="81"/>
  <c r="C1080" i="81"/>
  <c r="C1079" i="81"/>
  <c r="C1078" i="81"/>
  <c r="C1077" i="81"/>
  <c r="G1051" i="81"/>
  <c r="C1051" i="81"/>
  <c r="B1051" i="81"/>
  <c r="G1050" i="81"/>
  <c r="C1050" i="81"/>
  <c r="B1050" i="81"/>
  <c r="G1049" i="81"/>
  <c r="C1049" i="81"/>
  <c r="B1049" i="81"/>
  <c r="G1048" i="81"/>
  <c r="C1048" i="81"/>
  <c r="B1048" i="81"/>
  <c r="G1047" i="81"/>
  <c r="C1047" i="81"/>
  <c r="B1047" i="81"/>
  <c r="G1046" i="81"/>
  <c r="C1046" i="81"/>
  <c r="B1046" i="81"/>
  <c r="G1045" i="81"/>
  <c r="C1045" i="81"/>
  <c r="B1045" i="81"/>
  <c r="G1044" i="81"/>
  <c r="C1044" i="81"/>
  <c r="B1044" i="81"/>
  <c r="G1037" i="81"/>
  <c r="C1037" i="81"/>
  <c r="B1037" i="81"/>
  <c r="G1036" i="81"/>
  <c r="C1036" i="81"/>
  <c r="B1036" i="81"/>
  <c r="G1035" i="81"/>
  <c r="C1035" i="81"/>
  <c r="B1035" i="81"/>
  <c r="G1034" i="81"/>
  <c r="C1034" i="81"/>
  <c r="B1034" i="81"/>
  <c r="G1033" i="81"/>
  <c r="C1033" i="81"/>
  <c r="B1033" i="81"/>
  <c r="G1032" i="81"/>
  <c r="C1032" i="81"/>
  <c r="B1032" i="81"/>
  <c r="G1031" i="81"/>
  <c r="C1031" i="81"/>
  <c r="B1031" i="81"/>
  <c r="G1030" i="81"/>
  <c r="C1030" i="81"/>
  <c r="B1030" i="81"/>
  <c r="G1029" i="81"/>
  <c r="C1029" i="81"/>
  <c r="B1029" i="81"/>
  <c r="G1028" i="81"/>
  <c r="C1028" i="81"/>
  <c r="B1028" i="81"/>
  <c r="G1027" i="81"/>
  <c r="C1027" i="81"/>
  <c r="B1027" i="81"/>
  <c r="G1026" i="81"/>
  <c r="C1026" i="81"/>
  <c r="B1026" i="81"/>
  <c r="G1025" i="81"/>
  <c r="C1025" i="81"/>
  <c r="B1025" i="81"/>
  <c r="G1024" i="81"/>
  <c r="C1024" i="81"/>
  <c r="B1024" i="81"/>
  <c r="G1023" i="81"/>
  <c r="C1023" i="81"/>
  <c r="B1023" i="81"/>
  <c r="G1022" i="81"/>
  <c r="C1022" i="81"/>
  <c r="B1022" i="81"/>
  <c r="G1021" i="81"/>
  <c r="C1021" i="81"/>
  <c r="B1021" i="81"/>
  <c r="G1020" i="81"/>
  <c r="C1020" i="81"/>
  <c r="B1020" i="81"/>
  <c r="G1019" i="81"/>
  <c r="C1019" i="81"/>
  <c r="B1019" i="81"/>
  <c r="G1018" i="81"/>
  <c r="C1018" i="81"/>
  <c r="B1018" i="81"/>
  <c r="G1017" i="81"/>
  <c r="C1017" i="81"/>
  <c r="B1017" i="81"/>
  <c r="G1016" i="81"/>
  <c r="C1016" i="81"/>
  <c r="B1016" i="81"/>
  <c r="G1015" i="81"/>
  <c r="C1015" i="81"/>
  <c r="B1015" i="81"/>
  <c r="G1014" i="81"/>
  <c r="C1014" i="81"/>
  <c r="B1014" i="81"/>
  <c r="G1013" i="81"/>
  <c r="C1013" i="81"/>
  <c r="B1013" i="81"/>
  <c r="G1012" i="81"/>
  <c r="C1012" i="81"/>
  <c r="B1012" i="81"/>
  <c r="G1011" i="81"/>
  <c r="C1011" i="81"/>
  <c r="B1011" i="81"/>
  <c r="G1010" i="81"/>
  <c r="B1010" i="81"/>
  <c r="G1009" i="81"/>
  <c r="B1009" i="81"/>
  <c r="G1008" i="81"/>
  <c r="B1008" i="81"/>
  <c r="G1007" i="81"/>
  <c r="B1007" i="81"/>
  <c r="G1006" i="81"/>
  <c r="B1006" i="81"/>
  <c r="G1005" i="81"/>
  <c r="B1005" i="81"/>
  <c r="G1004" i="81"/>
  <c r="B1004" i="81"/>
  <c r="G1003" i="81"/>
  <c r="B1003" i="81"/>
  <c r="G1002" i="81"/>
  <c r="B1002" i="81"/>
  <c r="G1001" i="81"/>
  <c r="B1001" i="81"/>
  <c r="G1000" i="81"/>
  <c r="B1000" i="81"/>
  <c r="G999" i="81"/>
  <c r="C999" i="81"/>
  <c r="B999" i="81"/>
  <c r="G998" i="81"/>
  <c r="C998" i="81"/>
  <c r="B998" i="81"/>
  <c r="G997" i="81"/>
  <c r="C997" i="81"/>
  <c r="B997" i="81"/>
  <c r="G996" i="81"/>
  <c r="C996" i="81"/>
  <c r="B996" i="81"/>
  <c r="G995" i="81"/>
  <c r="C995" i="81"/>
  <c r="B995" i="81"/>
  <c r="G994" i="81"/>
  <c r="C994" i="81"/>
  <c r="B994" i="81"/>
  <c r="G993" i="81"/>
  <c r="C993" i="81"/>
  <c r="B993" i="81"/>
  <c r="G992" i="81"/>
  <c r="C992" i="81"/>
  <c r="B992" i="81"/>
  <c r="G991" i="81"/>
  <c r="C991" i="81"/>
  <c r="B991" i="81"/>
  <c r="G990" i="81"/>
  <c r="C990" i="81"/>
  <c r="B990" i="81"/>
  <c r="G989" i="81"/>
  <c r="C989" i="81"/>
  <c r="B989" i="81"/>
  <c r="G988" i="81"/>
  <c r="C988" i="81"/>
  <c r="B988" i="81"/>
  <c r="G987" i="81"/>
  <c r="C987" i="81"/>
  <c r="B987" i="81"/>
  <c r="G986" i="81"/>
  <c r="C986" i="81"/>
  <c r="B986" i="81"/>
  <c r="G985" i="81"/>
  <c r="C985" i="81"/>
  <c r="B985" i="81"/>
  <c r="G984" i="81"/>
  <c r="C984" i="81"/>
  <c r="B984" i="81"/>
  <c r="G983" i="81"/>
  <c r="C983" i="81"/>
  <c r="B983" i="81"/>
  <c r="G982" i="81"/>
  <c r="C982" i="81"/>
  <c r="B982" i="81"/>
  <c r="G981" i="81"/>
  <c r="C981" i="81"/>
  <c r="B981" i="81"/>
  <c r="G980" i="81"/>
  <c r="C980" i="81"/>
  <c r="B980" i="81"/>
  <c r="G979" i="81"/>
  <c r="C979" i="81"/>
  <c r="B979" i="81"/>
  <c r="G978" i="81"/>
  <c r="C978" i="81"/>
  <c r="B978" i="81"/>
  <c r="G977" i="81"/>
  <c r="C977" i="81"/>
  <c r="B977" i="81"/>
  <c r="G976" i="81"/>
  <c r="C976" i="81"/>
  <c r="B976" i="81"/>
  <c r="G975" i="81"/>
  <c r="C975" i="81"/>
  <c r="B975" i="81"/>
  <c r="G974" i="81"/>
  <c r="C974" i="81"/>
  <c r="B974" i="81"/>
  <c r="G973" i="81"/>
  <c r="C973" i="81"/>
  <c r="B973" i="81"/>
  <c r="G972" i="81"/>
  <c r="C972" i="81"/>
  <c r="B972" i="81"/>
  <c r="G971" i="81"/>
  <c r="C971" i="81"/>
  <c r="B971" i="81"/>
  <c r="G970" i="81"/>
  <c r="C970" i="81"/>
  <c r="B970" i="81"/>
  <c r="G969" i="81"/>
  <c r="C969" i="81"/>
  <c r="B969" i="81"/>
  <c r="G968" i="81"/>
  <c r="C968" i="81"/>
  <c r="B968" i="81"/>
  <c r="G967" i="81"/>
  <c r="C967" i="81"/>
  <c r="B967" i="81"/>
  <c r="G966" i="81"/>
  <c r="C966" i="81"/>
  <c r="B966" i="81"/>
  <c r="G965" i="81"/>
  <c r="C965" i="81"/>
  <c r="B965" i="81"/>
  <c r="G964" i="81"/>
  <c r="C964" i="81"/>
  <c r="B964" i="81"/>
  <c r="G963" i="81"/>
  <c r="C963" i="81"/>
  <c r="B963" i="81"/>
  <c r="G962" i="81"/>
  <c r="C962" i="81"/>
  <c r="B962" i="81"/>
  <c r="G961" i="81"/>
  <c r="C961" i="81"/>
  <c r="B961" i="81"/>
  <c r="G960" i="81"/>
  <c r="C960" i="81"/>
  <c r="B960" i="81"/>
  <c r="G959" i="81"/>
  <c r="C959" i="81"/>
  <c r="B959" i="81"/>
  <c r="G958" i="81"/>
  <c r="C958" i="81"/>
  <c r="B958" i="81"/>
  <c r="G957" i="81"/>
  <c r="C957" i="81"/>
  <c r="B957" i="81"/>
  <c r="G956" i="81"/>
  <c r="C956" i="81"/>
  <c r="B956" i="81"/>
  <c r="G955" i="81"/>
  <c r="C955" i="81"/>
  <c r="B955" i="81"/>
  <c r="G954" i="81"/>
  <c r="C954" i="81"/>
  <c r="B954" i="81"/>
  <c r="G953" i="81"/>
  <c r="C953" i="81"/>
  <c r="B953" i="81"/>
  <c r="G952" i="81"/>
  <c r="C952" i="81"/>
  <c r="B952" i="81"/>
  <c r="G951" i="81"/>
  <c r="C951" i="81"/>
  <c r="B951" i="81"/>
  <c r="G950" i="81"/>
  <c r="C950" i="81"/>
  <c r="B950" i="81"/>
  <c r="G949" i="81"/>
  <c r="C949" i="81"/>
  <c r="B949" i="81"/>
  <c r="G948" i="81"/>
  <c r="C948" i="81"/>
  <c r="B948" i="81"/>
  <c r="G947" i="81"/>
  <c r="C947" i="81"/>
  <c r="B947" i="81"/>
  <c r="G946" i="81"/>
  <c r="C946" i="81"/>
  <c r="B946" i="81"/>
  <c r="G945" i="81"/>
  <c r="C945" i="81"/>
  <c r="B945" i="81"/>
  <c r="G944" i="81"/>
  <c r="C944" i="81"/>
  <c r="B944" i="81"/>
  <c r="G943" i="81"/>
  <c r="C943" i="81"/>
  <c r="B943" i="81"/>
  <c r="G942" i="81"/>
  <c r="C942" i="81"/>
  <c r="B942" i="81"/>
  <c r="G941" i="81"/>
  <c r="C941" i="81"/>
  <c r="B941" i="81"/>
  <c r="G940" i="81"/>
  <c r="C940" i="81"/>
  <c r="B940" i="81"/>
  <c r="G939" i="81"/>
  <c r="C939" i="81"/>
  <c r="B939" i="81"/>
  <c r="G938" i="81"/>
  <c r="C938" i="81"/>
  <c r="B938" i="81"/>
  <c r="G937" i="81"/>
  <c r="C937" i="81"/>
  <c r="B937" i="81"/>
  <c r="G936" i="81"/>
  <c r="C936" i="81"/>
  <c r="B936" i="81"/>
  <c r="G935" i="81"/>
  <c r="C935" i="81"/>
  <c r="B935" i="81"/>
  <c r="G934" i="81"/>
  <c r="C934" i="81"/>
  <c r="B934" i="81"/>
  <c r="G933" i="81"/>
  <c r="C933" i="81"/>
  <c r="B933" i="81"/>
  <c r="G932" i="81"/>
  <c r="C932" i="81"/>
  <c r="B932" i="81"/>
  <c r="G931" i="81"/>
  <c r="C931" i="81"/>
  <c r="B931" i="81"/>
  <c r="G930" i="81"/>
  <c r="C930" i="81"/>
  <c r="B930" i="81"/>
  <c r="G929" i="81"/>
  <c r="C929" i="81"/>
  <c r="B929" i="81"/>
  <c r="G928" i="81"/>
  <c r="C928" i="81"/>
  <c r="B928" i="81"/>
  <c r="G927" i="81"/>
  <c r="C927" i="81"/>
  <c r="B927" i="81"/>
  <c r="G926" i="81"/>
  <c r="C926" i="81"/>
  <c r="B926" i="81"/>
  <c r="G925" i="81"/>
  <c r="C925" i="81"/>
  <c r="B925" i="81"/>
  <c r="G924" i="81"/>
  <c r="C924" i="81"/>
  <c r="B924" i="81"/>
  <c r="G923" i="81"/>
  <c r="C923" i="81"/>
  <c r="B923" i="81"/>
  <c r="G922" i="81"/>
  <c r="C922" i="81"/>
  <c r="B922" i="81"/>
  <c r="G921" i="81"/>
  <c r="C921" i="81"/>
  <c r="B921" i="81"/>
  <c r="G920" i="81"/>
  <c r="C920" i="81"/>
  <c r="B920" i="81"/>
  <c r="G919" i="81"/>
  <c r="C919" i="81"/>
  <c r="B919" i="81"/>
  <c r="G918" i="81"/>
  <c r="B918" i="81"/>
  <c r="G917" i="81"/>
  <c r="B917" i="81"/>
  <c r="G916" i="81"/>
  <c r="B916" i="81"/>
  <c r="G915" i="81"/>
  <c r="B915" i="81"/>
  <c r="G914" i="81"/>
  <c r="B914" i="81"/>
  <c r="G913" i="81"/>
  <c r="B913" i="81"/>
  <c r="G912" i="81"/>
  <c r="B912" i="81"/>
  <c r="G911" i="81"/>
  <c r="B911" i="81"/>
  <c r="G910" i="81"/>
  <c r="B910" i="81"/>
  <c r="G909" i="81"/>
  <c r="B909" i="81"/>
  <c r="G908" i="81"/>
  <c r="B908" i="81"/>
  <c r="G907" i="81"/>
  <c r="B907" i="81"/>
  <c r="G906" i="81"/>
  <c r="B906" i="81"/>
  <c r="G905" i="81"/>
  <c r="B905" i="81"/>
  <c r="G904" i="81"/>
  <c r="B904" i="81"/>
  <c r="G903" i="81"/>
  <c r="B903" i="81"/>
  <c r="G902" i="81"/>
  <c r="B902" i="81"/>
  <c r="G901" i="81"/>
  <c r="B901" i="81"/>
  <c r="G900" i="81"/>
  <c r="B900" i="81"/>
  <c r="G899" i="81"/>
  <c r="B899" i="81"/>
  <c r="G898" i="81"/>
  <c r="C898" i="81"/>
  <c r="B898" i="81"/>
  <c r="G897" i="81"/>
  <c r="C897" i="81"/>
  <c r="B897" i="81"/>
  <c r="G896" i="81"/>
  <c r="C896" i="81"/>
  <c r="B896" i="81"/>
  <c r="G895" i="81"/>
  <c r="C895" i="81"/>
  <c r="B895" i="81"/>
  <c r="G894" i="81"/>
  <c r="C894" i="81"/>
  <c r="B894" i="81"/>
  <c r="G893" i="81"/>
  <c r="C893" i="81"/>
  <c r="B893" i="81"/>
  <c r="G892" i="81"/>
  <c r="C892" i="81"/>
  <c r="B892" i="81"/>
  <c r="G891" i="81"/>
  <c r="C891" i="81"/>
  <c r="B891" i="81"/>
  <c r="G890" i="81"/>
  <c r="C890" i="81"/>
  <c r="B890" i="81"/>
  <c r="G889" i="81"/>
  <c r="C889" i="81"/>
  <c r="B889" i="81"/>
  <c r="G888" i="81"/>
  <c r="C888" i="81"/>
  <c r="B888" i="81"/>
  <c r="G887" i="81"/>
  <c r="C887" i="81"/>
  <c r="B887" i="81"/>
  <c r="G886" i="81"/>
  <c r="C886" i="81"/>
  <c r="B886" i="81"/>
  <c r="G885" i="81"/>
  <c r="C885" i="81"/>
  <c r="B885" i="81"/>
  <c r="G884" i="81"/>
  <c r="C884" i="81"/>
  <c r="B884" i="81"/>
  <c r="G883" i="81"/>
  <c r="C883" i="81"/>
  <c r="B883" i="81"/>
  <c r="G882" i="81"/>
  <c r="C882" i="81"/>
  <c r="B882" i="81"/>
  <c r="G881" i="81"/>
  <c r="C881" i="81"/>
  <c r="B881" i="81"/>
  <c r="G880" i="81"/>
  <c r="C880" i="81"/>
  <c r="B880" i="81"/>
  <c r="G879" i="81"/>
  <c r="C879" i="81"/>
  <c r="B879" i="81"/>
  <c r="G878" i="81"/>
  <c r="C878" i="81"/>
  <c r="B878" i="81"/>
  <c r="G877" i="81"/>
  <c r="C877" i="81"/>
  <c r="B877" i="81"/>
  <c r="G876" i="81"/>
  <c r="C876" i="81"/>
  <c r="B876" i="81"/>
  <c r="G875" i="81"/>
  <c r="C875" i="81"/>
  <c r="B875" i="81"/>
  <c r="G874" i="81"/>
  <c r="C874" i="81"/>
  <c r="B874" i="81"/>
  <c r="G873" i="81"/>
  <c r="C873" i="81"/>
  <c r="B873" i="81"/>
  <c r="G872" i="81"/>
  <c r="C872" i="81"/>
  <c r="B872" i="81"/>
  <c r="G871" i="81"/>
  <c r="C871" i="81"/>
  <c r="B871" i="81"/>
  <c r="G870" i="81"/>
  <c r="C870" i="81"/>
  <c r="B870" i="81"/>
  <c r="G869" i="81"/>
  <c r="C869" i="81"/>
  <c r="B869" i="81"/>
  <c r="G868" i="81"/>
  <c r="C868" i="81"/>
  <c r="B868" i="81"/>
  <c r="G867" i="81"/>
  <c r="C867" i="81"/>
  <c r="B867" i="81"/>
  <c r="G866" i="81"/>
  <c r="C866" i="81"/>
  <c r="B866" i="81"/>
  <c r="G865" i="81"/>
  <c r="C865" i="81"/>
  <c r="B865" i="81"/>
  <c r="G864" i="81"/>
  <c r="C864" i="81"/>
  <c r="B864" i="81"/>
  <c r="G863" i="81"/>
  <c r="C863" i="81"/>
  <c r="B863" i="81"/>
  <c r="G862" i="81"/>
  <c r="C862" i="81"/>
  <c r="B862" i="81"/>
  <c r="G861" i="81"/>
  <c r="C861" i="81"/>
  <c r="B861" i="81"/>
  <c r="G860" i="81"/>
  <c r="C860" i="81"/>
  <c r="B860" i="81"/>
  <c r="G859" i="81"/>
  <c r="C859" i="81"/>
  <c r="B859" i="81"/>
  <c r="G858" i="81"/>
  <c r="C858" i="81"/>
  <c r="B858" i="81"/>
  <c r="G857" i="81"/>
  <c r="C857" i="81"/>
  <c r="B857" i="81"/>
  <c r="G856" i="81"/>
  <c r="C856" i="81"/>
  <c r="B856" i="81"/>
  <c r="G855" i="81"/>
  <c r="C855" i="81"/>
  <c r="B855" i="81"/>
  <c r="G854" i="81"/>
  <c r="C854" i="81"/>
  <c r="B854" i="81"/>
  <c r="G853" i="81"/>
  <c r="C853" i="81"/>
  <c r="B853" i="81"/>
  <c r="G852" i="81"/>
  <c r="C852" i="81"/>
  <c r="B852" i="81"/>
  <c r="G851" i="81"/>
  <c r="C851" i="81"/>
  <c r="B851" i="81"/>
  <c r="G850" i="81"/>
  <c r="C850" i="81"/>
  <c r="B850" i="81"/>
  <c r="G849" i="81"/>
  <c r="C849" i="81"/>
  <c r="B849" i="81"/>
  <c r="G848" i="81"/>
  <c r="C848" i="81"/>
  <c r="B848" i="81"/>
  <c r="G847" i="81"/>
  <c r="C847" i="81"/>
  <c r="B847" i="81"/>
  <c r="G846" i="81"/>
  <c r="C846" i="81"/>
  <c r="B846" i="81"/>
  <c r="G845" i="81"/>
  <c r="C845" i="81"/>
  <c r="B845" i="81"/>
  <c r="G844" i="81"/>
  <c r="C844" i="81"/>
  <c r="B844" i="81"/>
  <c r="G843" i="81"/>
  <c r="C843" i="81"/>
  <c r="B843" i="81"/>
  <c r="G842" i="81"/>
  <c r="C842" i="81"/>
  <c r="B842" i="81"/>
  <c r="G841" i="81"/>
  <c r="C841" i="81"/>
  <c r="B841" i="81"/>
  <c r="G840" i="81"/>
  <c r="C840" i="81"/>
  <c r="B840" i="81"/>
  <c r="G839" i="81"/>
  <c r="C839" i="81"/>
  <c r="B839" i="81"/>
  <c r="G838" i="81"/>
  <c r="C838" i="81"/>
  <c r="B838" i="81"/>
  <c r="G837" i="81"/>
  <c r="C837" i="81"/>
  <c r="B837" i="81"/>
  <c r="G836" i="81"/>
  <c r="C836" i="81"/>
  <c r="B836" i="81"/>
  <c r="G835" i="81"/>
  <c r="C835" i="81"/>
  <c r="B835" i="81"/>
  <c r="G834" i="81"/>
  <c r="C834" i="81"/>
  <c r="B834" i="81"/>
  <c r="G833" i="81"/>
  <c r="C833" i="81"/>
  <c r="B833" i="81"/>
  <c r="G832" i="81"/>
  <c r="C832" i="81"/>
  <c r="B832" i="81"/>
  <c r="G831" i="81"/>
  <c r="C831" i="81"/>
  <c r="B831" i="81"/>
  <c r="G830" i="81"/>
  <c r="C830" i="81"/>
  <c r="B830" i="81"/>
  <c r="G829" i="81"/>
  <c r="C829" i="81"/>
  <c r="B829" i="81"/>
  <c r="G828" i="81"/>
  <c r="C828" i="81"/>
  <c r="B828" i="81"/>
  <c r="G827" i="81"/>
  <c r="C827" i="81"/>
  <c r="B827" i="81"/>
  <c r="G826" i="81"/>
  <c r="C826" i="81"/>
  <c r="B826" i="81"/>
  <c r="G825" i="81"/>
  <c r="C825" i="81"/>
  <c r="B825" i="81"/>
  <c r="G824" i="81"/>
  <c r="C824" i="81"/>
  <c r="B824" i="81"/>
  <c r="G823" i="81"/>
  <c r="C823" i="81"/>
  <c r="B823" i="81"/>
  <c r="G822" i="81"/>
  <c r="C822" i="81"/>
  <c r="B822" i="81"/>
  <c r="G821" i="81"/>
  <c r="C821" i="81"/>
  <c r="B821" i="81"/>
  <c r="G820" i="81"/>
  <c r="C820" i="81"/>
  <c r="B820" i="81"/>
  <c r="G819" i="81"/>
  <c r="C819" i="81"/>
  <c r="B819" i="81"/>
  <c r="G818" i="81"/>
  <c r="C818" i="81"/>
  <c r="B818" i="81"/>
  <c r="G817" i="81"/>
  <c r="C817" i="81"/>
  <c r="B817" i="81"/>
  <c r="G816" i="81"/>
  <c r="C816" i="81"/>
  <c r="B816" i="81"/>
  <c r="G815" i="81"/>
  <c r="C815" i="81"/>
  <c r="B815" i="81"/>
  <c r="G814" i="81"/>
  <c r="C814" i="81"/>
  <c r="B814" i="81"/>
  <c r="G813" i="81"/>
  <c r="C813" i="81"/>
  <c r="B813" i="81"/>
  <c r="G812" i="81"/>
  <c r="C812" i="81"/>
  <c r="B812" i="81"/>
  <c r="G811" i="81"/>
  <c r="C811" i="81"/>
  <c r="B811" i="81"/>
  <c r="G810" i="81"/>
  <c r="C810" i="81"/>
  <c r="B810" i="81"/>
  <c r="G809" i="81"/>
  <c r="C809" i="81"/>
  <c r="B809" i="81"/>
  <c r="G808" i="81"/>
  <c r="C808" i="81"/>
  <c r="B808" i="81"/>
  <c r="G807" i="81"/>
  <c r="C807" i="81"/>
  <c r="B807" i="81"/>
  <c r="G806" i="81"/>
  <c r="C806" i="81"/>
  <c r="B806" i="81"/>
  <c r="G805" i="81"/>
  <c r="C805" i="81"/>
  <c r="B805" i="81"/>
  <c r="G804" i="81"/>
  <c r="C804" i="81"/>
  <c r="B804" i="81"/>
  <c r="G803" i="81"/>
  <c r="C803" i="81"/>
  <c r="B803" i="81"/>
  <c r="G802" i="81"/>
  <c r="C802" i="81"/>
  <c r="B802" i="81"/>
  <c r="G801" i="81"/>
  <c r="C801" i="81"/>
  <c r="B801" i="81"/>
  <c r="G800" i="81"/>
  <c r="C800" i="81"/>
  <c r="B800" i="81"/>
  <c r="G799" i="81"/>
  <c r="C799" i="81"/>
  <c r="B799" i="81"/>
  <c r="G798" i="81"/>
  <c r="B798" i="81"/>
  <c r="G797" i="81"/>
  <c r="B797" i="81"/>
  <c r="G796" i="81"/>
  <c r="B796" i="81"/>
  <c r="G795" i="81"/>
  <c r="B795" i="81"/>
  <c r="G794" i="81"/>
  <c r="B794" i="81"/>
  <c r="G793" i="81"/>
  <c r="B793" i="81"/>
  <c r="G792" i="81"/>
  <c r="B792" i="81"/>
  <c r="G791" i="81"/>
  <c r="B791" i="81"/>
  <c r="G790" i="81"/>
  <c r="B790" i="81"/>
  <c r="G789" i="81"/>
  <c r="B789" i="81"/>
  <c r="G788" i="81"/>
  <c r="B788" i="81"/>
  <c r="G787" i="81"/>
  <c r="B787" i="81"/>
  <c r="G786" i="81"/>
  <c r="B786" i="81"/>
  <c r="G785" i="81"/>
  <c r="B785" i="81"/>
  <c r="G784" i="81"/>
  <c r="B784" i="81"/>
  <c r="G783" i="81"/>
  <c r="B783" i="81"/>
  <c r="G782" i="81"/>
  <c r="B782" i="81"/>
  <c r="G781" i="81"/>
  <c r="B781" i="81"/>
  <c r="G780" i="81"/>
  <c r="B780" i="81"/>
  <c r="G779" i="81"/>
  <c r="B779" i="81"/>
  <c r="G778" i="81"/>
  <c r="C778" i="81"/>
  <c r="B778" i="81"/>
  <c r="G777" i="81"/>
  <c r="C777" i="81"/>
  <c r="B777" i="81"/>
  <c r="G776" i="81"/>
  <c r="C776" i="81"/>
  <c r="B776" i="81"/>
  <c r="G775" i="81"/>
  <c r="C775" i="81"/>
  <c r="B775" i="81"/>
  <c r="G774" i="81"/>
  <c r="C774" i="81"/>
  <c r="B774" i="81"/>
  <c r="G773" i="81"/>
  <c r="C773" i="81"/>
  <c r="B773" i="81"/>
  <c r="G772" i="81"/>
  <c r="C772" i="81"/>
  <c r="B772" i="81"/>
  <c r="G771" i="81"/>
  <c r="C771" i="81"/>
  <c r="B771" i="81"/>
  <c r="G770" i="81"/>
  <c r="C770" i="81"/>
  <c r="B770" i="81"/>
  <c r="G769" i="81"/>
  <c r="C769" i="81"/>
  <c r="B769" i="81"/>
  <c r="G768" i="81"/>
  <c r="C768" i="81"/>
  <c r="B768" i="81"/>
  <c r="G767" i="81"/>
  <c r="C767" i="81"/>
  <c r="B767" i="81"/>
  <c r="G766" i="81"/>
  <c r="C766" i="81"/>
  <c r="B766" i="81"/>
  <c r="G765" i="81"/>
  <c r="C765" i="81"/>
  <c r="B765" i="81"/>
  <c r="G764" i="81"/>
  <c r="C764" i="81"/>
  <c r="B764" i="81"/>
  <c r="G763" i="81"/>
  <c r="C763" i="81"/>
  <c r="B763" i="81"/>
  <c r="G762" i="81"/>
  <c r="C762" i="81"/>
  <c r="B762" i="81"/>
  <c r="G761" i="81"/>
  <c r="C761" i="81"/>
  <c r="B761" i="81"/>
  <c r="G760" i="81"/>
  <c r="C760" i="81"/>
  <c r="B760" i="81"/>
  <c r="G759" i="81"/>
  <c r="C759" i="81"/>
  <c r="B759" i="81"/>
  <c r="G758" i="81"/>
  <c r="C758" i="81"/>
  <c r="B758" i="81"/>
  <c r="G757" i="81"/>
  <c r="C757" i="81"/>
  <c r="B757" i="81"/>
  <c r="G756" i="81"/>
  <c r="C756" i="81"/>
  <c r="B756" i="81"/>
  <c r="G755" i="81"/>
  <c r="C755" i="81"/>
  <c r="B755" i="81"/>
  <c r="G754" i="81"/>
  <c r="C754" i="81"/>
  <c r="B754" i="81"/>
  <c r="G753" i="81"/>
  <c r="C753" i="81"/>
  <c r="B753" i="81"/>
  <c r="G752" i="81"/>
  <c r="C752" i="81"/>
  <c r="B752" i="81"/>
  <c r="G751" i="81"/>
  <c r="C751" i="81"/>
  <c r="B751" i="81"/>
  <c r="G750" i="81"/>
  <c r="C750" i="81"/>
  <c r="B750" i="81"/>
  <c r="G749" i="81"/>
  <c r="C749" i="81"/>
  <c r="B749" i="81"/>
  <c r="G748" i="81"/>
  <c r="C748" i="81"/>
  <c r="B748" i="81"/>
  <c r="G747" i="81"/>
  <c r="C747" i="81"/>
  <c r="B747" i="81"/>
  <c r="G746" i="81"/>
  <c r="C746" i="81"/>
  <c r="B746" i="81"/>
  <c r="G745" i="81"/>
  <c r="C745" i="81"/>
  <c r="B745" i="81"/>
  <c r="G744" i="81"/>
  <c r="C744" i="81"/>
  <c r="B744" i="81"/>
  <c r="G743" i="81"/>
  <c r="C743" i="81"/>
  <c r="B743" i="81"/>
  <c r="G742" i="81"/>
  <c r="C742" i="81"/>
  <c r="B742" i="81"/>
  <c r="G741" i="81"/>
  <c r="C741" i="81"/>
  <c r="B741" i="81"/>
  <c r="G740" i="81"/>
  <c r="C740" i="81"/>
  <c r="B740" i="81"/>
  <c r="G739" i="81"/>
  <c r="C739" i="81"/>
  <c r="B739" i="81"/>
  <c r="G738" i="81"/>
  <c r="C738" i="81"/>
  <c r="B738" i="81"/>
  <c r="G737" i="81"/>
  <c r="C737" i="81"/>
  <c r="B737" i="81"/>
  <c r="G736" i="81"/>
  <c r="C736" i="81"/>
  <c r="B736" i="81"/>
  <c r="G735" i="81"/>
  <c r="C735" i="81"/>
  <c r="B735" i="81"/>
  <c r="G734" i="81"/>
  <c r="C734" i="81"/>
  <c r="B734" i="81"/>
  <c r="G733" i="81"/>
  <c r="C733" i="81"/>
  <c r="B733" i="81"/>
  <c r="G732" i="81"/>
  <c r="C732" i="81"/>
  <c r="B732" i="81"/>
  <c r="G731" i="81"/>
  <c r="C731" i="81"/>
  <c r="B731" i="81"/>
  <c r="G730" i="81"/>
  <c r="C730" i="81"/>
  <c r="B730" i="81"/>
  <c r="G729" i="81"/>
  <c r="C729" i="81"/>
  <c r="B729" i="81"/>
  <c r="G728" i="81"/>
  <c r="C728" i="81"/>
  <c r="B728" i="81"/>
  <c r="G727" i="81"/>
  <c r="C727" i="81"/>
  <c r="B727" i="81"/>
  <c r="G726" i="81"/>
  <c r="C726" i="81"/>
  <c r="B726" i="81"/>
  <c r="G725" i="81"/>
  <c r="C725" i="81"/>
  <c r="B725" i="81"/>
  <c r="G724" i="81"/>
  <c r="C724" i="81"/>
  <c r="B724" i="81"/>
  <c r="G723" i="81"/>
  <c r="C723" i="81"/>
  <c r="B723" i="81"/>
  <c r="G722" i="81"/>
  <c r="C722" i="81"/>
  <c r="B722" i="81"/>
  <c r="G721" i="81"/>
  <c r="C721" i="81"/>
  <c r="B721" i="81"/>
  <c r="G720" i="81"/>
  <c r="C720" i="81"/>
  <c r="B720" i="81"/>
  <c r="G719" i="81"/>
  <c r="C719" i="81"/>
  <c r="B719" i="81"/>
  <c r="G718" i="81"/>
  <c r="C718" i="81"/>
  <c r="B718" i="81"/>
  <c r="G717" i="81"/>
  <c r="C717" i="81"/>
  <c r="B717" i="81"/>
  <c r="G716" i="81"/>
  <c r="C716" i="81"/>
  <c r="B716" i="81"/>
  <c r="G715" i="81"/>
  <c r="C715" i="81"/>
  <c r="B715" i="81"/>
  <c r="G714" i="81"/>
  <c r="C714" i="81"/>
  <c r="B714" i="81"/>
  <c r="G713" i="81"/>
  <c r="C713" i="81"/>
  <c r="B713" i="81"/>
  <c r="G712" i="81"/>
  <c r="C712" i="81"/>
  <c r="B712" i="81"/>
  <c r="G711" i="81"/>
  <c r="C711" i="81"/>
  <c r="B711" i="81"/>
  <c r="G710" i="81"/>
  <c r="C710" i="81"/>
  <c r="B710" i="81"/>
  <c r="G709" i="81"/>
  <c r="C709" i="81"/>
  <c r="B709" i="81"/>
  <c r="G708" i="81"/>
  <c r="C708" i="81"/>
  <c r="B708" i="81"/>
  <c r="G707" i="81"/>
  <c r="C707" i="81"/>
  <c r="B707" i="81"/>
  <c r="G706" i="81"/>
  <c r="C706" i="81"/>
  <c r="B706" i="81"/>
  <c r="G705" i="81"/>
  <c r="C705" i="81"/>
  <c r="B705" i="81"/>
  <c r="G704" i="81"/>
  <c r="C704" i="81"/>
  <c r="B704" i="81"/>
  <c r="G703" i="81"/>
  <c r="C703" i="81"/>
  <c r="B703" i="81"/>
  <c r="G702" i="81"/>
  <c r="C702" i="81"/>
  <c r="B702" i="81"/>
  <c r="G701" i="81"/>
  <c r="C701" i="81"/>
  <c r="B701" i="81"/>
  <c r="G700" i="81"/>
  <c r="C700" i="81"/>
  <c r="B700" i="81"/>
  <c r="G699" i="81"/>
  <c r="C699" i="81"/>
  <c r="B699" i="81"/>
  <c r="G698" i="81"/>
  <c r="C698" i="81"/>
  <c r="B698" i="81"/>
  <c r="G697" i="81"/>
  <c r="C697" i="81"/>
  <c r="B697" i="81"/>
  <c r="G696" i="81"/>
  <c r="C696" i="81"/>
  <c r="B696" i="81"/>
  <c r="G695" i="81"/>
  <c r="C695" i="81"/>
  <c r="B695" i="81"/>
  <c r="G694" i="81"/>
  <c r="C694" i="81"/>
  <c r="B694" i="81"/>
  <c r="G693" i="81"/>
  <c r="C693" i="81"/>
  <c r="B693" i="81"/>
  <c r="G692" i="81"/>
  <c r="C692" i="81"/>
  <c r="B692" i="81"/>
  <c r="G691" i="81"/>
  <c r="C691" i="81"/>
  <c r="B691" i="81"/>
  <c r="G690" i="81"/>
  <c r="C690" i="81"/>
  <c r="B690" i="81"/>
  <c r="G689" i="81"/>
  <c r="C689" i="81"/>
  <c r="B689" i="81"/>
  <c r="G688" i="81"/>
  <c r="C688" i="81"/>
  <c r="B688" i="81"/>
  <c r="G687" i="81"/>
  <c r="C687" i="81"/>
  <c r="B687" i="81"/>
  <c r="G686" i="81"/>
  <c r="C686" i="81"/>
  <c r="B686" i="81"/>
  <c r="G685" i="81"/>
  <c r="C685" i="81"/>
  <c r="B685" i="81"/>
  <c r="G684" i="81"/>
  <c r="C684" i="81"/>
  <c r="B684" i="81"/>
  <c r="G683" i="81"/>
  <c r="C683" i="81"/>
  <c r="B683" i="81"/>
  <c r="G682" i="81"/>
  <c r="C682" i="81"/>
  <c r="B682" i="81"/>
  <c r="G681" i="81"/>
  <c r="C681" i="81"/>
  <c r="B681" i="81"/>
  <c r="G680" i="81"/>
  <c r="C680" i="81"/>
  <c r="B680" i="81"/>
  <c r="G679" i="81"/>
  <c r="C679" i="81"/>
  <c r="B679" i="81"/>
  <c r="B673" i="81"/>
  <c r="B672" i="81"/>
  <c r="B671" i="81"/>
  <c r="B670" i="81"/>
  <c r="B669" i="81"/>
  <c r="G668" i="81"/>
  <c r="C668" i="81"/>
  <c r="B668" i="81"/>
  <c r="G667" i="81"/>
  <c r="C667" i="81"/>
  <c r="B667" i="81"/>
  <c r="G666" i="81"/>
  <c r="C666" i="81"/>
  <c r="B666" i="81"/>
  <c r="G665" i="81"/>
  <c r="C665" i="81"/>
  <c r="B665" i="81"/>
  <c r="G664" i="81"/>
  <c r="C664" i="81"/>
  <c r="B664" i="81"/>
  <c r="H663" i="81"/>
  <c r="C663" i="81"/>
  <c r="B663" i="81"/>
  <c r="H662" i="81"/>
  <c r="C662" i="81"/>
  <c r="B662" i="81"/>
  <c r="H661" i="81"/>
  <c r="C661" i="81"/>
  <c r="B661" i="81"/>
  <c r="H660" i="81"/>
  <c r="C660" i="81"/>
  <c r="B660" i="81"/>
  <c r="H659" i="81"/>
  <c r="C659" i="81"/>
  <c r="B659" i="81"/>
  <c r="H658" i="81"/>
  <c r="C658" i="81"/>
  <c r="B658" i="81"/>
  <c r="H657" i="81"/>
  <c r="C657" i="81"/>
  <c r="B657" i="81"/>
  <c r="H656" i="81"/>
  <c r="C656" i="81"/>
  <c r="B656" i="81"/>
  <c r="H655" i="81"/>
  <c r="C655" i="81"/>
  <c r="B655" i="81"/>
  <c r="H654" i="81"/>
  <c r="C654" i="81"/>
  <c r="B654" i="81"/>
  <c r="H653" i="81"/>
  <c r="C653" i="81"/>
  <c r="B653" i="81"/>
  <c r="H652" i="81"/>
  <c r="C652" i="81"/>
  <c r="B652" i="81"/>
  <c r="H651" i="81"/>
  <c r="C651" i="81"/>
  <c r="B651" i="81"/>
  <c r="H650" i="81"/>
  <c r="C650" i="81"/>
  <c r="B650" i="81"/>
  <c r="G636" i="81"/>
  <c r="C636" i="81"/>
  <c r="B636" i="81"/>
  <c r="G635" i="81"/>
  <c r="C635" i="81"/>
  <c r="B635" i="81"/>
  <c r="G634" i="81"/>
  <c r="C634" i="81"/>
  <c r="B634" i="81"/>
  <c r="G633" i="81"/>
  <c r="C633" i="81"/>
  <c r="B633" i="81"/>
  <c r="G632" i="81"/>
  <c r="C632" i="81"/>
  <c r="B632" i="81"/>
  <c r="G631" i="81"/>
  <c r="C631" i="81"/>
  <c r="B631" i="81"/>
  <c r="G630" i="81"/>
  <c r="C630" i="81"/>
  <c r="B630" i="81"/>
  <c r="G629" i="81"/>
  <c r="C629" i="81"/>
  <c r="B629" i="81"/>
  <c r="G628" i="81"/>
  <c r="C628" i="81"/>
  <c r="B628" i="81"/>
  <c r="G627" i="81"/>
  <c r="C627" i="81"/>
  <c r="B627" i="81"/>
  <c r="G626" i="81"/>
  <c r="C626" i="81"/>
  <c r="B626" i="81"/>
  <c r="G625" i="81"/>
  <c r="C625" i="81"/>
  <c r="B625" i="81"/>
  <c r="G624" i="81"/>
  <c r="C624" i="81"/>
  <c r="B624" i="81"/>
  <c r="G623" i="81"/>
  <c r="C623" i="81"/>
  <c r="B623" i="81"/>
  <c r="G622" i="81"/>
  <c r="C622" i="81"/>
  <c r="B622" i="81"/>
  <c r="G621" i="81"/>
  <c r="C621" i="81"/>
  <c r="B621" i="81"/>
  <c r="G620" i="81"/>
  <c r="C620" i="81"/>
  <c r="B620" i="81"/>
  <c r="G619" i="81"/>
  <c r="C619" i="81"/>
  <c r="B619" i="81"/>
  <c r="G618" i="81"/>
  <c r="C618" i="81"/>
  <c r="B618" i="81"/>
  <c r="G617" i="81"/>
  <c r="C617" i="81"/>
  <c r="B617" i="81"/>
  <c r="G616" i="81"/>
  <c r="C616" i="81"/>
  <c r="B616" i="81"/>
  <c r="G615" i="81"/>
  <c r="C615" i="81"/>
  <c r="B615" i="81"/>
  <c r="G614" i="81"/>
  <c r="C614" i="81"/>
  <c r="B614" i="81"/>
  <c r="G613" i="81"/>
  <c r="C613" i="81"/>
  <c r="B613" i="81"/>
  <c r="G612" i="81"/>
  <c r="C612" i="81"/>
  <c r="B612" i="81"/>
  <c r="G611" i="81"/>
  <c r="C611" i="81"/>
  <c r="B611" i="81"/>
  <c r="G610" i="81"/>
  <c r="C610" i="81"/>
  <c r="B610" i="81"/>
  <c r="G609" i="81"/>
  <c r="C609" i="81"/>
  <c r="B609" i="81"/>
  <c r="G608" i="81"/>
  <c r="C608" i="81"/>
  <c r="B608" i="81"/>
  <c r="G607" i="81"/>
  <c r="C607" i="81"/>
  <c r="B607" i="81"/>
  <c r="G606" i="81"/>
  <c r="C606" i="81"/>
  <c r="B606" i="81"/>
  <c r="G605" i="81"/>
  <c r="C605" i="81"/>
  <c r="B605" i="81"/>
  <c r="G604" i="81"/>
  <c r="C604" i="81"/>
  <c r="B604" i="81"/>
  <c r="G603" i="81"/>
  <c r="C603" i="81"/>
  <c r="B603" i="81"/>
  <c r="G602" i="81"/>
  <c r="C602" i="81"/>
  <c r="B602" i="81"/>
  <c r="G601" i="81"/>
  <c r="C601" i="81"/>
  <c r="B601" i="81"/>
  <c r="G600" i="81"/>
  <c r="C600" i="81"/>
  <c r="B600" i="81"/>
  <c r="G599" i="81"/>
  <c r="C599" i="81"/>
  <c r="B599" i="81"/>
  <c r="G598" i="81"/>
  <c r="C598" i="81"/>
  <c r="B598" i="81"/>
  <c r="G597" i="81"/>
  <c r="C597" i="81"/>
  <c r="B597" i="81"/>
  <c r="G596" i="81"/>
  <c r="C596" i="81"/>
  <c r="B596" i="81"/>
  <c r="G591" i="81"/>
  <c r="C591" i="81"/>
  <c r="B591" i="81"/>
  <c r="G590" i="81"/>
  <c r="C590" i="81"/>
  <c r="B590" i="81"/>
  <c r="G589" i="81"/>
  <c r="C589" i="81"/>
  <c r="B589" i="81"/>
  <c r="G588" i="81"/>
  <c r="C588" i="81"/>
  <c r="B588" i="81"/>
  <c r="G587" i="81"/>
  <c r="C587" i="81"/>
  <c r="B587" i="81"/>
  <c r="G586" i="81"/>
  <c r="C586" i="81"/>
  <c r="B586" i="81"/>
  <c r="G585" i="81"/>
  <c r="C585" i="81"/>
  <c r="B585" i="81"/>
  <c r="G584" i="81"/>
  <c r="C584" i="81"/>
  <c r="B584" i="81"/>
  <c r="G583" i="81"/>
  <c r="C583" i="81"/>
  <c r="B583" i="81"/>
  <c r="G582" i="81"/>
  <c r="C582" i="81"/>
  <c r="B582" i="81"/>
  <c r="G581" i="81"/>
  <c r="C581" i="81"/>
  <c r="B581" i="81"/>
  <c r="G577" i="81"/>
  <c r="C577" i="81"/>
  <c r="B577" i="81"/>
  <c r="G576" i="81"/>
  <c r="C576" i="81"/>
  <c r="B576" i="81"/>
  <c r="G575" i="81"/>
  <c r="C575" i="81"/>
  <c r="B575" i="81"/>
  <c r="G574" i="81"/>
  <c r="C574" i="81"/>
  <c r="B574" i="81"/>
  <c r="G573" i="81"/>
  <c r="C573" i="81"/>
  <c r="B573" i="81"/>
  <c r="G572" i="81"/>
  <c r="C572" i="81"/>
  <c r="B572" i="81"/>
  <c r="G571" i="81"/>
  <c r="C571" i="81"/>
  <c r="B571" i="81"/>
  <c r="G570" i="81"/>
  <c r="C570" i="81"/>
  <c r="B570" i="81"/>
  <c r="G569" i="81"/>
  <c r="C569" i="81"/>
  <c r="B569" i="81"/>
  <c r="G568" i="81"/>
  <c r="C568" i="81"/>
  <c r="B568" i="81"/>
  <c r="G567" i="81"/>
  <c r="C567" i="81"/>
  <c r="B567" i="81"/>
  <c r="G566" i="81"/>
  <c r="C566" i="81"/>
  <c r="B566" i="81"/>
  <c r="G565" i="81"/>
  <c r="C565" i="81"/>
  <c r="B565" i="81"/>
  <c r="G561" i="81"/>
  <c r="C561" i="81"/>
  <c r="B561" i="81"/>
  <c r="G560" i="81"/>
  <c r="C560" i="81"/>
  <c r="B560" i="81"/>
  <c r="G559" i="81"/>
  <c r="C559" i="81"/>
  <c r="B559" i="81"/>
  <c r="G558" i="81"/>
  <c r="C558" i="81"/>
  <c r="B558" i="81"/>
  <c r="G557" i="81"/>
  <c r="C557" i="81"/>
  <c r="B557" i="81"/>
  <c r="G556" i="81"/>
  <c r="C556" i="81"/>
  <c r="B556" i="81"/>
  <c r="G555" i="81"/>
  <c r="C555" i="81"/>
  <c r="B555" i="81"/>
  <c r="G552" i="81"/>
  <c r="C552" i="81"/>
  <c r="B552" i="81"/>
  <c r="G551" i="81"/>
  <c r="C551" i="81"/>
  <c r="B551" i="81"/>
  <c r="G550" i="81"/>
  <c r="C550" i="81"/>
  <c r="B550" i="81"/>
  <c r="G549" i="81"/>
  <c r="C549" i="81"/>
  <c r="B549" i="81"/>
  <c r="G548" i="81"/>
  <c r="C548" i="81"/>
  <c r="B548" i="81"/>
  <c r="G547" i="81"/>
  <c r="C547" i="81"/>
  <c r="B547" i="81"/>
  <c r="G546" i="81"/>
  <c r="C546" i="81"/>
  <c r="B546" i="81"/>
  <c r="G545" i="81"/>
  <c r="C545" i="81"/>
  <c r="B545" i="81"/>
  <c r="G544" i="81"/>
  <c r="C544" i="81"/>
  <c r="B544" i="81"/>
  <c r="G543" i="81"/>
  <c r="C543" i="81"/>
  <c r="B543" i="81"/>
  <c r="G542" i="81"/>
  <c r="C542" i="81"/>
  <c r="B542" i="81"/>
  <c r="G541" i="81"/>
  <c r="C541" i="81"/>
  <c r="B541" i="81"/>
  <c r="G540" i="81"/>
  <c r="C540" i="81"/>
  <c r="B540" i="81"/>
  <c r="G539" i="81"/>
  <c r="C539" i="81"/>
  <c r="B539" i="81"/>
  <c r="G538" i="81"/>
  <c r="C538" i="81"/>
  <c r="B538" i="81"/>
  <c r="G537" i="81"/>
  <c r="C537" i="81"/>
  <c r="B537" i="81"/>
  <c r="G536" i="81"/>
  <c r="C536" i="81"/>
  <c r="B536" i="81"/>
  <c r="G535" i="81"/>
  <c r="C535" i="81"/>
  <c r="B535" i="81"/>
  <c r="G534" i="81"/>
  <c r="C534" i="81"/>
  <c r="B534" i="81"/>
  <c r="G533" i="81"/>
  <c r="C533" i="81"/>
  <c r="B533" i="81"/>
  <c r="G532" i="81"/>
  <c r="C532" i="81"/>
  <c r="B532" i="81"/>
  <c r="G529" i="81"/>
  <c r="C529" i="81"/>
  <c r="B529" i="81"/>
  <c r="G528" i="81"/>
  <c r="C528" i="81"/>
  <c r="B528" i="81"/>
  <c r="G527" i="81"/>
  <c r="C527" i="81"/>
  <c r="B527" i="81"/>
  <c r="G526" i="81"/>
  <c r="C526" i="81"/>
  <c r="B526" i="81"/>
  <c r="G525" i="81"/>
  <c r="C525" i="81"/>
  <c r="B525" i="81"/>
  <c r="G524" i="81"/>
  <c r="C524" i="81"/>
  <c r="B524" i="81"/>
  <c r="G523" i="81"/>
  <c r="C523" i="81"/>
  <c r="B523" i="81"/>
  <c r="G522" i="81"/>
  <c r="C522" i="81"/>
  <c r="B522" i="81"/>
  <c r="G521" i="81"/>
  <c r="C521" i="81"/>
  <c r="B521" i="81"/>
  <c r="G520" i="81"/>
  <c r="C520" i="81"/>
  <c r="B520" i="81"/>
  <c r="G519" i="81"/>
  <c r="C519" i="81"/>
  <c r="B519" i="81"/>
  <c r="G518" i="81"/>
  <c r="C518" i="81"/>
  <c r="B518" i="81"/>
  <c r="G517" i="81"/>
  <c r="C517" i="81"/>
  <c r="B517" i="81"/>
  <c r="G516" i="81"/>
  <c r="C516" i="81"/>
  <c r="B516" i="81"/>
  <c r="G515" i="81"/>
  <c r="C515" i="81"/>
  <c r="B515" i="81"/>
  <c r="G514" i="81"/>
  <c r="C514" i="81"/>
  <c r="B514" i="81"/>
  <c r="G513" i="81"/>
  <c r="C513" i="81"/>
  <c r="B513" i="81"/>
  <c r="G512" i="81"/>
  <c r="C512" i="81"/>
  <c r="B512" i="81"/>
  <c r="G511" i="81"/>
  <c r="C511" i="81"/>
  <c r="B511" i="81"/>
  <c r="G510" i="81"/>
  <c r="C510" i="81"/>
  <c r="B510" i="81"/>
  <c r="G509" i="81"/>
  <c r="C509" i="81"/>
  <c r="B509" i="81"/>
  <c r="G506" i="81"/>
  <c r="C506" i="81"/>
  <c r="B506" i="81"/>
  <c r="G505" i="81"/>
  <c r="C505" i="81"/>
  <c r="B505" i="81"/>
  <c r="G504" i="81"/>
  <c r="C504" i="81"/>
  <c r="B504" i="81"/>
  <c r="G503" i="81"/>
  <c r="C503" i="81"/>
  <c r="B503" i="81"/>
  <c r="G502" i="81"/>
  <c r="C502" i="81"/>
  <c r="B502" i="81"/>
  <c r="G501" i="81"/>
  <c r="C501" i="81"/>
  <c r="B501" i="81"/>
  <c r="G500" i="81"/>
  <c r="C500" i="81"/>
  <c r="B500" i="81"/>
  <c r="G499" i="81"/>
  <c r="C499" i="81"/>
  <c r="B499" i="81"/>
  <c r="G498" i="81"/>
  <c r="C498" i="81"/>
  <c r="B498" i="81"/>
  <c r="G497" i="81"/>
  <c r="C497" i="81"/>
  <c r="B497" i="81"/>
  <c r="G496" i="81"/>
  <c r="C496" i="81"/>
  <c r="B496" i="81"/>
  <c r="G495" i="81"/>
  <c r="C495" i="81"/>
  <c r="B495" i="81"/>
  <c r="G494" i="81"/>
  <c r="C494" i="81"/>
  <c r="B494" i="81"/>
  <c r="G493" i="81"/>
  <c r="C493" i="81"/>
  <c r="B493" i="81"/>
  <c r="G492" i="81"/>
  <c r="C492" i="81"/>
  <c r="B492" i="81"/>
  <c r="G491" i="81"/>
  <c r="C491" i="81"/>
  <c r="B491" i="81"/>
  <c r="G490" i="81"/>
  <c r="C490" i="81"/>
  <c r="B490" i="81"/>
  <c r="G489" i="81"/>
  <c r="C489" i="81"/>
  <c r="B489" i="81"/>
  <c r="G488" i="81"/>
  <c r="C488" i="81"/>
  <c r="B488" i="81"/>
  <c r="G487" i="81"/>
  <c r="C487" i="81"/>
  <c r="B487" i="81"/>
  <c r="G486" i="81"/>
  <c r="C486" i="81"/>
  <c r="B486" i="81"/>
  <c r="G485" i="81"/>
  <c r="C485" i="81"/>
  <c r="B485" i="81"/>
  <c r="G483" i="81"/>
  <c r="C483" i="81"/>
  <c r="B483" i="81"/>
  <c r="G482" i="81"/>
  <c r="C482" i="81"/>
  <c r="B482" i="81"/>
  <c r="G481" i="81"/>
  <c r="C481" i="81"/>
  <c r="B481" i="81"/>
  <c r="G480" i="81"/>
  <c r="C480" i="81"/>
  <c r="B480" i="81"/>
  <c r="G479" i="81"/>
  <c r="C479" i="81"/>
  <c r="B479" i="81"/>
  <c r="G478" i="81"/>
  <c r="C478" i="81"/>
  <c r="B478" i="81"/>
  <c r="G477" i="81"/>
  <c r="C477" i="81"/>
  <c r="B477" i="81"/>
  <c r="G476" i="81"/>
  <c r="C476" i="81"/>
  <c r="B476" i="81"/>
  <c r="G475" i="81"/>
  <c r="C475" i="81"/>
  <c r="B475" i="81"/>
  <c r="G474" i="81"/>
  <c r="C474" i="81"/>
  <c r="B474" i="81"/>
  <c r="G473" i="81"/>
  <c r="C473" i="81"/>
  <c r="B473" i="81"/>
  <c r="G472" i="81"/>
  <c r="C472" i="81"/>
  <c r="B472" i="81"/>
  <c r="G471" i="81"/>
  <c r="C471" i="81"/>
  <c r="B471" i="81"/>
  <c r="G470" i="81"/>
  <c r="C470" i="81"/>
  <c r="B470" i="81"/>
  <c r="G469" i="81"/>
  <c r="C469" i="81"/>
  <c r="B469" i="81"/>
  <c r="G468" i="81"/>
  <c r="C468" i="81"/>
  <c r="B468" i="81"/>
  <c r="G467" i="81"/>
  <c r="C467" i="81"/>
  <c r="B467" i="81"/>
  <c r="G466" i="81"/>
  <c r="C466" i="81"/>
  <c r="B466" i="81"/>
  <c r="G465" i="81"/>
  <c r="C465" i="81"/>
  <c r="B465" i="81"/>
  <c r="G463" i="81"/>
  <c r="C463" i="81"/>
  <c r="B463" i="81"/>
  <c r="G462" i="81"/>
  <c r="C462" i="81"/>
  <c r="B462" i="81"/>
  <c r="G461" i="81"/>
  <c r="C461" i="81"/>
  <c r="B461" i="81"/>
  <c r="G460" i="81"/>
  <c r="C460" i="81"/>
  <c r="B460" i="81"/>
  <c r="G459" i="81"/>
  <c r="C459" i="81"/>
  <c r="B459" i="81"/>
  <c r="G458" i="81"/>
  <c r="C458" i="81"/>
  <c r="B458" i="81"/>
  <c r="G457" i="81"/>
  <c r="C457" i="81"/>
  <c r="B457" i="81"/>
  <c r="G456" i="81"/>
  <c r="C456" i="81"/>
  <c r="B456" i="81"/>
  <c r="G455" i="81"/>
  <c r="C455" i="81"/>
  <c r="B455" i="81"/>
  <c r="G454" i="81"/>
  <c r="C454" i="81"/>
  <c r="B454" i="81"/>
  <c r="G453" i="81"/>
  <c r="C453" i="81"/>
  <c r="B453" i="81"/>
  <c r="G452" i="81"/>
  <c r="C452" i="81"/>
  <c r="B452" i="81"/>
  <c r="G451" i="81"/>
  <c r="C451" i="81"/>
  <c r="B451" i="81"/>
  <c r="G450" i="81"/>
  <c r="C450" i="81"/>
  <c r="B450" i="81"/>
  <c r="G449" i="81"/>
  <c r="C449" i="81"/>
  <c r="B449" i="81"/>
  <c r="G448" i="81"/>
  <c r="C448" i="81"/>
  <c r="B448" i="81"/>
  <c r="G447" i="81"/>
  <c r="C447" i="81"/>
  <c r="B447" i="81"/>
  <c r="G446" i="81"/>
  <c r="C446" i="81"/>
  <c r="B446" i="81"/>
  <c r="G445" i="81"/>
  <c r="C445" i="81"/>
  <c r="B445" i="81"/>
  <c r="G443" i="81"/>
  <c r="C443" i="81"/>
  <c r="B443" i="81"/>
  <c r="G442" i="81"/>
  <c r="C442" i="81"/>
  <c r="B442" i="81"/>
  <c r="G441" i="81"/>
  <c r="C441" i="81"/>
  <c r="B441" i="81"/>
  <c r="G440" i="81"/>
  <c r="C440" i="81"/>
  <c r="B440" i="81"/>
  <c r="G439" i="81"/>
  <c r="C439" i="81"/>
  <c r="B439" i="81"/>
  <c r="G438" i="81"/>
  <c r="C438" i="81"/>
  <c r="B438" i="81"/>
  <c r="G437" i="81"/>
  <c r="C437" i="81"/>
  <c r="B437" i="81"/>
  <c r="G436" i="81"/>
  <c r="C436" i="81"/>
  <c r="B436" i="81"/>
  <c r="G435" i="81"/>
  <c r="C435" i="81"/>
  <c r="B435" i="81"/>
  <c r="G434" i="81"/>
  <c r="C434" i="81"/>
  <c r="B434" i="81"/>
  <c r="G433" i="81"/>
  <c r="C433" i="81"/>
  <c r="B433" i="81"/>
  <c r="G432" i="81"/>
  <c r="C432" i="81"/>
  <c r="B432" i="81"/>
  <c r="G431" i="81"/>
  <c r="C431" i="81"/>
  <c r="B431" i="81"/>
  <c r="G430" i="81"/>
  <c r="C430" i="81"/>
  <c r="B430" i="81"/>
  <c r="G429" i="81"/>
  <c r="C429" i="81"/>
  <c r="B429" i="81"/>
  <c r="G428" i="81"/>
  <c r="C428" i="81"/>
  <c r="B428" i="81"/>
  <c r="G427" i="81"/>
  <c r="C427" i="81"/>
  <c r="B427" i="81"/>
  <c r="G426" i="81"/>
  <c r="C426" i="81"/>
  <c r="B426" i="81"/>
  <c r="G425" i="81"/>
  <c r="C425" i="81"/>
  <c r="B425" i="81"/>
  <c r="G424" i="81"/>
  <c r="C424" i="81"/>
  <c r="B424" i="81"/>
  <c r="G423" i="81"/>
  <c r="C423" i="81"/>
  <c r="B423" i="81"/>
  <c r="G422" i="81"/>
  <c r="C422" i="81"/>
  <c r="B422" i="81"/>
  <c r="G421" i="81"/>
  <c r="C421" i="81"/>
  <c r="B421" i="81"/>
  <c r="G420" i="81"/>
  <c r="C420" i="81"/>
  <c r="B420" i="81"/>
  <c r="G419" i="81"/>
  <c r="C419" i="81"/>
  <c r="B419" i="81"/>
  <c r="G418" i="81"/>
  <c r="C418" i="81"/>
  <c r="B418" i="81"/>
  <c r="G417" i="81"/>
  <c r="C417" i="81"/>
  <c r="B417" i="81"/>
  <c r="G416" i="81"/>
  <c r="C416" i="81"/>
  <c r="B416" i="81"/>
  <c r="G415" i="81"/>
  <c r="C415" i="81"/>
  <c r="B415" i="81"/>
  <c r="G414" i="81"/>
  <c r="C414" i="81"/>
  <c r="B414" i="81"/>
  <c r="G413" i="81"/>
  <c r="C413" i="81"/>
  <c r="B413" i="81"/>
  <c r="G412" i="81"/>
  <c r="C412" i="81"/>
  <c r="B412" i="81"/>
  <c r="G411" i="81"/>
  <c r="C411" i="81"/>
  <c r="B411" i="81"/>
  <c r="G410" i="81"/>
  <c r="C410" i="81"/>
  <c r="B410" i="81"/>
  <c r="G409" i="81"/>
  <c r="C409" i="81"/>
  <c r="B409" i="81"/>
  <c r="G408" i="81"/>
  <c r="C408" i="81"/>
  <c r="B408" i="81"/>
  <c r="G407" i="81"/>
  <c r="C407" i="81"/>
  <c r="B407" i="81"/>
  <c r="G406" i="81"/>
  <c r="C406" i="81"/>
  <c r="B406" i="81"/>
  <c r="G405" i="81"/>
  <c r="C405" i="81"/>
  <c r="B405" i="81"/>
  <c r="G404" i="81"/>
  <c r="C404" i="81"/>
  <c r="B404" i="81"/>
  <c r="G398" i="81"/>
  <c r="C398" i="81"/>
  <c r="B398" i="81"/>
  <c r="G397" i="81"/>
  <c r="C397" i="81"/>
  <c r="B397" i="81"/>
  <c r="G396" i="81"/>
  <c r="C396" i="81"/>
  <c r="B396" i="81"/>
  <c r="G395" i="81"/>
  <c r="C395" i="81"/>
  <c r="B395" i="81"/>
  <c r="G394" i="81"/>
  <c r="C394" i="81"/>
  <c r="B394" i="81"/>
  <c r="G393" i="81"/>
  <c r="C393" i="81"/>
  <c r="B393" i="81"/>
  <c r="G392" i="81"/>
  <c r="C392" i="81"/>
  <c r="B392" i="81"/>
  <c r="G391" i="81"/>
  <c r="C391" i="81"/>
  <c r="B391" i="81"/>
  <c r="G390" i="81"/>
  <c r="C390" i="81"/>
  <c r="B390" i="81"/>
  <c r="G389" i="81"/>
  <c r="C389" i="81"/>
  <c r="B389" i="81"/>
  <c r="G388" i="81"/>
  <c r="C388" i="81"/>
  <c r="B388" i="81"/>
  <c r="G387" i="81"/>
  <c r="C387" i="81"/>
  <c r="B387" i="81"/>
  <c r="G386" i="81"/>
  <c r="C386" i="81"/>
  <c r="B386" i="81"/>
  <c r="G385" i="81"/>
  <c r="C385" i="81"/>
  <c r="B385" i="81"/>
  <c r="G378" i="81"/>
  <c r="C378" i="81"/>
  <c r="B378" i="81"/>
  <c r="G377" i="81"/>
  <c r="C377" i="81"/>
  <c r="B377" i="81"/>
  <c r="G376" i="81"/>
  <c r="C376" i="81"/>
  <c r="B376" i="81"/>
  <c r="G375" i="81"/>
  <c r="C375" i="81"/>
  <c r="B375" i="81"/>
  <c r="G374" i="81"/>
  <c r="C374" i="81"/>
  <c r="B374" i="81"/>
  <c r="G373" i="81"/>
  <c r="C373" i="81"/>
  <c r="B373" i="81"/>
  <c r="G372" i="81"/>
  <c r="C372" i="81"/>
  <c r="B372" i="81"/>
  <c r="G371" i="81"/>
  <c r="C371" i="81"/>
  <c r="B371" i="81"/>
  <c r="G370" i="81"/>
  <c r="C370" i="81"/>
  <c r="B370" i="81"/>
  <c r="G369" i="81"/>
  <c r="C369" i="81"/>
  <c r="B369" i="81"/>
  <c r="G368" i="81"/>
  <c r="C368" i="81"/>
  <c r="B368" i="81"/>
  <c r="G367" i="81"/>
  <c r="C367" i="81"/>
  <c r="B367" i="81"/>
  <c r="G366" i="81"/>
  <c r="C366" i="81"/>
  <c r="B366" i="81"/>
  <c r="G357" i="81"/>
  <c r="C357" i="81"/>
  <c r="B357" i="81"/>
  <c r="G356" i="81"/>
  <c r="C356" i="81"/>
  <c r="B356" i="81"/>
  <c r="G355" i="81"/>
  <c r="C355" i="81"/>
  <c r="B355" i="81"/>
  <c r="G354" i="81"/>
  <c r="C354" i="81"/>
  <c r="B354" i="81"/>
  <c r="G353" i="81"/>
  <c r="C353" i="81"/>
  <c r="B353" i="81"/>
  <c r="G352" i="81"/>
  <c r="C352" i="81"/>
  <c r="B352" i="81"/>
  <c r="G351" i="81"/>
  <c r="C351" i="81"/>
  <c r="B351" i="81"/>
  <c r="G350" i="81"/>
  <c r="C350" i="81"/>
  <c r="B350" i="81"/>
  <c r="G349" i="81"/>
  <c r="C349" i="81"/>
  <c r="B349" i="81"/>
  <c r="G348" i="81"/>
  <c r="C348" i="81"/>
  <c r="B348" i="81"/>
  <c r="G347" i="81"/>
  <c r="C347" i="81"/>
  <c r="B347" i="81"/>
  <c r="G346" i="81"/>
  <c r="B346" i="81"/>
  <c r="G345" i="81"/>
  <c r="B345" i="81"/>
  <c r="G344" i="81"/>
  <c r="B344" i="81"/>
  <c r="G343" i="81"/>
  <c r="B343" i="81"/>
  <c r="G342" i="81"/>
  <c r="B342" i="81"/>
  <c r="G341" i="81"/>
  <c r="B341" i="81"/>
  <c r="G340" i="81"/>
  <c r="B340" i="81"/>
  <c r="G339" i="81"/>
  <c r="B339" i="81"/>
  <c r="G338" i="81"/>
  <c r="B338" i="81"/>
  <c r="G337" i="81"/>
  <c r="B337" i="81"/>
  <c r="G336" i="81"/>
  <c r="B336" i="81"/>
  <c r="G335" i="81"/>
  <c r="C335" i="81"/>
  <c r="B335" i="81"/>
  <c r="G334" i="81"/>
  <c r="C334" i="81"/>
  <c r="B334" i="81"/>
  <c r="G333" i="81"/>
  <c r="C333" i="81"/>
  <c r="B333" i="81"/>
  <c r="G332" i="81"/>
  <c r="C332" i="81"/>
  <c r="B332" i="81"/>
  <c r="G331" i="81"/>
  <c r="C331" i="81"/>
  <c r="B331" i="81"/>
  <c r="G330" i="81"/>
  <c r="C330" i="81"/>
  <c r="B330" i="81"/>
  <c r="G329" i="81"/>
  <c r="C329" i="81"/>
  <c r="B329" i="81"/>
  <c r="G328" i="81"/>
  <c r="C328" i="81"/>
  <c r="B328" i="81"/>
  <c r="G327" i="81"/>
  <c r="C327" i="81"/>
  <c r="B327" i="81"/>
  <c r="G326" i="81"/>
  <c r="C326" i="81"/>
  <c r="B326" i="81"/>
  <c r="G325" i="81"/>
  <c r="C325" i="81"/>
  <c r="B325" i="81"/>
  <c r="C313" i="81"/>
  <c r="B313" i="81"/>
  <c r="C312" i="81"/>
  <c r="B312" i="81"/>
  <c r="C311" i="81"/>
  <c r="B311" i="81"/>
  <c r="C310" i="81"/>
  <c r="B310" i="81"/>
  <c r="C309" i="81"/>
  <c r="B309" i="81"/>
  <c r="C308" i="81"/>
  <c r="B308" i="81"/>
  <c r="C307" i="81"/>
  <c r="B307" i="81"/>
  <c r="C306" i="81"/>
  <c r="B306" i="81"/>
  <c r="C305" i="81"/>
  <c r="B305" i="81"/>
  <c r="C304" i="81"/>
  <c r="B304" i="81"/>
  <c r="C303" i="81"/>
  <c r="B303" i="81"/>
  <c r="G302" i="81"/>
  <c r="B302" i="81"/>
  <c r="G301" i="81"/>
  <c r="C301" i="81"/>
  <c r="B301" i="81"/>
  <c r="G300" i="81"/>
  <c r="C300" i="81"/>
  <c r="B300" i="81"/>
  <c r="G299" i="81"/>
  <c r="C299" i="81"/>
  <c r="B299" i="81"/>
  <c r="G298" i="81"/>
  <c r="C298" i="81"/>
  <c r="B298" i="81"/>
  <c r="G297" i="81"/>
  <c r="C297" i="81"/>
  <c r="B297" i="81"/>
  <c r="G296" i="81"/>
  <c r="C296" i="81"/>
  <c r="B296" i="81"/>
  <c r="G295" i="81"/>
  <c r="C295" i="81"/>
  <c r="B295" i="81"/>
  <c r="G294" i="81"/>
  <c r="C294" i="81"/>
  <c r="B294" i="81"/>
  <c r="G293" i="81"/>
  <c r="C293" i="81"/>
  <c r="B293" i="81"/>
  <c r="G292" i="81"/>
  <c r="C292" i="81"/>
  <c r="B292" i="81"/>
  <c r="G291" i="81"/>
  <c r="C291" i="81"/>
  <c r="B291" i="81"/>
  <c r="G290" i="81"/>
  <c r="C290" i="81"/>
  <c r="B290" i="81"/>
  <c r="G289" i="81"/>
  <c r="C289" i="81"/>
  <c r="B289" i="81"/>
  <c r="G288" i="81"/>
  <c r="C288" i="81"/>
  <c r="B288" i="81"/>
  <c r="G287" i="81"/>
  <c r="C287" i="81"/>
  <c r="B287" i="81"/>
  <c r="G286" i="81"/>
  <c r="C286" i="81"/>
  <c r="B286" i="81"/>
  <c r="G285" i="81"/>
  <c r="C285" i="81"/>
  <c r="B285" i="81"/>
  <c r="G284" i="81"/>
  <c r="C284" i="81"/>
  <c r="B284" i="81"/>
  <c r="G283" i="81"/>
  <c r="C283" i="81"/>
  <c r="B283" i="81"/>
  <c r="G282" i="81"/>
  <c r="C282" i="81"/>
  <c r="B282" i="81"/>
  <c r="G281" i="81"/>
  <c r="C281" i="81"/>
  <c r="B281" i="81"/>
  <c r="G280" i="81"/>
  <c r="C280" i="81"/>
  <c r="B280" i="81"/>
  <c r="G279" i="81"/>
  <c r="C279" i="81"/>
  <c r="B279" i="81"/>
  <c r="G278" i="81"/>
  <c r="C278" i="81"/>
  <c r="B278" i="81"/>
  <c r="G277" i="81"/>
  <c r="C277" i="81"/>
  <c r="B277" i="81"/>
  <c r="G276" i="81"/>
  <c r="C276" i="81"/>
  <c r="B276" i="81"/>
  <c r="G275" i="81"/>
  <c r="C275" i="81"/>
  <c r="B275" i="81"/>
  <c r="G274" i="81"/>
  <c r="C274" i="81"/>
  <c r="B274" i="81"/>
  <c r="G273" i="81"/>
  <c r="C273" i="81"/>
  <c r="B273" i="81"/>
  <c r="G272" i="81"/>
  <c r="C272" i="81"/>
  <c r="B272" i="81"/>
  <c r="G271" i="81"/>
  <c r="C271" i="81"/>
  <c r="B271" i="81"/>
  <c r="G270" i="81"/>
  <c r="C270" i="81"/>
  <c r="B270" i="81"/>
  <c r="G269" i="81"/>
  <c r="C269" i="81"/>
  <c r="B269" i="81"/>
  <c r="G268" i="81"/>
  <c r="C268" i="81"/>
  <c r="B268" i="81"/>
  <c r="G267" i="81"/>
  <c r="C267" i="81"/>
  <c r="B267" i="81"/>
  <c r="G266" i="81"/>
  <c r="C266" i="81"/>
  <c r="B266" i="81"/>
  <c r="G265" i="81"/>
  <c r="C265" i="81"/>
  <c r="B265" i="81"/>
  <c r="G264" i="81"/>
  <c r="C264" i="81"/>
  <c r="B264" i="81"/>
  <c r="G263" i="81"/>
  <c r="C263" i="81"/>
  <c r="B263" i="81"/>
  <c r="G262" i="81"/>
  <c r="C262" i="81"/>
  <c r="B262" i="81"/>
  <c r="G261" i="81"/>
  <c r="C261" i="81"/>
  <c r="B261" i="81"/>
  <c r="G260" i="81"/>
  <c r="C260" i="81"/>
  <c r="B260" i="81"/>
  <c r="G259" i="81"/>
  <c r="C259" i="81"/>
  <c r="B259" i="81"/>
  <c r="G240" i="81"/>
  <c r="C240" i="81"/>
  <c r="B240" i="81"/>
  <c r="G233" i="81"/>
  <c r="C233" i="81"/>
  <c r="B233" i="81"/>
  <c r="G232" i="81"/>
  <c r="C232" i="81"/>
  <c r="B232" i="81"/>
  <c r="G231" i="81"/>
  <c r="C231" i="81"/>
  <c r="B231" i="81"/>
  <c r="G230" i="81"/>
  <c r="C230" i="81"/>
  <c r="B230" i="81"/>
  <c r="G229" i="81"/>
  <c r="B229" i="81"/>
  <c r="G228" i="81"/>
  <c r="B228" i="81"/>
  <c r="G227" i="81"/>
  <c r="B227" i="81"/>
  <c r="G226" i="81"/>
  <c r="B226" i="81"/>
  <c r="G225" i="81"/>
  <c r="B225" i="81"/>
  <c r="G224" i="81"/>
  <c r="B224" i="81"/>
  <c r="G223" i="81"/>
  <c r="C223" i="81"/>
  <c r="B223" i="81"/>
  <c r="G222" i="81"/>
  <c r="C222" i="81"/>
  <c r="B222" i="81"/>
  <c r="G221" i="81"/>
  <c r="C221" i="81"/>
  <c r="B221" i="81"/>
  <c r="G220" i="81"/>
  <c r="C220" i="81"/>
  <c r="B220" i="81"/>
  <c r="G219" i="81"/>
  <c r="C219" i="81"/>
  <c r="B219" i="81"/>
  <c r="G218" i="81"/>
  <c r="C218" i="81"/>
  <c r="B218" i="81"/>
  <c r="G217" i="81"/>
  <c r="C217" i="81"/>
  <c r="B217" i="81"/>
  <c r="G216" i="81"/>
  <c r="C216" i="81"/>
  <c r="B216" i="81"/>
  <c r="G215" i="81"/>
  <c r="C215" i="81"/>
  <c r="B215" i="81"/>
  <c r="G214" i="81"/>
  <c r="C214" i="81"/>
  <c r="B214" i="81"/>
  <c r="G213" i="81"/>
  <c r="C213" i="81"/>
  <c r="B213" i="81"/>
  <c r="G212" i="81"/>
  <c r="C212" i="81"/>
  <c r="B212" i="81"/>
  <c r="G211" i="81"/>
  <c r="C211" i="81"/>
  <c r="B211" i="81"/>
  <c r="G210" i="81"/>
  <c r="C210" i="81"/>
  <c r="B210" i="81"/>
  <c r="G209" i="81"/>
  <c r="C209" i="81"/>
  <c r="B209" i="81"/>
  <c r="G208" i="81"/>
  <c r="C208" i="81"/>
  <c r="B208" i="81"/>
  <c r="G207" i="81"/>
  <c r="C207" i="81"/>
  <c r="B207" i="81"/>
  <c r="G206" i="81"/>
  <c r="C206" i="81"/>
  <c r="B206" i="81"/>
  <c r="G205" i="81"/>
  <c r="C205" i="81"/>
  <c r="B205" i="81"/>
  <c r="G204" i="81"/>
  <c r="C204" i="81"/>
  <c r="B204" i="81"/>
  <c r="G203" i="81"/>
  <c r="C203" i="81"/>
  <c r="B203" i="81"/>
  <c r="G202" i="81"/>
  <c r="C202" i="81"/>
  <c r="B202" i="81"/>
  <c r="G201" i="81"/>
  <c r="C201" i="81"/>
  <c r="B201" i="81"/>
  <c r="G200" i="81"/>
  <c r="C200" i="81"/>
  <c r="B200" i="81"/>
  <c r="G199" i="81"/>
  <c r="C199" i="81"/>
  <c r="B199" i="81"/>
  <c r="G198" i="81"/>
  <c r="C198" i="81"/>
  <c r="B198" i="81"/>
  <c r="G197" i="81"/>
  <c r="C197" i="81"/>
  <c r="B197" i="81"/>
  <c r="G196" i="81"/>
  <c r="C196" i="81"/>
  <c r="B196" i="81"/>
  <c r="G195" i="81"/>
  <c r="C195" i="81"/>
  <c r="B195" i="81"/>
  <c r="G194" i="81"/>
  <c r="C194" i="81"/>
  <c r="B194" i="81"/>
  <c r="G193" i="81"/>
  <c r="C193" i="81"/>
  <c r="B193" i="81"/>
  <c r="G192" i="81"/>
  <c r="C192" i="81"/>
  <c r="B192" i="81"/>
  <c r="G191" i="81"/>
  <c r="C191" i="81"/>
  <c r="B191" i="81"/>
  <c r="G190" i="81"/>
  <c r="C190" i="81"/>
  <c r="B190" i="81"/>
  <c r="G189" i="81"/>
  <c r="C189" i="81"/>
  <c r="B189" i="81"/>
  <c r="G188" i="81"/>
  <c r="C188" i="81"/>
  <c r="B188" i="81"/>
  <c r="G187" i="81"/>
  <c r="C187" i="81"/>
  <c r="B187" i="81"/>
  <c r="G186" i="81"/>
  <c r="C186" i="81"/>
  <c r="B186" i="81"/>
  <c r="G185" i="81"/>
  <c r="C185" i="81"/>
  <c r="B185" i="81"/>
  <c r="G184" i="81"/>
  <c r="C184" i="81"/>
  <c r="B184" i="81"/>
  <c r="G183" i="81"/>
  <c r="C183" i="81"/>
  <c r="B183" i="81"/>
  <c r="G182" i="81"/>
  <c r="C182" i="81"/>
  <c r="B182" i="81"/>
  <c r="G181" i="81"/>
  <c r="C181" i="81"/>
  <c r="B181" i="81"/>
  <c r="G180" i="81"/>
  <c r="C180" i="81"/>
  <c r="B180" i="81"/>
  <c r="G179" i="81"/>
  <c r="C179" i="81"/>
  <c r="B179" i="81"/>
  <c r="G178" i="81"/>
  <c r="C178" i="81"/>
  <c r="B178" i="81"/>
  <c r="G177" i="81"/>
  <c r="C177" i="81"/>
  <c r="B177" i="81"/>
  <c r="G176" i="81"/>
  <c r="C176" i="81"/>
  <c r="B176" i="81"/>
  <c r="G175" i="81"/>
  <c r="C175" i="81"/>
  <c r="B175" i="81"/>
  <c r="G174" i="81"/>
  <c r="C174" i="81"/>
  <c r="B174" i="81"/>
  <c r="G173" i="81"/>
  <c r="C173" i="81"/>
  <c r="B173" i="81"/>
  <c r="G172" i="81"/>
  <c r="C172" i="81"/>
  <c r="B172" i="81"/>
  <c r="G171" i="81"/>
  <c r="C171" i="81"/>
  <c r="B171" i="81"/>
  <c r="G170" i="81"/>
  <c r="C170" i="81"/>
  <c r="B170" i="81"/>
  <c r="G169" i="81"/>
  <c r="C169" i="81"/>
  <c r="B169" i="81"/>
  <c r="G168" i="81"/>
  <c r="C168" i="81"/>
  <c r="B168" i="81"/>
  <c r="G167" i="81"/>
  <c r="C167" i="81"/>
  <c r="B167" i="81"/>
  <c r="G166" i="81"/>
  <c r="C166" i="81"/>
  <c r="B166" i="81"/>
  <c r="G165" i="81"/>
  <c r="C165" i="81"/>
  <c r="B165" i="81"/>
  <c r="G164" i="81"/>
  <c r="C164" i="81"/>
  <c r="B164" i="81"/>
  <c r="G163" i="81"/>
  <c r="C163" i="81"/>
  <c r="B163" i="81"/>
  <c r="G162" i="81"/>
  <c r="C162" i="81"/>
  <c r="B162" i="81"/>
  <c r="G161" i="81"/>
  <c r="C161" i="81"/>
  <c r="B161" i="81"/>
  <c r="G160" i="81"/>
  <c r="C160" i="81"/>
  <c r="B160" i="81"/>
  <c r="G159" i="81"/>
  <c r="C159" i="81"/>
  <c r="B159" i="81"/>
  <c r="G158" i="81"/>
  <c r="C158" i="81"/>
  <c r="B158" i="81"/>
  <c r="G157" i="81"/>
  <c r="C157" i="81"/>
  <c r="B157" i="81"/>
  <c r="G156" i="81"/>
  <c r="C156" i="81"/>
  <c r="B156" i="81"/>
  <c r="G155" i="81"/>
  <c r="C155" i="81"/>
  <c r="B155" i="81"/>
  <c r="G154" i="81"/>
  <c r="C154" i="81"/>
  <c r="B154" i="81"/>
  <c r="G153" i="81"/>
  <c r="C153" i="81"/>
  <c r="B153" i="81"/>
  <c r="G152" i="81"/>
  <c r="C152" i="81"/>
  <c r="B152" i="81"/>
  <c r="G151" i="81"/>
  <c r="C151" i="81"/>
  <c r="B151" i="81"/>
  <c r="G150" i="81"/>
  <c r="C150" i="81"/>
  <c r="B150" i="81"/>
  <c r="G149" i="81"/>
  <c r="C149" i="81"/>
  <c r="B149" i="81"/>
  <c r="G148" i="81"/>
  <c r="C148" i="81"/>
  <c r="B148" i="81"/>
  <c r="G147" i="81"/>
  <c r="C147" i="81"/>
  <c r="B147" i="81"/>
  <c r="G146" i="81"/>
  <c r="C146" i="81"/>
  <c r="B146" i="81"/>
  <c r="G145" i="81"/>
  <c r="C145" i="81"/>
  <c r="B145" i="81"/>
  <c r="G144" i="81"/>
  <c r="C144" i="81"/>
  <c r="B144" i="81"/>
  <c r="G143" i="81"/>
  <c r="C143" i="81"/>
  <c r="B143" i="81"/>
  <c r="G142" i="81"/>
  <c r="C142" i="81"/>
  <c r="B142" i="81"/>
  <c r="G141" i="81"/>
  <c r="C141" i="81"/>
  <c r="B141" i="81"/>
  <c r="G140" i="81"/>
  <c r="C140" i="81"/>
  <c r="B140" i="81"/>
  <c r="G139" i="81"/>
  <c r="C139" i="81"/>
  <c r="B139" i="81"/>
  <c r="G138" i="81"/>
  <c r="C138" i="81"/>
  <c r="B138" i="81"/>
  <c r="G137" i="81"/>
  <c r="C137" i="81"/>
  <c r="B137" i="81"/>
  <c r="G136" i="81"/>
  <c r="C136" i="81"/>
  <c r="B136" i="81"/>
  <c r="G135" i="81"/>
  <c r="C135" i="81"/>
  <c r="B135" i="81"/>
  <c r="G134" i="81"/>
  <c r="C134" i="81"/>
  <c r="B134" i="81"/>
  <c r="G133" i="81"/>
  <c r="C133" i="81"/>
  <c r="B133" i="81"/>
  <c r="G132" i="81"/>
  <c r="C132" i="81"/>
  <c r="B132" i="81"/>
  <c r="G131" i="81"/>
  <c r="C131" i="81"/>
  <c r="B131" i="81"/>
  <c r="G130" i="81"/>
  <c r="C130" i="81"/>
  <c r="B130" i="81"/>
  <c r="G129" i="81"/>
  <c r="C129" i="81"/>
  <c r="B129" i="81"/>
  <c r="G128" i="81"/>
  <c r="C128" i="81"/>
  <c r="B128" i="81"/>
  <c r="G127" i="81"/>
  <c r="C127" i="81"/>
  <c r="B127" i="81"/>
  <c r="G126" i="81"/>
  <c r="C126" i="81"/>
  <c r="B126" i="81"/>
  <c r="G125" i="81"/>
  <c r="C125" i="81"/>
  <c r="B125" i="81"/>
  <c r="G124" i="81"/>
  <c r="C124" i="81"/>
  <c r="B124" i="81"/>
  <c r="G123" i="81"/>
  <c r="C123" i="81"/>
  <c r="B123" i="81"/>
  <c r="G122" i="81"/>
  <c r="C122" i="81"/>
  <c r="B122" i="81"/>
  <c r="G121" i="81"/>
  <c r="C121" i="81"/>
  <c r="B121" i="81"/>
  <c r="G120" i="81"/>
  <c r="C120" i="81"/>
  <c r="B120" i="81"/>
  <c r="G119" i="81"/>
  <c r="C119" i="81"/>
  <c r="B119" i="81"/>
  <c r="G118" i="81"/>
  <c r="C118" i="81"/>
  <c r="B118" i="81"/>
  <c r="G117" i="81"/>
  <c r="C117" i="81"/>
  <c r="B117" i="81"/>
  <c r="G116" i="81"/>
  <c r="C116" i="81"/>
  <c r="B116" i="81"/>
  <c r="G115" i="81"/>
  <c r="C115" i="81"/>
  <c r="B115" i="81"/>
  <c r="G114" i="81"/>
  <c r="C114" i="81"/>
  <c r="B114" i="81"/>
  <c r="G113" i="81"/>
  <c r="C113" i="81"/>
  <c r="B113" i="81"/>
  <c r="G112" i="81"/>
  <c r="C112" i="81"/>
  <c r="B112" i="81"/>
  <c r="G111" i="81"/>
  <c r="C111" i="81"/>
  <c r="B111" i="81"/>
  <c r="G110" i="81"/>
  <c r="C110" i="81"/>
  <c r="B110" i="81"/>
  <c r="G109" i="81"/>
  <c r="C109" i="81"/>
  <c r="B109" i="81"/>
  <c r="G108" i="81"/>
  <c r="C108" i="81"/>
  <c r="B108" i="81"/>
  <c r="G107" i="81"/>
  <c r="C107" i="81"/>
  <c r="B107" i="81"/>
  <c r="G106" i="81"/>
  <c r="C106" i="81"/>
  <c r="B106" i="81"/>
  <c r="G105" i="81"/>
  <c r="C105" i="81"/>
  <c r="B105" i="81"/>
  <c r="G104" i="81"/>
  <c r="C104" i="81"/>
  <c r="B104" i="81"/>
  <c r="G103" i="81"/>
  <c r="C103" i="81"/>
  <c r="B103" i="81"/>
  <c r="G102" i="81"/>
  <c r="C102" i="81"/>
  <c r="B102" i="81"/>
  <c r="G101" i="81"/>
  <c r="C101" i="81"/>
  <c r="B101" i="81"/>
  <c r="G100" i="81"/>
  <c r="C100" i="81"/>
  <c r="B100" i="81"/>
  <c r="G99" i="81"/>
  <c r="C99" i="81"/>
  <c r="B99" i="81"/>
  <c r="G98" i="81"/>
  <c r="C98" i="81"/>
  <c r="B98" i="81"/>
  <c r="G97" i="81"/>
  <c r="C97" i="81"/>
  <c r="B97" i="81"/>
  <c r="G96" i="81"/>
  <c r="C96" i="81"/>
  <c r="B96" i="81"/>
  <c r="G95" i="81"/>
  <c r="C95" i="81"/>
  <c r="B95" i="81"/>
  <c r="G94" i="81"/>
  <c r="C94" i="81"/>
  <c r="B94" i="81"/>
  <c r="G93" i="81"/>
  <c r="C93" i="81"/>
  <c r="B93" i="81"/>
  <c r="G92" i="81"/>
  <c r="C92" i="81"/>
  <c r="B92" i="81"/>
  <c r="G91" i="81"/>
  <c r="C91" i="81"/>
  <c r="B91" i="81"/>
  <c r="G90" i="81"/>
  <c r="C90" i="81"/>
  <c r="B90" i="81"/>
  <c r="G89" i="81"/>
  <c r="C89" i="81"/>
  <c r="B89" i="81"/>
  <c r="G88" i="81"/>
  <c r="C88" i="81"/>
  <c r="B88" i="81"/>
  <c r="G87" i="81"/>
  <c r="C87" i="81"/>
  <c r="B87" i="81"/>
  <c r="G86" i="81"/>
  <c r="C86" i="81"/>
  <c r="B86" i="81"/>
  <c r="G85" i="81"/>
  <c r="C85" i="81"/>
  <c r="B85" i="81"/>
  <c r="G84" i="81"/>
  <c r="C84" i="81"/>
  <c r="B84" i="81"/>
  <c r="G83" i="81"/>
  <c r="C83" i="81"/>
  <c r="B83" i="81"/>
  <c r="G82" i="81"/>
  <c r="C82" i="81"/>
  <c r="B82" i="81"/>
  <c r="G81" i="81"/>
  <c r="C81" i="81"/>
  <c r="B81" i="81"/>
  <c r="G80" i="81"/>
  <c r="C80" i="81"/>
  <c r="B80" i="81"/>
  <c r="G79" i="81"/>
  <c r="C79" i="81"/>
  <c r="B79" i="81"/>
  <c r="G78" i="81"/>
  <c r="C78" i="81"/>
  <c r="B78" i="81"/>
  <c r="G77" i="81"/>
  <c r="C77" i="81"/>
  <c r="B77" i="81"/>
  <c r="G76" i="81"/>
  <c r="C76" i="81"/>
  <c r="B76" i="81"/>
  <c r="G75" i="81"/>
  <c r="C75" i="81"/>
  <c r="B75" i="81"/>
  <c r="G74" i="81"/>
  <c r="C74" i="81"/>
  <c r="B74" i="81"/>
  <c r="G73" i="81"/>
  <c r="C73" i="81"/>
  <c r="B73" i="81"/>
  <c r="G72" i="81"/>
  <c r="C72" i="81"/>
  <c r="B72" i="81"/>
  <c r="G71" i="81"/>
  <c r="C71" i="81"/>
  <c r="B71" i="81"/>
  <c r="G70" i="81"/>
  <c r="C70" i="81"/>
  <c r="B70" i="81"/>
  <c r="G69" i="81"/>
  <c r="C69" i="81"/>
  <c r="B69" i="81"/>
  <c r="G68" i="81"/>
  <c r="C68" i="81"/>
  <c r="B68" i="81"/>
  <c r="G67" i="81"/>
  <c r="C67" i="81"/>
  <c r="B67" i="81"/>
  <c r="G66" i="81"/>
  <c r="C66" i="81"/>
  <c r="B66" i="81"/>
  <c r="G65" i="81"/>
  <c r="C65" i="81"/>
  <c r="B65" i="81"/>
  <c r="G64" i="81"/>
  <c r="C64" i="81"/>
  <c r="B64" i="81"/>
  <c r="G63" i="81"/>
  <c r="C63" i="81"/>
  <c r="B63" i="81"/>
  <c r="G62" i="81"/>
  <c r="C62" i="81"/>
  <c r="B62" i="81"/>
  <c r="G61" i="81"/>
  <c r="C61" i="81"/>
  <c r="B61" i="81"/>
  <c r="G60" i="81"/>
  <c r="C60" i="81"/>
  <c r="B60" i="81"/>
  <c r="G59" i="81"/>
  <c r="C59" i="81"/>
  <c r="B59" i="81"/>
  <c r="G58" i="81"/>
  <c r="C58" i="81"/>
  <c r="B58" i="81"/>
  <c r="G57" i="81"/>
  <c r="C57" i="81"/>
  <c r="B57" i="81"/>
  <c r="G56" i="81"/>
  <c r="C56" i="81"/>
  <c r="B56" i="81"/>
  <c r="G55" i="81"/>
  <c r="C55" i="81"/>
  <c r="B55" i="81"/>
  <c r="G54" i="81"/>
  <c r="C54" i="81"/>
  <c r="B54" i="81"/>
  <c r="G53" i="81"/>
  <c r="C53" i="81"/>
  <c r="B53" i="81"/>
  <c r="G52" i="81"/>
  <c r="C52" i="81"/>
  <c r="B52" i="81"/>
  <c r="G51" i="81"/>
  <c r="C51" i="81"/>
  <c r="B51" i="81"/>
  <c r="G50" i="81"/>
  <c r="C50" i="81"/>
  <c r="B50" i="81"/>
  <c r="G49" i="81"/>
  <c r="C49" i="81"/>
  <c r="B49" i="81"/>
  <c r="G48" i="81"/>
  <c r="C48" i="81"/>
  <c r="B48" i="81"/>
  <c r="G47" i="81"/>
  <c r="C47" i="81"/>
  <c r="B47" i="81"/>
  <c r="G46" i="81"/>
  <c r="C46" i="81"/>
  <c r="B46" i="81"/>
  <c r="G45" i="81"/>
  <c r="C45" i="81"/>
  <c r="B45" i="81"/>
  <c r="G44" i="81"/>
  <c r="C44" i="81"/>
  <c r="B44" i="81"/>
  <c r="G43" i="81"/>
  <c r="C43" i="81"/>
  <c r="B43" i="81"/>
  <c r="G42" i="81"/>
  <c r="C42" i="81"/>
  <c r="B42" i="81"/>
  <c r="G41" i="81"/>
  <c r="C41" i="81"/>
  <c r="B41" i="81"/>
  <c r="G40" i="81"/>
  <c r="C40" i="81"/>
  <c r="B40" i="81"/>
  <c r="G39" i="81"/>
  <c r="C39" i="81"/>
  <c r="B39" i="81"/>
  <c r="G38" i="81"/>
  <c r="C38" i="81"/>
  <c r="B38" i="81"/>
  <c r="G37" i="81"/>
  <c r="C37" i="81"/>
  <c r="B37" i="81"/>
  <c r="G36" i="81"/>
  <c r="C36" i="81"/>
  <c r="B36" i="81"/>
  <c r="G35" i="81"/>
  <c r="C35" i="81"/>
  <c r="B35" i="81"/>
  <c r="G34" i="81"/>
  <c r="C34" i="81"/>
  <c r="B34" i="81"/>
  <c r="G33" i="81"/>
  <c r="C33" i="81"/>
  <c r="B33" i="81"/>
  <c r="G32" i="81"/>
  <c r="C32" i="81"/>
  <c r="B32" i="81"/>
  <c r="G31" i="81"/>
  <c r="C31" i="81"/>
  <c r="B31" i="81"/>
  <c r="G30" i="81"/>
  <c r="C30" i="81"/>
  <c r="B30" i="81"/>
  <c r="G29" i="81"/>
  <c r="C29" i="81"/>
  <c r="B29" i="81"/>
  <c r="G28" i="81"/>
  <c r="C28" i="81"/>
  <c r="B28" i="81"/>
  <c r="G27" i="81"/>
  <c r="C27" i="81"/>
  <c r="B27" i="81"/>
  <c r="G26" i="81"/>
  <c r="C26" i="81"/>
  <c r="B26" i="81"/>
  <c r="G25" i="81"/>
  <c r="C25" i="81"/>
  <c r="B25" i="81"/>
  <c r="G24" i="81"/>
  <c r="C24" i="81"/>
  <c r="B24" i="81"/>
  <c r="G23" i="81"/>
  <c r="C23" i="81"/>
  <c r="B23" i="81"/>
  <c r="G22" i="81"/>
  <c r="C22" i="81"/>
  <c r="B22" i="81"/>
  <c r="G21" i="81"/>
  <c r="C21" i="81"/>
  <c r="B21" i="81"/>
  <c r="G20" i="81"/>
  <c r="C20" i="81"/>
  <c r="B20" i="81"/>
  <c r="G19" i="81"/>
  <c r="C19" i="81"/>
  <c r="B19" i="81"/>
  <c r="G18" i="81"/>
  <c r="C18" i="81"/>
  <c r="B18" i="81"/>
  <c r="G17" i="81"/>
  <c r="C17" i="81"/>
  <c r="B17" i="81"/>
  <c r="G16" i="81"/>
  <c r="C16" i="81"/>
  <c r="B16" i="81"/>
  <c r="G15" i="81"/>
  <c r="C15" i="81"/>
  <c r="B15" i="81"/>
  <c r="G14" i="81"/>
  <c r="C14" i="81"/>
  <c r="B14" i="81"/>
  <c r="G13" i="81"/>
  <c r="C13" i="81"/>
  <c r="B13" i="81"/>
  <c r="G12" i="81"/>
  <c r="C12" i="81"/>
  <c r="B12" i="81"/>
  <c r="G11" i="81"/>
  <c r="C11" i="81"/>
  <c r="B11" i="81"/>
  <c r="G10" i="81"/>
  <c r="C10" i="81"/>
  <c r="B10" i="81"/>
  <c r="G9" i="81"/>
  <c r="C9" i="81"/>
  <c r="B9" i="81"/>
  <c r="G8" i="81"/>
  <c r="C8" i="81"/>
  <c r="B8" i="81"/>
  <c r="G7" i="81"/>
  <c r="C7" i="81"/>
  <c r="B7" i="81"/>
  <c r="G6" i="81"/>
  <c r="C6" i="81"/>
  <c r="B6" i="81"/>
  <c r="G5" i="81"/>
  <c r="C5" i="81"/>
  <c r="B5" i="81"/>
  <c r="G4" i="81"/>
  <c r="C4" i="81"/>
  <c r="B4" i="81"/>
  <c r="C1" i="81"/>
  <c r="C1076" i="81"/>
  <c r="C1075" i="81"/>
  <c r="C1074" i="81"/>
  <c r="C1073" i="81"/>
  <c r="C1072" i="81"/>
  <c r="C1071" i="81"/>
  <c r="C1070" i="81"/>
  <c r="C1069" i="81"/>
  <c r="C1068" i="81"/>
  <c r="C1067" i="81"/>
  <c r="C1066" i="81"/>
  <c r="C1065" i="81"/>
  <c r="C1064" i="81"/>
  <c r="C1063" i="81"/>
  <c r="C1062" i="81"/>
  <c r="C1061" i="81"/>
  <c r="C1060" i="81"/>
  <c r="C1059" i="81"/>
  <c r="C1058" i="81"/>
  <c r="C1057" i="81"/>
  <c r="C1056" i="81"/>
  <c r="C1055" i="81"/>
  <c r="C1054" i="81"/>
  <c r="C1053" i="81"/>
  <c r="C1052" i="81"/>
  <c r="L6" i="65" l="1"/>
  <c r="K6" i="65"/>
  <c r="J6" i="65"/>
  <c r="I6" i="65"/>
  <c r="H6" i="65"/>
  <c r="G6" i="65"/>
  <c r="G3357" i="81"/>
  <c r="B3357" i="81"/>
  <c r="G3356" i="81"/>
  <c r="B3356" i="81"/>
  <c r="G3355" i="81"/>
  <c r="B3355" i="81"/>
  <c r="G3354" i="81"/>
  <c r="B3354" i="81"/>
  <c r="G3353" i="81"/>
  <c r="B3353" i="81"/>
  <c r="G3352" i="81"/>
  <c r="B3352" i="81"/>
  <c r="G3351" i="81"/>
  <c r="B3351" i="81"/>
  <c r="G3350" i="81"/>
  <c r="B3350" i="81"/>
  <c r="G3349" i="81"/>
  <c r="B3349" i="81"/>
  <c r="G3348" i="81"/>
  <c r="B3348" i="81"/>
  <c r="G3347" i="81"/>
  <c r="B3347" i="81"/>
  <c r="G3346" i="81"/>
  <c r="B3346" i="81"/>
  <c r="G3345" i="81"/>
  <c r="B3345" i="81"/>
  <c r="G3344" i="81"/>
  <c r="B3344" i="81"/>
  <c r="G3343" i="81"/>
  <c r="B3343" i="81"/>
  <c r="G3342" i="81"/>
  <c r="B3342" i="81"/>
  <c r="G3341" i="81"/>
  <c r="B3341" i="81"/>
  <c r="G3340" i="81"/>
  <c r="B3340" i="81"/>
  <c r="G3339" i="81"/>
  <c r="B3339" i="81"/>
  <c r="G3338" i="81"/>
  <c r="B3338" i="81"/>
  <c r="G3337" i="81"/>
  <c r="B3337" i="81"/>
  <c r="G3336" i="81"/>
  <c r="B3336" i="81"/>
  <c r="G3335" i="81"/>
  <c r="B3335" i="81"/>
  <c r="G3334" i="81"/>
  <c r="B3334" i="81"/>
  <c r="G3333" i="81"/>
  <c r="B3333" i="81"/>
  <c r="G3332" i="81"/>
  <c r="B3332" i="81"/>
  <c r="G3331" i="81"/>
  <c r="B3331" i="81"/>
  <c r="G3330" i="81"/>
  <c r="B3330" i="81"/>
  <c r="G3329" i="81"/>
  <c r="B3329" i="81"/>
  <c r="G3328" i="81"/>
  <c r="B3328" i="81"/>
  <c r="G3327" i="81"/>
  <c r="B3327" i="81"/>
  <c r="G3326" i="81"/>
  <c r="B3326" i="81"/>
  <c r="G3325" i="81"/>
  <c r="B3325" i="81"/>
  <c r="G3324" i="81"/>
  <c r="B3324" i="81"/>
  <c r="G3323" i="81"/>
  <c r="B3323" i="81"/>
  <c r="G3322" i="81"/>
  <c r="B3322" i="81"/>
  <c r="G3321" i="81"/>
  <c r="B3321" i="81"/>
  <c r="G3320" i="81"/>
  <c r="B3320" i="81"/>
  <c r="G3319" i="81"/>
  <c r="B3319" i="81"/>
  <c r="G3318" i="81"/>
  <c r="B3318" i="81"/>
  <c r="G3317" i="81"/>
  <c r="B3317" i="81"/>
  <c r="G3316" i="81"/>
  <c r="B3316" i="81"/>
  <c r="G3315" i="81"/>
  <c r="B3315" i="81"/>
  <c r="G3314" i="81"/>
  <c r="B3314" i="81"/>
  <c r="G3313" i="81"/>
  <c r="B3313" i="81"/>
  <c r="G3312" i="81"/>
  <c r="B3312" i="81"/>
  <c r="G3311" i="81"/>
  <c r="B3311" i="81"/>
  <c r="G3310" i="81"/>
  <c r="B3310" i="81"/>
  <c r="G3309" i="81"/>
  <c r="B3309" i="81"/>
  <c r="G3308" i="81"/>
  <c r="B3308" i="81"/>
  <c r="G3307" i="81"/>
  <c r="B3307" i="81"/>
  <c r="G3306" i="81"/>
  <c r="B3306" i="81"/>
  <c r="G3305" i="81"/>
  <c r="B3305" i="81"/>
  <c r="G3304" i="81"/>
  <c r="B3304" i="81"/>
  <c r="G3303" i="81"/>
  <c r="B3303" i="81"/>
  <c r="G3302" i="81"/>
  <c r="B3302" i="81"/>
  <c r="G3301" i="81"/>
  <c r="B3301" i="81"/>
  <c r="G3300" i="81"/>
  <c r="B3300" i="81"/>
  <c r="G3299" i="81"/>
  <c r="B3299" i="81"/>
  <c r="G3298" i="81"/>
  <c r="B3298" i="81"/>
  <c r="G3297" i="81"/>
  <c r="B3297" i="81"/>
  <c r="G3296" i="81"/>
  <c r="B3296" i="81"/>
  <c r="G3295" i="81"/>
  <c r="B3295" i="81"/>
  <c r="G3294" i="81"/>
  <c r="B3294" i="81"/>
  <c r="G3293" i="81"/>
  <c r="B3293" i="81"/>
  <c r="G3292" i="81"/>
  <c r="B3292" i="81"/>
  <c r="G3291" i="81"/>
  <c r="B3291" i="81"/>
  <c r="G3290" i="81"/>
  <c r="B3290" i="81"/>
  <c r="G3289" i="81"/>
  <c r="B3289" i="81"/>
  <c r="G3288" i="81"/>
  <c r="B3288" i="81"/>
  <c r="G3287" i="81"/>
  <c r="B3287" i="81"/>
  <c r="G3286" i="81"/>
  <c r="B3286" i="81"/>
  <c r="G3285" i="81"/>
  <c r="B3285" i="81"/>
  <c r="G3284" i="81"/>
  <c r="B3284" i="81"/>
  <c r="G3283" i="81"/>
  <c r="B3283" i="81"/>
  <c r="G3282" i="81"/>
  <c r="B3282" i="81"/>
  <c r="G3281" i="81"/>
  <c r="B3281" i="81"/>
  <c r="G3280" i="81"/>
  <c r="B3280" i="81"/>
  <c r="G3279" i="81"/>
  <c r="B3279" i="81"/>
  <c r="G3278" i="81"/>
  <c r="B3278" i="81"/>
  <c r="G3277" i="81"/>
  <c r="B3277" i="81"/>
  <c r="G3276" i="81"/>
  <c r="B3276" i="81"/>
  <c r="G3275" i="81"/>
  <c r="B3275" i="81"/>
  <c r="G3274" i="81"/>
  <c r="B3274" i="81"/>
  <c r="G3273" i="81"/>
  <c r="B3273" i="81"/>
  <c r="G3272" i="81"/>
  <c r="B3272" i="81"/>
  <c r="G3271" i="81"/>
  <c r="B3271" i="81"/>
  <c r="G3270" i="81"/>
  <c r="B3270" i="81"/>
  <c r="G3269" i="81"/>
  <c r="B3269" i="81"/>
  <c r="G3268" i="81"/>
  <c r="B3268" i="81"/>
  <c r="G3267" i="81"/>
  <c r="B3267" i="81"/>
  <c r="G3266" i="81"/>
  <c r="B3266" i="81"/>
  <c r="G3265" i="81"/>
  <c r="B3265" i="81"/>
  <c r="G3264" i="81"/>
  <c r="B3264" i="81"/>
  <c r="G3263" i="81"/>
  <c r="B3263" i="81"/>
  <c r="G3262" i="81"/>
  <c r="B3262" i="81"/>
  <c r="G3261" i="81"/>
  <c r="B3261" i="81"/>
  <c r="G3260" i="81"/>
  <c r="B3260" i="81"/>
  <c r="G3259" i="81"/>
  <c r="B3259" i="81"/>
  <c r="G3258" i="81"/>
  <c r="B3258" i="81"/>
  <c r="G3257" i="81"/>
  <c r="B3257" i="81"/>
  <c r="G3256" i="81"/>
  <c r="B3256" i="81"/>
  <c r="G3255" i="81"/>
  <c r="B3255" i="81"/>
  <c r="G3254" i="81"/>
  <c r="B3254" i="81"/>
  <c r="G3253" i="81"/>
  <c r="B3253" i="81"/>
  <c r="G3252" i="81"/>
  <c r="B3252" i="81"/>
  <c r="G3251" i="81"/>
  <c r="B3251" i="81"/>
  <c r="G3250" i="81"/>
  <c r="B3250" i="81"/>
  <c r="G3249" i="81"/>
  <c r="B3249" i="81"/>
  <c r="G3248" i="81"/>
  <c r="B3248" i="81"/>
  <c r="G3247" i="81"/>
  <c r="B3247" i="81"/>
  <c r="G3246" i="81"/>
  <c r="B3246" i="81"/>
  <c r="G3245" i="81"/>
  <c r="B3245" i="81"/>
  <c r="G3244" i="81"/>
  <c r="B3244" i="81"/>
  <c r="G3243" i="81"/>
  <c r="B3243" i="81"/>
  <c r="G3242" i="81"/>
  <c r="B3242" i="81"/>
  <c r="G3241" i="81"/>
  <c r="B3241" i="81"/>
  <c r="G3240" i="81"/>
  <c r="B3240" i="81"/>
  <c r="G3239" i="81"/>
  <c r="B3239" i="81"/>
  <c r="G3238" i="81"/>
  <c r="B3238" i="81"/>
  <c r="G3237" i="81"/>
  <c r="B3237" i="81"/>
  <c r="G3236" i="81"/>
  <c r="B3236" i="81"/>
  <c r="G3235" i="81"/>
  <c r="B3235" i="81"/>
  <c r="G3234" i="81"/>
  <c r="C3234" i="81"/>
  <c r="B3234" i="81"/>
  <c r="G3233" i="81"/>
  <c r="C3233" i="81"/>
  <c r="B3233" i="81"/>
  <c r="G3232" i="81"/>
  <c r="C3232" i="81"/>
  <c r="B3232" i="81"/>
  <c r="G3231" i="81"/>
  <c r="C3231" i="81"/>
  <c r="B3231" i="81"/>
  <c r="G3230" i="81"/>
  <c r="C3230" i="81"/>
  <c r="B3230" i="81"/>
  <c r="G3229" i="81"/>
  <c r="C3229" i="81"/>
  <c r="B3229" i="81"/>
  <c r="G3228" i="81"/>
  <c r="C3228" i="81"/>
  <c r="B3228" i="81"/>
  <c r="G3227" i="81"/>
  <c r="C3227" i="81"/>
  <c r="B3227" i="81"/>
  <c r="G3226" i="81"/>
  <c r="C3226" i="81"/>
  <c r="B3226" i="81"/>
  <c r="G3225" i="81"/>
  <c r="C3225" i="81"/>
  <c r="B3225" i="81"/>
  <c r="G3224" i="81"/>
  <c r="C3224" i="81"/>
  <c r="B3224" i="81"/>
  <c r="G3223" i="81"/>
  <c r="C3223" i="81"/>
  <c r="B3223" i="81"/>
  <c r="G3222" i="81"/>
  <c r="B3222" i="81"/>
  <c r="G3221" i="81"/>
  <c r="B3221" i="81"/>
  <c r="G3220" i="81"/>
  <c r="B3220" i="81"/>
  <c r="G3219" i="81"/>
  <c r="B3219" i="81"/>
  <c r="G3218" i="81"/>
  <c r="B3218" i="81"/>
  <c r="G3217" i="81"/>
  <c r="B3217" i="81"/>
  <c r="G3216" i="81"/>
  <c r="B3216" i="81"/>
  <c r="G3215" i="81"/>
  <c r="B3215" i="81"/>
  <c r="G3214" i="81"/>
  <c r="B3214" i="81"/>
  <c r="G3213" i="81"/>
  <c r="C3213" i="81"/>
  <c r="B3213" i="81"/>
  <c r="G3212" i="81"/>
  <c r="C3212" i="81"/>
  <c r="B3212" i="81"/>
  <c r="G3211" i="81"/>
  <c r="C3211" i="81"/>
  <c r="B3211" i="81"/>
  <c r="G3210" i="81"/>
  <c r="C3210" i="81"/>
  <c r="B3210" i="81"/>
  <c r="G3209" i="81"/>
  <c r="C3209" i="81"/>
  <c r="B3209" i="81"/>
  <c r="G3208" i="81"/>
  <c r="C3208" i="81"/>
  <c r="B3208" i="81"/>
  <c r="G3207" i="81"/>
  <c r="B3207" i="81"/>
  <c r="G3206" i="81"/>
  <c r="B3206" i="81"/>
  <c r="G3205" i="81"/>
  <c r="B3205" i="81"/>
  <c r="G3204" i="81"/>
  <c r="B3204" i="81"/>
  <c r="G3203" i="81"/>
  <c r="B3203" i="81"/>
  <c r="G3202" i="81"/>
  <c r="B3202" i="81"/>
  <c r="G3201" i="81"/>
  <c r="B3201" i="81"/>
  <c r="G3200" i="81"/>
  <c r="B3200" i="81"/>
  <c r="G3199" i="81"/>
  <c r="B3199" i="81"/>
  <c r="G3198" i="81"/>
  <c r="C3198" i="81"/>
  <c r="B3198" i="81"/>
  <c r="G3197" i="81"/>
  <c r="C3197" i="81"/>
  <c r="B3197" i="81"/>
  <c r="G3196" i="81"/>
  <c r="C3196" i="81"/>
  <c r="B3196" i="81"/>
  <c r="G3195" i="81"/>
  <c r="C3195" i="81"/>
  <c r="B3195" i="81"/>
  <c r="G3194" i="81"/>
  <c r="C3194" i="81"/>
  <c r="B3194" i="81"/>
  <c r="G3193" i="81"/>
  <c r="C3193" i="81"/>
  <c r="B3193" i="81"/>
  <c r="G3192" i="81"/>
  <c r="B3192" i="81"/>
  <c r="G3191" i="81"/>
  <c r="B3191" i="81"/>
  <c r="G3190" i="81"/>
  <c r="B3190" i="81"/>
  <c r="G3189" i="81"/>
  <c r="B3189" i="81"/>
  <c r="G3188" i="81"/>
  <c r="B3188" i="81"/>
  <c r="G3187" i="81"/>
  <c r="B3187" i="81"/>
  <c r="G3186" i="81"/>
  <c r="B3186" i="81"/>
  <c r="G3185" i="81"/>
  <c r="B3185" i="81"/>
  <c r="G3184" i="81"/>
  <c r="B3184" i="81"/>
  <c r="G3183" i="81"/>
  <c r="C3183" i="81"/>
  <c r="B3183" i="81"/>
  <c r="G3182" i="81"/>
  <c r="C3182" i="81"/>
  <c r="B3182" i="81"/>
  <c r="G3181" i="81"/>
  <c r="C3181" i="81"/>
  <c r="B3181" i="81"/>
  <c r="G3180" i="81"/>
  <c r="C3180" i="81"/>
  <c r="B3180" i="81"/>
  <c r="G3179" i="81"/>
  <c r="C3179" i="81"/>
  <c r="B3179" i="81"/>
  <c r="G3178" i="81"/>
  <c r="C3178" i="81"/>
  <c r="B3178" i="81"/>
  <c r="G3177" i="81"/>
  <c r="D3177" i="81"/>
  <c r="D3192" i="81" s="1"/>
  <c r="D3207" i="81" s="1"/>
  <c r="D3222" i="81" s="1"/>
  <c r="B3177" i="81"/>
  <c r="G3176" i="81"/>
  <c r="D3176" i="81"/>
  <c r="B3176" i="81"/>
  <c r="G3175" i="81"/>
  <c r="D3175" i="81"/>
  <c r="D3190" i="81" s="1"/>
  <c r="D3205" i="81" s="1"/>
  <c r="D3220" i="81" s="1"/>
  <c r="B3175" i="81"/>
  <c r="G3174" i="81"/>
  <c r="D3174" i="81"/>
  <c r="B3174" i="81"/>
  <c r="G3173" i="81"/>
  <c r="D3173" i="81"/>
  <c r="B3173" i="81"/>
  <c r="G3172" i="81"/>
  <c r="D3172" i="81"/>
  <c r="B3172" i="81"/>
  <c r="G3171" i="81"/>
  <c r="D3171" i="81"/>
  <c r="D3186" i="81" s="1"/>
  <c r="D3201" i="81" s="1"/>
  <c r="D3216" i="81" s="1"/>
  <c r="B3171" i="81"/>
  <c r="G3170" i="81"/>
  <c r="D3170" i="81"/>
  <c r="D3185" i="81" s="1"/>
  <c r="D3200" i="81" s="1"/>
  <c r="D3215" i="81" s="1"/>
  <c r="B3170" i="81"/>
  <c r="G3169" i="81"/>
  <c r="D3169" i="81"/>
  <c r="D3184" i="81" s="1"/>
  <c r="D3199" i="81" s="1"/>
  <c r="D3214" i="81" s="1"/>
  <c r="B3169" i="81"/>
  <c r="G3168" i="81"/>
  <c r="D3168" i="81"/>
  <c r="C3168" i="81"/>
  <c r="B3168" i="81"/>
  <c r="G3167" i="81"/>
  <c r="D3167" i="81"/>
  <c r="C3167" i="81"/>
  <c r="B3167" i="81"/>
  <c r="G3166" i="81"/>
  <c r="D3166" i="81"/>
  <c r="C3166" i="81"/>
  <c r="B3166" i="81"/>
  <c r="G3165" i="81"/>
  <c r="D3165" i="81"/>
  <c r="C3165" i="81"/>
  <c r="B3165" i="81"/>
  <c r="G3164" i="81"/>
  <c r="D3164" i="81"/>
  <c r="C3164" i="81"/>
  <c r="B3164" i="81"/>
  <c r="G3163" i="81"/>
  <c r="D3163" i="81"/>
  <c r="C3163" i="81"/>
  <c r="B3163" i="81"/>
  <c r="G3162" i="81"/>
  <c r="D3162" i="81"/>
  <c r="C3162" i="81"/>
  <c r="B3162" i="81"/>
  <c r="G3161" i="81"/>
  <c r="D3161" i="81"/>
  <c r="C3161" i="81"/>
  <c r="B3161" i="81"/>
  <c r="G3160" i="81"/>
  <c r="D3160" i="81"/>
  <c r="C3160" i="81"/>
  <c r="B3160" i="81"/>
  <c r="G3159" i="81"/>
  <c r="D3159" i="81"/>
  <c r="C3159" i="81"/>
  <c r="B3159" i="81"/>
  <c r="G3158" i="81"/>
  <c r="D3158" i="81"/>
  <c r="C3158" i="81"/>
  <c r="B3158" i="81"/>
  <c r="G3157" i="81"/>
  <c r="D3157" i="81"/>
  <c r="C3157" i="81"/>
  <c r="B3157" i="81"/>
  <c r="G3156" i="81"/>
  <c r="D3156" i="81"/>
  <c r="C3156" i="81"/>
  <c r="B3156" i="81"/>
  <c r="G3155" i="81"/>
  <c r="D3155" i="81"/>
  <c r="C3155" i="81"/>
  <c r="B3155" i="81"/>
  <c r="G3154" i="81"/>
  <c r="D3154" i="81"/>
  <c r="C3154" i="81"/>
  <c r="B3154" i="81"/>
  <c r="G3153" i="81"/>
  <c r="D3153" i="81"/>
  <c r="C3153" i="81"/>
  <c r="B3153" i="81"/>
  <c r="G3152" i="81"/>
  <c r="D3152" i="81"/>
  <c r="C3152" i="81"/>
  <c r="B3152" i="81"/>
  <c r="G3151" i="81"/>
  <c r="D3151" i="81"/>
  <c r="C3151" i="81"/>
  <c r="B3151" i="81"/>
  <c r="G3150" i="81"/>
  <c r="D3150" i="81"/>
  <c r="C3150" i="81"/>
  <c r="B3150" i="81"/>
  <c r="G3149" i="81"/>
  <c r="D3149" i="81"/>
  <c r="C3149" i="81"/>
  <c r="B3149" i="81"/>
  <c r="G3148" i="81"/>
  <c r="D3148" i="81"/>
  <c r="C3148" i="81"/>
  <c r="B3148" i="81"/>
  <c r="G3147" i="81"/>
  <c r="D3147" i="81"/>
  <c r="C3147" i="81"/>
  <c r="B3147" i="81"/>
  <c r="G3146" i="81"/>
  <c r="D3146" i="81"/>
  <c r="C3146" i="81"/>
  <c r="B3146" i="81"/>
  <c r="G3145" i="81"/>
  <c r="D3145" i="81"/>
  <c r="C3145" i="81"/>
  <c r="B3145" i="81"/>
  <c r="G3144" i="81"/>
  <c r="D3144" i="81"/>
  <c r="C3144" i="81"/>
  <c r="B3144" i="81"/>
  <c r="G3143" i="81"/>
  <c r="D3143" i="81"/>
  <c r="C3143" i="81"/>
  <c r="B3143" i="81"/>
  <c r="G3142" i="81"/>
  <c r="D3142" i="81"/>
  <c r="C3142" i="81"/>
  <c r="B3142" i="81"/>
  <c r="G3141" i="81"/>
  <c r="D3141" i="81"/>
  <c r="C3141" i="81"/>
  <c r="B3141" i="81"/>
  <c r="G3140" i="81"/>
  <c r="D3140" i="81"/>
  <c r="C3140" i="81"/>
  <c r="B3140" i="81"/>
  <c r="G3139" i="81"/>
  <c r="D3139" i="81"/>
  <c r="C3139" i="81"/>
  <c r="B3139" i="81"/>
  <c r="G3138" i="81"/>
  <c r="D3138" i="81"/>
  <c r="C3138" i="81"/>
  <c r="B3138" i="81"/>
  <c r="G3137" i="81"/>
  <c r="D3137" i="81"/>
  <c r="C3137" i="81"/>
  <c r="B3137" i="81"/>
  <c r="G3136" i="81"/>
  <c r="D3136" i="81"/>
  <c r="C3136" i="81"/>
  <c r="B3136" i="81"/>
  <c r="G3135" i="81"/>
  <c r="D3135" i="81"/>
  <c r="C3135" i="81"/>
  <c r="B3135" i="81"/>
  <c r="G3134" i="81"/>
  <c r="D3134" i="81"/>
  <c r="C3134" i="81"/>
  <c r="B3134" i="81"/>
  <c r="G3133" i="81"/>
  <c r="D3133" i="81"/>
  <c r="C3133" i="81"/>
  <c r="B3133" i="81"/>
  <c r="G3132" i="81"/>
  <c r="D3132" i="81"/>
  <c r="C3132" i="81"/>
  <c r="B3132" i="81"/>
  <c r="G3131" i="81"/>
  <c r="D3131" i="81"/>
  <c r="C3131" i="81"/>
  <c r="B3131" i="81"/>
  <c r="G3130" i="81"/>
  <c r="D3130" i="81"/>
  <c r="C3130" i="81"/>
  <c r="B3130" i="81"/>
  <c r="G3129" i="81"/>
  <c r="D3129" i="81"/>
  <c r="C3129" i="81"/>
  <c r="B3129" i="81"/>
  <c r="G3128" i="81"/>
  <c r="D3128" i="81"/>
  <c r="C3128" i="81"/>
  <c r="B3128" i="81"/>
  <c r="G3127" i="81"/>
  <c r="D3127" i="81"/>
  <c r="C3127" i="81"/>
  <c r="B3127" i="81"/>
  <c r="G3126" i="81"/>
  <c r="D3126" i="81"/>
  <c r="C3126" i="81"/>
  <c r="B3126" i="81"/>
  <c r="G3125" i="81"/>
  <c r="D3125" i="81"/>
  <c r="C3125" i="81"/>
  <c r="B3125" i="81"/>
  <c r="G3124" i="81"/>
  <c r="D3124" i="81"/>
  <c r="C3124" i="81"/>
  <c r="B3124" i="81"/>
  <c r="G3123" i="81"/>
  <c r="D3123" i="81"/>
  <c r="C3123" i="81"/>
  <c r="B3123" i="81"/>
  <c r="G3122" i="81"/>
  <c r="D3122" i="81"/>
  <c r="C3122" i="81"/>
  <c r="B3122" i="81"/>
  <c r="G3121" i="81"/>
  <c r="D3121" i="81"/>
  <c r="C3121" i="81"/>
  <c r="B3121" i="81"/>
  <c r="G3120" i="81"/>
  <c r="D3120" i="81"/>
  <c r="C3120" i="81"/>
  <c r="B3120" i="81"/>
  <c r="G3119" i="81"/>
  <c r="D3119" i="81"/>
  <c r="C3119" i="81"/>
  <c r="B3119" i="81"/>
  <c r="G3118" i="81"/>
  <c r="D3118" i="81"/>
  <c r="C3118" i="81"/>
  <c r="B3118" i="81"/>
  <c r="D3117" i="81"/>
  <c r="B3117" i="81"/>
  <c r="D3116" i="81"/>
  <c r="B3116" i="81"/>
  <c r="D3115" i="81"/>
  <c r="B3115" i="81"/>
  <c r="D3114" i="81"/>
  <c r="B3114" i="81"/>
  <c r="D3113" i="81"/>
  <c r="B3113" i="81"/>
  <c r="D3112" i="81"/>
  <c r="B3112" i="81"/>
  <c r="D3111" i="81"/>
  <c r="B3111" i="81"/>
  <c r="D3110" i="81"/>
  <c r="B3110" i="81"/>
  <c r="D3109" i="81"/>
  <c r="B3109" i="81"/>
  <c r="D3108" i="81"/>
  <c r="B3108" i="81"/>
  <c r="G3107" i="81"/>
  <c r="G3106" i="81"/>
  <c r="G3105" i="81"/>
  <c r="G3104" i="81"/>
  <c r="G3103" i="81"/>
  <c r="G3102" i="81"/>
  <c r="G3101" i="81"/>
  <c r="G3100" i="81"/>
  <c r="G3099" i="81"/>
  <c r="G3098" i="81"/>
  <c r="G3097" i="81"/>
  <c r="G3096" i="81"/>
  <c r="G3095" i="81"/>
  <c r="G3094" i="81"/>
  <c r="G3093" i="81"/>
  <c r="G3092" i="81"/>
  <c r="G3091" i="81"/>
  <c r="G3090" i="81"/>
  <c r="G3089" i="81"/>
  <c r="G3088" i="81"/>
  <c r="G3087" i="81"/>
  <c r="G3086" i="81"/>
  <c r="G3085" i="81"/>
  <c r="G3084" i="81"/>
  <c r="G3083" i="81"/>
  <c r="G3082" i="81"/>
  <c r="G3081" i="81"/>
  <c r="G3080" i="81"/>
  <c r="G3079" i="81"/>
  <c r="G3078" i="81"/>
  <c r="G3077" i="81"/>
  <c r="G3076" i="81"/>
  <c r="G3075" i="81"/>
  <c r="G3074" i="81"/>
  <c r="G3073" i="81"/>
  <c r="G3072" i="81"/>
  <c r="G3071" i="81"/>
  <c r="G3070" i="81"/>
  <c r="G3069" i="81"/>
  <c r="G3068" i="81"/>
  <c r="G3067" i="81"/>
  <c r="G3066" i="81"/>
  <c r="G3065" i="81"/>
  <c r="G3064" i="81"/>
  <c r="G3063" i="81"/>
  <c r="G3062" i="81"/>
  <c r="G3061" i="81"/>
  <c r="G3060" i="81"/>
  <c r="G3059" i="81"/>
  <c r="G3058" i="81"/>
  <c r="G3057" i="81"/>
  <c r="G3056" i="81"/>
  <c r="G3055" i="81"/>
  <c r="G3054" i="81"/>
  <c r="G3053" i="81"/>
  <c r="G3052" i="81"/>
  <c r="G3051" i="81"/>
  <c r="G3050" i="81"/>
  <c r="G3049" i="81"/>
  <c r="G3048" i="81"/>
  <c r="G3047" i="81"/>
  <c r="G3046" i="81"/>
  <c r="G3045" i="81"/>
  <c r="G3044" i="81"/>
  <c r="G3043" i="81"/>
  <c r="G3042" i="81"/>
  <c r="G3041" i="81"/>
  <c r="G3040" i="81"/>
  <c r="G3039" i="81"/>
  <c r="G3038" i="81"/>
  <c r="G3037" i="81"/>
  <c r="G3036" i="81"/>
  <c r="G3035" i="81"/>
  <c r="G3034" i="81"/>
  <c r="G3033" i="81"/>
  <c r="G3032" i="81"/>
  <c r="G3031" i="81"/>
  <c r="G3030" i="81"/>
  <c r="G3029" i="81"/>
  <c r="G3028" i="81"/>
  <c r="G3027" i="81"/>
  <c r="G3026" i="81"/>
  <c r="G3025" i="81"/>
  <c r="G3024" i="81"/>
  <c r="G3023" i="81"/>
  <c r="G3022" i="81"/>
  <c r="G3021" i="81"/>
  <c r="G3020" i="81"/>
  <c r="G3019" i="81"/>
  <c r="G3018" i="81"/>
  <c r="G3017" i="81"/>
  <c r="G3016" i="81"/>
  <c r="G3015" i="81"/>
  <c r="G3014" i="81"/>
  <c r="G3013" i="81"/>
  <c r="G3012" i="81"/>
  <c r="G3011" i="81"/>
  <c r="G3010" i="81"/>
  <c r="G3009" i="81"/>
  <c r="G3008" i="81"/>
  <c r="G3007" i="81"/>
  <c r="G3006" i="81"/>
  <c r="G3005" i="81"/>
  <c r="G3004" i="81"/>
  <c r="G3003" i="81"/>
  <c r="G3002" i="81"/>
  <c r="G3001" i="81"/>
  <c r="G3000" i="81"/>
  <c r="G2999" i="81"/>
  <c r="G2998" i="81"/>
  <c r="G2997" i="81"/>
  <c r="G2996" i="81"/>
  <c r="G2995" i="81"/>
  <c r="G2994" i="81"/>
  <c r="G2993" i="81"/>
  <c r="G2992" i="81"/>
  <c r="G2991" i="81"/>
  <c r="G2990" i="81"/>
  <c r="G2989" i="81"/>
  <c r="G2988" i="81"/>
  <c r="G2987" i="81"/>
  <c r="G2986" i="81"/>
  <c r="G2985" i="81"/>
  <c r="G2984" i="81"/>
  <c r="G2983" i="81"/>
  <c r="G2982" i="81"/>
  <c r="G2981" i="81"/>
  <c r="G2980" i="81"/>
  <c r="G2979" i="81"/>
  <c r="G2978" i="81"/>
  <c r="G2977" i="81"/>
  <c r="G2976" i="81"/>
  <c r="G2975" i="81"/>
  <c r="G2974" i="81"/>
  <c r="G2973" i="81"/>
  <c r="G2972" i="81"/>
  <c r="G2971" i="81"/>
  <c r="G2970" i="81"/>
  <c r="G2969" i="81"/>
  <c r="G2968" i="81"/>
  <c r="G2967" i="81"/>
  <c r="G2966" i="81"/>
  <c r="G2965" i="81"/>
  <c r="G2964" i="81"/>
  <c r="G2963" i="81"/>
  <c r="G2962" i="81"/>
  <c r="G2961" i="81"/>
  <c r="G2960" i="81"/>
  <c r="G2959" i="81"/>
  <c r="G2958" i="81"/>
  <c r="G2957" i="81"/>
  <c r="G2956" i="81"/>
  <c r="G2955" i="81"/>
  <c r="G2954" i="81"/>
  <c r="G2953" i="81"/>
  <c r="G2952" i="81"/>
  <c r="G2951" i="81"/>
  <c r="G2950" i="81"/>
  <c r="G2949" i="81"/>
  <c r="G2948" i="81"/>
  <c r="G2947" i="81"/>
  <c r="G2946" i="81"/>
  <c r="G2945" i="81"/>
  <c r="G2944" i="81"/>
  <c r="G2943" i="81"/>
  <c r="G2942" i="81"/>
  <c r="G2941" i="81"/>
  <c r="G2940" i="81"/>
  <c r="G2938" i="81"/>
  <c r="G2937" i="81"/>
  <c r="G2936" i="81"/>
  <c r="G2935" i="81"/>
  <c r="G2934" i="81"/>
  <c r="G2933" i="81"/>
  <c r="G2932" i="81"/>
  <c r="G2931" i="81"/>
  <c r="G2930" i="81"/>
  <c r="G2929" i="81"/>
  <c r="G2928" i="81"/>
  <c r="G2927" i="81"/>
  <c r="G2926" i="81"/>
  <c r="G2925" i="81"/>
  <c r="G2924" i="81"/>
  <c r="G2923" i="81"/>
  <c r="G2922" i="81"/>
  <c r="G2921" i="81"/>
  <c r="G2920" i="81"/>
  <c r="G2919" i="81"/>
  <c r="G2918" i="81"/>
  <c r="G2917" i="81"/>
  <c r="G2916" i="81"/>
  <c r="G2915" i="81"/>
  <c r="G2914" i="81"/>
  <c r="G2913" i="81"/>
  <c r="G2912" i="81"/>
  <c r="G2911" i="81"/>
  <c r="G2910" i="81"/>
  <c r="G2909" i="81"/>
  <c r="G2908" i="81"/>
  <c r="G2907" i="81"/>
  <c r="G2906" i="81"/>
  <c r="G2905" i="81"/>
  <c r="G2904" i="81"/>
  <c r="G2903" i="81"/>
  <c r="G2902" i="81"/>
  <c r="G2901" i="81"/>
  <c r="G2900" i="81"/>
  <c r="G2899" i="81"/>
  <c r="G2898" i="81"/>
  <c r="G2897" i="81"/>
  <c r="G2896" i="81"/>
  <c r="G2895" i="81"/>
  <c r="G2894" i="81"/>
  <c r="G2893" i="81"/>
  <c r="G2892" i="81"/>
  <c r="G2891" i="81"/>
  <c r="G2890" i="81"/>
  <c r="G2889" i="81"/>
  <c r="G2888" i="81"/>
  <c r="G2887" i="81"/>
  <c r="G2886" i="81"/>
  <c r="G2885" i="81"/>
  <c r="G2884" i="81"/>
  <c r="G2883" i="81"/>
  <c r="G2882" i="81"/>
  <c r="G2881" i="81"/>
  <c r="G2880" i="81"/>
  <c r="G2879" i="81"/>
  <c r="G2878" i="81"/>
  <c r="G2877" i="81"/>
  <c r="G2876" i="81"/>
  <c r="G2875" i="81"/>
  <c r="G2874" i="81"/>
  <c r="G2873" i="81"/>
  <c r="G2872" i="81"/>
  <c r="G2871" i="81"/>
  <c r="G2870" i="81"/>
  <c r="G2869" i="81"/>
  <c r="G2868" i="81"/>
  <c r="G2867" i="81"/>
  <c r="G2866" i="81"/>
  <c r="D2866" i="81"/>
  <c r="G2865" i="81"/>
  <c r="D2865" i="81"/>
  <c r="D2877" i="81" s="1"/>
  <c r="D2889" i="81" s="1"/>
  <c r="D2901" i="81" s="1"/>
  <c r="D2913" i="81" s="1"/>
  <c r="D2925" i="81" s="1"/>
  <c r="D2937" i="81" s="1"/>
  <c r="D2950" i="81" s="1"/>
  <c r="D2962" i="81" s="1"/>
  <c r="D2974" i="81" s="1"/>
  <c r="D2986" i="81" s="1"/>
  <c r="D2998" i="81" s="1"/>
  <c r="D3010" i="81" s="1"/>
  <c r="D3022" i="81" s="1"/>
  <c r="D3034" i="81" s="1"/>
  <c r="D3046" i="81" s="1"/>
  <c r="D3058" i="81" s="1"/>
  <c r="D3070" i="81" s="1"/>
  <c r="D3082" i="81" s="1"/>
  <c r="D3094" i="81" s="1"/>
  <c r="D3106" i="81" s="1"/>
  <c r="G2864" i="81"/>
  <c r="D2864" i="81"/>
  <c r="G2863" i="81"/>
  <c r="D2863" i="81"/>
  <c r="D2875" i="81" s="1"/>
  <c r="D2887" i="81" s="1"/>
  <c r="D2899" i="81" s="1"/>
  <c r="D2911" i="81" s="1"/>
  <c r="D2923" i="81" s="1"/>
  <c r="D2935" i="81" s="1"/>
  <c r="D2948" i="81" s="1"/>
  <c r="D2960" i="81" s="1"/>
  <c r="D2972" i="81" s="1"/>
  <c r="D2984" i="81" s="1"/>
  <c r="D2996" i="81" s="1"/>
  <c r="D3008" i="81" s="1"/>
  <c r="D3020" i="81" s="1"/>
  <c r="D3032" i="81" s="1"/>
  <c r="D3044" i="81" s="1"/>
  <c r="D3056" i="81" s="1"/>
  <c r="D3068" i="81" s="1"/>
  <c r="D3080" i="81" s="1"/>
  <c r="D3092" i="81" s="1"/>
  <c r="D3104" i="81" s="1"/>
  <c r="G2862" i="81"/>
  <c r="D2862" i="81"/>
  <c r="G2861" i="81"/>
  <c r="D2861" i="81"/>
  <c r="D2873" i="81" s="1"/>
  <c r="D2885" i="81" s="1"/>
  <c r="D2897" i="81" s="1"/>
  <c r="D2909" i="81" s="1"/>
  <c r="D2921" i="81" s="1"/>
  <c r="D2933" i="81" s="1"/>
  <c r="D2946" i="81" s="1"/>
  <c r="D2958" i="81" s="1"/>
  <c r="D2970" i="81" s="1"/>
  <c r="D2982" i="81" s="1"/>
  <c r="D2994" i="81" s="1"/>
  <c r="D3006" i="81" s="1"/>
  <c r="D3018" i="81" s="1"/>
  <c r="D3030" i="81" s="1"/>
  <c r="D3042" i="81" s="1"/>
  <c r="D3054" i="81" s="1"/>
  <c r="D3066" i="81" s="1"/>
  <c r="D3078" i="81" s="1"/>
  <c r="D3090" i="81" s="1"/>
  <c r="D3102" i="81" s="1"/>
  <c r="G2860" i="81"/>
  <c r="D2860" i="81"/>
  <c r="G2859" i="81"/>
  <c r="D2859" i="81"/>
  <c r="D2871" i="81" s="1"/>
  <c r="D2883" i="81" s="1"/>
  <c r="D2895" i="81" s="1"/>
  <c r="D2907" i="81" s="1"/>
  <c r="D2919" i="81" s="1"/>
  <c r="D2931" i="81" s="1"/>
  <c r="D2944" i="81" s="1"/>
  <c r="D2956" i="81" s="1"/>
  <c r="D2968" i="81" s="1"/>
  <c r="D2980" i="81" s="1"/>
  <c r="D2992" i="81" s="1"/>
  <c r="D3004" i="81" s="1"/>
  <c r="D3016" i="81" s="1"/>
  <c r="D3028" i="81" s="1"/>
  <c r="D3040" i="81" s="1"/>
  <c r="D3052" i="81" s="1"/>
  <c r="D3064" i="81" s="1"/>
  <c r="D3076" i="81" s="1"/>
  <c r="D3088" i="81" s="1"/>
  <c r="D3100" i="81" s="1"/>
  <c r="G2858" i="81"/>
  <c r="D2858" i="81"/>
  <c r="G2857" i="81"/>
  <c r="D2857" i="81"/>
  <c r="G2856" i="81"/>
  <c r="D2856" i="81"/>
  <c r="G2855" i="81"/>
  <c r="D2855" i="81"/>
  <c r="D2867" i="81" s="1"/>
  <c r="D2879" i="81" s="1"/>
  <c r="D2891" i="81" s="1"/>
  <c r="D2903" i="81" s="1"/>
  <c r="D2915" i="81" s="1"/>
  <c r="D2927" i="81" s="1"/>
  <c r="G2854" i="81"/>
  <c r="D2854" i="81"/>
  <c r="C2854" i="81"/>
  <c r="B2854" i="81"/>
  <c r="G2853" i="81"/>
  <c r="D2853" i="81"/>
  <c r="C2853" i="81"/>
  <c r="B2853" i="81"/>
  <c r="G2852" i="81"/>
  <c r="D2852" i="81"/>
  <c r="C2852" i="81"/>
  <c r="B2852" i="81"/>
  <c r="G2851" i="81"/>
  <c r="D2851" i="81"/>
  <c r="C2851" i="81"/>
  <c r="B2851" i="81"/>
  <c r="G2850" i="81"/>
  <c r="D2850" i="81"/>
  <c r="C2850" i="81"/>
  <c r="B2850" i="81"/>
  <c r="G2849" i="81"/>
  <c r="D2849" i="81"/>
  <c r="C2849" i="81"/>
  <c r="B2849" i="81"/>
  <c r="G2848" i="81"/>
  <c r="D2848" i="81"/>
  <c r="C2848" i="81"/>
  <c r="B2848" i="81"/>
  <c r="G2847" i="81"/>
  <c r="D2847" i="81"/>
  <c r="C2847" i="81"/>
  <c r="B2847" i="81"/>
  <c r="G2846" i="81"/>
  <c r="D2846" i="81"/>
  <c r="C2846" i="81"/>
  <c r="B2846" i="81"/>
  <c r="G2845" i="81"/>
  <c r="D2845" i="81"/>
  <c r="C2845" i="81"/>
  <c r="B2845" i="81"/>
  <c r="G2844" i="81"/>
  <c r="D2844" i="81"/>
  <c r="C2844" i="81"/>
  <c r="B2844" i="81"/>
  <c r="G2843" i="81"/>
  <c r="D2843" i="81"/>
  <c r="C2843" i="81"/>
  <c r="B2843" i="81"/>
  <c r="G2842" i="81"/>
  <c r="D2842" i="81"/>
  <c r="C2842" i="81"/>
  <c r="B2842" i="81"/>
  <c r="G2841" i="81"/>
  <c r="D2841" i="81"/>
  <c r="C2841" i="81"/>
  <c r="B2841" i="81"/>
  <c r="G2840" i="81"/>
  <c r="D2840" i="81"/>
  <c r="C2840" i="81"/>
  <c r="B2840" i="81"/>
  <c r="G2839" i="81"/>
  <c r="D2839" i="81"/>
  <c r="C2839" i="81"/>
  <c r="B2839" i="81"/>
  <c r="G2838" i="81"/>
  <c r="D2838" i="81"/>
  <c r="C2838" i="81"/>
  <c r="B2838" i="81"/>
  <c r="G2837" i="81"/>
  <c r="D2837" i="81"/>
  <c r="C2837" i="81"/>
  <c r="B2837" i="81"/>
  <c r="G2836" i="81"/>
  <c r="D2836" i="81"/>
  <c r="C2836" i="81"/>
  <c r="B2836" i="81"/>
  <c r="G2835" i="81"/>
  <c r="D2835" i="81"/>
  <c r="C2835" i="81"/>
  <c r="B2835" i="81"/>
  <c r="G2834" i="81"/>
  <c r="D2834" i="81"/>
  <c r="C2834" i="81"/>
  <c r="B2834" i="81"/>
  <c r="G2833" i="81"/>
  <c r="D2833" i="81"/>
  <c r="C2833" i="81"/>
  <c r="B2833" i="81"/>
  <c r="G2832" i="81"/>
  <c r="D2832" i="81"/>
  <c r="C2832" i="81"/>
  <c r="B2832" i="81"/>
  <c r="G2831" i="81"/>
  <c r="D2831" i="81"/>
  <c r="C2831" i="81"/>
  <c r="B2831" i="81"/>
  <c r="G2830" i="81"/>
  <c r="D2830" i="81"/>
  <c r="C2830" i="81"/>
  <c r="B2830" i="81"/>
  <c r="G2829" i="81"/>
  <c r="D2829" i="81"/>
  <c r="C2829" i="81"/>
  <c r="B2829" i="81"/>
  <c r="G2828" i="81"/>
  <c r="D2828" i="81"/>
  <c r="C2828" i="81"/>
  <c r="B2828" i="81"/>
  <c r="G2827" i="81"/>
  <c r="D2827" i="81"/>
  <c r="C2827" i="81"/>
  <c r="B2827" i="81"/>
  <c r="G2826" i="81"/>
  <c r="D2826" i="81"/>
  <c r="C2826" i="81"/>
  <c r="B2826" i="81"/>
  <c r="G2825" i="81"/>
  <c r="D2825" i="81"/>
  <c r="C2825" i="81"/>
  <c r="B2825" i="81"/>
  <c r="G2824" i="81"/>
  <c r="D2824" i="81"/>
  <c r="C2824" i="81"/>
  <c r="B2824" i="81"/>
  <c r="G2823" i="81"/>
  <c r="D2823" i="81"/>
  <c r="C2823" i="81"/>
  <c r="B2823" i="81"/>
  <c r="G2822" i="81"/>
  <c r="D2822" i="81"/>
  <c r="C2822" i="81"/>
  <c r="B2822" i="81"/>
  <c r="G2821" i="81"/>
  <c r="D2821" i="81"/>
  <c r="C2821" i="81"/>
  <c r="B2821" i="81"/>
  <c r="G2820" i="81"/>
  <c r="D2820" i="81"/>
  <c r="C2820" i="81"/>
  <c r="B2820" i="81"/>
  <c r="G2819" i="81"/>
  <c r="D2819" i="81"/>
  <c r="C2819" i="81"/>
  <c r="B2819" i="81"/>
  <c r="G2818" i="81"/>
  <c r="D2818" i="81"/>
  <c r="C2818" i="81"/>
  <c r="B2818" i="81"/>
  <c r="G2817" i="81"/>
  <c r="D2817" i="81"/>
  <c r="C2817" i="81"/>
  <c r="B2817" i="81"/>
  <c r="G2816" i="81"/>
  <c r="D2816" i="81"/>
  <c r="C2816" i="81"/>
  <c r="B2816" i="81"/>
  <c r="G2815" i="81"/>
  <c r="D2815" i="81"/>
  <c r="C2815" i="81"/>
  <c r="B2815" i="81"/>
  <c r="G2814" i="81"/>
  <c r="D2814" i="81"/>
  <c r="C2814" i="81"/>
  <c r="B2814" i="81"/>
  <c r="G2813" i="81"/>
  <c r="D2813" i="81"/>
  <c r="C2813" i="81"/>
  <c r="B2813" i="81"/>
  <c r="G2812" i="81"/>
  <c r="D2812" i="81"/>
  <c r="C2812" i="81"/>
  <c r="B2812" i="81"/>
  <c r="G2811" i="81"/>
  <c r="D2811" i="81"/>
  <c r="C2811" i="81"/>
  <c r="B2811" i="81"/>
  <c r="G2810" i="81"/>
  <c r="D2810" i="81"/>
  <c r="C2810" i="81"/>
  <c r="B2810" i="81"/>
  <c r="G2809" i="81"/>
  <c r="D2809" i="81"/>
  <c r="C2809" i="81"/>
  <c r="B2809" i="81"/>
  <c r="G2808" i="81"/>
  <c r="D2808" i="81"/>
  <c r="C2808" i="81"/>
  <c r="B2808" i="81"/>
  <c r="G2807" i="81"/>
  <c r="D2807" i="81"/>
  <c r="C2807" i="81"/>
  <c r="B2807" i="81"/>
  <c r="G2806" i="81"/>
  <c r="D2806" i="81"/>
  <c r="C2806" i="81"/>
  <c r="B2806" i="81"/>
  <c r="G2805" i="81"/>
  <c r="D2805" i="81"/>
  <c r="C2805" i="81"/>
  <c r="B2805" i="81"/>
  <c r="G2804" i="81"/>
  <c r="D2804" i="81"/>
  <c r="C2804" i="81"/>
  <c r="B2804" i="81"/>
  <c r="G2803" i="81"/>
  <c r="D2803" i="81"/>
  <c r="C2803" i="81"/>
  <c r="B2803" i="81"/>
  <c r="G2802" i="81"/>
  <c r="D2802" i="81"/>
  <c r="C2802" i="81"/>
  <c r="B2802" i="81"/>
  <c r="G2801" i="81"/>
  <c r="D2801" i="81"/>
  <c r="C2801" i="81"/>
  <c r="B2801" i="81"/>
  <c r="G2800" i="81"/>
  <c r="D2800" i="81"/>
  <c r="C2800" i="81"/>
  <c r="B2800" i="81"/>
  <c r="G2799" i="81"/>
  <c r="D2799" i="81"/>
  <c r="C2799" i="81"/>
  <c r="B2799" i="81"/>
  <c r="G2798" i="81"/>
  <c r="D2798" i="81"/>
  <c r="C2798" i="81"/>
  <c r="B2798" i="81"/>
  <c r="G2797" i="81"/>
  <c r="D2797" i="81"/>
  <c r="C2797" i="81"/>
  <c r="B2797" i="81"/>
  <c r="G2796" i="81"/>
  <c r="D2796" i="81"/>
  <c r="C2796" i="81"/>
  <c r="B2796" i="81"/>
  <c r="G2795" i="81"/>
  <c r="D2795" i="81"/>
  <c r="C2795" i="81"/>
  <c r="B2795" i="81"/>
  <c r="G2794" i="81"/>
  <c r="D2794" i="81"/>
  <c r="C2794" i="81"/>
  <c r="B2794" i="81"/>
  <c r="G2793" i="81"/>
  <c r="D2793" i="81"/>
  <c r="C2793" i="81"/>
  <c r="B2793" i="81"/>
  <c r="G2792" i="81"/>
  <c r="D2792" i="81"/>
  <c r="C2792" i="81"/>
  <c r="B2792" i="81"/>
  <c r="G2791" i="81"/>
  <c r="D2791" i="81"/>
  <c r="C2791" i="81"/>
  <c r="B2791" i="81"/>
  <c r="G2790" i="81"/>
  <c r="D2790" i="81"/>
  <c r="C2790" i="81"/>
  <c r="B2790" i="81"/>
  <c r="G2789" i="81"/>
  <c r="D2789" i="81"/>
  <c r="C2789" i="81"/>
  <c r="B2789" i="81"/>
  <c r="G2788" i="81"/>
  <c r="D2788" i="81"/>
  <c r="C2788" i="81"/>
  <c r="B2788" i="81"/>
  <c r="G2787" i="81"/>
  <c r="D2787" i="81"/>
  <c r="C2787" i="81"/>
  <c r="B2787" i="81"/>
  <c r="G2786" i="81"/>
  <c r="D2786" i="81"/>
  <c r="C2786" i="81"/>
  <c r="B2786" i="81"/>
  <c r="G2785" i="81"/>
  <c r="D2785" i="81"/>
  <c r="C2785" i="81"/>
  <c r="B2785" i="81"/>
  <c r="G2784" i="81"/>
  <c r="D2784" i="81"/>
  <c r="C2784" i="81"/>
  <c r="B2784" i="81"/>
  <c r="G2783" i="81"/>
  <c r="D2783" i="81"/>
  <c r="C2783" i="81"/>
  <c r="B2783" i="81"/>
  <c r="G2782" i="81"/>
  <c r="D2782" i="81"/>
  <c r="C2782" i="81"/>
  <c r="B2782" i="81"/>
  <c r="G2781" i="81"/>
  <c r="D2781" i="81"/>
  <c r="C2781" i="81"/>
  <c r="B2781" i="81"/>
  <c r="G2780" i="81"/>
  <c r="D2780" i="81"/>
  <c r="C2780" i="81"/>
  <c r="B2780" i="81"/>
  <c r="G2779" i="81"/>
  <c r="D2779" i="81"/>
  <c r="C2779" i="81"/>
  <c r="B2779" i="81"/>
  <c r="G2778" i="81"/>
  <c r="D2778" i="81"/>
  <c r="C2778" i="81"/>
  <c r="B2778" i="81"/>
  <c r="G2777" i="81"/>
  <c r="D2777" i="81"/>
  <c r="C2777" i="81"/>
  <c r="B2777" i="81"/>
  <c r="G2776" i="81"/>
  <c r="D2776" i="81"/>
  <c r="C2776" i="81"/>
  <c r="B2776" i="81"/>
  <c r="G2775" i="81"/>
  <c r="D2775" i="81"/>
  <c r="C2775" i="81"/>
  <c r="B2775" i="81"/>
  <c r="G2774" i="81"/>
  <c r="D2774" i="81"/>
  <c r="C2774" i="81"/>
  <c r="B2774" i="81"/>
  <c r="G2773" i="81"/>
  <c r="D2773" i="81"/>
  <c r="C2773" i="81"/>
  <c r="B2773" i="81"/>
  <c r="G2772" i="81"/>
  <c r="D2772" i="81"/>
  <c r="C2772" i="81"/>
  <c r="B2772" i="81"/>
  <c r="G2771" i="81"/>
  <c r="D2771" i="81"/>
  <c r="C2771" i="81"/>
  <c r="B2771" i="81"/>
  <c r="G2770" i="81"/>
  <c r="D2770" i="81"/>
  <c r="C2770" i="81"/>
  <c r="B2770" i="81"/>
  <c r="G2769" i="81"/>
  <c r="D2769" i="81"/>
  <c r="C2769" i="81"/>
  <c r="B2769" i="81"/>
  <c r="G2768" i="81"/>
  <c r="D2768" i="81"/>
  <c r="C2768" i="81"/>
  <c r="B2768" i="81"/>
  <c r="G2767" i="81"/>
  <c r="D2767" i="81"/>
  <c r="C2767" i="81"/>
  <c r="B2767" i="81"/>
  <c r="G2766" i="81"/>
  <c r="D2766" i="81"/>
  <c r="C2766" i="81"/>
  <c r="B2766" i="81"/>
  <c r="G2765" i="81"/>
  <c r="D2765" i="81"/>
  <c r="C2765" i="81"/>
  <c r="B2765" i="81"/>
  <c r="G2764" i="81"/>
  <c r="D2764" i="81"/>
  <c r="C2764" i="81"/>
  <c r="B2764" i="81"/>
  <c r="G2763" i="81"/>
  <c r="D2763" i="81"/>
  <c r="C2763" i="81"/>
  <c r="B2763" i="81"/>
  <c r="G2762" i="81"/>
  <c r="D2762" i="81"/>
  <c r="C2762" i="81"/>
  <c r="B2762" i="81"/>
  <c r="G2761" i="81"/>
  <c r="D2761" i="81"/>
  <c r="C2761" i="81"/>
  <c r="B2761" i="81"/>
  <c r="G2760" i="81"/>
  <c r="D2760" i="81"/>
  <c r="C2760" i="81"/>
  <c r="B2760" i="81"/>
  <c r="G2759" i="81"/>
  <c r="D2759" i="81"/>
  <c r="C2759" i="81"/>
  <c r="B2759" i="81"/>
  <c r="G2758" i="81"/>
  <c r="D2758" i="81"/>
  <c r="C2758" i="81"/>
  <c r="B2758" i="81"/>
  <c r="G2757" i="81"/>
  <c r="D2757" i="81"/>
  <c r="C2757" i="81"/>
  <c r="B2757" i="81"/>
  <c r="G2756" i="81"/>
  <c r="D2756" i="81"/>
  <c r="C2756" i="81"/>
  <c r="B2756" i="81"/>
  <c r="G2755" i="81"/>
  <c r="D2755" i="81"/>
  <c r="C2755" i="81"/>
  <c r="B2755" i="81"/>
  <c r="G2754" i="81"/>
  <c r="D2754" i="81"/>
  <c r="C2754" i="81"/>
  <c r="B2754" i="81"/>
  <c r="G2753" i="81"/>
  <c r="D2753" i="81"/>
  <c r="C2753" i="81"/>
  <c r="B2753" i="81"/>
  <c r="G2752" i="81"/>
  <c r="D2752" i="81"/>
  <c r="C2752" i="81"/>
  <c r="B2752" i="81"/>
  <c r="G2751" i="81"/>
  <c r="D2751" i="81"/>
  <c r="C2751" i="81"/>
  <c r="B2751" i="81"/>
  <c r="G2750" i="81"/>
  <c r="D2750" i="81"/>
  <c r="C2750" i="81"/>
  <c r="B2750" i="81"/>
  <c r="G2749" i="81"/>
  <c r="D2749" i="81"/>
  <c r="C2749" i="81"/>
  <c r="B2749" i="81"/>
  <c r="G2748" i="81"/>
  <c r="D2748" i="81"/>
  <c r="C2748" i="81"/>
  <c r="B2748" i="81"/>
  <c r="G2747" i="81"/>
  <c r="D2747" i="81"/>
  <c r="C2747" i="81"/>
  <c r="B2747" i="81"/>
  <c r="G2746" i="81"/>
  <c r="D2746" i="81"/>
  <c r="C2746" i="81"/>
  <c r="B2746" i="81"/>
  <c r="G2745" i="81"/>
  <c r="D2745" i="81"/>
  <c r="C2745" i="81"/>
  <c r="B2745" i="81"/>
  <c r="G2744" i="81"/>
  <c r="D2744" i="81"/>
  <c r="C2744" i="81"/>
  <c r="B2744" i="81"/>
  <c r="G2743" i="81"/>
  <c r="D2743" i="81"/>
  <c r="C2743" i="81"/>
  <c r="B2743" i="81"/>
  <c r="G2742" i="81"/>
  <c r="D2742" i="81"/>
  <c r="C2742" i="81"/>
  <c r="B2742" i="81"/>
  <c r="G2741" i="81"/>
  <c r="D2741" i="81"/>
  <c r="C2741" i="81"/>
  <c r="B2741" i="81"/>
  <c r="G2740" i="81"/>
  <c r="D2740" i="81"/>
  <c r="C2740" i="81"/>
  <c r="B2740" i="81"/>
  <c r="G2739" i="81"/>
  <c r="D2739" i="81"/>
  <c r="C2739" i="81"/>
  <c r="B2739" i="81"/>
  <c r="G2738" i="81"/>
  <c r="D2738" i="81"/>
  <c r="C2738" i="81"/>
  <c r="B2738" i="81"/>
  <c r="G2737" i="81"/>
  <c r="D2737" i="81"/>
  <c r="C2737" i="81"/>
  <c r="B2737" i="81"/>
  <c r="G2736" i="81"/>
  <c r="D2736" i="81"/>
  <c r="C2736" i="81"/>
  <c r="B2736" i="81"/>
  <c r="G2735" i="81"/>
  <c r="D2735" i="81"/>
  <c r="C2735" i="81"/>
  <c r="B2735" i="81"/>
  <c r="G2734" i="81"/>
  <c r="D2734" i="81"/>
  <c r="C2734" i="81"/>
  <c r="B2734" i="81"/>
  <c r="G2733" i="81"/>
  <c r="D2733" i="81"/>
  <c r="C2733" i="81"/>
  <c r="B2733" i="81"/>
  <c r="G2732" i="81"/>
  <c r="D2732" i="81"/>
  <c r="C2732" i="81"/>
  <c r="B2732" i="81"/>
  <c r="G2731" i="81"/>
  <c r="D2731" i="81"/>
  <c r="C2731" i="81"/>
  <c r="B2731" i="81"/>
  <c r="G2730" i="81"/>
  <c r="D2730" i="81"/>
  <c r="C2730" i="81"/>
  <c r="B2730" i="81"/>
  <c r="G2729" i="81"/>
  <c r="D2729" i="81"/>
  <c r="C2729" i="81"/>
  <c r="B2729" i="81"/>
  <c r="G2728" i="81"/>
  <c r="D2728" i="81"/>
  <c r="C2728" i="81"/>
  <c r="B2728" i="81"/>
  <c r="G2727" i="81"/>
  <c r="D2727" i="81"/>
  <c r="C2727" i="81"/>
  <c r="B2727" i="81"/>
  <c r="G2726" i="81"/>
  <c r="D2726" i="81"/>
  <c r="C2726" i="81"/>
  <c r="B2726" i="81"/>
  <c r="G2725" i="81"/>
  <c r="D2725" i="81"/>
  <c r="C2725" i="81"/>
  <c r="B2725" i="81"/>
  <c r="G2724" i="81"/>
  <c r="D2724" i="81"/>
  <c r="C2724" i="81"/>
  <c r="B2724" i="81"/>
  <c r="G2723" i="81"/>
  <c r="D2723" i="81"/>
  <c r="C2723" i="81"/>
  <c r="B2723" i="81"/>
  <c r="G2722" i="81"/>
  <c r="D2722" i="81"/>
  <c r="C2722" i="81"/>
  <c r="B2722" i="81"/>
  <c r="G2721" i="81"/>
  <c r="D2721" i="81"/>
  <c r="C2721" i="81"/>
  <c r="B2721" i="81"/>
  <c r="G2720" i="81"/>
  <c r="D2720" i="81"/>
  <c r="C2720" i="81"/>
  <c r="B2720" i="81"/>
  <c r="G2719" i="81"/>
  <c r="D2719" i="81"/>
  <c r="C2719" i="81"/>
  <c r="B2719" i="81"/>
  <c r="G2718" i="81"/>
  <c r="D2718" i="81"/>
  <c r="C2718" i="81"/>
  <c r="B2718" i="81"/>
  <c r="G2717" i="81"/>
  <c r="D2717" i="81"/>
  <c r="C2717" i="81"/>
  <c r="B2717" i="81"/>
  <c r="G2716" i="81"/>
  <c r="D2716" i="81"/>
  <c r="C2716" i="81"/>
  <c r="B2716" i="81"/>
  <c r="G2715" i="81"/>
  <c r="D2715" i="81"/>
  <c r="C2715" i="81"/>
  <c r="B2715" i="81"/>
  <c r="G2714" i="81"/>
  <c r="D2714" i="81"/>
  <c r="C2714" i="81"/>
  <c r="B2714" i="81"/>
  <c r="G2713" i="81"/>
  <c r="D2713" i="81"/>
  <c r="C2713" i="81"/>
  <c r="B2713" i="81"/>
  <c r="G2712" i="81"/>
  <c r="D2712" i="81"/>
  <c r="C2712" i="81"/>
  <c r="B2712" i="81"/>
  <c r="G2711" i="81"/>
  <c r="D2711" i="81"/>
  <c r="C2711" i="81"/>
  <c r="B2711" i="81"/>
  <c r="G2710" i="81"/>
  <c r="D2710" i="81"/>
  <c r="C2710" i="81"/>
  <c r="B2710" i="81"/>
  <c r="G2709" i="81"/>
  <c r="D2709" i="81"/>
  <c r="C2709" i="81"/>
  <c r="B2709" i="81"/>
  <c r="G2708" i="81"/>
  <c r="D2708" i="81"/>
  <c r="C2708" i="81"/>
  <c r="B2708" i="81"/>
  <c r="G2707" i="81"/>
  <c r="D2707" i="81"/>
  <c r="C2707" i="81"/>
  <c r="B2707" i="81"/>
  <c r="G2706" i="81"/>
  <c r="D2706" i="81"/>
  <c r="C2706" i="81"/>
  <c r="B2706" i="81"/>
  <c r="G2705" i="81"/>
  <c r="D2705" i="81"/>
  <c r="C2705" i="81"/>
  <c r="B2705" i="81"/>
  <c r="G2704" i="81"/>
  <c r="D2704" i="81"/>
  <c r="C2704" i="81"/>
  <c r="B2704" i="81"/>
  <c r="G2703" i="81"/>
  <c r="D2703" i="81"/>
  <c r="C2703" i="81"/>
  <c r="B2703" i="81"/>
  <c r="G2702" i="81"/>
  <c r="D2702" i="81"/>
  <c r="C2702" i="81"/>
  <c r="B2702" i="81"/>
  <c r="G2701" i="81"/>
  <c r="D2701" i="81"/>
  <c r="C2701" i="81"/>
  <c r="B2701" i="81"/>
  <c r="G2700" i="81"/>
  <c r="D2700" i="81"/>
  <c r="C2700" i="81"/>
  <c r="B2700" i="81"/>
  <c r="G2699" i="81"/>
  <c r="D2699" i="81"/>
  <c r="C2699" i="81"/>
  <c r="B2699" i="81"/>
  <c r="G2698" i="81"/>
  <c r="D2698" i="81"/>
  <c r="C2698" i="81"/>
  <c r="B2698" i="81"/>
  <c r="G2697" i="81"/>
  <c r="D2697" i="81"/>
  <c r="C2697" i="81"/>
  <c r="B2697" i="81"/>
  <c r="G2696" i="81"/>
  <c r="D2696" i="81"/>
  <c r="C2696" i="81"/>
  <c r="B2696" i="81"/>
  <c r="G2695" i="81"/>
  <c r="D2695" i="81"/>
  <c r="C2695" i="81"/>
  <c r="B2695" i="81"/>
  <c r="G2694" i="81"/>
  <c r="D2694" i="81"/>
  <c r="C2694" i="81"/>
  <c r="B2694" i="81"/>
  <c r="G2693" i="81"/>
  <c r="D2693" i="81"/>
  <c r="C2693" i="81"/>
  <c r="B2693" i="81"/>
  <c r="G2692" i="81"/>
  <c r="D2692" i="81"/>
  <c r="C2692" i="81"/>
  <c r="B2692" i="81"/>
  <c r="G2691" i="81"/>
  <c r="D2691" i="81"/>
  <c r="C2691" i="81"/>
  <c r="B2691" i="81"/>
  <c r="G2690" i="81"/>
  <c r="D2690" i="81"/>
  <c r="C2690" i="81"/>
  <c r="B2690" i="81"/>
  <c r="G2689" i="81"/>
  <c r="D2689" i="81"/>
  <c r="C2689" i="81"/>
  <c r="B2689" i="81"/>
  <c r="G2688" i="81"/>
  <c r="D2688" i="81"/>
  <c r="C2688" i="81"/>
  <c r="B2688" i="81"/>
  <c r="G2687" i="81"/>
  <c r="D2687" i="81"/>
  <c r="C2687" i="81"/>
  <c r="B2687" i="81"/>
  <c r="G2686" i="81"/>
  <c r="D2686" i="81"/>
  <c r="C2686" i="81"/>
  <c r="B2686" i="81"/>
  <c r="D2685" i="81"/>
  <c r="C2685" i="81"/>
  <c r="B2685" i="81"/>
  <c r="D2684" i="81"/>
  <c r="C2684" i="81"/>
  <c r="B2684" i="81"/>
  <c r="D2683" i="81"/>
  <c r="C2683" i="81"/>
  <c r="B2683" i="81"/>
  <c r="D2682" i="81"/>
  <c r="C2682" i="81"/>
  <c r="B2682" i="81"/>
  <c r="D2681" i="81"/>
  <c r="C2681" i="81"/>
  <c r="B2681" i="81"/>
  <c r="D2680" i="81"/>
  <c r="C2680" i="81"/>
  <c r="B2680" i="81"/>
  <c r="D2679" i="81"/>
  <c r="C2679" i="81"/>
  <c r="B2679" i="81"/>
  <c r="B2678" i="81"/>
  <c r="B2677" i="81"/>
  <c r="B2676" i="81"/>
  <c r="B2675" i="81"/>
  <c r="B2674" i="81"/>
  <c r="B2673" i="81"/>
  <c r="B2672" i="81"/>
  <c r="B2671" i="81"/>
  <c r="B2670" i="81"/>
  <c r="B2669" i="81"/>
  <c r="B2668" i="81"/>
  <c r="B2667" i="81"/>
  <c r="B2666" i="81"/>
  <c r="B2665" i="81"/>
  <c r="B2664" i="81"/>
  <c r="G2663" i="81"/>
  <c r="C2663" i="81"/>
  <c r="B2663" i="81"/>
  <c r="G2662" i="81"/>
  <c r="C2662" i="81"/>
  <c r="B2662" i="81"/>
  <c r="G2661" i="81"/>
  <c r="C2661" i="81"/>
  <c r="B2661" i="81"/>
  <c r="G2660" i="81"/>
  <c r="C2660" i="81"/>
  <c r="B2660" i="81"/>
  <c r="G2659" i="81"/>
  <c r="C2659" i="81"/>
  <c r="B2659" i="81"/>
  <c r="G2658" i="81"/>
  <c r="C2658" i="81"/>
  <c r="B2658" i="81"/>
  <c r="G2657" i="81"/>
  <c r="C2657" i="81"/>
  <c r="B2657" i="81"/>
  <c r="G2656" i="81"/>
  <c r="C2656" i="81"/>
  <c r="B2656" i="81"/>
  <c r="G2655" i="81"/>
  <c r="C2655" i="81"/>
  <c r="B2655" i="81"/>
  <c r="G2654" i="81"/>
  <c r="C2654" i="81"/>
  <c r="B2654" i="81"/>
  <c r="G2653" i="81"/>
  <c r="C2653" i="81"/>
  <c r="B2653" i="81"/>
  <c r="G2652" i="81"/>
  <c r="C2652" i="81"/>
  <c r="B2652" i="81"/>
  <c r="G2651" i="81"/>
  <c r="C2651" i="81"/>
  <c r="B2651" i="81"/>
  <c r="G2650" i="81"/>
  <c r="C2650" i="81"/>
  <c r="B2650" i="81"/>
  <c r="G2649" i="81"/>
  <c r="C2649" i="81"/>
  <c r="B2649" i="81"/>
  <c r="G2648" i="81"/>
  <c r="C2648" i="81"/>
  <c r="B2648" i="81"/>
  <c r="G2647" i="81"/>
  <c r="C2647" i="81"/>
  <c r="B2647" i="81"/>
  <c r="G2646" i="81"/>
  <c r="C2646" i="81"/>
  <c r="B2646" i="81"/>
  <c r="G2645" i="81"/>
  <c r="C2645" i="81"/>
  <c r="B2645" i="81"/>
  <c r="G2644" i="81"/>
  <c r="C2644" i="81"/>
  <c r="B2644" i="81"/>
  <c r="G2643" i="81"/>
  <c r="C2643" i="81"/>
  <c r="B2643" i="81"/>
  <c r="G2642" i="81"/>
  <c r="C2642" i="81"/>
  <c r="B2642" i="81"/>
  <c r="G2641" i="81"/>
  <c r="C2641" i="81"/>
  <c r="B2641" i="81"/>
  <c r="G2640" i="81"/>
  <c r="C2640" i="81"/>
  <c r="B2640" i="81"/>
  <c r="G2639" i="81"/>
  <c r="C2639" i="81"/>
  <c r="B2639" i="81"/>
  <c r="G2638" i="81"/>
  <c r="C2638" i="81"/>
  <c r="B2638" i="81"/>
  <c r="G2637" i="81"/>
  <c r="C2637" i="81"/>
  <c r="B2637" i="81"/>
  <c r="G2636" i="81"/>
  <c r="C2636" i="81"/>
  <c r="B2636" i="81"/>
  <c r="B2635" i="81"/>
  <c r="B2634" i="81"/>
  <c r="B2633" i="81"/>
  <c r="B2632" i="81"/>
  <c r="B2631" i="81"/>
  <c r="B2630" i="81"/>
  <c r="B2629" i="81"/>
  <c r="B2628" i="81"/>
  <c r="B2627" i="81"/>
  <c r="B2626" i="81"/>
  <c r="B2625" i="81"/>
  <c r="B2624" i="81"/>
  <c r="B2623" i="81"/>
  <c r="B2622" i="81"/>
  <c r="B2621" i="81"/>
  <c r="G2620" i="81"/>
  <c r="C2620" i="81"/>
  <c r="B2620" i="81"/>
  <c r="G2619" i="81"/>
  <c r="C2619" i="81"/>
  <c r="B2619" i="81"/>
  <c r="G2618" i="81"/>
  <c r="C2618" i="81"/>
  <c r="B2618" i="81"/>
  <c r="G2617" i="81"/>
  <c r="C2617" i="81"/>
  <c r="B2617" i="81"/>
  <c r="G2616" i="81"/>
  <c r="C2616" i="81"/>
  <c r="B2616" i="81"/>
  <c r="G2615" i="81"/>
  <c r="C2615" i="81"/>
  <c r="B2615" i="81"/>
  <c r="G2614" i="81"/>
  <c r="C2614" i="81"/>
  <c r="B2614" i="81"/>
  <c r="G2613" i="81"/>
  <c r="C2613" i="81"/>
  <c r="B2613" i="81"/>
  <c r="G2612" i="81"/>
  <c r="C2612" i="81"/>
  <c r="B2612" i="81"/>
  <c r="G2611" i="81"/>
  <c r="C2611" i="81"/>
  <c r="B2611" i="81"/>
  <c r="G2610" i="81"/>
  <c r="C2610" i="81"/>
  <c r="B2610" i="81"/>
  <c r="G2609" i="81"/>
  <c r="C2609" i="81"/>
  <c r="B2609" i="81"/>
  <c r="G2608" i="81"/>
  <c r="C2608" i="81"/>
  <c r="B2608" i="81"/>
  <c r="G2607" i="81"/>
  <c r="C2607" i="81"/>
  <c r="B2607" i="81"/>
  <c r="G2606" i="81"/>
  <c r="C2606" i="81"/>
  <c r="B2606" i="81"/>
  <c r="G2605" i="81"/>
  <c r="C2605" i="81"/>
  <c r="B2605" i="81"/>
  <c r="G2604" i="81"/>
  <c r="C2604" i="81"/>
  <c r="B2604" i="81"/>
  <c r="G2603" i="81"/>
  <c r="C2603" i="81"/>
  <c r="B2603" i="81"/>
  <c r="G2602" i="81"/>
  <c r="C2602" i="81"/>
  <c r="B2602" i="81"/>
  <c r="G2601" i="81"/>
  <c r="C2601" i="81"/>
  <c r="B2601" i="81"/>
  <c r="G2600" i="81"/>
  <c r="C2600" i="81"/>
  <c r="B2600" i="81"/>
  <c r="G2599" i="81"/>
  <c r="C2599" i="81"/>
  <c r="B2599" i="81"/>
  <c r="G2598" i="81"/>
  <c r="C2598" i="81"/>
  <c r="B2598" i="81"/>
  <c r="G2597" i="81"/>
  <c r="C2597" i="81"/>
  <c r="B2597" i="81"/>
  <c r="G2596" i="81"/>
  <c r="C2596" i="81"/>
  <c r="B2596" i="81"/>
  <c r="G2595" i="81"/>
  <c r="C2595" i="81"/>
  <c r="B2595" i="81"/>
  <c r="G2594" i="81"/>
  <c r="C2594" i="81"/>
  <c r="B2594" i="81"/>
  <c r="G2593" i="81"/>
  <c r="C2593" i="81"/>
  <c r="B2593" i="81"/>
  <c r="B2592" i="81"/>
  <c r="B2591" i="81"/>
  <c r="B2590" i="81"/>
  <c r="B2589" i="81"/>
  <c r="B2588" i="81"/>
  <c r="B2587" i="81"/>
  <c r="B2586" i="81"/>
  <c r="B2585" i="81"/>
  <c r="B2584" i="81"/>
  <c r="B2583" i="81"/>
  <c r="B2582" i="81"/>
  <c r="B2581" i="81"/>
  <c r="B2580" i="81"/>
  <c r="B2579" i="81"/>
  <c r="B2578" i="81"/>
  <c r="G2577" i="81"/>
  <c r="C2577" i="81"/>
  <c r="B2577" i="81"/>
  <c r="G2576" i="81"/>
  <c r="C2576" i="81"/>
  <c r="B2576" i="81"/>
  <c r="G2575" i="81"/>
  <c r="C2575" i="81"/>
  <c r="B2575" i="81"/>
  <c r="G2574" i="81"/>
  <c r="C2574" i="81"/>
  <c r="B2574" i="81"/>
  <c r="G2573" i="81"/>
  <c r="C2573" i="81"/>
  <c r="B2573" i="81"/>
  <c r="G2572" i="81"/>
  <c r="C2572" i="81"/>
  <c r="B2572" i="81"/>
  <c r="G2571" i="81"/>
  <c r="C2571" i="81"/>
  <c r="B2571" i="81"/>
  <c r="G2570" i="81"/>
  <c r="C2570" i="81"/>
  <c r="B2570" i="81"/>
  <c r="G2569" i="81"/>
  <c r="C2569" i="81"/>
  <c r="B2569" i="81"/>
  <c r="G2568" i="81"/>
  <c r="C2568" i="81"/>
  <c r="B2568" i="81"/>
  <c r="G2567" i="81"/>
  <c r="C2567" i="81"/>
  <c r="B2567" i="81"/>
  <c r="G2566" i="81"/>
  <c r="C2566" i="81"/>
  <c r="B2566" i="81"/>
  <c r="G2565" i="81"/>
  <c r="C2565" i="81"/>
  <c r="B2565" i="81"/>
  <c r="G2564" i="81"/>
  <c r="C2564" i="81"/>
  <c r="B2564" i="81"/>
  <c r="G2563" i="81"/>
  <c r="C2563" i="81"/>
  <c r="B2563" i="81"/>
  <c r="G2562" i="81"/>
  <c r="C2562" i="81"/>
  <c r="B2562" i="81"/>
  <c r="G2561" i="81"/>
  <c r="C2561" i="81"/>
  <c r="B2561" i="81"/>
  <c r="G2560" i="81"/>
  <c r="C2560" i="81"/>
  <c r="B2560" i="81"/>
  <c r="G2559" i="81"/>
  <c r="C2559" i="81"/>
  <c r="B2559" i="81"/>
  <c r="G2558" i="81"/>
  <c r="C2558" i="81"/>
  <c r="B2558" i="81"/>
  <c r="G2557" i="81"/>
  <c r="C2557" i="81"/>
  <c r="B2557" i="81"/>
  <c r="G2556" i="81"/>
  <c r="C2556" i="81"/>
  <c r="B2556" i="81"/>
  <c r="G2555" i="81"/>
  <c r="C2555" i="81"/>
  <c r="B2555" i="81"/>
  <c r="G2554" i="81"/>
  <c r="C2554" i="81"/>
  <c r="B2554" i="81"/>
  <c r="G2553" i="81"/>
  <c r="C2553" i="81"/>
  <c r="B2553" i="81"/>
  <c r="G2552" i="81"/>
  <c r="C2552" i="81"/>
  <c r="B2552" i="81"/>
  <c r="G2551" i="81"/>
  <c r="C2551" i="81"/>
  <c r="B2551" i="81"/>
  <c r="G2550" i="81"/>
  <c r="C2550" i="81"/>
  <c r="B2550" i="81"/>
  <c r="B2549" i="81"/>
  <c r="B2548" i="81"/>
  <c r="B2547" i="81"/>
  <c r="B2546" i="81"/>
  <c r="B2545" i="81"/>
  <c r="B2544" i="81"/>
  <c r="B2543" i="81"/>
  <c r="B2542" i="81"/>
  <c r="B2541" i="81"/>
  <c r="B2540" i="81"/>
  <c r="B2539" i="81"/>
  <c r="B2538" i="81"/>
  <c r="B2537" i="81"/>
  <c r="B2536" i="81"/>
  <c r="B2535" i="81"/>
  <c r="G2534" i="81"/>
  <c r="C2534" i="81"/>
  <c r="B2534" i="81"/>
  <c r="G2533" i="81"/>
  <c r="C2533" i="81"/>
  <c r="B2533" i="81"/>
  <c r="G2532" i="81"/>
  <c r="C2532" i="81"/>
  <c r="B2532" i="81"/>
  <c r="G2531" i="81"/>
  <c r="C2531" i="81"/>
  <c r="B2531" i="81"/>
  <c r="G2530" i="81"/>
  <c r="C2530" i="81"/>
  <c r="B2530" i="81"/>
  <c r="G2529" i="81"/>
  <c r="C2529" i="81"/>
  <c r="B2529" i="81"/>
  <c r="G2528" i="81"/>
  <c r="C2528" i="81"/>
  <c r="B2528" i="81"/>
  <c r="G2527" i="81"/>
  <c r="C2527" i="81"/>
  <c r="B2527" i="81"/>
  <c r="G2526" i="81"/>
  <c r="C2526" i="81"/>
  <c r="B2526" i="81"/>
  <c r="G2525" i="81"/>
  <c r="C2525" i="81"/>
  <c r="B2525" i="81"/>
  <c r="G2524" i="81"/>
  <c r="C2524" i="81"/>
  <c r="B2524" i="81"/>
  <c r="G2523" i="81"/>
  <c r="C2523" i="81"/>
  <c r="B2523" i="81"/>
  <c r="G2522" i="81"/>
  <c r="C2522" i="81"/>
  <c r="B2522" i="81"/>
  <c r="G2521" i="81"/>
  <c r="C2521" i="81"/>
  <c r="B2521" i="81"/>
  <c r="G2520" i="81"/>
  <c r="C2520" i="81"/>
  <c r="B2520" i="81"/>
  <c r="G2519" i="81"/>
  <c r="C2519" i="81"/>
  <c r="B2519" i="81"/>
  <c r="G2518" i="81"/>
  <c r="C2518" i="81"/>
  <c r="B2518" i="81"/>
  <c r="G2517" i="81"/>
  <c r="C2517" i="81"/>
  <c r="B2517" i="81"/>
  <c r="G2516" i="81"/>
  <c r="C2516" i="81"/>
  <c r="B2516" i="81"/>
  <c r="G2515" i="81"/>
  <c r="C2515" i="81"/>
  <c r="B2515" i="81"/>
  <c r="G2514" i="81"/>
  <c r="C2514" i="81"/>
  <c r="B2514" i="81"/>
  <c r="G2513" i="81"/>
  <c r="C2513" i="81"/>
  <c r="B2513" i="81"/>
  <c r="G2512" i="81"/>
  <c r="C2512" i="81"/>
  <c r="B2512" i="81"/>
  <c r="G2511" i="81"/>
  <c r="C2511" i="81"/>
  <c r="B2511" i="81"/>
  <c r="G2510" i="81"/>
  <c r="C2510" i="81"/>
  <c r="B2510" i="81"/>
  <c r="G2509" i="81"/>
  <c r="C2509" i="81"/>
  <c r="B2509" i="81"/>
  <c r="G2508" i="81"/>
  <c r="C2508" i="81"/>
  <c r="B2508" i="81"/>
  <c r="G2507" i="81"/>
  <c r="C2507" i="81"/>
  <c r="B2507" i="81"/>
  <c r="B2506" i="81"/>
  <c r="B2505" i="81"/>
  <c r="B2504" i="81"/>
  <c r="B2503" i="81"/>
  <c r="B2502" i="81"/>
  <c r="B2501" i="81"/>
  <c r="B2500" i="81"/>
  <c r="B2499" i="81"/>
  <c r="B2498" i="81"/>
  <c r="B2497" i="81"/>
  <c r="B2496" i="81"/>
  <c r="B2495" i="81"/>
  <c r="B2494" i="81"/>
  <c r="B2493" i="81"/>
  <c r="B2492" i="81"/>
  <c r="G2491" i="81"/>
  <c r="C2491" i="81"/>
  <c r="B2491" i="81"/>
  <c r="G2490" i="81"/>
  <c r="C2490" i="81"/>
  <c r="B2490" i="81"/>
  <c r="G2489" i="81"/>
  <c r="C2489" i="81"/>
  <c r="B2489" i="81"/>
  <c r="G2488" i="81"/>
  <c r="C2488" i="81"/>
  <c r="B2488" i="81"/>
  <c r="G2487" i="81"/>
  <c r="C2487" i="81"/>
  <c r="B2487" i="81"/>
  <c r="G2486" i="81"/>
  <c r="C2486" i="81"/>
  <c r="B2486" i="81"/>
  <c r="G2485" i="81"/>
  <c r="C2485" i="81"/>
  <c r="B2485" i="81"/>
  <c r="G2484" i="81"/>
  <c r="C2484" i="81"/>
  <c r="B2484" i="81"/>
  <c r="G2483" i="81"/>
  <c r="C2483" i="81"/>
  <c r="B2483" i="81"/>
  <c r="G2482" i="81"/>
  <c r="C2482" i="81"/>
  <c r="B2482" i="81"/>
  <c r="G2481" i="81"/>
  <c r="C2481" i="81"/>
  <c r="B2481" i="81"/>
  <c r="G2480" i="81"/>
  <c r="C2480" i="81"/>
  <c r="B2480" i="81"/>
  <c r="G2479" i="81"/>
  <c r="C2479" i="81"/>
  <c r="B2479" i="81"/>
  <c r="G2478" i="81"/>
  <c r="C2478" i="81"/>
  <c r="B2478" i="81"/>
  <c r="G2477" i="81"/>
  <c r="C2477" i="81"/>
  <c r="B2477" i="81"/>
  <c r="G2476" i="81"/>
  <c r="C2476" i="81"/>
  <c r="B2476" i="81"/>
  <c r="G2475" i="81"/>
  <c r="C2475" i="81"/>
  <c r="B2475" i="81"/>
  <c r="G2474" i="81"/>
  <c r="C2474" i="81"/>
  <c r="B2474" i="81"/>
  <c r="G2473" i="81"/>
  <c r="C2473" i="81"/>
  <c r="B2473" i="81"/>
  <c r="G2472" i="81"/>
  <c r="C2472" i="81"/>
  <c r="B2472" i="81"/>
  <c r="G2471" i="81"/>
  <c r="C2471" i="81"/>
  <c r="B2471" i="81"/>
  <c r="G2470" i="81"/>
  <c r="C2470" i="81"/>
  <c r="B2470" i="81"/>
  <c r="G2469" i="81"/>
  <c r="C2469" i="81"/>
  <c r="B2469" i="81"/>
  <c r="G2468" i="81"/>
  <c r="C2468" i="81"/>
  <c r="B2468" i="81"/>
  <c r="G2467" i="81"/>
  <c r="C2467" i="81"/>
  <c r="B2467" i="81"/>
  <c r="G2466" i="81"/>
  <c r="C2466" i="81"/>
  <c r="B2466" i="81"/>
  <c r="G2465" i="81"/>
  <c r="C2465" i="81"/>
  <c r="B2465" i="81"/>
  <c r="G2464" i="81"/>
  <c r="B2464" i="81"/>
  <c r="B2463" i="81"/>
  <c r="B2462" i="81"/>
  <c r="B2461" i="81"/>
  <c r="B2460" i="81"/>
  <c r="B2459" i="81"/>
  <c r="B2458" i="81"/>
  <c r="B2457" i="81"/>
  <c r="B2456" i="81"/>
  <c r="B2455" i="81"/>
  <c r="B2454" i="81"/>
  <c r="B2453" i="81"/>
  <c r="B2452" i="81"/>
  <c r="B2451" i="81"/>
  <c r="B2450" i="81"/>
  <c r="B2449" i="81"/>
  <c r="G2448" i="81"/>
  <c r="C2448" i="81"/>
  <c r="B2448" i="81"/>
  <c r="G2447" i="81"/>
  <c r="C2447" i="81"/>
  <c r="B2447" i="81"/>
  <c r="G2446" i="81"/>
  <c r="C2446" i="81"/>
  <c r="B2446" i="81"/>
  <c r="G2445" i="81"/>
  <c r="C2445" i="81"/>
  <c r="B2445" i="81"/>
  <c r="G2444" i="81"/>
  <c r="C2444" i="81"/>
  <c r="B2444" i="81"/>
  <c r="G2443" i="81"/>
  <c r="C2443" i="81"/>
  <c r="B2443" i="81"/>
  <c r="G2442" i="81"/>
  <c r="C2442" i="81"/>
  <c r="B2442" i="81"/>
  <c r="G2441" i="81"/>
  <c r="C2441" i="81"/>
  <c r="B2441" i="81"/>
  <c r="G2440" i="81"/>
  <c r="C2440" i="81"/>
  <c r="B2440" i="81"/>
  <c r="G2439" i="81"/>
  <c r="C2439" i="81"/>
  <c r="B2439" i="81"/>
  <c r="G2438" i="81"/>
  <c r="C2438" i="81"/>
  <c r="B2438" i="81"/>
  <c r="G2437" i="81"/>
  <c r="C2437" i="81"/>
  <c r="B2437" i="81"/>
  <c r="G2436" i="81"/>
  <c r="C2436" i="81"/>
  <c r="B2436" i="81"/>
  <c r="G2435" i="81"/>
  <c r="C2435" i="81"/>
  <c r="B2435" i="81"/>
  <c r="G2434" i="81"/>
  <c r="C2434" i="81"/>
  <c r="B2434" i="81"/>
  <c r="G2433" i="81"/>
  <c r="C2433" i="81"/>
  <c r="B2433" i="81"/>
  <c r="G2432" i="81"/>
  <c r="C2432" i="81"/>
  <c r="B2432" i="81"/>
  <c r="G2431" i="81"/>
  <c r="C2431" i="81"/>
  <c r="B2431" i="81"/>
  <c r="G2430" i="81"/>
  <c r="C2430" i="81"/>
  <c r="B2430" i="81"/>
  <c r="G2429" i="81"/>
  <c r="C2429" i="81"/>
  <c r="B2429" i="81"/>
  <c r="G2428" i="81"/>
  <c r="C2428" i="81"/>
  <c r="B2428" i="81"/>
  <c r="G2427" i="81"/>
  <c r="C2427" i="81"/>
  <c r="B2427" i="81"/>
  <c r="G2426" i="81"/>
  <c r="C2426" i="81"/>
  <c r="B2426" i="81"/>
  <c r="G2425" i="81"/>
  <c r="C2425" i="81"/>
  <c r="B2425" i="81"/>
  <c r="G2424" i="81"/>
  <c r="C2424" i="81"/>
  <c r="B2424" i="81"/>
  <c r="G2423" i="81"/>
  <c r="C2423" i="81"/>
  <c r="B2423" i="81"/>
  <c r="G2422" i="81"/>
  <c r="C2422" i="81"/>
  <c r="B2422" i="81"/>
  <c r="G2421" i="81"/>
  <c r="C2421" i="81"/>
  <c r="B2421" i="81"/>
  <c r="B2420" i="81"/>
  <c r="B2419" i="81"/>
  <c r="B2418" i="81"/>
  <c r="B2417" i="81"/>
  <c r="B2416" i="81"/>
  <c r="B2415" i="81"/>
  <c r="B2414" i="81"/>
  <c r="B2413" i="81"/>
  <c r="B2412" i="81"/>
  <c r="B2411" i="81"/>
  <c r="B2410" i="81"/>
  <c r="B2409" i="81"/>
  <c r="B2408" i="81"/>
  <c r="B2407" i="81"/>
  <c r="B2406" i="81"/>
  <c r="G2405" i="81"/>
  <c r="C2405" i="81"/>
  <c r="B2405" i="81"/>
  <c r="G2404" i="81"/>
  <c r="C2404" i="81"/>
  <c r="B2404" i="81"/>
  <c r="G2403" i="81"/>
  <c r="C2403" i="81"/>
  <c r="B2403" i="81"/>
  <c r="G2402" i="81"/>
  <c r="C2402" i="81"/>
  <c r="B2402" i="81"/>
  <c r="G2401" i="81"/>
  <c r="C2401" i="81"/>
  <c r="B2401" i="81"/>
  <c r="G2400" i="81"/>
  <c r="C2400" i="81"/>
  <c r="B2400" i="81"/>
  <c r="G2399" i="81"/>
  <c r="C2399" i="81"/>
  <c r="B2399" i="81"/>
  <c r="G2398" i="81"/>
  <c r="C2398" i="81"/>
  <c r="B2398" i="81"/>
  <c r="G2397" i="81"/>
  <c r="C2397" i="81"/>
  <c r="B2397" i="81"/>
  <c r="G2396" i="81"/>
  <c r="C2396" i="81"/>
  <c r="B2396" i="81"/>
  <c r="G2395" i="81"/>
  <c r="C2395" i="81"/>
  <c r="B2395" i="81"/>
  <c r="G2394" i="81"/>
  <c r="C2394" i="81"/>
  <c r="B2394" i="81"/>
  <c r="G2393" i="81"/>
  <c r="C2393" i="81"/>
  <c r="B2393" i="81"/>
  <c r="G2392" i="81"/>
  <c r="C2392" i="81"/>
  <c r="B2392" i="81"/>
  <c r="G2391" i="81"/>
  <c r="C2391" i="81"/>
  <c r="B2391" i="81"/>
  <c r="G2390" i="81"/>
  <c r="C2390" i="81"/>
  <c r="B2390" i="81"/>
  <c r="G2389" i="81"/>
  <c r="C2389" i="81"/>
  <c r="B2389" i="81"/>
  <c r="G2388" i="81"/>
  <c r="C2388" i="81"/>
  <c r="B2388" i="81"/>
  <c r="G2387" i="81"/>
  <c r="C2387" i="81"/>
  <c r="B2387" i="81"/>
  <c r="G2386" i="81"/>
  <c r="C2386" i="81"/>
  <c r="B2386" i="81"/>
  <c r="G2385" i="81"/>
  <c r="C2385" i="81"/>
  <c r="B2385" i="81"/>
  <c r="G2384" i="81"/>
  <c r="C2384" i="81"/>
  <c r="B2384" i="81"/>
  <c r="G2383" i="81"/>
  <c r="C2383" i="81"/>
  <c r="B2383" i="81"/>
  <c r="G2382" i="81"/>
  <c r="C2382" i="81"/>
  <c r="B2382" i="81"/>
  <c r="G2381" i="81"/>
  <c r="C2381" i="81"/>
  <c r="B2381" i="81"/>
  <c r="G2380" i="81"/>
  <c r="C2380" i="81"/>
  <c r="B2380" i="81"/>
  <c r="G2379" i="81"/>
  <c r="C2379" i="81"/>
  <c r="B2379" i="81"/>
  <c r="G2378" i="81"/>
  <c r="C2378" i="81"/>
  <c r="B2378" i="81"/>
  <c r="B2377" i="81"/>
  <c r="B2376" i="81"/>
  <c r="B2375" i="81"/>
  <c r="B2374" i="81"/>
  <c r="B2373" i="81"/>
  <c r="B2372" i="81"/>
  <c r="B2371" i="81"/>
  <c r="B2370" i="81"/>
  <c r="B2369" i="81"/>
  <c r="B2368" i="81"/>
  <c r="B2367" i="81"/>
  <c r="B2366" i="81"/>
  <c r="B2365" i="81"/>
  <c r="B2364" i="81"/>
  <c r="B2363" i="81"/>
  <c r="G2362" i="81"/>
  <c r="C2362" i="81"/>
  <c r="B2362" i="81"/>
  <c r="G2361" i="81"/>
  <c r="C2361" i="81"/>
  <c r="B2361" i="81"/>
  <c r="G2360" i="81"/>
  <c r="C2360" i="81"/>
  <c r="B2360" i="81"/>
  <c r="G2359" i="81"/>
  <c r="C2359" i="81"/>
  <c r="B2359" i="81"/>
  <c r="G2358" i="81"/>
  <c r="C2358" i="81"/>
  <c r="B2358" i="81"/>
  <c r="G2357" i="81"/>
  <c r="C2357" i="81"/>
  <c r="B2357" i="81"/>
  <c r="G2356" i="81"/>
  <c r="C2356" i="81"/>
  <c r="B2356" i="81"/>
  <c r="G2355" i="81"/>
  <c r="C2355" i="81"/>
  <c r="B2355" i="81"/>
  <c r="G2354" i="81"/>
  <c r="C2354" i="81"/>
  <c r="B2354" i="81"/>
  <c r="G2353" i="81"/>
  <c r="C2353" i="81"/>
  <c r="B2353" i="81"/>
  <c r="G2352" i="81"/>
  <c r="C2352" i="81"/>
  <c r="B2352" i="81"/>
  <c r="G2351" i="81"/>
  <c r="C2351" i="81"/>
  <c r="B2351" i="81"/>
  <c r="G2350" i="81"/>
  <c r="C2350" i="81"/>
  <c r="B2350" i="81"/>
  <c r="G2349" i="81"/>
  <c r="C2349" i="81"/>
  <c r="B2349" i="81"/>
  <c r="G2348" i="81"/>
  <c r="C2348" i="81"/>
  <c r="B2348" i="81"/>
  <c r="G2347" i="81"/>
  <c r="C2347" i="81"/>
  <c r="B2347" i="81"/>
  <c r="G2346" i="81"/>
  <c r="C2346" i="81"/>
  <c r="B2346" i="81"/>
  <c r="G2345" i="81"/>
  <c r="C2345" i="81"/>
  <c r="B2345" i="81"/>
  <c r="G2344" i="81"/>
  <c r="C2344" i="81"/>
  <c r="B2344" i="81"/>
  <c r="G2343" i="81"/>
  <c r="C2343" i="81"/>
  <c r="B2343" i="81"/>
  <c r="G2342" i="81"/>
  <c r="C2342" i="81"/>
  <c r="B2342" i="81"/>
  <c r="G2341" i="81"/>
  <c r="C2341" i="81"/>
  <c r="B2341" i="81"/>
  <c r="G2340" i="81"/>
  <c r="C2340" i="81"/>
  <c r="B2340" i="81"/>
  <c r="G2339" i="81"/>
  <c r="C2339" i="81"/>
  <c r="B2339" i="81"/>
  <c r="G2338" i="81"/>
  <c r="C2338" i="81"/>
  <c r="B2338" i="81"/>
  <c r="G2337" i="81"/>
  <c r="C2337" i="81"/>
  <c r="B2337" i="81"/>
  <c r="G2336" i="81"/>
  <c r="C2336" i="81"/>
  <c r="B2336" i="81"/>
  <c r="G2335" i="81"/>
  <c r="C2335" i="81"/>
  <c r="B2335" i="81"/>
  <c r="B2334" i="81"/>
  <c r="B2333" i="81"/>
  <c r="B2332" i="81"/>
  <c r="B2331" i="81"/>
  <c r="B2330" i="81"/>
  <c r="B2329" i="81"/>
  <c r="B2328" i="81"/>
  <c r="B2327" i="81"/>
  <c r="B2326" i="81"/>
  <c r="B2325" i="81"/>
  <c r="B2324" i="81"/>
  <c r="B2323" i="81"/>
  <c r="B2322" i="81"/>
  <c r="B2321" i="81"/>
  <c r="B2320" i="81"/>
  <c r="G2319" i="81"/>
  <c r="C2319" i="81"/>
  <c r="B2319" i="81"/>
  <c r="G2318" i="81"/>
  <c r="C2318" i="81"/>
  <c r="B2318" i="81"/>
  <c r="G2317" i="81"/>
  <c r="C2317" i="81"/>
  <c r="B2317" i="81"/>
  <c r="G2316" i="81"/>
  <c r="C2316" i="81"/>
  <c r="B2316" i="81"/>
  <c r="G2315" i="81"/>
  <c r="C2315" i="81"/>
  <c r="B2315" i="81"/>
  <c r="G2314" i="81"/>
  <c r="C2314" i="81"/>
  <c r="B2314" i="81"/>
  <c r="G2313" i="81"/>
  <c r="C2313" i="81"/>
  <c r="B2313" i="81"/>
  <c r="G2312" i="81"/>
  <c r="C2312" i="81"/>
  <c r="B2312" i="81"/>
  <c r="G2311" i="81"/>
  <c r="C2311" i="81"/>
  <c r="B2311" i="81"/>
  <c r="G2310" i="81"/>
  <c r="C2310" i="81"/>
  <c r="B2310" i="81"/>
  <c r="G2309" i="81"/>
  <c r="C2309" i="81"/>
  <c r="B2309" i="81"/>
  <c r="G2308" i="81"/>
  <c r="C2308" i="81"/>
  <c r="B2308" i="81"/>
  <c r="G2307" i="81"/>
  <c r="C2307" i="81"/>
  <c r="B2307" i="81"/>
  <c r="G2306" i="81"/>
  <c r="C2306" i="81"/>
  <c r="B2306" i="81"/>
  <c r="G2305" i="81"/>
  <c r="C2305" i="81"/>
  <c r="B2305" i="81"/>
  <c r="G2304" i="81"/>
  <c r="C2304" i="81"/>
  <c r="B2304" i="81"/>
  <c r="G2303" i="81"/>
  <c r="C2303" i="81"/>
  <c r="B2303" i="81"/>
  <c r="G2302" i="81"/>
  <c r="C2302" i="81"/>
  <c r="B2302" i="81"/>
  <c r="G2301" i="81"/>
  <c r="C2301" i="81"/>
  <c r="B2301" i="81"/>
  <c r="G2300" i="81"/>
  <c r="C2300" i="81"/>
  <c r="B2300" i="81"/>
  <c r="G2299" i="81"/>
  <c r="C2299" i="81"/>
  <c r="B2299" i="81"/>
  <c r="G2298" i="81"/>
  <c r="C2298" i="81"/>
  <c r="B2298" i="81"/>
  <c r="G2297" i="81"/>
  <c r="C2297" i="81"/>
  <c r="B2297" i="81"/>
  <c r="G2296" i="81"/>
  <c r="C2296" i="81"/>
  <c r="B2296" i="81"/>
  <c r="G2295" i="81"/>
  <c r="C2295" i="81"/>
  <c r="B2295" i="81"/>
  <c r="G2294" i="81"/>
  <c r="C2294" i="81"/>
  <c r="B2294" i="81"/>
  <c r="G2293" i="81"/>
  <c r="C2293" i="81"/>
  <c r="B2293" i="81"/>
  <c r="G2292" i="81"/>
  <c r="C2292" i="81"/>
  <c r="B2292" i="81"/>
  <c r="B2291" i="81"/>
  <c r="B2290" i="81"/>
  <c r="B2289" i="81"/>
  <c r="B2288" i="81"/>
  <c r="B2287" i="81"/>
  <c r="B2286" i="81"/>
  <c r="B2285" i="81"/>
  <c r="B2284" i="81"/>
  <c r="B2283" i="81"/>
  <c r="B2282" i="81"/>
  <c r="B2281" i="81"/>
  <c r="B2280" i="81"/>
  <c r="B2279" i="81"/>
  <c r="B2278" i="81"/>
  <c r="B2277" i="81"/>
  <c r="G2276" i="81"/>
  <c r="C2276" i="81"/>
  <c r="B2276" i="81"/>
  <c r="G2275" i="81"/>
  <c r="C2275" i="81"/>
  <c r="B2275" i="81"/>
  <c r="G2274" i="81"/>
  <c r="C2274" i="81"/>
  <c r="B2274" i="81"/>
  <c r="G2273" i="81"/>
  <c r="C2273" i="81"/>
  <c r="B2273" i="81"/>
  <c r="G2272" i="81"/>
  <c r="C2272" i="81"/>
  <c r="B2272" i="81"/>
  <c r="G2271" i="81"/>
  <c r="C2271" i="81"/>
  <c r="B2271" i="81"/>
  <c r="G2270" i="81"/>
  <c r="C2270" i="81"/>
  <c r="B2270" i="81"/>
  <c r="G2269" i="81"/>
  <c r="C2269" i="81"/>
  <c r="B2269" i="81"/>
  <c r="G2268" i="81"/>
  <c r="C2268" i="81"/>
  <c r="B2268" i="81"/>
  <c r="G2267" i="81"/>
  <c r="C2267" i="81"/>
  <c r="B2267" i="81"/>
  <c r="G2266" i="81"/>
  <c r="C2266" i="81"/>
  <c r="B2266" i="81"/>
  <c r="G2265" i="81"/>
  <c r="C2265" i="81"/>
  <c r="B2265" i="81"/>
  <c r="G2264" i="81"/>
  <c r="C2264" i="81"/>
  <c r="B2264" i="81"/>
  <c r="G2263" i="81"/>
  <c r="C2263" i="81"/>
  <c r="B2263" i="81"/>
  <c r="G2262" i="81"/>
  <c r="C2262" i="81"/>
  <c r="B2262" i="81"/>
  <c r="G2261" i="81"/>
  <c r="C2261" i="81"/>
  <c r="B2261" i="81"/>
  <c r="G2260" i="81"/>
  <c r="C2260" i="81"/>
  <c r="B2260" i="81"/>
  <c r="G2259" i="81"/>
  <c r="C2259" i="81"/>
  <c r="B2259" i="81"/>
  <c r="G2258" i="81"/>
  <c r="C2258" i="81"/>
  <c r="B2258" i="81"/>
  <c r="G2257" i="81"/>
  <c r="C2257" i="81"/>
  <c r="B2257" i="81"/>
  <c r="G2256" i="81"/>
  <c r="C2256" i="81"/>
  <c r="B2256" i="81"/>
  <c r="G2255" i="81"/>
  <c r="C2255" i="81"/>
  <c r="B2255" i="81"/>
  <c r="G2254" i="81"/>
  <c r="C2254" i="81"/>
  <c r="B2254" i="81"/>
  <c r="G2253" i="81"/>
  <c r="C2253" i="81"/>
  <c r="B2253" i="81"/>
  <c r="G2252" i="81"/>
  <c r="C2252" i="81"/>
  <c r="B2252" i="81"/>
  <c r="G2251" i="81"/>
  <c r="C2251" i="81"/>
  <c r="B2251" i="81"/>
  <c r="G2250" i="81"/>
  <c r="C2250" i="81"/>
  <c r="B2250" i="81"/>
  <c r="G2249" i="81"/>
  <c r="C2249" i="81"/>
  <c r="B2249" i="81"/>
  <c r="B2248" i="81"/>
  <c r="B2247" i="81"/>
  <c r="B2246" i="81"/>
  <c r="B2245" i="81"/>
  <c r="B2244" i="81"/>
  <c r="B2243" i="81"/>
  <c r="B2242" i="81"/>
  <c r="B2241" i="81"/>
  <c r="B2240" i="81"/>
  <c r="B2239" i="81"/>
  <c r="B2238" i="81"/>
  <c r="B2237" i="81"/>
  <c r="B2236" i="81"/>
  <c r="B2235" i="81"/>
  <c r="B2234" i="81"/>
  <c r="G2233" i="81"/>
  <c r="C2233" i="81"/>
  <c r="B2233" i="81"/>
  <c r="G2232" i="81"/>
  <c r="C2232" i="81"/>
  <c r="B2232" i="81"/>
  <c r="G2231" i="81"/>
  <c r="C2231" i="81"/>
  <c r="B2231" i="81"/>
  <c r="G2230" i="81"/>
  <c r="C2230" i="81"/>
  <c r="B2230" i="81"/>
  <c r="G2229" i="81"/>
  <c r="C2229" i="81"/>
  <c r="B2229" i="81"/>
  <c r="G2228" i="81"/>
  <c r="C2228" i="81"/>
  <c r="B2228" i="81"/>
  <c r="G2227" i="81"/>
  <c r="C2227" i="81"/>
  <c r="B2227" i="81"/>
  <c r="G2226" i="81"/>
  <c r="C2226" i="81"/>
  <c r="B2226" i="81"/>
  <c r="G2225" i="81"/>
  <c r="C2225" i="81"/>
  <c r="B2225" i="81"/>
  <c r="G2224" i="81"/>
  <c r="C2224" i="81"/>
  <c r="B2224" i="81"/>
  <c r="G2223" i="81"/>
  <c r="C2223" i="81"/>
  <c r="B2223" i="81"/>
  <c r="G2222" i="81"/>
  <c r="C2222" i="81"/>
  <c r="B2222" i="81"/>
  <c r="G2221" i="81"/>
  <c r="C2221" i="81"/>
  <c r="B2221" i="81"/>
  <c r="G2220" i="81"/>
  <c r="C2220" i="81"/>
  <c r="B2220" i="81"/>
  <c r="G2219" i="81"/>
  <c r="C2219" i="81"/>
  <c r="B2219" i="81"/>
  <c r="G2218" i="81"/>
  <c r="C2218" i="81"/>
  <c r="B2218" i="81"/>
  <c r="G2217" i="81"/>
  <c r="C2217" i="81"/>
  <c r="B2217" i="81"/>
  <c r="G2216" i="81"/>
  <c r="C2216" i="81"/>
  <c r="B2216" i="81"/>
  <c r="G2215" i="81"/>
  <c r="C2215" i="81"/>
  <c r="B2215" i="81"/>
  <c r="G2214" i="81"/>
  <c r="C2214" i="81"/>
  <c r="B2214" i="81"/>
  <c r="G2213" i="81"/>
  <c r="C2213" i="81"/>
  <c r="B2213" i="81"/>
  <c r="G2212" i="81"/>
  <c r="C2212" i="81"/>
  <c r="B2212" i="81"/>
  <c r="G2211" i="81"/>
  <c r="C2211" i="81"/>
  <c r="B2211" i="81"/>
  <c r="G2210" i="81"/>
  <c r="C2210" i="81"/>
  <c r="B2210" i="81"/>
  <c r="G2209" i="81"/>
  <c r="C2209" i="81"/>
  <c r="B2209" i="81"/>
  <c r="G2208" i="81"/>
  <c r="C2208" i="81"/>
  <c r="B2208" i="81"/>
  <c r="G2207" i="81"/>
  <c r="C2207" i="81"/>
  <c r="B2207" i="81"/>
  <c r="G2206" i="81"/>
  <c r="C2206" i="81"/>
  <c r="B2206" i="81"/>
  <c r="B2205" i="81"/>
  <c r="B2204" i="81"/>
  <c r="B2203" i="81"/>
  <c r="B2202" i="81"/>
  <c r="B2201" i="81"/>
  <c r="B2200" i="81"/>
  <c r="B2199" i="81"/>
  <c r="B2198" i="81"/>
  <c r="B2197" i="81"/>
  <c r="B2196" i="81"/>
  <c r="B2195" i="81"/>
  <c r="B2194" i="81"/>
  <c r="B2193" i="81"/>
  <c r="B2192" i="81"/>
  <c r="B2191" i="81"/>
  <c r="G2190" i="81"/>
  <c r="C2190" i="81"/>
  <c r="B2190" i="81"/>
  <c r="G2189" i="81"/>
  <c r="C2189" i="81"/>
  <c r="B2189" i="81"/>
  <c r="G2188" i="81"/>
  <c r="C2188" i="81"/>
  <c r="B2188" i="81"/>
  <c r="G2187" i="81"/>
  <c r="C2187" i="81"/>
  <c r="B2187" i="81"/>
  <c r="G2186" i="81"/>
  <c r="C2186" i="81"/>
  <c r="B2186" i="81"/>
  <c r="G2185" i="81"/>
  <c r="C2185" i="81"/>
  <c r="B2185" i="81"/>
  <c r="G2184" i="81"/>
  <c r="C2184" i="81"/>
  <c r="B2184" i="81"/>
  <c r="G2183" i="81"/>
  <c r="C2183" i="81"/>
  <c r="B2183" i="81"/>
  <c r="G2182" i="81"/>
  <c r="C2182" i="81"/>
  <c r="B2182" i="81"/>
  <c r="G2181" i="81"/>
  <c r="C2181" i="81"/>
  <c r="B2181" i="81"/>
  <c r="G2180" i="81"/>
  <c r="C2180" i="81"/>
  <c r="B2180" i="81"/>
  <c r="G2179" i="81"/>
  <c r="C2179" i="81"/>
  <c r="B2179" i="81"/>
  <c r="G2178" i="81"/>
  <c r="C2178" i="81"/>
  <c r="B2178" i="81"/>
  <c r="G2177" i="81"/>
  <c r="C2177" i="81"/>
  <c r="B2177" i="81"/>
  <c r="G2176" i="81"/>
  <c r="C2176" i="81"/>
  <c r="B2176" i="81"/>
  <c r="G2175" i="81"/>
  <c r="C2175" i="81"/>
  <c r="B2175" i="81"/>
  <c r="G2174" i="81"/>
  <c r="C2174" i="81"/>
  <c r="B2174" i="81"/>
  <c r="G2173" i="81"/>
  <c r="C2173" i="81"/>
  <c r="B2173" i="81"/>
  <c r="G2172" i="81"/>
  <c r="C2172" i="81"/>
  <c r="B2172" i="81"/>
  <c r="G2171" i="81"/>
  <c r="C2171" i="81"/>
  <c r="B2171" i="81"/>
  <c r="G2170" i="81"/>
  <c r="C2170" i="81"/>
  <c r="B2170" i="81"/>
  <c r="G2169" i="81"/>
  <c r="C2169" i="81"/>
  <c r="B2169" i="81"/>
  <c r="G2168" i="81"/>
  <c r="C2168" i="81"/>
  <c r="B2168" i="81"/>
  <c r="G2167" i="81"/>
  <c r="C2167" i="81"/>
  <c r="B2167" i="81"/>
  <c r="G2166" i="81"/>
  <c r="C2166" i="81"/>
  <c r="B2166" i="81"/>
  <c r="G2165" i="81"/>
  <c r="C2165" i="81"/>
  <c r="B2165" i="81"/>
  <c r="G2164" i="81"/>
  <c r="C2164" i="81"/>
  <c r="B2164" i="81"/>
  <c r="G2163" i="81"/>
  <c r="C2163" i="81"/>
  <c r="B2163" i="81"/>
  <c r="B2162" i="81"/>
  <c r="B2161" i="81"/>
  <c r="B2160" i="81"/>
  <c r="B2159" i="81"/>
  <c r="B2158" i="81"/>
  <c r="B2157" i="81"/>
  <c r="B2156" i="81"/>
  <c r="B2155" i="81"/>
  <c r="B2154" i="81"/>
  <c r="B2153" i="81"/>
  <c r="B2152" i="81"/>
  <c r="B2151" i="81"/>
  <c r="B2150" i="81"/>
  <c r="B2149" i="81"/>
  <c r="B2148" i="81"/>
  <c r="G2147" i="81"/>
  <c r="C2147" i="81"/>
  <c r="B2147" i="81"/>
  <c r="G2146" i="81"/>
  <c r="C2146" i="81"/>
  <c r="B2146" i="81"/>
  <c r="G2145" i="81"/>
  <c r="C2145" i="81"/>
  <c r="B2145" i="81"/>
  <c r="G2144" i="81"/>
  <c r="C2144" i="81"/>
  <c r="B2144" i="81"/>
  <c r="G2143" i="81"/>
  <c r="C2143" i="81"/>
  <c r="B2143" i="81"/>
  <c r="G2142" i="81"/>
  <c r="C2142" i="81"/>
  <c r="B2142" i="81"/>
  <c r="G2141" i="81"/>
  <c r="C2141" i="81"/>
  <c r="B2141" i="81"/>
  <c r="G2140" i="81"/>
  <c r="C2140" i="81"/>
  <c r="B2140" i="81"/>
  <c r="G2139" i="81"/>
  <c r="C2139" i="81"/>
  <c r="B2139" i="81"/>
  <c r="G2138" i="81"/>
  <c r="C2138" i="81"/>
  <c r="B2138" i="81"/>
  <c r="G2137" i="81"/>
  <c r="C2137" i="81"/>
  <c r="B2137" i="81"/>
  <c r="G2136" i="81"/>
  <c r="C2136" i="81"/>
  <c r="B2136" i="81"/>
  <c r="G2135" i="81"/>
  <c r="C2135" i="81"/>
  <c r="B2135" i="81"/>
  <c r="G2134" i="81"/>
  <c r="C2134" i="81"/>
  <c r="B2134" i="81"/>
  <c r="G2133" i="81"/>
  <c r="C2133" i="81"/>
  <c r="B2133" i="81"/>
  <c r="G2132" i="81"/>
  <c r="C2132" i="81"/>
  <c r="B2132" i="81"/>
  <c r="G2131" i="81"/>
  <c r="C2131" i="81"/>
  <c r="B2131" i="81"/>
  <c r="G2130" i="81"/>
  <c r="C2130" i="81"/>
  <c r="B2130" i="81"/>
  <c r="G2129" i="81"/>
  <c r="C2129" i="81"/>
  <c r="B2129" i="81"/>
  <c r="G2128" i="81"/>
  <c r="C2128" i="81"/>
  <c r="B2128" i="81"/>
  <c r="G2127" i="81"/>
  <c r="C2127" i="81"/>
  <c r="B2127" i="81"/>
  <c r="G2126" i="81"/>
  <c r="C2126" i="81"/>
  <c r="B2126" i="81"/>
  <c r="G2125" i="81"/>
  <c r="C2125" i="81"/>
  <c r="B2125" i="81"/>
  <c r="G2124" i="81"/>
  <c r="C2124" i="81"/>
  <c r="B2124" i="81"/>
  <c r="G2123" i="81"/>
  <c r="C2123" i="81"/>
  <c r="B2123" i="81"/>
  <c r="G2122" i="81"/>
  <c r="C2122" i="81"/>
  <c r="B2122" i="81"/>
  <c r="G2121" i="81"/>
  <c r="C2121" i="81"/>
  <c r="B2121" i="81"/>
  <c r="G2120" i="81"/>
  <c r="C2120" i="81"/>
  <c r="B2120" i="81"/>
  <c r="B2119" i="81"/>
  <c r="B2118" i="81"/>
  <c r="B2117" i="81"/>
  <c r="B2116" i="81"/>
  <c r="B2115" i="81"/>
  <c r="B2114" i="81"/>
  <c r="B2113" i="81"/>
  <c r="B2112" i="81"/>
  <c r="B2111" i="81"/>
  <c r="B2110" i="81"/>
  <c r="B2109" i="81"/>
  <c r="B2108" i="81"/>
  <c r="B2107" i="81"/>
  <c r="B2106" i="81"/>
  <c r="B2105" i="81"/>
  <c r="G2104" i="81"/>
  <c r="C2104" i="81"/>
  <c r="B2104" i="81"/>
  <c r="G2103" i="81"/>
  <c r="C2103" i="81"/>
  <c r="B2103" i="81"/>
  <c r="G2102" i="81"/>
  <c r="C2102" i="81"/>
  <c r="B2102" i="81"/>
  <c r="G2101" i="81"/>
  <c r="C2101" i="81"/>
  <c r="B2101" i="81"/>
  <c r="G2100" i="81"/>
  <c r="C2100" i="81"/>
  <c r="B2100" i="81"/>
  <c r="G2099" i="81"/>
  <c r="C2099" i="81"/>
  <c r="B2099" i="81"/>
  <c r="G2098" i="81"/>
  <c r="C2098" i="81"/>
  <c r="B2098" i="81"/>
  <c r="G2097" i="81"/>
  <c r="C2097" i="81"/>
  <c r="B2097" i="81"/>
  <c r="G2096" i="81"/>
  <c r="C2096" i="81"/>
  <c r="B2096" i="81"/>
  <c r="G2095" i="81"/>
  <c r="C2095" i="81"/>
  <c r="B2095" i="81"/>
  <c r="G2094" i="81"/>
  <c r="C2094" i="81"/>
  <c r="B2094" i="81"/>
  <c r="G2093" i="81"/>
  <c r="C2093" i="81"/>
  <c r="B2093" i="81"/>
  <c r="G2092" i="81"/>
  <c r="C2092" i="81"/>
  <c r="B2092" i="81"/>
  <c r="G2091" i="81"/>
  <c r="C2091" i="81"/>
  <c r="B2091" i="81"/>
  <c r="G2090" i="81"/>
  <c r="C2090" i="81"/>
  <c r="B2090" i="81"/>
  <c r="G2089" i="81"/>
  <c r="C2089" i="81"/>
  <c r="B2089" i="81"/>
  <c r="G2088" i="81"/>
  <c r="C2088" i="81"/>
  <c r="B2088" i="81"/>
  <c r="G2087" i="81"/>
  <c r="C2087" i="81"/>
  <c r="B2087" i="81"/>
  <c r="G2086" i="81"/>
  <c r="C2086" i="81"/>
  <c r="B2086" i="81"/>
  <c r="G2085" i="81"/>
  <c r="C2085" i="81"/>
  <c r="B2085" i="81"/>
  <c r="G2084" i="81"/>
  <c r="C2084" i="81"/>
  <c r="B2084" i="81"/>
  <c r="G2083" i="81"/>
  <c r="C2083" i="81"/>
  <c r="B2083" i="81"/>
  <c r="G2082" i="81"/>
  <c r="C2082" i="81"/>
  <c r="B2082" i="81"/>
  <c r="G2081" i="81"/>
  <c r="C2081" i="81"/>
  <c r="B2081" i="81"/>
  <c r="G2080" i="81"/>
  <c r="C2080" i="81"/>
  <c r="B2080" i="81"/>
  <c r="G2079" i="81"/>
  <c r="C2079" i="81"/>
  <c r="B2079" i="81"/>
  <c r="G2078" i="81"/>
  <c r="C2078" i="81"/>
  <c r="B2078" i="81"/>
  <c r="G2077" i="81"/>
  <c r="C2077" i="81"/>
  <c r="B2077" i="81"/>
  <c r="B2076" i="81"/>
  <c r="B2075" i="81"/>
  <c r="B2074" i="81"/>
  <c r="B2073" i="81"/>
  <c r="B2072" i="81"/>
  <c r="B2071" i="81"/>
  <c r="B2070" i="81"/>
  <c r="B2069" i="81"/>
  <c r="B2068" i="81"/>
  <c r="B2067" i="81"/>
  <c r="B2066" i="81"/>
  <c r="B2065" i="81"/>
  <c r="B2064" i="81"/>
  <c r="B2063" i="81"/>
  <c r="B2062" i="81"/>
  <c r="G2061" i="81"/>
  <c r="C2061" i="81"/>
  <c r="B2061" i="81"/>
  <c r="G2060" i="81"/>
  <c r="C2060" i="81"/>
  <c r="B2060" i="81"/>
  <c r="G2059" i="81"/>
  <c r="C2059" i="81"/>
  <c r="B2059" i="81"/>
  <c r="G2058" i="81"/>
  <c r="C2058" i="81"/>
  <c r="B2058" i="81"/>
  <c r="G2057" i="81"/>
  <c r="C2057" i="81"/>
  <c r="B2057" i="81"/>
  <c r="G2056" i="81"/>
  <c r="C2056" i="81"/>
  <c r="B2056" i="81"/>
  <c r="G2055" i="81"/>
  <c r="C2055" i="81"/>
  <c r="B2055" i="81"/>
  <c r="G2054" i="81"/>
  <c r="C2054" i="81"/>
  <c r="B2054" i="81"/>
  <c r="G2053" i="81"/>
  <c r="C2053" i="81"/>
  <c r="B2053" i="81"/>
  <c r="G2052" i="81"/>
  <c r="C2052" i="81"/>
  <c r="B2052" i="81"/>
  <c r="G2051" i="81"/>
  <c r="C2051" i="81"/>
  <c r="B2051" i="81"/>
  <c r="G2050" i="81"/>
  <c r="C2050" i="81"/>
  <c r="B2050" i="81"/>
  <c r="G2049" i="81"/>
  <c r="C2049" i="81"/>
  <c r="B2049" i="81"/>
  <c r="G2048" i="81"/>
  <c r="C2048" i="81"/>
  <c r="B2048" i="81"/>
  <c r="G2047" i="81"/>
  <c r="C2047" i="81"/>
  <c r="B2047" i="81"/>
  <c r="G2046" i="81"/>
  <c r="C2046" i="81"/>
  <c r="B2046" i="81"/>
  <c r="G2045" i="81"/>
  <c r="C2045" i="81"/>
  <c r="B2045" i="81"/>
  <c r="G2044" i="81"/>
  <c r="C2044" i="81"/>
  <c r="B2044" i="81"/>
  <c r="G2043" i="81"/>
  <c r="C2043" i="81"/>
  <c r="B2043" i="81"/>
  <c r="G2042" i="81"/>
  <c r="C2042" i="81"/>
  <c r="B2042" i="81"/>
  <c r="G2041" i="81"/>
  <c r="C2041" i="81"/>
  <c r="B2041" i="81"/>
  <c r="G2040" i="81"/>
  <c r="C2040" i="81"/>
  <c r="B2040" i="81"/>
  <c r="G2039" i="81"/>
  <c r="C2039" i="81"/>
  <c r="B2039" i="81"/>
  <c r="G2038" i="81"/>
  <c r="C2038" i="81"/>
  <c r="B2038" i="81"/>
  <c r="G2037" i="81"/>
  <c r="C2037" i="81"/>
  <c r="B2037" i="81"/>
  <c r="G2036" i="81"/>
  <c r="C2036" i="81"/>
  <c r="B2036" i="81"/>
  <c r="G2035" i="81"/>
  <c r="C2035" i="81"/>
  <c r="B2035" i="81"/>
  <c r="G2034" i="81"/>
  <c r="C2034" i="81"/>
  <c r="B2034" i="81"/>
  <c r="D2033" i="81"/>
  <c r="D2076" i="81" s="1"/>
  <c r="D2119" i="81" s="1"/>
  <c r="D2162" i="81" s="1"/>
  <c r="D2205" i="81" s="1"/>
  <c r="D2248" i="81" s="1"/>
  <c r="D2291" i="81" s="1"/>
  <c r="D2334" i="81" s="1"/>
  <c r="D2377" i="81" s="1"/>
  <c r="D2420" i="81" s="1"/>
  <c r="D2463" i="81" s="1"/>
  <c r="D2506" i="81" s="1"/>
  <c r="D2549" i="81" s="1"/>
  <c r="D2592" i="81" s="1"/>
  <c r="D2635" i="81" s="1"/>
  <c r="D2678" i="81" s="1"/>
  <c r="B2033" i="81"/>
  <c r="D2032" i="81"/>
  <c r="D2075" i="81" s="1"/>
  <c r="D2118" i="81" s="1"/>
  <c r="D2161" i="81" s="1"/>
  <c r="D2204" i="81" s="1"/>
  <c r="D2247" i="81" s="1"/>
  <c r="D2290" i="81" s="1"/>
  <c r="D2333" i="81" s="1"/>
  <c r="D2376" i="81" s="1"/>
  <c r="D2419" i="81" s="1"/>
  <c r="D2462" i="81" s="1"/>
  <c r="D2505" i="81" s="1"/>
  <c r="D2548" i="81" s="1"/>
  <c r="D2591" i="81" s="1"/>
  <c r="D2634" i="81" s="1"/>
  <c r="D2677" i="81" s="1"/>
  <c r="B2032" i="81"/>
  <c r="D2031" i="81"/>
  <c r="D2074" i="81" s="1"/>
  <c r="D2117" i="81" s="1"/>
  <c r="D2160" i="81" s="1"/>
  <c r="D2203" i="81" s="1"/>
  <c r="D2246" i="81" s="1"/>
  <c r="D2289" i="81" s="1"/>
  <c r="D2332" i="81" s="1"/>
  <c r="D2375" i="81" s="1"/>
  <c r="D2418" i="81" s="1"/>
  <c r="D2461" i="81" s="1"/>
  <c r="D2504" i="81" s="1"/>
  <c r="D2547" i="81" s="1"/>
  <c r="D2590" i="81" s="1"/>
  <c r="D2633" i="81" s="1"/>
  <c r="D2676" i="81" s="1"/>
  <c r="B2031" i="81"/>
  <c r="D2030" i="81"/>
  <c r="D2073" i="81" s="1"/>
  <c r="D2116" i="81" s="1"/>
  <c r="D2159" i="81" s="1"/>
  <c r="D2202" i="81" s="1"/>
  <c r="D2245" i="81" s="1"/>
  <c r="D2288" i="81" s="1"/>
  <c r="D2331" i="81" s="1"/>
  <c r="D2374" i="81" s="1"/>
  <c r="D2417" i="81" s="1"/>
  <c r="D2460" i="81" s="1"/>
  <c r="D2503" i="81" s="1"/>
  <c r="D2546" i="81" s="1"/>
  <c r="D2589" i="81" s="1"/>
  <c r="D2632" i="81" s="1"/>
  <c r="D2675" i="81" s="1"/>
  <c r="B2030" i="81"/>
  <c r="D2029" i="81"/>
  <c r="D2072" i="81" s="1"/>
  <c r="D2115" i="81" s="1"/>
  <c r="D2158" i="81" s="1"/>
  <c r="D2201" i="81" s="1"/>
  <c r="D2244" i="81" s="1"/>
  <c r="D2287" i="81" s="1"/>
  <c r="D2330" i="81" s="1"/>
  <c r="D2373" i="81" s="1"/>
  <c r="D2416" i="81" s="1"/>
  <c r="D2459" i="81" s="1"/>
  <c r="D2502" i="81" s="1"/>
  <c r="D2545" i="81" s="1"/>
  <c r="D2588" i="81" s="1"/>
  <c r="D2631" i="81" s="1"/>
  <c r="D2674" i="81" s="1"/>
  <c r="B2029" i="81"/>
  <c r="D2028" i="81"/>
  <c r="D2071" i="81" s="1"/>
  <c r="D2114" i="81" s="1"/>
  <c r="D2157" i="81" s="1"/>
  <c r="D2200" i="81" s="1"/>
  <c r="D2243" i="81" s="1"/>
  <c r="D2286" i="81" s="1"/>
  <c r="D2329" i="81" s="1"/>
  <c r="D2372" i="81" s="1"/>
  <c r="D2415" i="81" s="1"/>
  <c r="D2458" i="81" s="1"/>
  <c r="D2501" i="81" s="1"/>
  <c r="D2544" i="81" s="1"/>
  <c r="D2587" i="81" s="1"/>
  <c r="D2630" i="81" s="1"/>
  <c r="D2673" i="81" s="1"/>
  <c r="B2028" i="81"/>
  <c r="D2027" i="81"/>
  <c r="D2070" i="81" s="1"/>
  <c r="D2113" i="81" s="1"/>
  <c r="D2156" i="81" s="1"/>
  <c r="D2199" i="81" s="1"/>
  <c r="D2242" i="81" s="1"/>
  <c r="D2285" i="81" s="1"/>
  <c r="D2328" i="81" s="1"/>
  <c r="D2371" i="81" s="1"/>
  <c r="D2414" i="81" s="1"/>
  <c r="D2457" i="81" s="1"/>
  <c r="D2500" i="81" s="1"/>
  <c r="D2543" i="81" s="1"/>
  <c r="D2586" i="81" s="1"/>
  <c r="D2629" i="81" s="1"/>
  <c r="D2672" i="81" s="1"/>
  <c r="B2027" i="81"/>
  <c r="D2026" i="81"/>
  <c r="D2069" i="81" s="1"/>
  <c r="D2112" i="81" s="1"/>
  <c r="D2155" i="81" s="1"/>
  <c r="D2198" i="81" s="1"/>
  <c r="D2241" i="81" s="1"/>
  <c r="D2284" i="81" s="1"/>
  <c r="D2327" i="81" s="1"/>
  <c r="D2370" i="81" s="1"/>
  <c r="D2413" i="81" s="1"/>
  <c r="D2456" i="81" s="1"/>
  <c r="D2499" i="81" s="1"/>
  <c r="D2542" i="81" s="1"/>
  <c r="D2585" i="81" s="1"/>
  <c r="D2628" i="81" s="1"/>
  <c r="D2671" i="81" s="1"/>
  <c r="B2026" i="81"/>
  <c r="D2025" i="81"/>
  <c r="D2068" i="81" s="1"/>
  <c r="D2111" i="81" s="1"/>
  <c r="D2154" i="81" s="1"/>
  <c r="D2197" i="81" s="1"/>
  <c r="D2240" i="81" s="1"/>
  <c r="D2283" i="81" s="1"/>
  <c r="D2326" i="81" s="1"/>
  <c r="D2369" i="81" s="1"/>
  <c r="D2412" i="81" s="1"/>
  <c r="D2455" i="81" s="1"/>
  <c r="D2498" i="81" s="1"/>
  <c r="D2541" i="81" s="1"/>
  <c r="D2584" i="81" s="1"/>
  <c r="D2627" i="81" s="1"/>
  <c r="D2670" i="81" s="1"/>
  <c r="B2025" i="81"/>
  <c r="D2024" i="81"/>
  <c r="D2067" i="81" s="1"/>
  <c r="D2110" i="81" s="1"/>
  <c r="D2153" i="81" s="1"/>
  <c r="D2196" i="81" s="1"/>
  <c r="D2239" i="81" s="1"/>
  <c r="D2282" i="81" s="1"/>
  <c r="D2325" i="81" s="1"/>
  <c r="D2368" i="81" s="1"/>
  <c r="D2411" i="81" s="1"/>
  <c r="D2454" i="81" s="1"/>
  <c r="D2497" i="81" s="1"/>
  <c r="D2540" i="81" s="1"/>
  <c r="D2583" i="81" s="1"/>
  <c r="D2626" i="81" s="1"/>
  <c r="D2669" i="81" s="1"/>
  <c r="B2024" i="81"/>
  <c r="D2023" i="81"/>
  <c r="D2066" i="81" s="1"/>
  <c r="D2109" i="81" s="1"/>
  <c r="D2152" i="81" s="1"/>
  <c r="D2195" i="81" s="1"/>
  <c r="D2238" i="81" s="1"/>
  <c r="D2281" i="81" s="1"/>
  <c r="D2324" i="81" s="1"/>
  <c r="D2367" i="81" s="1"/>
  <c r="D2410" i="81" s="1"/>
  <c r="D2453" i="81" s="1"/>
  <c r="D2496" i="81" s="1"/>
  <c r="D2539" i="81" s="1"/>
  <c r="D2582" i="81" s="1"/>
  <c r="D2625" i="81" s="1"/>
  <c r="D2668" i="81" s="1"/>
  <c r="B2023" i="81"/>
  <c r="D2022" i="81"/>
  <c r="D2065" i="81" s="1"/>
  <c r="D2108" i="81" s="1"/>
  <c r="D2151" i="81" s="1"/>
  <c r="D2194" i="81" s="1"/>
  <c r="D2237" i="81" s="1"/>
  <c r="D2280" i="81" s="1"/>
  <c r="D2323" i="81" s="1"/>
  <c r="D2366" i="81" s="1"/>
  <c r="D2409" i="81" s="1"/>
  <c r="D2452" i="81" s="1"/>
  <c r="D2495" i="81" s="1"/>
  <c r="D2538" i="81" s="1"/>
  <c r="D2581" i="81" s="1"/>
  <c r="D2624" i="81" s="1"/>
  <c r="D2667" i="81" s="1"/>
  <c r="B2022" i="81"/>
  <c r="D2021" i="81"/>
  <c r="D2064" i="81" s="1"/>
  <c r="D2107" i="81" s="1"/>
  <c r="D2150" i="81" s="1"/>
  <c r="D2193" i="81" s="1"/>
  <c r="D2236" i="81" s="1"/>
  <c r="D2279" i="81" s="1"/>
  <c r="D2322" i="81" s="1"/>
  <c r="D2365" i="81" s="1"/>
  <c r="D2408" i="81" s="1"/>
  <c r="D2451" i="81" s="1"/>
  <c r="D2494" i="81" s="1"/>
  <c r="D2537" i="81" s="1"/>
  <c r="D2580" i="81" s="1"/>
  <c r="D2623" i="81" s="1"/>
  <c r="D2666" i="81" s="1"/>
  <c r="B2021" i="81"/>
  <c r="D2020" i="81"/>
  <c r="D2063" i="81" s="1"/>
  <c r="D2106" i="81" s="1"/>
  <c r="D2149" i="81" s="1"/>
  <c r="D2192" i="81" s="1"/>
  <c r="D2235" i="81" s="1"/>
  <c r="D2278" i="81" s="1"/>
  <c r="D2321" i="81" s="1"/>
  <c r="D2364" i="81" s="1"/>
  <c r="D2407" i="81" s="1"/>
  <c r="D2450" i="81" s="1"/>
  <c r="D2493" i="81" s="1"/>
  <c r="D2536" i="81" s="1"/>
  <c r="D2579" i="81" s="1"/>
  <c r="D2622" i="81" s="1"/>
  <c r="D2665" i="81" s="1"/>
  <c r="B2020" i="81"/>
  <c r="D2019" i="81"/>
  <c r="D2062" i="81" s="1"/>
  <c r="D2105" i="81" s="1"/>
  <c r="D2148" i="81" s="1"/>
  <c r="D2191" i="81" s="1"/>
  <c r="D2234" i="81" s="1"/>
  <c r="D2277" i="81" s="1"/>
  <c r="D2320" i="81" s="1"/>
  <c r="D2363" i="81" s="1"/>
  <c r="D2406" i="81" s="1"/>
  <c r="D2449" i="81" s="1"/>
  <c r="D2492" i="81" s="1"/>
  <c r="D2535" i="81" s="1"/>
  <c r="D2578" i="81" s="1"/>
  <c r="D2621" i="81" s="1"/>
  <c r="D2664" i="81" s="1"/>
  <c r="B2019" i="81"/>
  <c r="G2018" i="81"/>
  <c r="D2018" i="81"/>
  <c r="D2061" i="81" s="1"/>
  <c r="D2104" i="81" s="1"/>
  <c r="D2147" i="81" s="1"/>
  <c r="D2190" i="81" s="1"/>
  <c r="D2233" i="81" s="1"/>
  <c r="D2276" i="81" s="1"/>
  <c r="D2319" i="81" s="1"/>
  <c r="D2362" i="81" s="1"/>
  <c r="D2405" i="81" s="1"/>
  <c r="D2448" i="81" s="1"/>
  <c r="D2491" i="81" s="1"/>
  <c r="D2534" i="81" s="1"/>
  <c r="D2577" i="81" s="1"/>
  <c r="D2620" i="81" s="1"/>
  <c r="D2663" i="81" s="1"/>
  <c r="C2018" i="81"/>
  <c r="B2018" i="81"/>
  <c r="G2017" i="81"/>
  <c r="D2017" i="81"/>
  <c r="D2060" i="81" s="1"/>
  <c r="D2103" i="81" s="1"/>
  <c r="D2146" i="81" s="1"/>
  <c r="D2189" i="81" s="1"/>
  <c r="D2232" i="81" s="1"/>
  <c r="D2275" i="81" s="1"/>
  <c r="D2318" i="81" s="1"/>
  <c r="D2361" i="81" s="1"/>
  <c r="D2404" i="81" s="1"/>
  <c r="D2447" i="81" s="1"/>
  <c r="D2490" i="81" s="1"/>
  <c r="D2533" i="81" s="1"/>
  <c r="D2576" i="81" s="1"/>
  <c r="D2619" i="81" s="1"/>
  <c r="D2662" i="81" s="1"/>
  <c r="C2017" i="81"/>
  <c r="B2017" i="81"/>
  <c r="G2016" i="81"/>
  <c r="D2016" i="81"/>
  <c r="D2059" i="81" s="1"/>
  <c r="D2102" i="81" s="1"/>
  <c r="D2145" i="81" s="1"/>
  <c r="D2188" i="81" s="1"/>
  <c r="D2231" i="81" s="1"/>
  <c r="D2274" i="81" s="1"/>
  <c r="D2317" i="81" s="1"/>
  <c r="D2360" i="81" s="1"/>
  <c r="D2403" i="81" s="1"/>
  <c r="D2446" i="81" s="1"/>
  <c r="D2489" i="81" s="1"/>
  <c r="D2532" i="81" s="1"/>
  <c r="D2575" i="81" s="1"/>
  <c r="D2618" i="81" s="1"/>
  <c r="D2661" i="81" s="1"/>
  <c r="C2016" i="81"/>
  <c r="B2016" i="81"/>
  <c r="G2015" i="81"/>
  <c r="D2015" i="81"/>
  <c r="D2058" i="81" s="1"/>
  <c r="D2101" i="81" s="1"/>
  <c r="D2144" i="81" s="1"/>
  <c r="D2187" i="81" s="1"/>
  <c r="D2230" i="81" s="1"/>
  <c r="D2273" i="81" s="1"/>
  <c r="D2316" i="81" s="1"/>
  <c r="D2359" i="81" s="1"/>
  <c r="D2402" i="81" s="1"/>
  <c r="D2445" i="81" s="1"/>
  <c r="D2488" i="81" s="1"/>
  <c r="D2531" i="81" s="1"/>
  <c r="D2574" i="81" s="1"/>
  <c r="D2617" i="81" s="1"/>
  <c r="D2660" i="81" s="1"/>
  <c r="C2015" i="81"/>
  <c r="B2015" i="81"/>
  <c r="G2014" i="81"/>
  <c r="D2014" i="81"/>
  <c r="D2057" i="81" s="1"/>
  <c r="D2100" i="81" s="1"/>
  <c r="D2143" i="81" s="1"/>
  <c r="D2186" i="81" s="1"/>
  <c r="D2229" i="81" s="1"/>
  <c r="D2272" i="81" s="1"/>
  <c r="D2315" i="81" s="1"/>
  <c r="D2358" i="81" s="1"/>
  <c r="D2401" i="81" s="1"/>
  <c r="D2444" i="81" s="1"/>
  <c r="D2487" i="81" s="1"/>
  <c r="D2530" i="81" s="1"/>
  <c r="D2573" i="81" s="1"/>
  <c r="D2616" i="81" s="1"/>
  <c r="D2659" i="81" s="1"/>
  <c r="C2014" i="81"/>
  <c r="B2014" i="81"/>
  <c r="G2013" i="81"/>
  <c r="D2013" i="81"/>
  <c r="D2056" i="81" s="1"/>
  <c r="D2099" i="81" s="1"/>
  <c r="D2142" i="81" s="1"/>
  <c r="D2185" i="81" s="1"/>
  <c r="D2228" i="81" s="1"/>
  <c r="D2271" i="81" s="1"/>
  <c r="D2314" i="81" s="1"/>
  <c r="D2357" i="81" s="1"/>
  <c r="D2400" i="81" s="1"/>
  <c r="D2443" i="81" s="1"/>
  <c r="D2486" i="81" s="1"/>
  <c r="D2529" i="81" s="1"/>
  <c r="D2572" i="81" s="1"/>
  <c r="D2615" i="81" s="1"/>
  <c r="D2658" i="81" s="1"/>
  <c r="C2013" i="81"/>
  <c r="B2013" i="81"/>
  <c r="G2012" i="81"/>
  <c r="D2012" i="81"/>
  <c r="D2055" i="81" s="1"/>
  <c r="D2098" i="81" s="1"/>
  <c r="D2141" i="81" s="1"/>
  <c r="D2184" i="81" s="1"/>
  <c r="D2227" i="81" s="1"/>
  <c r="D2270" i="81" s="1"/>
  <c r="D2313" i="81" s="1"/>
  <c r="D2356" i="81" s="1"/>
  <c r="D2399" i="81" s="1"/>
  <c r="D2442" i="81" s="1"/>
  <c r="D2485" i="81" s="1"/>
  <c r="D2528" i="81" s="1"/>
  <c r="D2571" i="81" s="1"/>
  <c r="D2614" i="81" s="1"/>
  <c r="D2657" i="81" s="1"/>
  <c r="C2012" i="81"/>
  <c r="B2012" i="81"/>
  <c r="G2011" i="81"/>
  <c r="D2011" i="81"/>
  <c r="D2054" i="81" s="1"/>
  <c r="D2097" i="81" s="1"/>
  <c r="D2140" i="81" s="1"/>
  <c r="D2183" i="81" s="1"/>
  <c r="D2226" i="81" s="1"/>
  <c r="D2269" i="81" s="1"/>
  <c r="D2312" i="81" s="1"/>
  <c r="D2355" i="81" s="1"/>
  <c r="D2398" i="81" s="1"/>
  <c r="D2441" i="81" s="1"/>
  <c r="D2484" i="81" s="1"/>
  <c r="D2527" i="81" s="1"/>
  <c r="D2570" i="81" s="1"/>
  <c r="D2613" i="81" s="1"/>
  <c r="D2656" i="81" s="1"/>
  <c r="C2011" i="81"/>
  <c r="B2011" i="81"/>
  <c r="G2010" i="81"/>
  <c r="D2010" i="81"/>
  <c r="D2053" i="81" s="1"/>
  <c r="D2096" i="81" s="1"/>
  <c r="D2139" i="81" s="1"/>
  <c r="D2182" i="81" s="1"/>
  <c r="D2225" i="81" s="1"/>
  <c r="D2268" i="81" s="1"/>
  <c r="D2311" i="81" s="1"/>
  <c r="D2354" i="81" s="1"/>
  <c r="D2397" i="81" s="1"/>
  <c r="D2440" i="81" s="1"/>
  <c r="D2483" i="81" s="1"/>
  <c r="D2526" i="81" s="1"/>
  <c r="D2569" i="81" s="1"/>
  <c r="D2612" i="81" s="1"/>
  <c r="D2655" i="81" s="1"/>
  <c r="C2010" i="81"/>
  <c r="B2010" i="81"/>
  <c r="G2009" i="81"/>
  <c r="D2009" i="81"/>
  <c r="D2052" i="81" s="1"/>
  <c r="D2095" i="81" s="1"/>
  <c r="D2138" i="81" s="1"/>
  <c r="D2181" i="81" s="1"/>
  <c r="D2224" i="81" s="1"/>
  <c r="D2267" i="81" s="1"/>
  <c r="D2310" i="81" s="1"/>
  <c r="D2353" i="81" s="1"/>
  <c r="D2396" i="81" s="1"/>
  <c r="D2439" i="81" s="1"/>
  <c r="D2482" i="81" s="1"/>
  <c r="D2525" i="81" s="1"/>
  <c r="D2568" i="81" s="1"/>
  <c r="D2611" i="81" s="1"/>
  <c r="D2654" i="81" s="1"/>
  <c r="C2009" i="81"/>
  <c r="B2009" i="81"/>
  <c r="G2008" i="81"/>
  <c r="D2008" i="81"/>
  <c r="D2051" i="81" s="1"/>
  <c r="D2094" i="81" s="1"/>
  <c r="D2137" i="81" s="1"/>
  <c r="D2180" i="81" s="1"/>
  <c r="D2223" i="81" s="1"/>
  <c r="D2266" i="81" s="1"/>
  <c r="D2309" i="81" s="1"/>
  <c r="D2352" i="81" s="1"/>
  <c r="D2395" i="81" s="1"/>
  <c r="D2438" i="81" s="1"/>
  <c r="D2481" i="81" s="1"/>
  <c r="D2524" i="81" s="1"/>
  <c r="D2567" i="81" s="1"/>
  <c r="D2610" i="81" s="1"/>
  <c r="D2653" i="81" s="1"/>
  <c r="C2008" i="81"/>
  <c r="B2008" i="81"/>
  <c r="G2007" i="81"/>
  <c r="D2007" i="81"/>
  <c r="D2050" i="81" s="1"/>
  <c r="D2093" i="81" s="1"/>
  <c r="D2136" i="81" s="1"/>
  <c r="D2179" i="81" s="1"/>
  <c r="D2222" i="81" s="1"/>
  <c r="D2265" i="81" s="1"/>
  <c r="D2308" i="81" s="1"/>
  <c r="D2351" i="81" s="1"/>
  <c r="D2394" i="81" s="1"/>
  <c r="D2437" i="81" s="1"/>
  <c r="D2480" i="81" s="1"/>
  <c r="D2523" i="81" s="1"/>
  <c r="D2566" i="81" s="1"/>
  <c r="D2609" i="81" s="1"/>
  <c r="D2652" i="81" s="1"/>
  <c r="C2007" i="81"/>
  <c r="B2007" i="81"/>
  <c r="G2006" i="81"/>
  <c r="D2006" i="81"/>
  <c r="D2049" i="81" s="1"/>
  <c r="D2092" i="81" s="1"/>
  <c r="D2135" i="81" s="1"/>
  <c r="D2178" i="81" s="1"/>
  <c r="D2221" i="81" s="1"/>
  <c r="D2264" i="81" s="1"/>
  <c r="D2307" i="81" s="1"/>
  <c r="D2350" i="81" s="1"/>
  <c r="D2393" i="81" s="1"/>
  <c r="D2436" i="81" s="1"/>
  <c r="D2479" i="81" s="1"/>
  <c r="D2522" i="81" s="1"/>
  <c r="D2565" i="81" s="1"/>
  <c r="D2608" i="81" s="1"/>
  <c r="D2651" i="81" s="1"/>
  <c r="C2006" i="81"/>
  <c r="B2006" i="81"/>
  <c r="G2005" i="81"/>
  <c r="D2005" i="81"/>
  <c r="D2048" i="81" s="1"/>
  <c r="D2091" i="81" s="1"/>
  <c r="D2134" i="81" s="1"/>
  <c r="D2177" i="81" s="1"/>
  <c r="D2220" i="81" s="1"/>
  <c r="D2263" i="81" s="1"/>
  <c r="D2306" i="81" s="1"/>
  <c r="D2349" i="81" s="1"/>
  <c r="D2392" i="81" s="1"/>
  <c r="D2435" i="81" s="1"/>
  <c r="D2478" i="81" s="1"/>
  <c r="D2521" i="81" s="1"/>
  <c r="D2564" i="81" s="1"/>
  <c r="D2607" i="81" s="1"/>
  <c r="D2650" i="81" s="1"/>
  <c r="C2005" i="81"/>
  <c r="B2005" i="81"/>
  <c r="G2004" i="81"/>
  <c r="D2004" i="81"/>
  <c r="D2047" i="81" s="1"/>
  <c r="D2090" i="81" s="1"/>
  <c r="D2133" i="81" s="1"/>
  <c r="D2176" i="81" s="1"/>
  <c r="D2219" i="81" s="1"/>
  <c r="D2262" i="81" s="1"/>
  <c r="D2305" i="81" s="1"/>
  <c r="D2348" i="81" s="1"/>
  <c r="D2391" i="81" s="1"/>
  <c r="D2434" i="81" s="1"/>
  <c r="D2477" i="81" s="1"/>
  <c r="D2520" i="81" s="1"/>
  <c r="D2563" i="81" s="1"/>
  <c r="D2606" i="81" s="1"/>
  <c r="D2649" i="81" s="1"/>
  <c r="C2004" i="81"/>
  <c r="B2004" i="81"/>
  <c r="G2003" i="81"/>
  <c r="D2003" i="81"/>
  <c r="D2046" i="81" s="1"/>
  <c r="D2089" i="81" s="1"/>
  <c r="D2132" i="81" s="1"/>
  <c r="D2175" i="81" s="1"/>
  <c r="D2218" i="81" s="1"/>
  <c r="D2261" i="81" s="1"/>
  <c r="D2304" i="81" s="1"/>
  <c r="D2347" i="81" s="1"/>
  <c r="D2390" i="81" s="1"/>
  <c r="D2433" i="81" s="1"/>
  <c r="D2476" i="81" s="1"/>
  <c r="D2519" i="81" s="1"/>
  <c r="D2562" i="81" s="1"/>
  <c r="D2605" i="81" s="1"/>
  <c r="D2648" i="81" s="1"/>
  <c r="C2003" i="81"/>
  <c r="B2003" i="81"/>
  <c r="G2002" i="81"/>
  <c r="D2002" i="81"/>
  <c r="D2045" i="81" s="1"/>
  <c r="D2088" i="81" s="1"/>
  <c r="D2131" i="81" s="1"/>
  <c r="D2174" i="81" s="1"/>
  <c r="D2217" i="81" s="1"/>
  <c r="D2260" i="81" s="1"/>
  <c r="D2303" i="81" s="1"/>
  <c r="D2346" i="81" s="1"/>
  <c r="D2389" i="81" s="1"/>
  <c r="D2432" i="81" s="1"/>
  <c r="D2475" i="81" s="1"/>
  <c r="D2518" i="81" s="1"/>
  <c r="D2561" i="81" s="1"/>
  <c r="D2604" i="81" s="1"/>
  <c r="D2647" i="81" s="1"/>
  <c r="C2002" i="81"/>
  <c r="B2002" i="81"/>
  <c r="G2001" i="81"/>
  <c r="D2001" i="81"/>
  <c r="D2044" i="81" s="1"/>
  <c r="D2087" i="81" s="1"/>
  <c r="D2130" i="81" s="1"/>
  <c r="D2173" i="81" s="1"/>
  <c r="D2216" i="81" s="1"/>
  <c r="D2259" i="81" s="1"/>
  <c r="D2302" i="81" s="1"/>
  <c r="D2345" i="81" s="1"/>
  <c r="D2388" i="81" s="1"/>
  <c r="D2431" i="81" s="1"/>
  <c r="D2474" i="81" s="1"/>
  <c r="D2517" i="81" s="1"/>
  <c r="D2560" i="81" s="1"/>
  <c r="D2603" i="81" s="1"/>
  <c r="D2646" i="81" s="1"/>
  <c r="C2001" i="81"/>
  <c r="B2001" i="81"/>
  <c r="G2000" i="81"/>
  <c r="D2000" i="81"/>
  <c r="D2043" i="81" s="1"/>
  <c r="D2086" i="81" s="1"/>
  <c r="D2129" i="81" s="1"/>
  <c r="D2172" i="81" s="1"/>
  <c r="D2215" i="81" s="1"/>
  <c r="D2258" i="81" s="1"/>
  <c r="D2301" i="81" s="1"/>
  <c r="D2344" i="81" s="1"/>
  <c r="D2387" i="81" s="1"/>
  <c r="D2430" i="81" s="1"/>
  <c r="D2473" i="81" s="1"/>
  <c r="D2516" i="81" s="1"/>
  <c r="D2559" i="81" s="1"/>
  <c r="D2602" i="81" s="1"/>
  <c r="D2645" i="81" s="1"/>
  <c r="C2000" i="81"/>
  <c r="B2000" i="81"/>
  <c r="G1999" i="81"/>
  <c r="D1999" i="81"/>
  <c r="D2042" i="81" s="1"/>
  <c r="D2085" i="81" s="1"/>
  <c r="D2128" i="81" s="1"/>
  <c r="D2171" i="81" s="1"/>
  <c r="D2214" i="81" s="1"/>
  <c r="D2257" i="81" s="1"/>
  <c r="D2300" i="81" s="1"/>
  <c r="D2343" i="81" s="1"/>
  <c r="D2386" i="81" s="1"/>
  <c r="D2429" i="81" s="1"/>
  <c r="D2472" i="81" s="1"/>
  <c r="D2515" i="81" s="1"/>
  <c r="D2558" i="81" s="1"/>
  <c r="D2601" i="81" s="1"/>
  <c r="D2644" i="81" s="1"/>
  <c r="C1999" i="81"/>
  <c r="B1999" i="81"/>
  <c r="G1998" i="81"/>
  <c r="D1998" i="81"/>
  <c r="D2041" i="81" s="1"/>
  <c r="D2084" i="81" s="1"/>
  <c r="D2127" i="81" s="1"/>
  <c r="D2170" i="81" s="1"/>
  <c r="D2213" i="81" s="1"/>
  <c r="D2256" i="81" s="1"/>
  <c r="D2299" i="81" s="1"/>
  <c r="D2342" i="81" s="1"/>
  <c r="D2385" i="81" s="1"/>
  <c r="D2428" i="81" s="1"/>
  <c r="D2471" i="81" s="1"/>
  <c r="D2514" i="81" s="1"/>
  <c r="D2557" i="81" s="1"/>
  <c r="D2600" i="81" s="1"/>
  <c r="D2643" i="81" s="1"/>
  <c r="C1998" i="81"/>
  <c r="B1998" i="81"/>
  <c r="G1997" i="81"/>
  <c r="D1997" i="81"/>
  <c r="D2040" i="81" s="1"/>
  <c r="D2083" i="81" s="1"/>
  <c r="D2126" i="81" s="1"/>
  <c r="D2169" i="81" s="1"/>
  <c r="D2212" i="81" s="1"/>
  <c r="D2255" i="81" s="1"/>
  <c r="D2298" i="81" s="1"/>
  <c r="D2341" i="81" s="1"/>
  <c r="D2384" i="81" s="1"/>
  <c r="D2427" i="81" s="1"/>
  <c r="D2470" i="81" s="1"/>
  <c r="D2513" i="81" s="1"/>
  <c r="D2556" i="81" s="1"/>
  <c r="D2599" i="81" s="1"/>
  <c r="D2642" i="81" s="1"/>
  <c r="C1997" i="81"/>
  <c r="B1997" i="81"/>
  <c r="G1996" i="81"/>
  <c r="D1996" i="81"/>
  <c r="D2039" i="81" s="1"/>
  <c r="D2082" i="81" s="1"/>
  <c r="D2125" i="81" s="1"/>
  <c r="D2168" i="81" s="1"/>
  <c r="D2211" i="81" s="1"/>
  <c r="D2254" i="81" s="1"/>
  <c r="D2297" i="81" s="1"/>
  <c r="D2340" i="81" s="1"/>
  <c r="D2383" i="81" s="1"/>
  <c r="D2426" i="81" s="1"/>
  <c r="D2469" i="81" s="1"/>
  <c r="D2512" i="81" s="1"/>
  <c r="D2555" i="81" s="1"/>
  <c r="D2598" i="81" s="1"/>
  <c r="D2641" i="81" s="1"/>
  <c r="C1996" i="81"/>
  <c r="B1996" i="81"/>
  <c r="G1995" i="81"/>
  <c r="D1995" i="81"/>
  <c r="D2038" i="81" s="1"/>
  <c r="D2081" i="81" s="1"/>
  <c r="D2124" i="81" s="1"/>
  <c r="D2167" i="81" s="1"/>
  <c r="D2210" i="81" s="1"/>
  <c r="D2253" i="81" s="1"/>
  <c r="D2296" i="81" s="1"/>
  <c r="D2339" i="81" s="1"/>
  <c r="D2382" i="81" s="1"/>
  <c r="D2425" i="81" s="1"/>
  <c r="D2468" i="81" s="1"/>
  <c r="D2511" i="81" s="1"/>
  <c r="D2554" i="81" s="1"/>
  <c r="D2597" i="81" s="1"/>
  <c r="D2640" i="81" s="1"/>
  <c r="C1995" i="81"/>
  <c r="B1995" i="81"/>
  <c r="G1994" i="81"/>
  <c r="D1994" i="81"/>
  <c r="D2037" i="81" s="1"/>
  <c r="D2080" i="81" s="1"/>
  <c r="D2123" i="81" s="1"/>
  <c r="D2166" i="81" s="1"/>
  <c r="D2209" i="81" s="1"/>
  <c r="D2252" i="81" s="1"/>
  <c r="D2295" i="81" s="1"/>
  <c r="D2338" i="81" s="1"/>
  <c r="D2381" i="81" s="1"/>
  <c r="D2424" i="81" s="1"/>
  <c r="D2467" i="81" s="1"/>
  <c r="D2510" i="81" s="1"/>
  <c r="D2553" i="81" s="1"/>
  <c r="D2596" i="81" s="1"/>
  <c r="D2639" i="81" s="1"/>
  <c r="C1994" i="81"/>
  <c r="B1994" i="81"/>
  <c r="G1993" i="81"/>
  <c r="D1993" i="81"/>
  <c r="D2036" i="81" s="1"/>
  <c r="D2079" i="81" s="1"/>
  <c r="D2122" i="81" s="1"/>
  <c r="D2165" i="81" s="1"/>
  <c r="D2208" i="81" s="1"/>
  <c r="D2251" i="81" s="1"/>
  <c r="D2294" i="81" s="1"/>
  <c r="D2337" i="81" s="1"/>
  <c r="D2380" i="81" s="1"/>
  <c r="D2423" i="81" s="1"/>
  <c r="D2466" i="81" s="1"/>
  <c r="D2509" i="81" s="1"/>
  <c r="D2552" i="81" s="1"/>
  <c r="D2595" i="81" s="1"/>
  <c r="D2638" i="81" s="1"/>
  <c r="C1993" i="81"/>
  <c r="B1993" i="81"/>
  <c r="G1992" i="81"/>
  <c r="D1992" i="81"/>
  <c r="D2035" i="81" s="1"/>
  <c r="D2078" i="81" s="1"/>
  <c r="D2121" i="81" s="1"/>
  <c r="D2164" i="81" s="1"/>
  <c r="D2207" i="81" s="1"/>
  <c r="D2250" i="81" s="1"/>
  <c r="D2293" i="81" s="1"/>
  <c r="D2336" i="81" s="1"/>
  <c r="D2379" i="81" s="1"/>
  <c r="D2422" i="81" s="1"/>
  <c r="D2465" i="81" s="1"/>
  <c r="D2508" i="81" s="1"/>
  <c r="D2551" i="81" s="1"/>
  <c r="D2594" i="81" s="1"/>
  <c r="D2637" i="81" s="1"/>
  <c r="C1992" i="81"/>
  <c r="B1992" i="81"/>
  <c r="G1991" i="81"/>
  <c r="D1991" i="81"/>
  <c r="D2034" i="81" s="1"/>
  <c r="D2077" i="81" s="1"/>
  <c r="D2120" i="81" s="1"/>
  <c r="D2163" i="81" s="1"/>
  <c r="D2206" i="81" s="1"/>
  <c r="D2249" i="81" s="1"/>
  <c r="D2292" i="81" s="1"/>
  <c r="D2335" i="81" s="1"/>
  <c r="D2378" i="81" s="1"/>
  <c r="D2421" i="81" s="1"/>
  <c r="D2464" i="81" s="1"/>
  <c r="D2507" i="81" s="1"/>
  <c r="D2550" i="81" s="1"/>
  <c r="D2593" i="81" s="1"/>
  <c r="D2636" i="81" s="1"/>
  <c r="C1991" i="81"/>
  <c r="B1991" i="81"/>
  <c r="B1990" i="81"/>
  <c r="B1989" i="81"/>
  <c r="B1988" i="81"/>
  <c r="B1987" i="81"/>
  <c r="B1986" i="81"/>
  <c r="B1985" i="81"/>
  <c r="B1984" i="81"/>
  <c r="B1983" i="81"/>
  <c r="B1982" i="81"/>
  <c r="B1981" i="81"/>
  <c r="B1980" i="81"/>
  <c r="B1979" i="81"/>
  <c r="B1978" i="81"/>
  <c r="B1977" i="81"/>
  <c r="B1976" i="81"/>
  <c r="G1975" i="81"/>
  <c r="B1975" i="81"/>
  <c r="G1974" i="81"/>
  <c r="B1974" i="81"/>
  <c r="G1973" i="81"/>
  <c r="B1973" i="81"/>
  <c r="G1972" i="81"/>
  <c r="B1972" i="81"/>
  <c r="G1971" i="81"/>
  <c r="B1971" i="81"/>
  <c r="G1970" i="81"/>
  <c r="B1970" i="81"/>
  <c r="G1969" i="81"/>
  <c r="B1969" i="81"/>
  <c r="G1968" i="81"/>
  <c r="B1968" i="81"/>
  <c r="G1967" i="81"/>
  <c r="B1967" i="81"/>
  <c r="G1966" i="81"/>
  <c r="B1966" i="81"/>
  <c r="G1965" i="81"/>
  <c r="B1965" i="81"/>
  <c r="G1964" i="81"/>
  <c r="B1964" i="81"/>
  <c r="G1963" i="81"/>
  <c r="B1963" i="81"/>
  <c r="G1962" i="81"/>
  <c r="B1962" i="81"/>
  <c r="G1961" i="81"/>
  <c r="B1961" i="81"/>
  <c r="G1960" i="81"/>
  <c r="B1960" i="81"/>
  <c r="G1959" i="81"/>
  <c r="B1959" i="81"/>
  <c r="G1958" i="81"/>
  <c r="B1958" i="81"/>
  <c r="G1957" i="81"/>
  <c r="B1957" i="81"/>
  <c r="B1956" i="81"/>
  <c r="B1955" i="81"/>
  <c r="B1954" i="81"/>
  <c r="B1953" i="81"/>
  <c r="B1952" i="81"/>
  <c r="B1951" i="81"/>
  <c r="B1950" i="81"/>
  <c r="B1949" i="81"/>
  <c r="B1948" i="81"/>
  <c r="B1947" i="81"/>
  <c r="B1946" i="81"/>
  <c r="B1945" i="81"/>
  <c r="B1944" i="81"/>
  <c r="B1943" i="81"/>
  <c r="B1942" i="81"/>
  <c r="G1941" i="81"/>
  <c r="B1941" i="81"/>
  <c r="G1940" i="81"/>
  <c r="B1940" i="81"/>
  <c r="G1939" i="81"/>
  <c r="B1939" i="81"/>
  <c r="G1938" i="81"/>
  <c r="B1938" i="81"/>
  <c r="G1937" i="81"/>
  <c r="B1937" i="81"/>
  <c r="G1936" i="81"/>
  <c r="B1936" i="81"/>
  <c r="G1935" i="81"/>
  <c r="B1935" i="81"/>
  <c r="G1934" i="81"/>
  <c r="B1934" i="81"/>
  <c r="G1933" i="81"/>
  <c r="B1933" i="81"/>
  <c r="G1932" i="81"/>
  <c r="B1932" i="81"/>
  <c r="G1931" i="81"/>
  <c r="B1931" i="81"/>
  <c r="G1930" i="81"/>
  <c r="B1930" i="81"/>
  <c r="G1929" i="81"/>
  <c r="B1929" i="81"/>
  <c r="G1928" i="81"/>
  <c r="B1928" i="81"/>
  <c r="G1927" i="81"/>
  <c r="B1927" i="81"/>
  <c r="G1926" i="81"/>
  <c r="B1926" i="81"/>
  <c r="G1925" i="81"/>
  <c r="B1925" i="81"/>
  <c r="G1924" i="81"/>
  <c r="B1924" i="81"/>
  <c r="G1923" i="81"/>
  <c r="B1923" i="81"/>
  <c r="B1922" i="81"/>
  <c r="B1921" i="81"/>
  <c r="B1920" i="81"/>
  <c r="B1919" i="81"/>
  <c r="B1918" i="81"/>
  <c r="B1917" i="81"/>
  <c r="B1916" i="81"/>
  <c r="B1915" i="81"/>
  <c r="B1914" i="81"/>
  <c r="B1913" i="81"/>
  <c r="B1912" i="81"/>
  <c r="B1911" i="81"/>
  <c r="B1910" i="81"/>
  <c r="B1909" i="81"/>
  <c r="B1908" i="81"/>
  <c r="G1907" i="81"/>
  <c r="B1907" i="81"/>
  <c r="G1906" i="81"/>
  <c r="B1906" i="81"/>
  <c r="G1905" i="81"/>
  <c r="B1905" i="81"/>
  <c r="G1904" i="81"/>
  <c r="B1904" i="81"/>
  <c r="G1903" i="81"/>
  <c r="B1903" i="81"/>
  <c r="G1902" i="81"/>
  <c r="B1902" i="81"/>
  <c r="G1901" i="81"/>
  <c r="B1901" i="81"/>
  <c r="G1900" i="81"/>
  <c r="B1900" i="81"/>
  <c r="G1899" i="81"/>
  <c r="B1899" i="81"/>
  <c r="G1898" i="81"/>
  <c r="B1898" i="81"/>
  <c r="G1897" i="81"/>
  <c r="B1897" i="81"/>
  <c r="G1896" i="81"/>
  <c r="B1896" i="81"/>
  <c r="G1895" i="81"/>
  <c r="B1895" i="81"/>
  <c r="G1894" i="81"/>
  <c r="B1894" i="81"/>
  <c r="G1893" i="81"/>
  <c r="B1893" i="81"/>
  <c r="G1892" i="81"/>
  <c r="B1892" i="81"/>
  <c r="G1891" i="81"/>
  <c r="B1891" i="81"/>
  <c r="G1890" i="81"/>
  <c r="B1890" i="81"/>
  <c r="G1889" i="81"/>
  <c r="B1889" i="81"/>
  <c r="B1888" i="81"/>
  <c r="B1887" i="81"/>
  <c r="B1886" i="81"/>
  <c r="B1885" i="81"/>
  <c r="B1884" i="81"/>
  <c r="B1883" i="81"/>
  <c r="B1882" i="81"/>
  <c r="B1881" i="81"/>
  <c r="B1880" i="81"/>
  <c r="B1879" i="81"/>
  <c r="B1878" i="81"/>
  <c r="B1877" i="81"/>
  <c r="B1876" i="81"/>
  <c r="B1875" i="81"/>
  <c r="B1874" i="81"/>
  <c r="G1873" i="81"/>
  <c r="B1873" i="81"/>
  <c r="G1872" i="81"/>
  <c r="B1872" i="81"/>
  <c r="G1871" i="81"/>
  <c r="B1871" i="81"/>
  <c r="G1870" i="81"/>
  <c r="B1870" i="81"/>
  <c r="G1869" i="81"/>
  <c r="B1869" i="81"/>
  <c r="G1868" i="81"/>
  <c r="B1868" i="81"/>
  <c r="G1867" i="81"/>
  <c r="B1867" i="81"/>
  <c r="G1866" i="81"/>
  <c r="B1866" i="81"/>
  <c r="G1865" i="81"/>
  <c r="B1865" i="81"/>
  <c r="G1864" i="81"/>
  <c r="B1864" i="81"/>
  <c r="G1863" i="81"/>
  <c r="B1863" i="81"/>
  <c r="G1862" i="81"/>
  <c r="B1862" i="81"/>
  <c r="G1861" i="81"/>
  <c r="B1861" i="81"/>
  <c r="G1860" i="81"/>
  <c r="B1860" i="81"/>
  <c r="G1859" i="81"/>
  <c r="B1859" i="81"/>
  <c r="G1858" i="81"/>
  <c r="B1858" i="81"/>
  <c r="G1857" i="81"/>
  <c r="B1857" i="81"/>
  <c r="G1856" i="81"/>
  <c r="B1856" i="81"/>
  <c r="G1855" i="81"/>
  <c r="B1855" i="81"/>
  <c r="B1854" i="81"/>
  <c r="B1853" i="81"/>
  <c r="B1852" i="81"/>
  <c r="B1851" i="81"/>
  <c r="B1850" i="81"/>
  <c r="B1849" i="81"/>
  <c r="B1848" i="81"/>
  <c r="B1847" i="81"/>
  <c r="B1846" i="81"/>
  <c r="B1845" i="81"/>
  <c r="B1844" i="81"/>
  <c r="B1843" i="81"/>
  <c r="B1842" i="81"/>
  <c r="B1841" i="81"/>
  <c r="B1840" i="81"/>
  <c r="G1839" i="81"/>
  <c r="B1839" i="81"/>
  <c r="G1838" i="81"/>
  <c r="B1838" i="81"/>
  <c r="G1837" i="81"/>
  <c r="B1837" i="81"/>
  <c r="G1836" i="81"/>
  <c r="B1836" i="81"/>
  <c r="G1835" i="81"/>
  <c r="B1835" i="81"/>
  <c r="G1834" i="81"/>
  <c r="B1834" i="81"/>
  <c r="G1833" i="81"/>
  <c r="B1833" i="81"/>
  <c r="G1832" i="81"/>
  <c r="B1832" i="81"/>
  <c r="G1831" i="81"/>
  <c r="B1831" i="81"/>
  <c r="G1830" i="81"/>
  <c r="B1830" i="81"/>
  <c r="G1829" i="81"/>
  <c r="B1829" i="81"/>
  <c r="G1828" i="81"/>
  <c r="B1828" i="81"/>
  <c r="G1827" i="81"/>
  <c r="B1827" i="81"/>
  <c r="G1826" i="81"/>
  <c r="B1826" i="81"/>
  <c r="G1825" i="81"/>
  <c r="B1825" i="81"/>
  <c r="G1824" i="81"/>
  <c r="B1824" i="81"/>
  <c r="G1823" i="81"/>
  <c r="B1823" i="81"/>
  <c r="G1822" i="81"/>
  <c r="B1822" i="81"/>
  <c r="G1821" i="81"/>
  <c r="B1821" i="81"/>
  <c r="B1820" i="81"/>
  <c r="B1819" i="81"/>
  <c r="B1818" i="81"/>
  <c r="B1817" i="81"/>
  <c r="B1816" i="81"/>
  <c r="B1815" i="81"/>
  <c r="B1814" i="81"/>
  <c r="B1813" i="81"/>
  <c r="B1812" i="81"/>
  <c r="B1811" i="81"/>
  <c r="B1810" i="81"/>
  <c r="B1809" i="81"/>
  <c r="B1808" i="81"/>
  <c r="B1807" i="81"/>
  <c r="B1806" i="81"/>
  <c r="G1805" i="81"/>
  <c r="B1805" i="81"/>
  <c r="G1804" i="81"/>
  <c r="B1804" i="81"/>
  <c r="G1803" i="81"/>
  <c r="B1803" i="81"/>
  <c r="G1802" i="81"/>
  <c r="B1802" i="81"/>
  <c r="G1801" i="81"/>
  <c r="B1801" i="81"/>
  <c r="G1800" i="81"/>
  <c r="B1800" i="81"/>
  <c r="G1799" i="81"/>
  <c r="B1799" i="81"/>
  <c r="G1798" i="81"/>
  <c r="B1798" i="81"/>
  <c r="G1797" i="81"/>
  <c r="B1797" i="81"/>
  <c r="G1796" i="81"/>
  <c r="B1796" i="81"/>
  <c r="G1795" i="81"/>
  <c r="B1795" i="81"/>
  <c r="G1794" i="81"/>
  <c r="B1794" i="81"/>
  <c r="G1793" i="81"/>
  <c r="B1793" i="81"/>
  <c r="G1792" i="81"/>
  <c r="B1792" i="81"/>
  <c r="G1791" i="81"/>
  <c r="B1791" i="81"/>
  <c r="G1790" i="81"/>
  <c r="B1790" i="81"/>
  <c r="G1789" i="81"/>
  <c r="B1789" i="81"/>
  <c r="G1788" i="81"/>
  <c r="B1788" i="81"/>
  <c r="G1787" i="81"/>
  <c r="B1787" i="81"/>
  <c r="B1786" i="81"/>
  <c r="B1785" i="81"/>
  <c r="B1784" i="81"/>
  <c r="B1783" i="81"/>
  <c r="B1782" i="81"/>
  <c r="B1781" i="81"/>
  <c r="B1780" i="81"/>
  <c r="B1779" i="81"/>
  <c r="B1778" i="81"/>
  <c r="B1777" i="81"/>
  <c r="B1776" i="81"/>
  <c r="B1775" i="81"/>
  <c r="B1774" i="81"/>
  <c r="B1773" i="81"/>
  <c r="B1772" i="81"/>
  <c r="G1771" i="81"/>
  <c r="B1771" i="81"/>
  <c r="G1770" i="81"/>
  <c r="B1770" i="81"/>
  <c r="G1769" i="81"/>
  <c r="B1769" i="81"/>
  <c r="G1768" i="81"/>
  <c r="B1768" i="81"/>
  <c r="G1767" i="81"/>
  <c r="B1767" i="81"/>
  <c r="G1766" i="81"/>
  <c r="B1766" i="81"/>
  <c r="G1765" i="81"/>
  <c r="B1765" i="81"/>
  <c r="G1764" i="81"/>
  <c r="B1764" i="81"/>
  <c r="G1763" i="81"/>
  <c r="B1763" i="81"/>
  <c r="G1762" i="81"/>
  <c r="B1762" i="81"/>
  <c r="G1761" i="81"/>
  <c r="B1761" i="81"/>
  <c r="G1760" i="81"/>
  <c r="B1760" i="81"/>
  <c r="G1759" i="81"/>
  <c r="B1759" i="81"/>
  <c r="G1758" i="81"/>
  <c r="B1758" i="81"/>
  <c r="G1757" i="81"/>
  <c r="B1757" i="81"/>
  <c r="G1756" i="81"/>
  <c r="B1756" i="81"/>
  <c r="G1755" i="81"/>
  <c r="B1755" i="81"/>
  <c r="G1754" i="81"/>
  <c r="B1754" i="81"/>
  <c r="G1753" i="81"/>
  <c r="B1753" i="81"/>
  <c r="B1752" i="81"/>
  <c r="B1751" i="81"/>
  <c r="B1750" i="81"/>
  <c r="B1749" i="81"/>
  <c r="B1748" i="81"/>
  <c r="B1747" i="81"/>
  <c r="B1746" i="81"/>
  <c r="B1745" i="81"/>
  <c r="B1744" i="81"/>
  <c r="B1743" i="81"/>
  <c r="B1742" i="81"/>
  <c r="B1741" i="81"/>
  <c r="B1740" i="81"/>
  <c r="B1739" i="81"/>
  <c r="B1738" i="81"/>
  <c r="G1737" i="81"/>
  <c r="B1737" i="81"/>
  <c r="G1736" i="81"/>
  <c r="B1736" i="81"/>
  <c r="G1735" i="81"/>
  <c r="B1735" i="81"/>
  <c r="G1734" i="81"/>
  <c r="B1734" i="81"/>
  <c r="G1733" i="81"/>
  <c r="B1733" i="81"/>
  <c r="G1732" i="81"/>
  <c r="B1732" i="81"/>
  <c r="G1731" i="81"/>
  <c r="B1731" i="81"/>
  <c r="G1730" i="81"/>
  <c r="B1730" i="81"/>
  <c r="G1729" i="81"/>
  <c r="B1729" i="81"/>
  <c r="G1728" i="81"/>
  <c r="B1728" i="81"/>
  <c r="G1727" i="81"/>
  <c r="B1727" i="81"/>
  <c r="G1726" i="81"/>
  <c r="B1726" i="81"/>
  <c r="G1725" i="81"/>
  <c r="B1725" i="81"/>
  <c r="G1724" i="81"/>
  <c r="B1724" i="81"/>
  <c r="G1723" i="81"/>
  <c r="B1723" i="81"/>
  <c r="G1722" i="81"/>
  <c r="B1722" i="81"/>
  <c r="G1721" i="81"/>
  <c r="B1721" i="81"/>
  <c r="G1720" i="81"/>
  <c r="B1720" i="81"/>
  <c r="G1719" i="81"/>
  <c r="B1719" i="81"/>
  <c r="B1718" i="81"/>
  <c r="B1717" i="81"/>
  <c r="B1716" i="81"/>
  <c r="B1715" i="81"/>
  <c r="B1714" i="81"/>
  <c r="B1713" i="81"/>
  <c r="B1712" i="81"/>
  <c r="B1711" i="81"/>
  <c r="B1710" i="81"/>
  <c r="B1709" i="81"/>
  <c r="B1708" i="81"/>
  <c r="B1707" i="81"/>
  <c r="B1706" i="81"/>
  <c r="B1705" i="81"/>
  <c r="B1704" i="81"/>
  <c r="G1703" i="81"/>
  <c r="B1703" i="81"/>
  <c r="G1702" i="81"/>
  <c r="B1702" i="81"/>
  <c r="G1701" i="81"/>
  <c r="B1701" i="81"/>
  <c r="G1700" i="81"/>
  <c r="B1700" i="81"/>
  <c r="G1699" i="81"/>
  <c r="B1699" i="81"/>
  <c r="G1698" i="81"/>
  <c r="B1698" i="81"/>
  <c r="G1697" i="81"/>
  <c r="B1697" i="81"/>
  <c r="G1696" i="81"/>
  <c r="B1696" i="81"/>
  <c r="G1695" i="81"/>
  <c r="B1695" i="81"/>
  <c r="G1694" i="81"/>
  <c r="B1694" i="81"/>
  <c r="G1693" i="81"/>
  <c r="B1693" i="81"/>
  <c r="G1692" i="81"/>
  <c r="B1692" i="81"/>
  <c r="G1691" i="81"/>
  <c r="B1691" i="81"/>
  <c r="G1690" i="81"/>
  <c r="B1690" i="81"/>
  <c r="G1689" i="81"/>
  <c r="B1689" i="81"/>
  <c r="G1688" i="81"/>
  <c r="B1688" i="81"/>
  <c r="G1687" i="81"/>
  <c r="B1687" i="81"/>
  <c r="G1686" i="81"/>
  <c r="B1686" i="81"/>
  <c r="G1685" i="81"/>
  <c r="B1685" i="81"/>
  <c r="B1684" i="81"/>
  <c r="B1683" i="81"/>
  <c r="B1682" i="81"/>
  <c r="B1681" i="81"/>
  <c r="B1680" i="81"/>
  <c r="B1679" i="81"/>
  <c r="B1678" i="81"/>
  <c r="B1677" i="81"/>
  <c r="B1676" i="81"/>
  <c r="B1675" i="81"/>
  <c r="B1674" i="81"/>
  <c r="B1673" i="81"/>
  <c r="B1672" i="81"/>
  <c r="B1671" i="81"/>
  <c r="B1670" i="81"/>
  <c r="G1669" i="81"/>
  <c r="B1669" i="81"/>
  <c r="G1668" i="81"/>
  <c r="B1668" i="81"/>
  <c r="G1667" i="81"/>
  <c r="B1667" i="81"/>
  <c r="G1666" i="81"/>
  <c r="B1666" i="81"/>
  <c r="G1665" i="81"/>
  <c r="B1665" i="81"/>
  <c r="G1664" i="81"/>
  <c r="B1664" i="81"/>
  <c r="G1663" i="81"/>
  <c r="B1663" i="81"/>
  <c r="G1662" i="81"/>
  <c r="B1662" i="81"/>
  <c r="G1661" i="81"/>
  <c r="B1661" i="81"/>
  <c r="G1660" i="81"/>
  <c r="B1660" i="81"/>
  <c r="G1659" i="81"/>
  <c r="B1659" i="81"/>
  <c r="G1658" i="81"/>
  <c r="B1658" i="81"/>
  <c r="G1657" i="81"/>
  <c r="B1657" i="81"/>
  <c r="G1656" i="81"/>
  <c r="B1656" i="81"/>
  <c r="G1655" i="81"/>
  <c r="B1655" i="81"/>
  <c r="G1654" i="81"/>
  <c r="B1654" i="81"/>
  <c r="G1653" i="81"/>
  <c r="B1653" i="81"/>
  <c r="G1652" i="81"/>
  <c r="B1652" i="81"/>
  <c r="G1651" i="81"/>
  <c r="B1651" i="81"/>
  <c r="B1650" i="81"/>
  <c r="B1649" i="81"/>
  <c r="B1648" i="81"/>
  <c r="B1647" i="81"/>
  <c r="B1646" i="81"/>
  <c r="B1645" i="81"/>
  <c r="B1644" i="81"/>
  <c r="B1643" i="81"/>
  <c r="B1642" i="81"/>
  <c r="B1641" i="81"/>
  <c r="B1640" i="81"/>
  <c r="B1639" i="81"/>
  <c r="B1638" i="81"/>
  <c r="B1637" i="81"/>
  <c r="B1636" i="81"/>
  <c r="G1635" i="81"/>
  <c r="B1635" i="81"/>
  <c r="G1634" i="81"/>
  <c r="B1634" i="81"/>
  <c r="G1633" i="81"/>
  <c r="B1633" i="81"/>
  <c r="G1632" i="81"/>
  <c r="B1632" i="81"/>
  <c r="G1631" i="81"/>
  <c r="B1631" i="81"/>
  <c r="G1630" i="81"/>
  <c r="B1630" i="81"/>
  <c r="G1629" i="81"/>
  <c r="B1629" i="81"/>
  <c r="G1628" i="81"/>
  <c r="B1628" i="81"/>
  <c r="G1627" i="81"/>
  <c r="B1627" i="81"/>
  <c r="G1626" i="81"/>
  <c r="B1626" i="81"/>
  <c r="G1625" i="81"/>
  <c r="B1625" i="81"/>
  <c r="G1624" i="81"/>
  <c r="B1624" i="81"/>
  <c r="G1623" i="81"/>
  <c r="B1623" i="81"/>
  <c r="G1622" i="81"/>
  <c r="B1622" i="81"/>
  <c r="G1621" i="81"/>
  <c r="B1621" i="81"/>
  <c r="G1620" i="81"/>
  <c r="B1620" i="81"/>
  <c r="G1619" i="81"/>
  <c r="B1619" i="81"/>
  <c r="G1618" i="81"/>
  <c r="B1618" i="81"/>
  <c r="G1617" i="81"/>
  <c r="B1617" i="81"/>
  <c r="D1616" i="81"/>
  <c r="D1650" i="81" s="1"/>
  <c r="D1684" i="81" s="1"/>
  <c r="D1718" i="81" s="1"/>
  <c r="D1752" i="81" s="1"/>
  <c r="D1786" i="81" s="1"/>
  <c r="D1820" i="81" s="1"/>
  <c r="D1854" i="81" s="1"/>
  <c r="D1888" i="81" s="1"/>
  <c r="D1922" i="81" s="1"/>
  <c r="D1956" i="81" s="1"/>
  <c r="D1990" i="81" s="1"/>
  <c r="B1616" i="81"/>
  <c r="D1615" i="81"/>
  <c r="D1649" i="81" s="1"/>
  <c r="D1683" i="81" s="1"/>
  <c r="D1717" i="81" s="1"/>
  <c r="D1751" i="81" s="1"/>
  <c r="D1785" i="81" s="1"/>
  <c r="D1819" i="81" s="1"/>
  <c r="D1853" i="81" s="1"/>
  <c r="D1887" i="81" s="1"/>
  <c r="D1921" i="81" s="1"/>
  <c r="D1955" i="81" s="1"/>
  <c r="D1989" i="81" s="1"/>
  <c r="B1615" i="81"/>
  <c r="D1614" i="81"/>
  <c r="D1648" i="81" s="1"/>
  <c r="D1682" i="81" s="1"/>
  <c r="D1716" i="81" s="1"/>
  <c r="D1750" i="81" s="1"/>
  <c r="D1784" i="81" s="1"/>
  <c r="D1818" i="81" s="1"/>
  <c r="D1852" i="81" s="1"/>
  <c r="D1886" i="81" s="1"/>
  <c r="D1920" i="81" s="1"/>
  <c r="D1954" i="81" s="1"/>
  <c r="D1988" i="81" s="1"/>
  <c r="B1614" i="81"/>
  <c r="D1613" i="81"/>
  <c r="D1647" i="81" s="1"/>
  <c r="D1681" i="81" s="1"/>
  <c r="D1715" i="81" s="1"/>
  <c r="D1749" i="81" s="1"/>
  <c r="D1783" i="81" s="1"/>
  <c r="D1817" i="81" s="1"/>
  <c r="D1851" i="81" s="1"/>
  <c r="D1885" i="81" s="1"/>
  <c r="D1919" i="81" s="1"/>
  <c r="D1953" i="81" s="1"/>
  <c r="D1987" i="81" s="1"/>
  <c r="B1613" i="81"/>
  <c r="D1612" i="81"/>
  <c r="D1646" i="81" s="1"/>
  <c r="D1680" i="81" s="1"/>
  <c r="D1714" i="81" s="1"/>
  <c r="D1748" i="81" s="1"/>
  <c r="D1782" i="81" s="1"/>
  <c r="D1816" i="81" s="1"/>
  <c r="D1850" i="81" s="1"/>
  <c r="D1884" i="81" s="1"/>
  <c r="D1918" i="81" s="1"/>
  <c r="D1952" i="81" s="1"/>
  <c r="D1986" i="81" s="1"/>
  <c r="B1612" i="81"/>
  <c r="D1611" i="81"/>
  <c r="D1645" i="81" s="1"/>
  <c r="D1679" i="81" s="1"/>
  <c r="D1713" i="81" s="1"/>
  <c r="D1747" i="81" s="1"/>
  <c r="D1781" i="81" s="1"/>
  <c r="D1815" i="81" s="1"/>
  <c r="D1849" i="81" s="1"/>
  <c r="D1883" i="81" s="1"/>
  <c r="D1917" i="81" s="1"/>
  <c r="D1951" i="81" s="1"/>
  <c r="D1985" i="81" s="1"/>
  <c r="B1611" i="81"/>
  <c r="D1610" i="81"/>
  <c r="D1644" i="81" s="1"/>
  <c r="D1678" i="81" s="1"/>
  <c r="D1712" i="81" s="1"/>
  <c r="D1746" i="81" s="1"/>
  <c r="D1780" i="81" s="1"/>
  <c r="D1814" i="81" s="1"/>
  <c r="D1848" i="81" s="1"/>
  <c r="D1882" i="81" s="1"/>
  <c r="D1916" i="81" s="1"/>
  <c r="D1950" i="81" s="1"/>
  <c r="D1984" i="81" s="1"/>
  <c r="B1610" i="81"/>
  <c r="D1609" i="81"/>
  <c r="D1643" i="81" s="1"/>
  <c r="D1677" i="81" s="1"/>
  <c r="D1711" i="81" s="1"/>
  <c r="D1745" i="81" s="1"/>
  <c r="D1779" i="81" s="1"/>
  <c r="D1813" i="81" s="1"/>
  <c r="D1847" i="81" s="1"/>
  <c r="D1881" i="81" s="1"/>
  <c r="D1915" i="81" s="1"/>
  <c r="D1949" i="81" s="1"/>
  <c r="D1983" i="81" s="1"/>
  <c r="B1609" i="81"/>
  <c r="D1608" i="81"/>
  <c r="D1642" i="81" s="1"/>
  <c r="D1676" i="81" s="1"/>
  <c r="D1710" i="81" s="1"/>
  <c r="D1744" i="81" s="1"/>
  <c r="D1778" i="81" s="1"/>
  <c r="D1812" i="81" s="1"/>
  <c r="D1846" i="81" s="1"/>
  <c r="D1880" i="81" s="1"/>
  <c r="D1914" i="81" s="1"/>
  <c r="D1948" i="81" s="1"/>
  <c r="D1982" i="81" s="1"/>
  <c r="B1608" i="81"/>
  <c r="D1607" i="81"/>
  <c r="D1641" i="81" s="1"/>
  <c r="D1675" i="81" s="1"/>
  <c r="D1709" i="81" s="1"/>
  <c r="D1743" i="81" s="1"/>
  <c r="D1777" i="81" s="1"/>
  <c r="D1811" i="81" s="1"/>
  <c r="D1845" i="81" s="1"/>
  <c r="D1879" i="81" s="1"/>
  <c r="D1913" i="81" s="1"/>
  <c r="D1947" i="81" s="1"/>
  <c r="D1981" i="81" s="1"/>
  <c r="B1607" i="81"/>
  <c r="D1606" i="81"/>
  <c r="D1640" i="81" s="1"/>
  <c r="D1674" i="81" s="1"/>
  <c r="D1708" i="81" s="1"/>
  <c r="D1742" i="81" s="1"/>
  <c r="D1776" i="81" s="1"/>
  <c r="D1810" i="81" s="1"/>
  <c r="D1844" i="81" s="1"/>
  <c r="D1878" i="81" s="1"/>
  <c r="D1912" i="81" s="1"/>
  <c r="D1946" i="81" s="1"/>
  <c r="D1980" i="81" s="1"/>
  <c r="B1606" i="81"/>
  <c r="D1605" i="81"/>
  <c r="D1639" i="81" s="1"/>
  <c r="D1673" i="81" s="1"/>
  <c r="D1707" i="81" s="1"/>
  <c r="D1741" i="81" s="1"/>
  <c r="D1775" i="81" s="1"/>
  <c r="D1809" i="81" s="1"/>
  <c r="D1843" i="81" s="1"/>
  <c r="D1877" i="81" s="1"/>
  <c r="D1911" i="81" s="1"/>
  <c r="D1945" i="81" s="1"/>
  <c r="D1979" i="81" s="1"/>
  <c r="B1605" i="81"/>
  <c r="D1604" i="81"/>
  <c r="D1638" i="81" s="1"/>
  <c r="D1672" i="81" s="1"/>
  <c r="D1706" i="81" s="1"/>
  <c r="D1740" i="81" s="1"/>
  <c r="D1774" i="81" s="1"/>
  <c r="D1808" i="81" s="1"/>
  <c r="D1842" i="81" s="1"/>
  <c r="D1876" i="81" s="1"/>
  <c r="D1910" i="81" s="1"/>
  <c r="D1944" i="81" s="1"/>
  <c r="D1978" i="81" s="1"/>
  <c r="B1604" i="81"/>
  <c r="D1603" i="81"/>
  <c r="D1637" i="81" s="1"/>
  <c r="D1671" i="81" s="1"/>
  <c r="D1705" i="81" s="1"/>
  <c r="D1739" i="81" s="1"/>
  <c r="D1773" i="81" s="1"/>
  <c r="D1807" i="81" s="1"/>
  <c r="D1841" i="81" s="1"/>
  <c r="D1875" i="81" s="1"/>
  <c r="D1909" i="81" s="1"/>
  <c r="D1943" i="81" s="1"/>
  <c r="D1977" i="81" s="1"/>
  <c r="B1603" i="81"/>
  <c r="D1602" i="81"/>
  <c r="D1636" i="81" s="1"/>
  <c r="D1670" i="81" s="1"/>
  <c r="D1704" i="81" s="1"/>
  <c r="D1738" i="81" s="1"/>
  <c r="D1772" i="81" s="1"/>
  <c r="D1806" i="81" s="1"/>
  <c r="D1840" i="81" s="1"/>
  <c r="D1874" i="81" s="1"/>
  <c r="D1908" i="81" s="1"/>
  <c r="D1942" i="81" s="1"/>
  <c r="D1976" i="81" s="1"/>
  <c r="B1602" i="81"/>
  <c r="G1601" i="81"/>
  <c r="D1601" i="81"/>
  <c r="D1635" i="81" s="1"/>
  <c r="D1669" i="81" s="1"/>
  <c r="D1703" i="81" s="1"/>
  <c r="D1737" i="81" s="1"/>
  <c r="D1771" i="81" s="1"/>
  <c r="D1805" i="81" s="1"/>
  <c r="D1839" i="81" s="1"/>
  <c r="D1873" i="81" s="1"/>
  <c r="D1907" i="81" s="1"/>
  <c r="D1941" i="81" s="1"/>
  <c r="D1975" i="81" s="1"/>
  <c r="B1601" i="81"/>
  <c r="G1600" i="81"/>
  <c r="D1600" i="81"/>
  <c r="D1634" i="81" s="1"/>
  <c r="D1668" i="81" s="1"/>
  <c r="D1702" i="81" s="1"/>
  <c r="D1736" i="81" s="1"/>
  <c r="D1770" i="81" s="1"/>
  <c r="D1804" i="81" s="1"/>
  <c r="D1838" i="81" s="1"/>
  <c r="D1872" i="81" s="1"/>
  <c r="D1906" i="81" s="1"/>
  <c r="D1940" i="81" s="1"/>
  <c r="D1974" i="81" s="1"/>
  <c r="B1600" i="81"/>
  <c r="G1599" i="81"/>
  <c r="D1599" i="81"/>
  <c r="D1633" i="81" s="1"/>
  <c r="D1667" i="81" s="1"/>
  <c r="D1701" i="81" s="1"/>
  <c r="D1735" i="81" s="1"/>
  <c r="D1769" i="81" s="1"/>
  <c r="D1803" i="81" s="1"/>
  <c r="D1837" i="81" s="1"/>
  <c r="D1871" i="81" s="1"/>
  <c r="D1905" i="81" s="1"/>
  <c r="D1939" i="81" s="1"/>
  <c r="D1973" i="81" s="1"/>
  <c r="B1599" i="81"/>
  <c r="G1598" i="81"/>
  <c r="D1598" i="81"/>
  <c r="D1632" i="81" s="1"/>
  <c r="D1666" i="81" s="1"/>
  <c r="D1700" i="81" s="1"/>
  <c r="D1734" i="81" s="1"/>
  <c r="D1768" i="81" s="1"/>
  <c r="D1802" i="81" s="1"/>
  <c r="D1836" i="81" s="1"/>
  <c r="D1870" i="81" s="1"/>
  <c r="D1904" i="81" s="1"/>
  <c r="D1938" i="81" s="1"/>
  <c r="D1972" i="81" s="1"/>
  <c r="B1598" i="81"/>
  <c r="G1597" i="81"/>
  <c r="D1597" i="81"/>
  <c r="D1631" i="81" s="1"/>
  <c r="D1665" i="81" s="1"/>
  <c r="D1699" i="81" s="1"/>
  <c r="D1733" i="81" s="1"/>
  <c r="D1767" i="81" s="1"/>
  <c r="D1801" i="81" s="1"/>
  <c r="D1835" i="81" s="1"/>
  <c r="D1869" i="81" s="1"/>
  <c r="D1903" i="81" s="1"/>
  <c r="D1937" i="81" s="1"/>
  <c r="D1971" i="81" s="1"/>
  <c r="B1597" i="81"/>
  <c r="G1596" i="81"/>
  <c r="D1596" i="81"/>
  <c r="D1630" i="81" s="1"/>
  <c r="D1664" i="81" s="1"/>
  <c r="D1698" i="81" s="1"/>
  <c r="D1732" i="81" s="1"/>
  <c r="D1766" i="81" s="1"/>
  <c r="D1800" i="81" s="1"/>
  <c r="D1834" i="81" s="1"/>
  <c r="D1868" i="81" s="1"/>
  <c r="D1902" i="81" s="1"/>
  <c r="D1936" i="81" s="1"/>
  <c r="D1970" i="81" s="1"/>
  <c r="B1596" i="81"/>
  <c r="G1595" i="81"/>
  <c r="D1595" i="81"/>
  <c r="D1629" i="81" s="1"/>
  <c r="D1663" i="81" s="1"/>
  <c r="D1697" i="81" s="1"/>
  <c r="D1731" i="81" s="1"/>
  <c r="D1765" i="81" s="1"/>
  <c r="D1799" i="81" s="1"/>
  <c r="D1833" i="81" s="1"/>
  <c r="D1867" i="81" s="1"/>
  <c r="D1901" i="81" s="1"/>
  <c r="D1935" i="81" s="1"/>
  <c r="D1969" i="81" s="1"/>
  <c r="B1595" i="81"/>
  <c r="G1594" i="81"/>
  <c r="D1594" i="81"/>
  <c r="D1628" i="81" s="1"/>
  <c r="D1662" i="81" s="1"/>
  <c r="D1696" i="81" s="1"/>
  <c r="D1730" i="81" s="1"/>
  <c r="D1764" i="81" s="1"/>
  <c r="D1798" i="81" s="1"/>
  <c r="D1832" i="81" s="1"/>
  <c r="D1866" i="81" s="1"/>
  <c r="D1900" i="81" s="1"/>
  <c r="D1934" i="81" s="1"/>
  <c r="D1968" i="81" s="1"/>
  <c r="B1594" i="81"/>
  <c r="G1593" i="81"/>
  <c r="D1593" i="81"/>
  <c r="D1627" i="81" s="1"/>
  <c r="D1661" i="81" s="1"/>
  <c r="D1695" i="81" s="1"/>
  <c r="D1729" i="81" s="1"/>
  <c r="D1763" i="81" s="1"/>
  <c r="D1797" i="81" s="1"/>
  <c r="D1831" i="81" s="1"/>
  <c r="D1865" i="81" s="1"/>
  <c r="D1899" i="81" s="1"/>
  <c r="D1933" i="81" s="1"/>
  <c r="D1967" i="81" s="1"/>
  <c r="B1593" i="81"/>
  <c r="G1592" i="81"/>
  <c r="D1592" i="81"/>
  <c r="D1626" i="81" s="1"/>
  <c r="D1660" i="81" s="1"/>
  <c r="D1694" i="81" s="1"/>
  <c r="D1728" i="81" s="1"/>
  <c r="D1762" i="81" s="1"/>
  <c r="D1796" i="81" s="1"/>
  <c r="D1830" i="81" s="1"/>
  <c r="D1864" i="81" s="1"/>
  <c r="D1898" i="81" s="1"/>
  <c r="D1932" i="81" s="1"/>
  <c r="D1966" i="81" s="1"/>
  <c r="B1592" i="81"/>
  <c r="G1591" i="81"/>
  <c r="D1591" i="81"/>
  <c r="D1625" i="81" s="1"/>
  <c r="D1659" i="81" s="1"/>
  <c r="D1693" i="81" s="1"/>
  <c r="D1727" i="81" s="1"/>
  <c r="D1761" i="81" s="1"/>
  <c r="D1795" i="81" s="1"/>
  <c r="D1829" i="81" s="1"/>
  <c r="D1863" i="81" s="1"/>
  <c r="D1897" i="81" s="1"/>
  <c r="D1931" i="81" s="1"/>
  <c r="D1965" i="81" s="1"/>
  <c r="B1591" i="81"/>
  <c r="G1590" i="81"/>
  <c r="D1590" i="81"/>
  <c r="D1624" i="81" s="1"/>
  <c r="D1658" i="81" s="1"/>
  <c r="D1692" i="81" s="1"/>
  <c r="D1726" i="81" s="1"/>
  <c r="D1760" i="81" s="1"/>
  <c r="D1794" i="81" s="1"/>
  <c r="D1828" i="81" s="1"/>
  <c r="D1862" i="81" s="1"/>
  <c r="D1896" i="81" s="1"/>
  <c r="D1930" i="81" s="1"/>
  <c r="D1964" i="81" s="1"/>
  <c r="B1590" i="81"/>
  <c r="G1589" i="81"/>
  <c r="D1589" i="81"/>
  <c r="D1623" i="81" s="1"/>
  <c r="D1657" i="81" s="1"/>
  <c r="D1691" i="81" s="1"/>
  <c r="D1725" i="81" s="1"/>
  <c r="D1759" i="81" s="1"/>
  <c r="D1793" i="81" s="1"/>
  <c r="D1827" i="81" s="1"/>
  <c r="D1861" i="81" s="1"/>
  <c r="D1895" i="81" s="1"/>
  <c r="D1929" i="81" s="1"/>
  <c r="D1963" i="81" s="1"/>
  <c r="B1589" i="81"/>
  <c r="G1588" i="81"/>
  <c r="D1588" i="81"/>
  <c r="D1622" i="81" s="1"/>
  <c r="D1656" i="81" s="1"/>
  <c r="D1690" i="81" s="1"/>
  <c r="D1724" i="81" s="1"/>
  <c r="D1758" i="81" s="1"/>
  <c r="D1792" i="81" s="1"/>
  <c r="D1826" i="81" s="1"/>
  <c r="D1860" i="81" s="1"/>
  <c r="D1894" i="81" s="1"/>
  <c r="D1928" i="81" s="1"/>
  <c r="D1962" i="81" s="1"/>
  <c r="B1588" i="81"/>
  <c r="G1587" i="81"/>
  <c r="D1587" i="81"/>
  <c r="D1621" i="81" s="1"/>
  <c r="D1655" i="81" s="1"/>
  <c r="D1689" i="81" s="1"/>
  <c r="D1723" i="81" s="1"/>
  <c r="D1757" i="81" s="1"/>
  <c r="D1791" i="81" s="1"/>
  <c r="D1825" i="81" s="1"/>
  <c r="D1859" i="81" s="1"/>
  <c r="D1893" i="81" s="1"/>
  <c r="D1927" i="81" s="1"/>
  <c r="D1961" i="81" s="1"/>
  <c r="B1587" i="81"/>
  <c r="G1586" i="81"/>
  <c r="D1586" i="81"/>
  <c r="D1620" i="81" s="1"/>
  <c r="D1654" i="81" s="1"/>
  <c r="D1688" i="81" s="1"/>
  <c r="D1722" i="81" s="1"/>
  <c r="D1756" i="81" s="1"/>
  <c r="D1790" i="81" s="1"/>
  <c r="D1824" i="81" s="1"/>
  <c r="D1858" i="81" s="1"/>
  <c r="D1892" i="81" s="1"/>
  <c r="D1926" i="81" s="1"/>
  <c r="D1960" i="81" s="1"/>
  <c r="B1586" i="81"/>
  <c r="G1585" i="81"/>
  <c r="D1585" i="81"/>
  <c r="D1619" i="81" s="1"/>
  <c r="D1653" i="81" s="1"/>
  <c r="D1687" i="81" s="1"/>
  <c r="D1721" i="81" s="1"/>
  <c r="D1755" i="81" s="1"/>
  <c r="D1789" i="81" s="1"/>
  <c r="D1823" i="81" s="1"/>
  <c r="D1857" i="81" s="1"/>
  <c r="D1891" i="81" s="1"/>
  <c r="D1925" i="81" s="1"/>
  <c r="D1959" i="81" s="1"/>
  <c r="B1585" i="81"/>
  <c r="G1584" i="81"/>
  <c r="D1584" i="81"/>
  <c r="D1618" i="81" s="1"/>
  <c r="D1652" i="81" s="1"/>
  <c r="D1686" i="81" s="1"/>
  <c r="D1720" i="81" s="1"/>
  <c r="D1754" i="81" s="1"/>
  <c r="D1788" i="81" s="1"/>
  <c r="D1822" i="81" s="1"/>
  <c r="D1856" i="81" s="1"/>
  <c r="D1890" i="81" s="1"/>
  <c r="D1924" i="81" s="1"/>
  <c r="D1958" i="81" s="1"/>
  <c r="B1584" i="81"/>
  <c r="G1583" i="81"/>
  <c r="D1583" i="81"/>
  <c r="D1617" i="81" s="1"/>
  <c r="D1651" i="81" s="1"/>
  <c r="D1685" i="81" s="1"/>
  <c r="D1719" i="81" s="1"/>
  <c r="D1753" i="81" s="1"/>
  <c r="D1787" i="81" s="1"/>
  <c r="D1821" i="81" s="1"/>
  <c r="D1855" i="81" s="1"/>
  <c r="D1889" i="81" s="1"/>
  <c r="D1923" i="81" s="1"/>
  <c r="D1957" i="81" s="1"/>
  <c r="B1583" i="81"/>
  <c r="B1582" i="81"/>
  <c r="B1581" i="81"/>
  <c r="B1580" i="81"/>
  <c r="B1579" i="81"/>
  <c r="B1578" i="81"/>
  <c r="B1577" i="81"/>
  <c r="B1576" i="81"/>
  <c r="B1575" i="81"/>
  <c r="B1574" i="81"/>
  <c r="B1573" i="81"/>
  <c r="G1572" i="81"/>
  <c r="B1572" i="81"/>
  <c r="G1571" i="81"/>
  <c r="B1571" i="81"/>
  <c r="G1570" i="81"/>
  <c r="B1570" i="81"/>
  <c r="G1569" i="81"/>
  <c r="B1569" i="81"/>
  <c r="G1568" i="81"/>
  <c r="B1568" i="81"/>
  <c r="G1567" i="81"/>
  <c r="B1567" i="81"/>
  <c r="G1566" i="81"/>
  <c r="B1566" i="81"/>
  <c r="G1565" i="81"/>
  <c r="B1565" i="81"/>
  <c r="G1564" i="81"/>
  <c r="B1564" i="81"/>
  <c r="G1563" i="81"/>
  <c r="B1563" i="81"/>
  <c r="G1562" i="81"/>
  <c r="B1562" i="81"/>
  <c r="G1561" i="81"/>
  <c r="B1561" i="81"/>
  <c r="G1560" i="81"/>
  <c r="B1560" i="81"/>
  <c r="G1559" i="81"/>
  <c r="B1559" i="81"/>
  <c r="G1558" i="81"/>
  <c r="B1558" i="81"/>
  <c r="G1557" i="81"/>
  <c r="B1557" i="81"/>
  <c r="G1556" i="81"/>
  <c r="B1556" i="81"/>
  <c r="G1555" i="81"/>
  <c r="B1555" i="81"/>
  <c r="B1554" i="81"/>
  <c r="B1553" i="81"/>
  <c r="B1552" i="81"/>
  <c r="B1551" i="81"/>
  <c r="B1550" i="81"/>
  <c r="B1549" i="81"/>
  <c r="B1548" i="81"/>
  <c r="B1547" i="81"/>
  <c r="B1546" i="81"/>
  <c r="B1545" i="81"/>
  <c r="G1544" i="81"/>
  <c r="B1544" i="81"/>
  <c r="G1543" i="81"/>
  <c r="B1543" i="81"/>
  <c r="G1542" i="81"/>
  <c r="B1542" i="81"/>
  <c r="G1541" i="81"/>
  <c r="B1541" i="81"/>
  <c r="G1540" i="81"/>
  <c r="B1540" i="81"/>
  <c r="G1539" i="81"/>
  <c r="B1539" i="81"/>
  <c r="G1538" i="81"/>
  <c r="B1538" i="81"/>
  <c r="G1537" i="81"/>
  <c r="B1537" i="81"/>
  <c r="G1536" i="81"/>
  <c r="B1536" i="81"/>
  <c r="G1535" i="81"/>
  <c r="B1535" i="81"/>
  <c r="G1534" i="81"/>
  <c r="B1534" i="81"/>
  <c r="G1533" i="81"/>
  <c r="B1533" i="81"/>
  <c r="G1532" i="81"/>
  <c r="B1532" i="81"/>
  <c r="G1531" i="81"/>
  <c r="B1531" i="81"/>
  <c r="G1530" i="81"/>
  <c r="B1530" i="81"/>
  <c r="G1529" i="81"/>
  <c r="B1529" i="81"/>
  <c r="G1528" i="81"/>
  <c r="B1528" i="81"/>
  <c r="G1527" i="81"/>
  <c r="B1527" i="81"/>
  <c r="B1526" i="81"/>
  <c r="B1525" i="81"/>
  <c r="B1524" i="81"/>
  <c r="B1523" i="81"/>
  <c r="B1522" i="81"/>
  <c r="B1521" i="81"/>
  <c r="B1520" i="81"/>
  <c r="B1519" i="81"/>
  <c r="B1518" i="81"/>
  <c r="B1517" i="81"/>
  <c r="G1516" i="81"/>
  <c r="B1516" i="81"/>
  <c r="G1515" i="81"/>
  <c r="B1515" i="81"/>
  <c r="G1514" i="81"/>
  <c r="B1514" i="81"/>
  <c r="G1513" i="81"/>
  <c r="B1513" i="81"/>
  <c r="G1512" i="81"/>
  <c r="B1512" i="81"/>
  <c r="G1511" i="81"/>
  <c r="B1511" i="81"/>
  <c r="G1510" i="81"/>
  <c r="B1510" i="81"/>
  <c r="G1509" i="81"/>
  <c r="B1509" i="81"/>
  <c r="G1508" i="81"/>
  <c r="B1508" i="81"/>
  <c r="G1507" i="81"/>
  <c r="B1507" i="81"/>
  <c r="G1506" i="81"/>
  <c r="B1506" i="81"/>
  <c r="G1505" i="81"/>
  <c r="B1505" i="81"/>
  <c r="G1504" i="81"/>
  <c r="B1504" i="81"/>
  <c r="G1503" i="81"/>
  <c r="B1503" i="81"/>
  <c r="G1502" i="81"/>
  <c r="B1502" i="81"/>
  <c r="G1501" i="81"/>
  <c r="B1501" i="81"/>
  <c r="G1500" i="81"/>
  <c r="B1500" i="81"/>
  <c r="G1499" i="81"/>
  <c r="B1499" i="81"/>
  <c r="B1498" i="81"/>
  <c r="B1497" i="81"/>
  <c r="B1496" i="81"/>
  <c r="B1495" i="81"/>
  <c r="B1494" i="81"/>
  <c r="B1493" i="81"/>
  <c r="B1492" i="81"/>
  <c r="B1491" i="81"/>
  <c r="B1490" i="81"/>
  <c r="B1489" i="81"/>
  <c r="G1488" i="81"/>
  <c r="B1488" i="81"/>
  <c r="G1487" i="81"/>
  <c r="B1487" i="81"/>
  <c r="G1486" i="81"/>
  <c r="B1486" i="81"/>
  <c r="G1485" i="81"/>
  <c r="B1485" i="81"/>
  <c r="G1484" i="81"/>
  <c r="B1484" i="81"/>
  <c r="G1483" i="81"/>
  <c r="B1483" i="81"/>
  <c r="G1482" i="81"/>
  <c r="B1482" i="81"/>
  <c r="G1481" i="81"/>
  <c r="B1481" i="81"/>
  <c r="G1480" i="81"/>
  <c r="B1480" i="81"/>
  <c r="G1479" i="81"/>
  <c r="B1479" i="81"/>
  <c r="G1478" i="81"/>
  <c r="B1478" i="81"/>
  <c r="G1477" i="81"/>
  <c r="B1477" i="81"/>
  <c r="G1476" i="81"/>
  <c r="B1476" i="81"/>
  <c r="G1475" i="81"/>
  <c r="B1475" i="81"/>
  <c r="G1474" i="81"/>
  <c r="B1474" i="81"/>
  <c r="G1473" i="81"/>
  <c r="B1473" i="81"/>
  <c r="G1472" i="81"/>
  <c r="B1472" i="81"/>
  <c r="G1471" i="81"/>
  <c r="B1471" i="81"/>
  <c r="B1470" i="81"/>
  <c r="B1469" i="81"/>
  <c r="B1468" i="81"/>
  <c r="B1467" i="81"/>
  <c r="B1466" i="81"/>
  <c r="B1465" i="81"/>
  <c r="B1464" i="81"/>
  <c r="B1463" i="81"/>
  <c r="B1462" i="81"/>
  <c r="B1461" i="81"/>
  <c r="G1460" i="81"/>
  <c r="B1460" i="81"/>
  <c r="G1459" i="81"/>
  <c r="B1459" i="81"/>
  <c r="G1458" i="81"/>
  <c r="B1458" i="81"/>
  <c r="G1457" i="81"/>
  <c r="B1457" i="81"/>
  <c r="G1456" i="81"/>
  <c r="B1456" i="81"/>
  <c r="G1455" i="81"/>
  <c r="B1455" i="81"/>
  <c r="G1454" i="81"/>
  <c r="B1454" i="81"/>
  <c r="G1453" i="81"/>
  <c r="B1453" i="81"/>
  <c r="G1452" i="81"/>
  <c r="B1452" i="81"/>
  <c r="G1451" i="81"/>
  <c r="B1451" i="81"/>
  <c r="G1450" i="81"/>
  <c r="B1450" i="81"/>
  <c r="G1449" i="81"/>
  <c r="B1449" i="81"/>
  <c r="G1448" i="81"/>
  <c r="B1448" i="81"/>
  <c r="G1447" i="81"/>
  <c r="B1447" i="81"/>
  <c r="G1446" i="81"/>
  <c r="B1446" i="81"/>
  <c r="G1445" i="81"/>
  <c r="B1445" i="81"/>
  <c r="G1444" i="81"/>
  <c r="B1444" i="81"/>
  <c r="G1443" i="81"/>
  <c r="B1443" i="81"/>
  <c r="B1442" i="81"/>
  <c r="B1441" i="81"/>
  <c r="B1440" i="81"/>
  <c r="B1439" i="81"/>
  <c r="B1438" i="81"/>
  <c r="B1437" i="81"/>
  <c r="B1436" i="81"/>
  <c r="B1435" i="81"/>
  <c r="B1434" i="81"/>
  <c r="B1433" i="81"/>
  <c r="G1432" i="81"/>
  <c r="B1432" i="81"/>
  <c r="G1431" i="81"/>
  <c r="B1431" i="81"/>
  <c r="G1430" i="81"/>
  <c r="B1430" i="81"/>
  <c r="G1429" i="81"/>
  <c r="B1429" i="81"/>
  <c r="G1428" i="81"/>
  <c r="B1428" i="81"/>
  <c r="G1427" i="81"/>
  <c r="B1427" i="81"/>
  <c r="G1426" i="81"/>
  <c r="B1426" i="81"/>
  <c r="G1425" i="81"/>
  <c r="B1425" i="81"/>
  <c r="G1424" i="81"/>
  <c r="B1424" i="81"/>
  <c r="G1423" i="81"/>
  <c r="B1423" i="81"/>
  <c r="G1422" i="81"/>
  <c r="B1422" i="81"/>
  <c r="G1421" i="81"/>
  <c r="B1421" i="81"/>
  <c r="G1420" i="81"/>
  <c r="B1420" i="81"/>
  <c r="G1419" i="81"/>
  <c r="B1419" i="81"/>
  <c r="G1418" i="81"/>
  <c r="B1418" i="81"/>
  <c r="G1417" i="81"/>
  <c r="B1417" i="81"/>
  <c r="G1416" i="81"/>
  <c r="B1416" i="81"/>
  <c r="G1415" i="81"/>
  <c r="B1415" i="81"/>
  <c r="B1414" i="81"/>
  <c r="B1413" i="81"/>
  <c r="B1412" i="81"/>
  <c r="B1411" i="81"/>
  <c r="B1410" i="81"/>
  <c r="B1409" i="81"/>
  <c r="B1408" i="81"/>
  <c r="B1407" i="81"/>
  <c r="B1406" i="81"/>
  <c r="B1405" i="81"/>
  <c r="G1404" i="81"/>
  <c r="B1404" i="81"/>
  <c r="G1403" i="81"/>
  <c r="B1403" i="81"/>
  <c r="G1402" i="81"/>
  <c r="B1402" i="81"/>
  <c r="G1401" i="81"/>
  <c r="B1401" i="81"/>
  <c r="G1400" i="81"/>
  <c r="B1400" i="81"/>
  <c r="G1399" i="81"/>
  <c r="B1399" i="81"/>
  <c r="G1398" i="81"/>
  <c r="B1398" i="81"/>
  <c r="G1397" i="81"/>
  <c r="B1397" i="81"/>
  <c r="G1396" i="81"/>
  <c r="B1396" i="81"/>
  <c r="G1395" i="81"/>
  <c r="B1395" i="81"/>
  <c r="G1394" i="81"/>
  <c r="B1394" i="81"/>
  <c r="G1393" i="81"/>
  <c r="B1393" i="81"/>
  <c r="G1392" i="81"/>
  <c r="B1392" i="81"/>
  <c r="G1391" i="81"/>
  <c r="B1391" i="81"/>
  <c r="G1390" i="81"/>
  <c r="B1390" i="81"/>
  <c r="G1389" i="81"/>
  <c r="B1389" i="81"/>
  <c r="G1388" i="81"/>
  <c r="B1388" i="81"/>
  <c r="G1387" i="81"/>
  <c r="B1387" i="81"/>
  <c r="D1386" i="81"/>
  <c r="D1414" i="81" s="1"/>
  <c r="D1442" i="81" s="1"/>
  <c r="D1470" i="81" s="1"/>
  <c r="D1498" i="81" s="1"/>
  <c r="D1526" i="81" s="1"/>
  <c r="D1554" i="81" s="1"/>
  <c r="D1582" i="81" s="1"/>
  <c r="B1386" i="81"/>
  <c r="D1385" i="81"/>
  <c r="D1413" i="81" s="1"/>
  <c r="D1441" i="81" s="1"/>
  <c r="D1469" i="81" s="1"/>
  <c r="D1497" i="81" s="1"/>
  <c r="D1525" i="81" s="1"/>
  <c r="D1553" i="81" s="1"/>
  <c r="D1581" i="81" s="1"/>
  <c r="B1385" i="81"/>
  <c r="D1384" i="81"/>
  <c r="D1412" i="81" s="1"/>
  <c r="D1440" i="81" s="1"/>
  <c r="D1468" i="81" s="1"/>
  <c r="D1496" i="81" s="1"/>
  <c r="D1524" i="81" s="1"/>
  <c r="D1552" i="81" s="1"/>
  <c r="D1580" i="81" s="1"/>
  <c r="B1384" i="81"/>
  <c r="D1383" i="81"/>
  <c r="D1411" i="81" s="1"/>
  <c r="D1439" i="81" s="1"/>
  <c r="D1467" i="81" s="1"/>
  <c r="D1495" i="81" s="1"/>
  <c r="D1523" i="81" s="1"/>
  <c r="D1551" i="81" s="1"/>
  <c r="D1579" i="81" s="1"/>
  <c r="B1383" i="81"/>
  <c r="D1382" i="81"/>
  <c r="D1410" i="81" s="1"/>
  <c r="D1438" i="81" s="1"/>
  <c r="D1466" i="81" s="1"/>
  <c r="D1494" i="81" s="1"/>
  <c r="D1522" i="81" s="1"/>
  <c r="D1550" i="81" s="1"/>
  <c r="D1578" i="81" s="1"/>
  <c r="B1382" i="81"/>
  <c r="D1381" i="81"/>
  <c r="D1409" i="81" s="1"/>
  <c r="D1437" i="81" s="1"/>
  <c r="D1465" i="81" s="1"/>
  <c r="D1493" i="81" s="1"/>
  <c r="D1521" i="81" s="1"/>
  <c r="D1549" i="81" s="1"/>
  <c r="D1577" i="81" s="1"/>
  <c r="B1381" i="81"/>
  <c r="D1380" i="81"/>
  <c r="D1408" i="81" s="1"/>
  <c r="D1436" i="81" s="1"/>
  <c r="D1464" i="81" s="1"/>
  <c r="D1492" i="81" s="1"/>
  <c r="D1520" i="81" s="1"/>
  <c r="D1548" i="81" s="1"/>
  <c r="D1576" i="81" s="1"/>
  <c r="B1380" i="81"/>
  <c r="D1379" i="81"/>
  <c r="D1407" i="81" s="1"/>
  <c r="D1435" i="81" s="1"/>
  <c r="D1463" i="81" s="1"/>
  <c r="D1491" i="81" s="1"/>
  <c r="D1519" i="81" s="1"/>
  <c r="D1547" i="81" s="1"/>
  <c r="D1575" i="81" s="1"/>
  <c r="B1379" i="81"/>
  <c r="D1378" i="81"/>
  <c r="D1406" i="81" s="1"/>
  <c r="D1434" i="81" s="1"/>
  <c r="D1462" i="81" s="1"/>
  <c r="D1490" i="81" s="1"/>
  <c r="D1518" i="81" s="1"/>
  <c r="D1546" i="81" s="1"/>
  <c r="D1574" i="81" s="1"/>
  <c r="B1378" i="81"/>
  <c r="D1377" i="81"/>
  <c r="D1405" i="81" s="1"/>
  <c r="D1433" i="81" s="1"/>
  <c r="D1461" i="81" s="1"/>
  <c r="D1489" i="81" s="1"/>
  <c r="D1517" i="81" s="1"/>
  <c r="D1545" i="81" s="1"/>
  <c r="D1573" i="81" s="1"/>
  <c r="B1377" i="81"/>
  <c r="G1376" i="81"/>
  <c r="D1376" i="81"/>
  <c r="D1404" i="81" s="1"/>
  <c r="D1432" i="81" s="1"/>
  <c r="D1460" i="81" s="1"/>
  <c r="D1488" i="81" s="1"/>
  <c r="D1516" i="81" s="1"/>
  <c r="D1544" i="81" s="1"/>
  <c r="D1572" i="81" s="1"/>
  <c r="B1376" i="81"/>
  <c r="G1375" i="81"/>
  <c r="D1375" i="81"/>
  <c r="D1403" i="81" s="1"/>
  <c r="D1431" i="81" s="1"/>
  <c r="D1459" i="81" s="1"/>
  <c r="D1487" i="81" s="1"/>
  <c r="D1515" i="81" s="1"/>
  <c r="D1543" i="81" s="1"/>
  <c r="D1571" i="81" s="1"/>
  <c r="B1375" i="81"/>
  <c r="G1374" i="81"/>
  <c r="D1374" i="81"/>
  <c r="D1402" i="81" s="1"/>
  <c r="D1430" i="81" s="1"/>
  <c r="D1458" i="81" s="1"/>
  <c r="D1486" i="81" s="1"/>
  <c r="D1514" i="81" s="1"/>
  <c r="D1542" i="81" s="1"/>
  <c r="D1570" i="81" s="1"/>
  <c r="B1374" i="81"/>
  <c r="G1373" i="81"/>
  <c r="D1373" i="81"/>
  <c r="D1401" i="81" s="1"/>
  <c r="D1429" i="81" s="1"/>
  <c r="D1457" i="81" s="1"/>
  <c r="D1485" i="81" s="1"/>
  <c r="D1513" i="81" s="1"/>
  <c r="D1541" i="81" s="1"/>
  <c r="D1569" i="81" s="1"/>
  <c r="B1373" i="81"/>
  <c r="G1372" i="81"/>
  <c r="D1372" i="81"/>
  <c r="D1400" i="81" s="1"/>
  <c r="D1428" i="81" s="1"/>
  <c r="D1456" i="81" s="1"/>
  <c r="D1484" i="81" s="1"/>
  <c r="D1512" i="81" s="1"/>
  <c r="D1540" i="81" s="1"/>
  <c r="D1568" i="81" s="1"/>
  <c r="B1372" i="81"/>
  <c r="G1371" i="81"/>
  <c r="D1371" i="81"/>
  <c r="D1399" i="81" s="1"/>
  <c r="D1427" i="81" s="1"/>
  <c r="D1455" i="81" s="1"/>
  <c r="D1483" i="81" s="1"/>
  <c r="D1511" i="81" s="1"/>
  <c r="D1539" i="81" s="1"/>
  <c r="D1567" i="81" s="1"/>
  <c r="B1371" i="81"/>
  <c r="G1370" i="81"/>
  <c r="D1370" i="81"/>
  <c r="D1398" i="81" s="1"/>
  <c r="D1426" i="81" s="1"/>
  <c r="D1454" i="81" s="1"/>
  <c r="D1482" i="81" s="1"/>
  <c r="D1510" i="81" s="1"/>
  <c r="D1538" i="81" s="1"/>
  <c r="D1566" i="81" s="1"/>
  <c r="B1370" i="81"/>
  <c r="G1369" i="81"/>
  <c r="D1369" i="81"/>
  <c r="D1397" i="81" s="1"/>
  <c r="D1425" i="81" s="1"/>
  <c r="D1453" i="81" s="1"/>
  <c r="D1481" i="81" s="1"/>
  <c r="D1509" i="81" s="1"/>
  <c r="D1537" i="81" s="1"/>
  <c r="D1565" i="81" s="1"/>
  <c r="B1369" i="81"/>
  <c r="G1368" i="81"/>
  <c r="D1368" i="81"/>
  <c r="D1396" i="81" s="1"/>
  <c r="D1424" i="81" s="1"/>
  <c r="D1452" i="81" s="1"/>
  <c r="D1480" i="81" s="1"/>
  <c r="D1508" i="81" s="1"/>
  <c r="D1536" i="81" s="1"/>
  <c r="D1564" i="81" s="1"/>
  <c r="B1368" i="81"/>
  <c r="G1367" i="81"/>
  <c r="D1367" i="81"/>
  <c r="D1395" i="81" s="1"/>
  <c r="D1423" i="81" s="1"/>
  <c r="D1451" i="81" s="1"/>
  <c r="D1479" i="81" s="1"/>
  <c r="D1507" i="81" s="1"/>
  <c r="D1535" i="81" s="1"/>
  <c r="D1563" i="81" s="1"/>
  <c r="B1367" i="81"/>
  <c r="G1366" i="81"/>
  <c r="D1366" i="81"/>
  <c r="D1394" i="81" s="1"/>
  <c r="D1422" i="81" s="1"/>
  <c r="D1450" i="81" s="1"/>
  <c r="D1478" i="81" s="1"/>
  <c r="D1506" i="81" s="1"/>
  <c r="D1534" i="81" s="1"/>
  <c r="D1562" i="81" s="1"/>
  <c r="B1366" i="81"/>
  <c r="G1365" i="81"/>
  <c r="D1365" i="81"/>
  <c r="D1393" i="81" s="1"/>
  <c r="D1421" i="81" s="1"/>
  <c r="D1449" i="81" s="1"/>
  <c r="D1477" i="81" s="1"/>
  <c r="D1505" i="81" s="1"/>
  <c r="D1533" i="81" s="1"/>
  <c r="D1561" i="81" s="1"/>
  <c r="B1365" i="81"/>
  <c r="G1364" i="81"/>
  <c r="D1364" i="81"/>
  <c r="D1392" i="81" s="1"/>
  <c r="D1420" i="81" s="1"/>
  <c r="D1448" i="81" s="1"/>
  <c r="D1476" i="81" s="1"/>
  <c r="D1504" i="81" s="1"/>
  <c r="D1532" i="81" s="1"/>
  <c r="D1560" i="81" s="1"/>
  <c r="B1364" i="81"/>
  <c r="G1363" i="81"/>
  <c r="D1363" i="81"/>
  <c r="D1391" i="81" s="1"/>
  <c r="D1419" i="81" s="1"/>
  <c r="D1447" i="81" s="1"/>
  <c r="D1475" i="81" s="1"/>
  <c r="D1503" i="81" s="1"/>
  <c r="D1531" i="81" s="1"/>
  <c r="D1559" i="81" s="1"/>
  <c r="B1363" i="81"/>
  <c r="G1362" i="81"/>
  <c r="D1362" i="81"/>
  <c r="D1390" i="81" s="1"/>
  <c r="D1418" i="81" s="1"/>
  <c r="D1446" i="81" s="1"/>
  <c r="D1474" i="81" s="1"/>
  <c r="D1502" i="81" s="1"/>
  <c r="D1530" i="81" s="1"/>
  <c r="D1558" i="81" s="1"/>
  <c r="B1362" i="81"/>
  <c r="G1361" i="81"/>
  <c r="D1361" i="81"/>
  <c r="D1389" i="81" s="1"/>
  <c r="D1417" i="81" s="1"/>
  <c r="D1445" i="81" s="1"/>
  <c r="D1473" i="81" s="1"/>
  <c r="D1501" i="81" s="1"/>
  <c r="D1529" i="81" s="1"/>
  <c r="D1557" i="81" s="1"/>
  <c r="B1361" i="81"/>
  <c r="G1360" i="81"/>
  <c r="D1360" i="81"/>
  <c r="D1388" i="81" s="1"/>
  <c r="D1416" i="81" s="1"/>
  <c r="D1444" i="81" s="1"/>
  <c r="D1472" i="81" s="1"/>
  <c r="D1500" i="81" s="1"/>
  <c r="D1528" i="81" s="1"/>
  <c r="D1556" i="81" s="1"/>
  <c r="B1360" i="81"/>
  <c r="G1359" i="81"/>
  <c r="D1359" i="81"/>
  <c r="D1387" i="81" s="1"/>
  <c r="D1415" i="81" s="1"/>
  <c r="D1443" i="81" s="1"/>
  <c r="D1471" i="81" s="1"/>
  <c r="D1499" i="81" s="1"/>
  <c r="D1527" i="81" s="1"/>
  <c r="D1555" i="81" s="1"/>
  <c r="B1359" i="81"/>
  <c r="B1358" i="81"/>
  <c r="B1357" i="81"/>
  <c r="B1356" i="81"/>
  <c r="B1355" i="81"/>
  <c r="B1354" i="81"/>
  <c r="B1353" i="81"/>
  <c r="B1352" i="81"/>
  <c r="B1351" i="81"/>
  <c r="B1350" i="81"/>
  <c r="B1349" i="81"/>
  <c r="G1348" i="81"/>
  <c r="B1348" i="81"/>
  <c r="G1347" i="81"/>
  <c r="B1347" i="81"/>
  <c r="G1346" i="81"/>
  <c r="B1346" i="81"/>
  <c r="G1345" i="81"/>
  <c r="B1345" i="81"/>
  <c r="G1344" i="81"/>
  <c r="B1344" i="81"/>
  <c r="G1343" i="81"/>
  <c r="B1343" i="81"/>
  <c r="G1342" i="81"/>
  <c r="B1342" i="81"/>
  <c r="G1341" i="81"/>
  <c r="B1341" i="81"/>
  <c r="G1340" i="81"/>
  <c r="B1340" i="81"/>
  <c r="G1339" i="81"/>
  <c r="B1339" i="81"/>
  <c r="G1338" i="81"/>
  <c r="B1338" i="81"/>
  <c r="G1337" i="81"/>
  <c r="B1337" i="81"/>
  <c r="G1336" i="81"/>
  <c r="B1336" i="81"/>
  <c r="G1335" i="81"/>
  <c r="B1335" i="81"/>
  <c r="G1334" i="81"/>
  <c r="B1334" i="81"/>
  <c r="G1333" i="81"/>
  <c r="B1333" i="81"/>
  <c r="G1332" i="81"/>
  <c r="B1332" i="81"/>
  <c r="G1331" i="81"/>
  <c r="B1331" i="81"/>
  <c r="B1330" i="81"/>
  <c r="B1329" i="81"/>
  <c r="B1328" i="81"/>
  <c r="B1327" i="81"/>
  <c r="B1326" i="81"/>
  <c r="B1325" i="81"/>
  <c r="B1324" i="81"/>
  <c r="B1323" i="81"/>
  <c r="B1322" i="81"/>
  <c r="B1321" i="81"/>
  <c r="G1320" i="81"/>
  <c r="B1320" i="81"/>
  <c r="G1319" i="81"/>
  <c r="B1319" i="81"/>
  <c r="G1318" i="81"/>
  <c r="B1318" i="81"/>
  <c r="G1317" i="81"/>
  <c r="B1317" i="81"/>
  <c r="G1316" i="81"/>
  <c r="B1316" i="81"/>
  <c r="G1315" i="81"/>
  <c r="B1315" i="81"/>
  <c r="G1314" i="81"/>
  <c r="B1314" i="81"/>
  <c r="G1313" i="81"/>
  <c r="B1313" i="81"/>
  <c r="G1312" i="81"/>
  <c r="B1312" i="81"/>
  <c r="G1311" i="81"/>
  <c r="B1311" i="81"/>
  <c r="G1310" i="81"/>
  <c r="B1310" i="81"/>
  <c r="G1309" i="81"/>
  <c r="B1309" i="81"/>
  <c r="G1308" i="81"/>
  <c r="B1308" i="81"/>
  <c r="G1307" i="81"/>
  <c r="B1307" i="81"/>
  <c r="G1306" i="81"/>
  <c r="B1306" i="81"/>
  <c r="G1305" i="81"/>
  <c r="B1305" i="81"/>
  <c r="G1304" i="81"/>
  <c r="B1304" i="81"/>
  <c r="G1303" i="81"/>
  <c r="B1303" i="81"/>
  <c r="B1302" i="81"/>
  <c r="B1301" i="81"/>
  <c r="B1300" i="81"/>
  <c r="B1299" i="81"/>
  <c r="B1298" i="81"/>
  <c r="B1297" i="81"/>
  <c r="B1296" i="81"/>
  <c r="B1295" i="81"/>
  <c r="B1294" i="81"/>
  <c r="B1293" i="81"/>
  <c r="B1292" i="81"/>
  <c r="G1291" i="81"/>
  <c r="B1291" i="81"/>
  <c r="G1290" i="81"/>
  <c r="B1290" i="81"/>
  <c r="G1289" i="81"/>
  <c r="B1289" i="81"/>
  <c r="G1288" i="81"/>
  <c r="B1288" i="81"/>
  <c r="G1287" i="81"/>
  <c r="B1287" i="81"/>
  <c r="G1286" i="81"/>
  <c r="B1286" i="81"/>
  <c r="G1285" i="81"/>
  <c r="B1285" i="81"/>
  <c r="G1284" i="81"/>
  <c r="B1284" i="81"/>
  <c r="G1283" i="81"/>
  <c r="B1283" i="81"/>
  <c r="G1282" i="81"/>
  <c r="B1282" i="81"/>
  <c r="G1281" i="81"/>
  <c r="B1281" i="81"/>
  <c r="G1280" i="81"/>
  <c r="B1280" i="81"/>
  <c r="G1279" i="81"/>
  <c r="B1279" i="81"/>
  <c r="G1278" i="81"/>
  <c r="B1278" i="81"/>
  <c r="G1277" i="81"/>
  <c r="B1277" i="81"/>
  <c r="G1276" i="81"/>
  <c r="B1276" i="81"/>
  <c r="G1275" i="81"/>
  <c r="B1275" i="81"/>
  <c r="B1274" i="81"/>
  <c r="B1273" i="81"/>
  <c r="B1272" i="81"/>
  <c r="B1271" i="81"/>
  <c r="B1270" i="81"/>
  <c r="B1269" i="81"/>
  <c r="B1268" i="81"/>
  <c r="B1267" i="81"/>
  <c r="B1266" i="81"/>
  <c r="B1265" i="81"/>
  <c r="G1264" i="81"/>
  <c r="B1264" i="81"/>
  <c r="G1263" i="81"/>
  <c r="B1263" i="81"/>
  <c r="G1262" i="81"/>
  <c r="B1262" i="81"/>
  <c r="G1261" i="81"/>
  <c r="B1261" i="81"/>
  <c r="G1260" i="81"/>
  <c r="B1260" i="81"/>
  <c r="G1259" i="81"/>
  <c r="B1259" i="81"/>
  <c r="G1258" i="81"/>
  <c r="B1258" i="81"/>
  <c r="G1257" i="81"/>
  <c r="B1257" i="81"/>
  <c r="G1256" i="81"/>
  <c r="B1256" i="81"/>
  <c r="G1255" i="81"/>
  <c r="B1255" i="81"/>
  <c r="G1254" i="81"/>
  <c r="B1254" i="81"/>
  <c r="G1253" i="81"/>
  <c r="B1253" i="81"/>
  <c r="G1252" i="81"/>
  <c r="B1252" i="81"/>
  <c r="G1251" i="81"/>
  <c r="B1251" i="81"/>
  <c r="G1250" i="81"/>
  <c r="B1250" i="81"/>
  <c r="G1249" i="81"/>
  <c r="B1249" i="81"/>
  <c r="G1248" i="81"/>
  <c r="B1248" i="81"/>
  <c r="G1247" i="81"/>
  <c r="B1247" i="81"/>
  <c r="B1246" i="81"/>
  <c r="B1245" i="81"/>
  <c r="B1244" i="81"/>
  <c r="B1243" i="81"/>
  <c r="B1242" i="81"/>
  <c r="B1241" i="81"/>
  <c r="B1240" i="81"/>
  <c r="B1239" i="81"/>
  <c r="B1238" i="81"/>
  <c r="B1237" i="81"/>
  <c r="G1236" i="81"/>
  <c r="B1236" i="81"/>
  <c r="G1235" i="81"/>
  <c r="B1235" i="81"/>
  <c r="G1234" i="81"/>
  <c r="B1234" i="81"/>
  <c r="G1233" i="81"/>
  <c r="B1233" i="81"/>
  <c r="G1232" i="81"/>
  <c r="B1232" i="81"/>
  <c r="G1231" i="81"/>
  <c r="B1231" i="81"/>
  <c r="G1230" i="81"/>
  <c r="B1230" i="81"/>
  <c r="G1229" i="81"/>
  <c r="B1229" i="81"/>
  <c r="G1228" i="81"/>
  <c r="B1228" i="81"/>
  <c r="G1227" i="81"/>
  <c r="B1227" i="81"/>
  <c r="G1226" i="81"/>
  <c r="B1226" i="81"/>
  <c r="G1225" i="81"/>
  <c r="B1225" i="81"/>
  <c r="G1224" i="81"/>
  <c r="B1224" i="81"/>
  <c r="G1223" i="81"/>
  <c r="B1223" i="81"/>
  <c r="G1222" i="81"/>
  <c r="B1222" i="81"/>
  <c r="G1221" i="81"/>
  <c r="B1221" i="81"/>
  <c r="G1220" i="81"/>
  <c r="B1220" i="81"/>
  <c r="G1219" i="81"/>
  <c r="B1219" i="81"/>
  <c r="D1218" i="81"/>
  <c r="D1246" i="81" s="1"/>
  <c r="D1274" i="81" s="1"/>
  <c r="D1302" i="81" s="1"/>
  <c r="D1330" i="81" s="1"/>
  <c r="D1358" i="81" s="1"/>
  <c r="B1218" i="81"/>
  <c r="D1217" i="81"/>
  <c r="D1245" i="81" s="1"/>
  <c r="D1273" i="81" s="1"/>
  <c r="D1301" i="81" s="1"/>
  <c r="D1329" i="81" s="1"/>
  <c r="D1357" i="81" s="1"/>
  <c r="B1217" i="81"/>
  <c r="D1216" i="81"/>
  <c r="D1244" i="81" s="1"/>
  <c r="D1272" i="81" s="1"/>
  <c r="D1300" i="81" s="1"/>
  <c r="D1328" i="81" s="1"/>
  <c r="D1356" i="81" s="1"/>
  <c r="B1216" i="81"/>
  <c r="D1215" i="81"/>
  <c r="D1243" i="81" s="1"/>
  <c r="D1271" i="81" s="1"/>
  <c r="D1299" i="81" s="1"/>
  <c r="D1327" i="81" s="1"/>
  <c r="D1355" i="81" s="1"/>
  <c r="B1215" i="81"/>
  <c r="D1214" i="81"/>
  <c r="D1242" i="81" s="1"/>
  <c r="D1270" i="81" s="1"/>
  <c r="D1298" i="81" s="1"/>
  <c r="D1326" i="81" s="1"/>
  <c r="D1354" i="81" s="1"/>
  <c r="B1214" i="81"/>
  <c r="D1213" i="81"/>
  <c r="D1241" i="81" s="1"/>
  <c r="D1269" i="81" s="1"/>
  <c r="D1297" i="81" s="1"/>
  <c r="D1325" i="81" s="1"/>
  <c r="D1353" i="81" s="1"/>
  <c r="B1213" i="81"/>
  <c r="D1212" i="81"/>
  <c r="D1240" i="81" s="1"/>
  <c r="D1268" i="81" s="1"/>
  <c r="D1296" i="81" s="1"/>
  <c r="D1324" i="81" s="1"/>
  <c r="D1352" i="81" s="1"/>
  <c r="B1212" i="81"/>
  <c r="D1211" i="81"/>
  <c r="D1239" i="81" s="1"/>
  <c r="D1267" i="81" s="1"/>
  <c r="D1295" i="81" s="1"/>
  <c r="D1323" i="81" s="1"/>
  <c r="D1351" i="81" s="1"/>
  <c r="B1211" i="81"/>
  <c r="D1210" i="81"/>
  <c r="D1238" i="81" s="1"/>
  <c r="D1266" i="81" s="1"/>
  <c r="D1294" i="81" s="1"/>
  <c r="D1322" i="81" s="1"/>
  <c r="D1350" i="81" s="1"/>
  <c r="B1210" i="81"/>
  <c r="D1209" i="81"/>
  <c r="D1237" i="81" s="1"/>
  <c r="D1265" i="81" s="1"/>
  <c r="D1293" i="81" s="1"/>
  <c r="D1321" i="81" s="1"/>
  <c r="D1349" i="81" s="1"/>
  <c r="B1209" i="81"/>
  <c r="G1208" i="81"/>
  <c r="D1208" i="81"/>
  <c r="D1236" i="81" s="1"/>
  <c r="D1264" i="81" s="1"/>
  <c r="D1292" i="81" s="1"/>
  <c r="D1320" i="81" s="1"/>
  <c r="D1348" i="81" s="1"/>
  <c r="B1208" i="81"/>
  <c r="G1207" i="81"/>
  <c r="D1207" i="81"/>
  <c r="D1235" i="81" s="1"/>
  <c r="D1263" i="81" s="1"/>
  <c r="D1291" i="81" s="1"/>
  <c r="D1319" i="81" s="1"/>
  <c r="D1347" i="81" s="1"/>
  <c r="B1207" i="81"/>
  <c r="G1206" i="81"/>
  <c r="D1206" i="81"/>
  <c r="D1234" i="81" s="1"/>
  <c r="D1262" i="81" s="1"/>
  <c r="D1290" i="81" s="1"/>
  <c r="D1318" i="81" s="1"/>
  <c r="D1346" i="81" s="1"/>
  <c r="B1206" i="81"/>
  <c r="G1205" i="81"/>
  <c r="D1205" i="81"/>
  <c r="D1233" i="81" s="1"/>
  <c r="D1261" i="81" s="1"/>
  <c r="D1289" i="81" s="1"/>
  <c r="D1317" i="81" s="1"/>
  <c r="D1345" i="81" s="1"/>
  <c r="B1205" i="81"/>
  <c r="G1204" i="81"/>
  <c r="D1204" i="81"/>
  <c r="D1232" i="81" s="1"/>
  <c r="D1260" i="81" s="1"/>
  <c r="D1288" i="81" s="1"/>
  <c r="D1316" i="81" s="1"/>
  <c r="D1344" i="81" s="1"/>
  <c r="B1204" i="81"/>
  <c r="G1203" i="81"/>
  <c r="D1203" i="81"/>
  <c r="D1231" i="81" s="1"/>
  <c r="D1259" i="81" s="1"/>
  <c r="D1287" i="81" s="1"/>
  <c r="D1315" i="81" s="1"/>
  <c r="D1343" i="81" s="1"/>
  <c r="B1203" i="81"/>
  <c r="G1202" i="81"/>
  <c r="D1202" i="81"/>
  <c r="D1230" i="81" s="1"/>
  <c r="D1258" i="81" s="1"/>
  <c r="D1286" i="81" s="1"/>
  <c r="D1314" i="81" s="1"/>
  <c r="D1342" i="81" s="1"/>
  <c r="B1202" i="81"/>
  <c r="G1201" i="81"/>
  <c r="D1201" i="81"/>
  <c r="D1229" i="81" s="1"/>
  <c r="D1257" i="81" s="1"/>
  <c r="D1285" i="81" s="1"/>
  <c r="D1313" i="81" s="1"/>
  <c r="D1341" i="81" s="1"/>
  <c r="B1201" i="81"/>
  <c r="G1200" i="81"/>
  <c r="D1200" i="81"/>
  <c r="D1228" i="81" s="1"/>
  <c r="D1256" i="81" s="1"/>
  <c r="D1284" i="81" s="1"/>
  <c r="D1312" i="81" s="1"/>
  <c r="D1340" i="81" s="1"/>
  <c r="B1200" i="81"/>
  <c r="G1199" i="81"/>
  <c r="D1199" i="81"/>
  <c r="D1227" i="81" s="1"/>
  <c r="D1255" i="81" s="1"/>
  <c r="D1283" i="81" s="1"/>
  <c r="D1311" i="81" s="1"/>
  <c r="D1339" i="81" s="1"/>
  <c r="B1199" i="81"/>
  <c r="G1198" i="81"/>
  <c r="D1198" i="81"/>
  <c r="D1226" i="81" s="1"/>
  <c r="D1254" i="81" s="1"/>
  <c r="D1282" i="81" s="1"/>
  <c r="D1310" i="81" s="1"/>
  <c r="D1338" i="81" s="1"/>
  <c r="B1198" i="81"/>
  <c r="G1197" i="81"/>
  <c r="D1197" i="81"/>
  <c r="D1225" i="81" s="1"/>
  <c r="D1253" i="81" s="1"/>
  <c r="D1281" i="81" s="1"/>
  <c r="D1309" i="81" s="1"/>
  <c r="D1337" i="81" s="1"/>
  <c r="B1197" i="81"/>
  <c r="G1196" i="81"/>
  <c r="D1196" i="81"/>
  <c r="D1224" i="81" s="1"/>
  <c r="D1252" i="81" s="1"/>
  <c r="D1280" i="81" s="1"/>
  <c r="D1308" i="81" s="1"/>
  <c r="D1336" i="81" s="1"/>
  <c r="B1196" i="81"/>
  <c r="G1195" i="81"/>
  <c r="D1195" i="81"/>
  <c r="D1223" i="81" s="1"/>
  <c r="D1251" i="81" s="1"/>
  <c r="D1279" i="81" s="1"/>
  <c r="D1307" i="81" s="1"/>
  <c r="D1335" i="81" s="1"/>
  <c r="B1195" i="81"/>
  <c r="G1194" i="81"/>
  <c r="D1194" i="81"/>
  <c r="D1222" i="81" s="1"/>
  <c r="D1250" i="81" s="1"/>
  <c r="D1278" i="81" s="1"/>
  <c r="D1306" i="81" s="1"/>
  <c r="D1334" i="81" s="1"/>
  <c r="B1194" i="81"/>
  <c r="G1193" i="81"/>
  <c r="D1193" i="81"/>
  <c r="D1221" i="81" s="1"/>
  <c r="D1249" i="81" s="1"/>
  <c r="D1277" i="81" s="1"/>
  <c r="D1305" i="81" s="1"/>
  <c r="D1333" i="81" s="1"/>
  <c r="B1193" i="81"/>
  <c r="G1192" i="81"/>
  <c r="D1192" i="81"/>
  <c r="D1220" i="81" s="1"/>
  <c r="D1248" i="81" s="1"/>
  <c r="D1276" i="81" s="1"/>
  <c r="D1304" i="81" s="1"/>
  <c r="D1332" i="81" s="1"/>
  <c r="B1192" i="81"/>
  <c r="G1191" i="81"/>
  <c r="D1191" i="81"/>
  <c r="D1219" i="81" s="1"/>
  <c r="D1247" i="81" s="1"/>
  <c r="D1275" i="81" s="1"/>
  <c r="D1303" i="81" s="1"/>
  <c r="D1331" i="81" s="1"/>
  <c r="B1191" i="81"/>
  <c r="D3276" i="81"/>
  <c r="D3297" i="81" s="1"/>
  <c r="D3275" i="81"/>
  <c r="D3296" i="81" s="1"/>
  <c r="D3274" i="81"/>
  <c r="D3295" i="81" s="1"/>
  <c r="D3273" i="81"/>
  <c r="D3294" i="81" s="1"/>
  <c r="D3272" i="81"/>
  <c r="D3293" i="81" s="1"/>
  <c r="D3271" i="81"/>
  <c r="D3292" i="81" s="1"/>
  <c r="D3270" i="81"/>
  <c r="D3291" i="81" s="1"/>
  <c r="D3269" i="81"/>
  <c r="D3290" i="81" s="1"/>
  <c r="D3268" i="81"/>
  <c r="D3289" i="81" s="1"/>
  <c r="D3267" i="81"/>
  <c r="D3288" i="81" s="1"/>
  <c r="D3309" i="81" s="1"/>
  <c r="D3315" i="81" s="1"/>
  <c r="D3321" i="81" s="1"/>
  <c r="D3327" i="81" s="1"/>
  <c r="D3333" i="81" s="1"/>
  <c r="D3339" i="81" s="1"/>
  <c r="D3345" i="81" s="1"/>
  <c r="D3351" i="81" s="1"/>
  <c r="D3357" i="81" s="1"/>
  <c r="D3266" i="81"/>
  <c r="D3287" i="81" s="1"/>
  <c r="D3308" i="81" s="1"/>
  <c r="D3314" i="81" s="1"/>
  <c r="D3320" i="81" s="1"/>
  <c r="D3326" i="81" s="1"/>
  <c r="D3332" i="81" s="1"/>
  <c r="D3338" i="81" s="1"/>
  <c r="D3344" i="81" s="1"/>
  <c r="D3350" i="81" s="1"/>
  <c r="D3356" i="81" s="1"/>
  <c r="D3265" i="81"/>
  <c r="D3286" i="81" s="1"/>
  <c r="D3307" i="81" s="1"/>
  <c r="D3313" i="81" s="1"/>
  <c r="D3319" i="81" s="1"/>
  <c r="D3325" i="81" s="1"/>
  <c r="D3331" i="81" s="1"/>
  <c r="D3337" i="81" s="1"/>
  <c r="D3343" i="81" s="1"/>
  <c r="D3349" i="81" s="1"/>
  <c r="D3355" i="81" s="1"/>
  <c r="D3264" i="81"/>
  <c r="D3285" i="81" s="1"/>
  <c r="D3306" i="81" s="1"/>
  <c r="D3312" i="81" s="1"/>
  <c r="D3318" i="81" s="1"/>
  <c r="D3324" i="81" s="1"/>
  <c r="D3330" i="81" s="1"/>
  <c r="D3336" i="81" s="1"/>
  <c r="D3342" i="81" s="1"/>
  <c r="D3348" i="81" s="1"/>
  <c r="D3354" i="81" s="1"/>
  <c r="D3263" i="81"/>
  <c r="D3284" i="81" s="1"/>
  <c r="D3305" i="81" s="1"/>
  <c r="D3311" i="81" s="1"/>
  <c r="D3317" i="81" s="1"/>
  <c r="D3323" i="81" s="1"/>
  <c r="D3329" i="81" s="1"/>
  <c r="D3335" i="81" s="1"/>
  <c r="D3341" i="81" s="1"/>
  <c r="D3347" i="81" s="1"/>
  <c r="D3353" i="81" s="1"/>
  <c r="D3262" i="81"/>
  <c r="D3283" i="81" s="1"/>
  <c r="D3304" i="81" s="1"/>
  <c r="D3310" i="81" s="1"/>
  <c r="D3316" i="81" s="1"/>
  <c r="D3322" i="81" s="1"/>
  <c r="D3328" i="81" s="1"/>
  <c r="D3334" i="81" s="1"/>
  <c r="D3340" i="81" s="1"/>
  <c r="D3346" i="81" s="1"/>
  <c r="D3352" i="81" s="1"/>
  <c r="D3261" i="81"/>
  <c r="D3282" i="81" s="1"/>
  <c r="D3303" i="81" s="1"/>
  <c r="D3260" i="81"/>
  <c r="D3281" i="81" s="1"/>
  <c r="D3302" i="81" s="1"/>
  <c r="D3259" i="81"/>
  <c r="D3280" i="81" s="1"/>
  <c r="D3301" i="81" s="1"/>
  <c r="D3258" i="81"/>
  <c r="D3279" i="81" s="1"/>
  <c r="D3300" i="81" s="1"/>
  <c r="D3257" i="81"/>
  <c r="D3278" i="81" s="1"/>
  <c r="D3299" i="81" s="1"/>
  <c r="D3256" i="81"/>
  <c r="D3277" i="81" s="1"/>
  <c r="D3298" i="81" s="1"/>
  <c r="D3191" i="81"/>
  <c r="D3206" i="81" s="1"/>
  <c r="D3221" i="81" s="1"/>
  <c r="D3189" i="81"/>
  <c r="D3204" i="81" s="1"/>
  <c r="D3219" i="81" s="1"/>
  <c r="D3188" i="81"/>
  <c r="D3203" i="81" s="1"/>
  <c r="D3218" i="81" s="1"/>
  <c r="D3187" i="81"/>
  <c r="D3202" i="81" s="1"/>
  <c r="D3217" i="81" s="1"/>
  <c r="D3183" i="81"/>
  <c r="D3198" i="81" s="1"/>
  <c r="D3213" i="81" s="1"/>
  <c r="D3228" i="81" s="1"/>
  <c r="D3234" i="81" s="1"/>
  <c r="D3182" i="81"/>
  <c r="D3197" i="81" s="1"/>
  <c r="D3212" i="81" s="1"/>
  <c r="D3227" i="81" s="1"/>
  <c r="D3233" i="81" s="1"/>
  <c r="D3181" i="81"/>
  <c r="D3196" i="81" s="1"/>
  <c r="D3211" i="81" s="1"/>
  <c r="D3226" i="81" s="1"/>
  <c r="D3232" i="81" s="1"/>
  <c r="D3180" i="81"/>
  <c r="D3195" i="81" s="1"/>
  <c r="D3210" i="81" s="1"/>
  <c r="D3225" i="81" s="1"/>
  <c r="D3231" i="81" s="1"/>
  <c r="D3179" i="81"/>
  <c r="D3194" i="81" s="1"/>
  <c r="D3209" i="81" s="1"/>
  <c r="D3224" i="81" s="1"/>
  <c r="D3230" i="81" s="1"/>
  <c r="D3178" i="81"/>
  <c r="D3193" i="81" s="1"/>
  <c r="D3208" i="81" s="1"/>
  <c r="D3223" i="81" s="1"/>
  <c r="D3229" i="81" s="1"/>
  <c r="D2878" i="81"/>
  <c r="D2890" i="81" s="1"/>
  <c r="D2902" i="81" s="1"/>
  <c r="D2914" i="81" s="1"/>
  <c r="D2926" i="81" s="1"/>
  <c r="D2938" i="81" s="1"/>
  <c r="D2951" i="81" s="1"/>
  <c r="D2963" i="81" s="1"/>
  <c r="D2975" i="81" s="1"/>
  <c r="D2987" i="81" s="1"/>
  <c r="D2999" i="81" s="1"/>
  <c r="D3011" i="81" s="1"/>
  <c r="D3023" i="81" s="1"/>
  <c r="D3035" i="81" s="1"/>
  <c r="D3047" i="81" s="1"/>
  <c r="D3059" i="81" s="1"/>
  <c r="D3071" i="81" s="1"/>
  <c r="D3083" i="81" s="1"/>
  <c r="D3095" i="81" s="1"/>
  <c r="D3107" i="81" s="1"/>
  <c r="D2876" i="81"/>
  <c r="D2888" i="81" s="1"/>
  <c r="D2900" i="81" s="1"/>
  <c r="D2912" i="81" s="1"/>
  <c r="D2924" i="81" s="1"/>
  <c r="D2936" i="81" s="1"/>
  <c r="D2949" i="81" s="1"/>
  <c r="D2961" i="81" s="1"/>
  <c r="D2973" i="81" s="1"/>
  <c r="D2985" i="81" s="1"/>
  <c r="D2997" i="81" s="1"/>
  <c r="D3009" i="81" s="1"/>
  <c r="D3021" i="81" s="1"/>
  <c r="D3033" i="81" s="1"/>
  <c r="D3045" i="81" s="1"/>
  <c r="D3057" i="81" s="1"/>
  <c r="D3069" i="81" s="1"/>
  <c r="D3081" i="81" s="1"/>
  <c r="D3093" i="81" s="1"/>
  <c r="D3105" i="81" s="1"/>
  <c r="D2874" i="81"/>
  <c r="D2886" i="81" s="1"/>
  <c r="D2898" i="81" s="1"/>
  <c r="D2910" i="81" s="1"/>
  <c r="D2922" i="81" s="1"/>
  <c r="D2934" i="81" s="1"/>
  <c r="D2947" i="81" s="1"/>
  <c r="D2959" i="81" s="1"/>
  <c r="D2971" i="81" s="1"/>
  <c r="D2983" i="81" s="1"/>
  <c r="D2995" i="81" s="1"/>
  <c r="D3007" i="81" s="1"/>
  <c r="D3019" i="81" s="1"/>
  <c r="D3031" i="81" s="1"/>
  <c r="D3043" i="81" s="1"/>
  <c r="D3055" i="81" s="1"/>
  <c r="D3067" i="81" s="1"/>
  <c r="D3079" i="81" s="1"/>
  <c r="D3091" i="81" s="1"/>
  <c r="D3103" i="81" s="1"/>
  <c r="D2872" i="81"/>
  <c r="D2884" i="81" s="1"/>
  <c r="D2896" i="81" s="1"/>
  <c r="D2908" i="81" s="1"/>
  <c r="D2920" i="81" s="1"/>
  <c r="D2932" i="81" s="1"/>
  <c r="D2945" i="81" s="1"/>
  <c r="D2957" i="81" s="1"/>
  <c r="D2969" i="81" s="1"/>
  <c r="D2981" i="81" s="1"/>
  <c r="D2993" i="81" s="1"/>
  <c r="D3005" i="81" s="1"/>
  <c r="D3017" i="81" s="1"/>
  <c r="D3029" i="81" s="1"/>
  <c r="D3041" i="81" s="1"/>
  <c r="D3053" i="81" s="1"/>
  <c r="D3065" i="81" s="1"/>
  <c r="D3077" i="81" s="1"/>
  <c r="D3089" i="81" s="1"/>
  <c r="D3101" i="81" s="1"/>
  <c r="D2870" i="81"/>
  <c r="D2882" i="81" s="1"/>
  <c r="D2894" i="81" s="1"/>
  <c r="D2906" i="81" s="1"/>
  <c r="D2918" i="81" s="1"/>
  <c r="D2930" i="81" s="1"/>
  <c r="D2943" i="81" s="1"/>
  <c r="D2955" i="81" s="1"/>
  <c r="D2967" i="81" s="1"/>
  <c r="D2979" i="81" s="1"/>
  <c r="D2991" i="81" s="1"/>
  <c r="D3003" i="81" s="1"/>
  <c r="D3015" i="81" s="1"/>
  <c r="D3027" i="81" s="1"/>
  <c r="D3039" i="81" s="1"/>
  <c r="D3051" i="81" s="1"/>
  <c r="D3063" i="81" s="1"/>
  <c r="D3075" i="81" s="1"/>
  <c r="D3087" i="81" s="1"/>
  <c r="D3099" i="81" s="1"/>
  <c r="D2869" i="81"/>
  <c r="D2881" i="81" s="1"/>
  <c r="D2893" i="81" s="1"/>
  <c r="D2905" i="81" s="1"/>
  <c r="D2917" i="81" s="1"/>
  <c r="D2929" i="81" s="1"/>
  <c r="D2942" i="81" s="1"/>
  <c r="D2954" i="81" s="1"/>
  <c r="D2966" i="81" s="1"/>
  <c r="D2978" i="81" s="1"/>
  <c r="D2990" i="81" s="1"/>
  <c r="D3002" i="81" s="1"/>
  <c r="D3014" i="81" s="1"/>
  <c r="D3026" i="81" s="1"/>
  <c r="D3038" i="81" s="1"/>
  <c r="D3050" i="81" s="1"/>
  <c r="D3062" i="81" s="1"/>
  <c r="D3074" i="81" s="1"/>
  <c r="D3086" i="81" s="1"/>
  <c r="D3098" i="81" s="1"/>
  <c r="D2868" i="81"/>
  <c r="D2880" i="81" s="1"/>
  <c r="D2892" i="81" s="1"/>
  <c r="D2904" i="81" s="1"/>
  <c r="D2916" i="81" s="1"/>
  <c r="D2928" i="81" s="1"/>
  <c r="D2941" i="81" s="1"/>
  <c r="D2953" i="81" s="1"/>
  <c r="D2965" i="81" s="1"/>
  <c r="D2977" i="81" s="1"/>
  <c r="D2989" i="81" s="1"/>
  <c r="D3001" i="81" s="1"/>
  <c r="D3013" i="81" s="1"/>
  <c r="D3025" i="81" s="1"/>
  <c r="D3037" i="81" s="1"/>
  <c r="D3049" i="81" s="1"/>
  <c r="D3061" i="81" s="1"/>
  <c r="D3073" i="81" s="1"/>
  <c r="D3085" i="81" s="1"/>
  <c r="D3097" i="81" s="1"/>
  <c r="D2940" i="81" l="1"/>
  <c r="D2952" i="81" s="1"/>
  <c r="D2964" i="81" s="1"/>
  <c r="D2976" i="81" s="1"/>
  <c r="D2988" i="81" s="1"/>
  <c r="D3000" i="81" s="1"/>
  <c r="D3012" i="81" s="1"/>
  <c r="D3024" i="81" s="1"/>
  <c r="D3036" i="81" s="1"/>
  <c r="D3048" i="81" s="1"/>
  <c r="D3060" i="81" s="1"/>
  <c r="D3072" i="81" s="1"/>
  <c r="D3084" i="81" s="1"/>
  <c r="D3096" i="81" s="1"/>
  <c r="D2939" i="81"/>
  <c r="G14" i="68"/>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0" i="68"/>
  <c r="H20" i="68"/>
  <c r="I20" i="68"/>
  <c r="J20" i="68"/>
  <c r="K20" i="68"/>
  <c r="L20" i="68"/>
  <c r="M20" i="68"/>
  <c r="N20" i="68"/>
  <c r="O20" i="68"/>
  <c r="P20" i="68"/>
  <c r="Q20" i="68"/>
  <c r="R20" i="68"/>
  <c r="S20" i="68"/>
  <c r="T20" i="68"/>
  <c r="U20" i="68"/>
  <c r="V20" i="68"/>
  <c r="W20" i="68"/>
  <c r="X20" i="68"/>
  <c r="Y20" i="68"/>
  <c r="Z20" i="68"/>
  <c r="AA20" i="68"/>
  <c r="AB20" i="68"/>
  <c r="AC20" i="68"/>
  <c r="AD20" i="68"/>
  <c r="AE20" i="68"/>
  <c r="AF20" i="68"/>
  <c r="AG20" i="68"/>
  <c r="AH20" i="68"/>
  <c r="AI20" i="68"/>
  <c r="AJ20" i="68"/>
  <c r="AK20" i="68"/>
  <c r="AL20" i="68"/>
  <c r="AM20" i="68"/>
  <c r="AN20" i="68"/>
  <c r="AO20" i="68"/>
  <c r="AP20" i="68"/>
  <c r="AQ20" i="68"/>
  <c r="AR20" i="68"/>
  <c r="AS20" i="68"/>
  <c r="AT20" i="68"/>
  <c r="AU20" i="68"/>
  <c r="AV20" i="68"/>
  <c r="AW20" i="68"/>
  <c r="AX20" i="68"/>
  <c r="AY20" i="68"/>
  <c r="AZ20" i="68"/>
  <c r="BA20" i="68"/>
  <c r="BB20" i="68"/>
  <c r="BC20" i="68"/>
  <c r="BD20" i="68"/>
  <c r="BE20" i="68"/>
  <c r="BF20" i="68"/>
  <c r="BG20" i="68"/>
  <c r="BH20" i="68"/>
  <c r="BI20" i="68"/>
  <c r="BJ20" i="68"/>
  <c r="BK20" i="68"/>
  <c r="BL20" i="68"/>
  <c r="BM20" i="68"/>
  <c r="BN20" i="68"/>
  <c r="BO20" i="68"/>
  <c r="BP20" i="68"/>
  <c r="BQ20" i="68"/>
  <c r="BR20" i="68"/>
  <c r="BS20" i="68"/>
  <c r="BT20" i="68"/>
  <c r="BU20" i="68"/>
  <c r="BV20" i="68"/>
  <c r="BW20" i="68"/>
  <c r="BX20" i="68"/>
  <c r="BY20" i="68"/>
  <c r="BZ20" i="68"/>
  <c r="CA20" i="68"/>
  <c r="CB20" i="68"/>
  <c r="CC20" i="68"/>
  <c r="CD20" i="68"/>
  <c r="CE20" i="68"/>
  <c r="CF20" i="68"/>
  <c r="CG20" i="68"/>
  <c r="CH20" i="68"/>
  <c r="G49" i="64"/>
  <c r="H49" i="64"/>
  <c r="I49" i="64"/>
  <c r="J49" i="64"/>
  <c r="K49" i="64"/>
  <c r="L49" i="64"/>
  <c r="M49" i="64"/>
  <c r="N49" i="64"/>
  <c r="G16" i="63"/>
  <c r="G19" i="63" s="1"/>
  <c r="H16" i="63"/>
  <c r="H19" i="63" s="1"/>
  <c r="I16" i="63"/>
  <c r="I19" i="63" s="1"/>
  <c r="J16" i="63"/>
  <c r="J19" i="63" s="1"/>
  <c r="K16" i="63"/>
  <c r="K19" i="63" s="1"/>
  <c r="L16" i="63"/>
  <c r="L19" i="63" s="1"/>
  <c r="G27" i="63"/>
  <c r="G29" i="63" s="1"/>
  <c r="H27" i="63"/>
  <c r="H29" i="63" s="1"/>
  <c r="I27" i="63"/>
  <c r="I29" i="63" s="1"/>
  <c r="J27" i="63"/>
  <c r="J29" i="63" s="1"/>
  <c r="K27" i="63"/>
  <c r="K29" i="63" s="1"/>
  <c r="L27" i="63"/>
  <c r="L29" i="63" s="1"/>
  <c r="G49" i="63"/>
  <c r="H49" i="63"/>
  <c r="I49" i="63"/>
  <c r="J49" i="63"/>
  <c r="K49" i="63"/>
  <c r="L49" i="63"/>
  <c r="K31" i="63" l="1"/>
  <c r="K36" i="63" s="1"/>
  <c r="K52" i="63" s="1"/>
  <c r="J31" i="63"/>
  <c r="J36" i="63" s="1"/>
  <c r="J52" i="63" s="1"/>
  <c r="G31" i="63"/>
  <c r="G36" i="63" s="1"/>
  <c r="G52" i="63" s="1"/>
  <c r="I31" i="63"/>
  <c r="I36" i="63" s="1"/>
  <c r="I52" i="63" s="1"/>
  <c r="L31" i="63"/>
  <c r="L36" i="63" s="1"/>
  <c r="L52" i="63" s="1"/>
  <c r="H31" i="63"/>
  <c r="H36" i="63" s="1"/>
  <c r="H52" i="63" s="1"/>
  <c r="A153" i="80" l="1"/>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B1057" i="81" l="1"/>
  <c r="B1056" i="81"/>
  <c r="B1055" i="81"/>
  <c r="B1054" i="81"/>
  <c r="B1053" i="81"/>
  <c r="B1052" i="81"/>
  <c r="B1190" i="81" l="1"/>
  <c r="B1189" i="81"/>
  <c r="B1188" i="81"/>
  <c r="B1187" i="81"/>
  <c r="B1186" i="81"/>
  <c r="B1185" i="81"/>
  <c r="B1184" i="81"/>
  <c r="B1183" i="81"/>
  <c r="B1182" i="81"/>
  <c r="B1181" i="81"/>
  <c r="B1180" i="81"/>
  <c r="B1179" i="81"/>
  <c r="B1178" i="81"/>
  <c r="B1177" i="81"/>
  <c r="B1176" i="81"/>
  <c r="B1175" i="81"/>
  <c r="B1174" i="81"/>
  <c r="B1173" i="81"/>
  <c r="B1172" i="81"/>
  <c r="B1171" i="81"/>
  <c r="B1170" i="81"/>
  <c r="B1169" i="81"/>
  <c r="B1168" i="81"/>
  <c r="B1167" i="81"/>
  <c r="B1166" i="81"/>
  <c r="B1165" i="81"/>
  <c r="B1164" i="81"/>
  <c r="B1163" i="81"/>
  <c r="B1162" i="81"/>
  <c r="B1161" i="81"/>
  <c r="B1160" i="81"/>
  <c r="B1159" i="81"/>
  <c r="B1158" i="81"/>
  <c r="B1157" i="81"/>
  <c r="B1156" i="81"/>
  <c r="B1155" i="81"/>
  <c r="B1154" i="81"/>
  <c r="B1153" i="81"/>
  <c r="B1152" i="81"/>
  <c r="B1151" i="81"/>
  <c r="B1150" i="81"/>
  <c r="B1149" i="81"/>
  <c r="B1148" i="81"/>
  <c r="B1147" i="81"/>
  <c r="B1146" i="81"/>
  <c r="B1145" i="81"/>
  <c r="B1144" i="81"/>
  <c r="B1143" i="81"/>
  <c r="B1142" i="81"/>
  <c r="B1141" i="81"/>
  <c r="B1140" i="81"/>
  <c r="B1139" i="81"/>
  <c r="B1138" i="81"/>
  <c r="B1137" i="81"/>
  <c r="B1136" i="81"/>
  <c r="B1135" i="81"/>
  <c r="B1134" i="81"/>
  <c r="B1133" i="81"/>
  <c r="B1132" i="81"/>
  <c r="B1131" i="81"/>
  <c r="B1130" i="81"/>
  <c r="B1129" i="81"/>
  <c r="B1128" i="81"/>
  <c r="B1127" i="81"/>
  <c r="B1126" i="81"/>
  <c r="B1125" i="81"/>
  <c r="B1124" i="81"/>
  <c r="B1123" i="81"/>
  <c r="B1122" i="81"/>
  <c r="B1121" i="81"/>
  <c r="B1120" i="81"/>
  <c r="B1119" i="81"/>
  <c r="B1118" i="81"/>
  <c r="B1117" i="81"/>
  <c r="B1116" i="81"/>
  <c r="B1115" i="81"/>
  <c r="B1114" i="81"/>
  <c r="B1113" i="81"/>
  <c r="B1112" i="81"/>
  <c r="B1111" i="81"/>
  <c r="B1110" i="81"/>
  <c r="B1109" i="81"/>
  <c r="B1108" i="81"/>
  <c r="B1107" i="81"/>
  <c r="B1106" i="81"/>
  <c r="B1105" i="81"/>
  <c r="B1104" i="81"/>
  <c r="B1103" i="81"/>
  <c r="B1102" i="81"/>
  <c r="B1101" i="81"/>
  <c r="B1100" i="81"/>
  <c r="B1099" i="81"/>
  <c r="B1098" i="81"/>
  <c r="B1097" i="81"/>
  <c r="B1096" i="81"/>
  <c r="B1095" i="81"/>
  <c r="B1094" i="81"/>
  <c r="B1093" i="81"/>
  <c r="B1092" i="81"/>
  <c r="B1091" i="81"/>
  <c r="B1090" i="81"/>
  <c r="B1089" i="81"/>
  <c r="B1088" i="81"/>
  <c r="B1087" i="81"/>
  <c r="B1086" i="81"/>
  <c r="B1085" i="81"/>
  <c r="B1084" i="81"/>
  <c r="B1083" i="81"/>
  <c r="B1082" i="81"/>
  <c r="B1081" i="81"/>
  <c r="B1080" i="81"/>
  <c r="B1079" i="81"/>
  <c r="B1078" i="81"/>
  <c r="B1077" i="81"/>
  <c r="B1076" i="81"/>
  <c r="B1075" i="81"/>
  <c r="B1074" i="81"/>
  <c r="B1073" i="81"/>
  <c r="B1072" i="81"/>
  <c r="B1071" i="81"/>
  <c r="B1070" i="81"/>
  <c r="B1069" i="81"/>
  <c r="B1068" i="81"/>
  <c r="B1067" i="81"/>
  <c r="B1066" i="81"/>
  <c r="B1065" i="81"/>
  <c r="B1064" i="81"/>
  <c r="B1063" i="81"/>
  <c r="B1062" i="81"/>
  <c r="B1061" i="81"/>
  <c r="B1060" i="81"/>
  <c r="B1059" i="81"/>
  <c r="B1058" i="81"/>
  <c r="G1190" i="81"/>
  <c r="G1189" i="81"/>
  <c r="G1188" i="81"/>
  <c r="G1187" i="81"/>
  <c r="G1186" i="81"/>
  <c r="G1185" i="81"/>
  <c r="G1184" i="81"/>
  <c r="G1183" i="81"/>
  <c r="G1182" i="81"/>
  <c r="G1181" i="81"/>
  <c r="G1180" i="81"/>
  <c r="G1179" i="81"/>
  <c r="G1178" i="81"/>
  <c r="G1177" i="81"/>
  <c r="G1176" i="81"/>
  <c r="G1175" i="81"/>
  <c r="G1174" i="81"/>
  <c r="G1173" i="81"/>
  <c r="G1172" i="81"/>
  <c r="G1171" i="81"/>
  <c r="G1170" i="81"/>
  <c r="G1169" i="81"/>
  <c r="G1168" i="81"/>
  <c r="G1167" i="81"/>
  <c r="G1166" i="81"/>
  <c r="G1165" i="81"/>
  <c r="G1164" i="81"/>
  <c r="G1163" i="81"/>
  <c r="G1162" i="81"/>
  <c r="G1161" i="81"/>
  <c r="G1160" i="81"/>
  <c r="G1159" i="81"/>
  <c r="G1158" i="81"/>
  <c r="G1157" i="81"/>
  <c r="G1156" i="81"/>
  <c r="G1155" i="81"/>
  <c r="G1154" i="81"/>
  <c r="G1153" i="81"/>
  <c r="G1152" i="81"/>
  <c r="G1151" i="81"/>
  <c r="G1150" i="81"/>
  <c r="G1149" i="81"/>
  <c r="G1148" i="81"/>
  <c r="G1147" i="81"/>
  <c r="G1146" i="81"/>
  <c r="G1145" i="81"/>
  <c r="G1144" i="81"/>
  <c r="G1143" i="81"/>
  <c r="G1142" i="81"/>
  <c r="G1141" i="81"/>
  <c r="G1140" i="81"/>
  <c r="G1139" i="81"/>
  <c r="G1138" i="81"/>
  <c r="G1137" i="81"/>
  <c r="G1136" i="81"/>
  <c r="G1135" i="81"/>
  <c r="G1134" i="81"/>
  <c r="G1133" i="81"/>
  <c r="G1132" i="81"/>
  <c r="G1131" i="81"/>
  <c r="G1130" i="81"/>
  <c r="G1129" i="81"/>
  <c r="G1128" i="81"/>
  <c r="G1127" i="81"/>
  <c r="G1126" i="81"/>
  <c r="G1125" i="81"/>
  <c r="G1124" i="81"/>
  <c r="G1123" i="81"/>
  <c r="G1122" i="81"/>
  <c r="G1121" i="81"/>
  <c r="G1120" i="81"/>
  <c r="G1119" i="81"/>
  <c r="G1118" i="81"/>
  <c r="G1117" i="81"/>
  <c r="G1116" i="81"/>
  <c r="G1115" i="81"/>
  <c r="G1114" i="81"/>
  <c r="G1113" i="81"/>
  <c r="G1112" i="81"/>
  <c r="G1111" i="81"/>
  <c r="G1110" i="81"/>
  <c r="G1109" i="81"/>
  <c r="G1108" i="81"/>
  <c r="G1107" i="81"/>
  <c r="G1106" i="81"/>
  <c r="G1105" i="81"/>
  <c r="G1104" i="81"/>
  <c r="G1103" i="81"/>
  <c r="G1102" i="81"/>
  <c r="G1101" i="81"/>
  <c r="G1100" i="81"/>
  <c r="G1099" i="81"/>
  <c r="G1098" i="81"/>
  <c r="G1097" i="81"/>
  <c r="G1096" i="81"/>
  <c r="G1095" i="81"/>
  <c r="G1094" i="81"/>
  <c r="G1093" i="81"/>
  <c r="G1092" i="81"/>
  <c r="G1091" i="81"/>
  <c r="G1090" i="81"/>
  <c r="G1089" i="81"/>
  <c r="G1088" i="81"/>
  <c r="G1087" i="81"/>
  <c r="G1086" i="81"/>
  <c r="G1085" i="81"/>
  <c r="G1084" i="81"/>
  <c r="G1083" i="81"/>
  <c r="G1082" i="81"/>
  <c r="G1081" i="81"/>
  <c r="G1080" i="81"/>
  <c r="G1079" i="81"/>
  <c r="G1078" i="81"/>
  <c r="G1077" i="81"/>
  <c r="G1076" i="81"/>
  <c r="G1075" i="81"/>
  <c r="G1074" i="81"/>
  <c r="G1073" i="81"/>
  <c r="G1072" i="81"/>
  <c r="G1071" i="81"/>
  <c r="G1070" i="81"/>
  <c r="G1069" i="81"/>
  <c r="G1068" i="81"/>
  <c r="G1067" i="81"/>
  <c r="G1066" i="81"/>
  <c r="G1065" i="81"/>
  <c r="G1064" i="81"/>
  <c r="G1063" i="81"/>
  <c r="G1062" i="81"/>
  <c r="G1061" i="81"/>
  <c r="G1060" i="81"/>
  <c r="G1059" i="81"/>
  <c r="G1058" i="81"/>
  <c r="G1057" i="81"/>
  <c r="G1056" i="81"/>
  <c r="G1055" i="81"/>
  <c r="G1054" i="81"/>
  <c r="G1053" i="81"/>
  <c r="G1052" i="8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AA9" i="18" l="1"/>
  <c r="AA10" i="18" s="1"/>
  <c r="AA34" i="17"/>
  <c r="AA11" i="18" l="1"/>
  <c r="N11" i="24"/>
  <c r="AA12" i="18" l="1"/>
  <c r="AA13" i="18" l="1"/>
  <c r="AA14" i="18" l="1"/>
  <c r="AA15" i="18" l="1"/>
  <c r="S22" i="73"/>
  <c r="S14" i="73"/>
  <c r="AA16" i="18" l="1"/>
  <c r="Q14" i="73"/>
  <c r="Q22" i="73"/>
  <c r="Q11" i="69"/>
  <c r="O11" i="69" s="1"/>
  <c r="D49"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AA19" i="18"/>
  <c r="L23" i="8"/>
  <c r="L21" i="8"/>
  <c r="L20" i="8"/>
  <c r="L17" i="8"/>
  <c r="L16" i="8"/>
  <c r="L6" i="8"/>
  <c r="O9" i="30"/>
  <c r="AA20" i="18" l="1"/>
  <c r="AG41" i="76"/>
  <c r="AA21" i="18" l="1"/>
  <c r="O48" i="64"/>
  <c r="O47" i="64"/>
  <c r="O46" i="64"/>
  <c r="O45" i="64"/>
  <c r="O44" i="64"/>
  <c r="AC47" i="64" l="1"/>
  <c r="Y47" i="64"/>
  <c r="AB47" i="64"/>
  <c r="X47" i="64"/>
  <c r="V47" i="64"/>
  <c r="AA47" i="64"/>
  <c r="W47" i="64"/>
  <c r="Z47" i="64"/>
  <c r="AB46" i="64"/>
  <c r="X46" i="64"/>
  <c r="AC46" i="64"/>
  <c r="AA46" i="64"/>
  <c r="W46" i="64"/>
  <c r="Z46" i="64"/>
  <c r="Y46" i="64"/>
  <c r="V46" i="64"/>
  <c r="Z44" i="64"/>
  <c r="AA44" i="64"/>
  <c r="AC44" i="64"/>
  <c r="Y44" i="64"/>
  <c r="AB44" i="64"/>
  <c r="X44" i="64"/>
  <c r="W44" i="64"/>
  <c r="V44" i="64"/>
  <c r="Z48" i="64"/>
  <c r="V48" i="64"/>
  <c r="AC48" i="64"/>
  <c r="Y48" i="64"/>
  <c r="AB48" i="64"/>
  <c r="X48" i="64"/>
  <c r="AA48" i="64"/>
  <c r="W48" i="64"/>
  <c r="AA45" i="64"/>
  <c r="W45" i="64"/>
  <c r="Z45" i="64"/>
  <c r="V45" i="64"/>
  <c r="AC45" i="64"/>
  <c r="Y45" i="64"/>
  <c r="AB45" i="64"/>
  <c r="X45" i="64"/>
  <c r="AA22" i="18"/>
  <c r="J22" i="76"/>
  <c r="J24" i="76" s="1"/>
  <c r="J12" i="76"/>
  <c r="J14" i="76" s="1"/>
  <c r="R44" i="64" l="1"/>
  <c r="R46" i="64"/>
  <c r="R45" i="64"/>
  <c r="R48" i="64"/>
  <c r="R47" i="64"/>
  <c r="AA23" i="18"/>
  <c r="T16" i="44"/>
  <c r="T9" i="44"/>
  <c r="AA24" i="18" l="1"/>
  <c r="AA25" i="18" l="1"/>
  <c r="E56" i="2"/>
  <c r="E55" i="2"/>
  <c r="E54" i="2"/>
  <c r="E53" i="2"/>
  <c r="E52" i="2"/>
  <c r="E51" i="2"/>
  <c r="E50" i="2"/>
  <c r="E49" i="2"/>
  <c r="E48" i="2"/>
  <c r="E47" i="2"/>
  <c r="E46" i="2"/>
  <c r="E45" i="2"/>
  <c r="E44" i="2"/>
  <c r="E43" i="2"/>
  <c r="E42" i="2"/>
  <c r="E41" i="2"/>
  <c r="E40" i="2"/>
  <c r="E39" i="2"/>
  <c r="E38" i="2"/>
  <c r="E37" i="2"/>
  <c r="E36" i="2"/>
  <c r="E35" i="2"/>
  <c r="E34" i="2"/>
  <c r="E30" i="2"/>
  <c r="E29" i="2"/>
  <c r="E28" i="2"/>
  <c r="E27" i="2"/>
  <c r="E24" i="2"/>
  <c r="E23" i="2"/>
  <c r="E22" i="2"/>
  <c r="E21" i="2"/>
  <c r="E20" i="2"/>
  <c r="E19" i="2"/>
  <c r="E18" i="2"/>
  <c r="E17" i="2"/>
  <c r="E16" i="2"/>
  <c r="E15" i="2"/>
  <c r="E12" i="2"/>
  <c r="E11" i="2"/>
  <c r="E10" i="2"/>
  <c r="E9" i="2"/>
  <c r="E8" i="2"/>
  <c r="AA26" i="18" l="1"/>
  <c r="M13" i="70"/>
  <c r="J13" i="70" s="1"/>
  <c r="X49" i="66"/>
  <c r="O49" i="66"/>
  <c r="X48" i="66"/>
  <c r="O48" i="66"/>
  <c r="X47" i="66"/>
  <c r="O47" i="66"/>
  <c r="X46" i="66"/>
  <c r="O46" i="66"/>
  <c r="X45" i="66"/>
  <c r="O45" i="66"/>
  <c r="T40" i="65"/>
  <c r="T39" i="65"/>
  <c r="T38" i="65"/>
  <c r="T37" i="65"/>
  <c r="T36" i="65"/>
  <c r="M40" i="65"/>
  <c r="M39" i="65"/>
  <c r="M38" i="65"/>
  <c r="M37" i="65"/>
  <c r="M36" i="65"/>
  <c r="V51" i="66"/>
  <c r="U51" i="66"/>
  <c r="T51" i="66"/>
  <c r="S51" i="66"/>
  <c r="R51" i="66"/>
  <c r="Q51" i="66"/>
  <c r="M51" i="66"/>
  <c r="M52" i="66" s="1"/>
  <c r="L51" i="66"/>
  <c r="L52" i="66" s="1"/>
  <c r="K51" i="66"/>
  <c r="K52" i="66" s="1"/>
  <c r="J51" i="66"/>
  <c r="J52" i="66" s="1"/>
  <c r="I51" i="66"/>
  <c r="I52" i="66" s="1"/>
  <c r="AS47" i="66" l="1"/>
  <c r="AO47" i="66"/>
  <c r="AJ47" i="66"/>
  <c r="AF47" i="66"/>
  <c r="AP47" i="66"/>
  <c r="AG47" i="66"/>
  <c r="AR47" i="66"/>
  <c r="AN47" i="66"/>
  <c r="AI47" i="66"/>
  <c r="AE47" i="66"/>
  <c r="AT47" i="66"/>
  <c r="AK47" i="66"/>
  <c r="AU47" i="66"/>
  <c r="AQ47" i="66"/>
  <c r="AL47" i="66"/>
  <c r="AH47" i="66"/>
  <c r="AU49" i="66"/>
  <c r="AQ49" i="66"/>
  <c r="AL49" i="66"/>
  <c r="AH49" i="66"/>
  <c r="AR49" i="66"/>
  <c r="AN49" i="66"/>
  <c r="AE49" i="66"/>
  <c r="AT49" i="66"/>
  <c r="AP49" i="66"/>
  <c r="AK49" i="66"/>
  <c r="AG49" i="66"/>
  <c r="AI49" i="66"/>
  <c r="AS49" i="66"/>
  <c r="AO49" i="66"/>
  <c r="AJ49" i="66"/>
  <c r="AF49" i="66"/>
  <c r="AT46" i="66"/>
  <c r="AP46" i="66"/>
  <c r="AK46" i="66"/>
  <c r="AG46" i="66"/>
  <c r="AQ46" i="66"/>
  <c r="AH46" i="66"/>
  <c r="AS46" i="66"/>
  <c r="AO46" i="66"/>
  <c r="AJ46" i="66"/>
  <c r="AF46" i="66"/>
  <c r="AU46" i="66"/>
  <c r="AL46" i="66"/>
  <c r="AR46" i="66"/>
  <c r="AN46" i="66"/>
  <c r="AI46" i="66"/>
  <c r="AE46" i="66"/>
  <c r="AR48" i="66"/>
  <c r="AN48" i="66"/>
  <c r="AI48" i="66"/>
  <c r="AE48" i="66"/>
  <c r="AS48" i="66"/>
  <c r="AO48" i="66"/>
  <c r="AF48" i="66"/>
  <c r="AU48" i="66"/>
  <c r="AQ48" i="66"/>
  <c r="AL48" i="66"/>
  <c r="AH48" i="66"/>
  <c r="AJ48" i="66"/>
  <c r="AT48" i="66"/>
  <c r="AP48" i="66"/>
  <c r="AK48" i="66"/>
  <c r="AG48" i="66"/>
  <c r="AU45" i="66"/>
  <c r="AQ45" i="66"/>
  <c r="AL45" i="66"/>
  <c r="AH45" i="66"/>
  <c r="AR45" i="66"/>
  <c r="AN45" i="66"/>
  <c r="AI45" i="66"/>
  <c r="AE45" i="66"/>
  <c r="AT45" i="66"/>
  <c r="AP45" i="66"/>
  <c r="AK45" i="66"/>
  <c r="AG45" i="66"/>
  <c r="AS45" i="66"/>
  <c r="AO45" i="66"/>
  <c r="AJ45" i="66"/>
  <c r="AF45" i="66"/>
  <c r="AM38" i="65"/>
  <c r="AI38" i="65"/>
  <c r="AD38" i="65"/>
  <c r="AJ38" i="65"/>
  <c r="AA38" i="65"/>
  <c r="AL38" i="65"/>
  <c r="AH38" i="65"/>
  <c r="AC38" i="65"/>
  <c r="AE38" i="65"/>
  <c r="AK38" i="65"/>
  <c r="AF38" i="65"/>
  <c r="AB38" i="65"/>
  <c r="AM39" i="65"/>
  <c r="AI39" i="65"/>
  <c r="AD39" i="65"/>
  <c r="AL39" i="65"/>
  <c r="AH39" i="65"/>
  <c r="AC39" i="65"/>
  <c r="AE39" i="65"/>
  <c r="AK39" i="65"/>
  <c r="AF39" i="65"/>
  <c r="AB39" i="65"/>
  <c r="AJ39" i="65"/>
  <c r="AA39" i="65"/>
  <c r="AM36" i="65"/>
  <c r="AI36" i="65"/>
  <c r="AD36" i="65"/>
  <c r="AE36" i="65"/>
  <c r="AL36" i="65"/>
  <c r="AH36" i="65"/>
  <c r="AC36" i="65"/>
  <c r="AA36" i="65"/>
  <c r="AK36" i="65"/>
  <c r="AF36" i="65"/>
  <c r="AB36" i="65"/>
  <c r="AJ36" i="65"/>
  <c r="AM40" i="65"/>
  <c r="AI40" i="65"/>
  <c r="AD40" i="65"/>
  <c r="AA40" i="65"/>
  <c r="AL40" i="65"/>
  <c r="AH40" i="65"/>
  <c r="AC40" i="65"/>
  <c r="AE40" i="65"/>
  <c r="AK40" i="65"/>
  <c r="AF40" i="65"/>
  <c r="AB40" i="65"/>
  <c r="AJ40" i="65"/>
  <c r="AM37" i="65"/>
  <c r="AI37" i="65"/>
  <c r="AD37" i="65"/>
  <c r="AE37" i="65"/>
  <c r="AL37" i="65"/>
  <c r="AH37" i="65"/>
  <c r="AC37" i="65"/>
  <c r="AA37" i="65"/>
  <c r="AK37" i="65"/>
  <c r="AF37" i="65"/>
  <c r="AB37" i="65"/>
  <c r="AJ37" i="65"/>
  <c r="AA27" i="18"/>
  <c r="P1" i="76"/>
  <c r="N1" i="75"/>
  <c r="H1" i="74"/>
  <c r="I1" i="73"/>
  <c r="AG1" i="72"/>
  <c r="H1" i="71"/>
  <c r="H1" i="70"/>
  <c r="H1" i="69"/>
  <c r="CI1" i="68"/>
  <c r="J1" i="67"/>
  <c r="Y1" i="66"/>
  <c r="U1" i="65"/>
  <c r="P1" i="64"/>
  <c r="N1" i="63"/>
  <c r="AA45" i="66" l="1"/>
  <c r="AA49" i="66"/>
  <c r="AA46" i="66"/>
  <c r="AA47" i="66"/>
  <c r="AA48" i="66"/>
  <c r="W37" i="65"/>
  <c r="W40" i="65"/>
  <c r="W36" i="65"/>
  <c r="W39" i="65"/>
  <c r="W38"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AA33" i="18" l="1"/>
  <c r="AA37" i="18" s="1"/>
  <c r="F1" i="21"/>
  <c r="DD4" i="39" l="1"/>
  <c r="DD5" i="39"/>
  <c r="DD6" i="39"/>
  <c r="DD7" i="39"/>
  <c r="DD8" i="39"/>
  <c r="DD9" i="39"/>
  <c r="DD10" i="39"/>
  <c r="DD11" i="39"/>
  <c r="DD12" i="39"/>
  <c r="DD13" i="39"/>
  <c r="DD14" i="39"/>
  <c r="DD15" i="39"/>
  <c r="DD16" i="39"/>
  <c r="DD17" i="39"/>
  <c r="DD18" i="39"/>
  <c r="DD19" i="39"/>
  <c r="DD20" i="39"/>
  <c r="DD21" i="39"/>
  <c r="DD22" i="39"/>
  <c r="DD23" i="39"/>
  <c r="DD24" i="39"/>
  <c r="DD25" i="39"/>
  <c r="DD26" i="39"/>
  <c r="DD3" i="39"/>
  <c r="CR4" i="39"/>
  <c r="CR5" i="39"/>
  <c r="CR6" i="39"/>
  <c r="CR7" i="39"/>
  <c r="CR8" i="39"/>
  <c r="CR9" i="39"/>
  <c r="CR10" i="39"/>
  <c r="CR11" i="39"/>
  <c r="CR12" i="39"/>
  <c r="CR13" i="39"/>
  <c r="CR14" i="39"/>
  <c r="CR15" i="39"/>
  <c r="CR16" i="39"/>
  <c r="CR17" i="39"/>
  <c r="CR18" i="39"/>
  <c r="CR19" i="39"/>
  <c r="CR20" i="39"/>
  <c r="CR21" i="39"/>
  <c r="CR22" i="39"/>
  <c r="CR23" i="39"/>
  <c r="CR24" i="39"/>
  <c r="CR3" i="39"/>
  <c r="CL4" i="39"/>
  <c r="CL5" i="39"/>
  <c r="CL6" i="39"/>
  <c r="CL7" i="39"/>
  <c r="CL8" i="39"/>
  <c r="CL9" i="39"/>
  <c r="CL10" i="39"/>
  <c r="CL11" i="39"/>
  <c r="CL12" i="39"/>
  <c r="CL13" i="39"/>
  <c r="CL14" i="39"/>
  <c r="CL15" i="39"/>
  <c r="CL16" i="39"/>
  <c r="CL17" i="39"/>
  <c r="CL18" i="39"/>
  <c r="CL19" i="39"/>
  <c r="CL20" i="39"/>
  <c r="CL21" i="39"/>
  <c r="CL22" i="39"/>
  <c r="CL23" i="39"/>
  <c r="CL24" i="39"/>
  <c r="CL25" i="39"/>
  <c r="CL26" i="39"/>
  <c r="CL27" i="39"/>
  <c r="CL28" i="39"/>
  <c r="CL29" i="39"/>
  <c r="CL30" i="39"/>
  <c r="CL31" i="39"/>
  <c r="CL32" i="39"/>
  <c r="CL33" i="39"/>
  <c r="CL34" i="39"/>
  <c r="CL35" i="39"/>
  <c r="CL36" i="39"/>
  <c r="CL37" i="39"/>
  <c r="CL38" i="39"/>
  <c r="CL39" i="39"/>
  <c r="CL40" i="39"/>
  <c r="CL41" i="39"/>
  <c r="CL42" i="39"/>
  <c r="CL3" i="39"/>
  <c r="CF4" i="39"/>
  <c r="CF5" i="39"/>
  <c r="CF6" i="39"/>
  <c r="CF7" i="39"/>
  <c r="CF8" i="39"/>
  <c r="CF9" i="39"/>
  <c r="CF10" i="39"/>
  <c r="CF11" i="39"/>
  <c r="CF12" i="39"/>
  <c r="CF13" i="39"/>
  <c r="CF14" i="39"/>
  <c r="CF15" i="39"/>
  <c r="CF16" i="39"/>
  <c r="CF17" i="39"/>
  <c r="CF18" i="39"/>
  <c r="CF19" i="39"/>
  <c r="CF20" i="39"/>
  <c r="CF21" i="39"/>
  <c r="CF22" i="39"/>
  <c r="CF23" i="39"/>
  <c r="CF24" i="39"/>
  <c r="CF25" i="39"/>
  <c r="CF26" i="39"/>
  <c r="CF3" i="39"/>
  <c r="BZ4" i="39"/>
  <c r="BZ5" i="39"/>
  <c r="BZ6" i="39"/>
  <c r="BZ7" i="39"/>
  <c r="BZ8" i="39"/>
  <c r="BZ9" i="39"/>
  <c r="BZ10" i="39"/>
  <c r="BZ11" i="39"/>
  <c r="BZ12" i="39"/>
  <c r="BZ13" i="39"/>
  <c r="BZ14" i="39"/>
  <c r="BZ15" i="39"/>
  <c r="BZ16" i="39"/>
  <c r="BZ17" i="39"/>
  <c r="BZ18" i="39"/>
  <c r="BZ19" i="39"/>
  <c r="BZ20" i="39"/>
  <c r="BZ21" i="39"/>
  <c r="BZ22" i="39"/>
  <c r="BZ23" i="39"/>
  <c r="BZ24" i="39"/>
  <c r="BZ25" i="39"/>
  <c r="BZ26" i="39"/>
  <c r="BZ3" i="39"/>
  <c r="BT4" i="39"/>
  <c r="BT5" i="39"/>
  <c r="BT6" i="39"/>
  <c r="BT7" i="39"/>
  <c r="BT8" i="39"/>
  <c r="BT9" i="39"/>
  <c r="BT10" i="39"/>
  <c r="BT11" i="39"/>
  <c r="BT12" i="39"/>
  <c r="BT3" i="39"/>
  <c r="BN4" i="39"/>
  <c r="BN5" i="39"/>
  <c r="BN6" i="39"/>
  <c r="BN7" i="39"/>
  <c r="BN8" i="39"/>
  <c r="BN9" i="39"/>
  <c r="BN10" i="39"/>
  <c r="BN11" i="39"/>
  <c r="BN12" i="39"/>
  <c r="BN13" i="39"/>
  <c r="BN14" i="39"/>
  <c r="BN3" i="39"/>
  <c r="BH4" i="39"/>
  <c r="BH5" i="39"/>
  <c r="BH6" i="39"/>
  <c r="BH7" i="39"/>
  <c r="BH8" i="39"/>
  <c r="BH9" i="39"/>
  <c r="BH10" i="39"/>
  <c r="BH11" i="39"/>
  <c r="BH12" i="39"/>
  <c r="BH3" i="39"/>
  <c r="BB4" i="39"/>
  <c r="BB5" i="39"/>
  <c r="BB6" i="39"/>
  <c r="BB7" i="39"/>
  <c r="BB3" i="39"/>
  <c r="AP4" i="39"/>
  <c r="AP5" i="39"/>
  <c r="AP6" i="39"/>
  <c r="AP7" i="39"/>
  <c r="AP8" i="39"/>
  <c r="AP9" i="39"/>
  <c r="AP10" i="39"/>
  <c r="AP11" i="39"/>
  <c r="AP12" i="39"/>
  <c r="AP13" i="39"/>
  <c r="AP3" i="39"/>
  <c r="R4" i="39"/>
  <c r="R5" i="39"/>
  <c r="R6" i="39"/>
  <c r="R7" i="39"/>
  <c r="R8" i="39"/>
  <c r="R3" i="39"/>
  <c r="L4" i="39"/>
  <c r="L5" i="39"/>
  <c r="L6" i="39"/>
  <c r="L7" i="39"/>
  <c r="L8" i="39"/>
  <c r="L9" i="39"/>
  <c r="L10" i="39"/>
  <c r="L11" i="39"/>
  <c r="L12" i="39"/>
  <c r="L13" i="39"/>
  <c r="L14" i="39"/>
  <c r="L15" i="39"/>
  <c r="L16" i="39"/>
  <c r="L17" i="39"/>
  <c r="L18" i="39"/>
  <c r="L19" i="39"/>
  <c r="L3" i="39"/>
  <c r="DD2" i="39"/>
  <c r="CR2" i="39"/>
  <c r="CL2" i="39"/>
  <c r="CF2" i="39"/>
  <c r="BZ2" i="39"/>
  <c r="BT2" i="39"/>
  <c r="BN2" i="39"/>
  <c r="BH2" i="39"/>
  <c r="BB2" i="39"/>
  <c r="AV2" i="39"/>
  <c r="AP2" i="39"/>
  <c r="AJ2" i="39"/>
  <c r="AD2" i="39"/>
  <c r="X2" i="39"/>
  <c r="R2" i="39"/>
  <c r="F2" i="39"/>
  <c r="L2" i="39"/>
  <c r="DV4" i="37"/>
  <c r="DV5" i="37"/>
  <c r="DV6" i="37"/>
  <c r="DV7" i="37"/>
  <c r="DV8" i="37"/>
  <c r="DV9" i="37"/>
  <c r="DV10" i="37"/>
  <c r="DV11" i="37"/>
  <c r="DV12" i="37"/>
  <c r="DV13" i="37"/>
  <c r="DV14" i="37"/>
  <c r="DV15" i="37"/>
  <c r="DV16" i="37"/>
  <c r="DV17" i="37"/>
  <c r="DV18" i="37"/>
  <c r="DV19" i="37"/>
  <c r="DV20" i="37"/>
  <c r="DV21" i="37"/>
  <c r="DV22" i="37"/>
  <c r="DV23" i="37"/>
  <c r="DV24" i="37"/>
  <c r="DV25" i="37"/>
  <c r="DV26" i="37"/>
  <c r="DV27" i="37"/>
  <c r="DV28" i="37"/>
  <c r="DV29" i="37"/>
  <c r="DV30" i="37"/>
  <c r="DV31" i="37"/>
  <c r="DV32" i="37"/>
  <c r="DV33" i="37"/>
  <c r="DV34" i="37"/>
  <c r="DV35" i="37"/>
  <c r="DV36" i="37"/>
  <c r="DV3" i="37"/>
  <c r="DO4" i="37"/>
  <c r="DO5" i="37"/>
  <c r="DO6" i="37"/>
  <c r="DO7" i="37"/>
  <c r="DO8" i="37"/>
  <c r="DO9" i="37"/>
  <c r="DO10" i="37"/>
  <c r="DO11" i="37"/>
  <c r="DO12" i="37"/>
  <c r="DO13" i="37"/>
  <c r="DO14" i="37"/>
  <c r="DO15" i="37"/>
  <c r="DO16" i="37"/>
  <c r="DO17" i="37"/>
  <c r="DO18" i="37"/>
  <c r="DO19" i="37"/>
  <c r="DO20" i="37"/>
  <c r="DO21" i="37"/>
  <c r="DO22" i="37"/>
  <c r="DO23" i="37"/>
  <c r="DO24" i="37"/>
  <c r="DO25" i="37"/>
  <c r="DO26" i="37"/>
  <c r="DO27" i="37"/>
  <c r="DO28" i="37"/>
  <c r="DO29" i="37"/>
  <c r="DO30" i="37"/>
  <c r="DO31" i="37"/>
  <c r="DO32" i="37"/>
  <c r="DO33" i="37"/>
  <c r="DO34" i="37"/>
  <c r="DO3" i="37"/>
  <c r="DH4" i="37"/>
  <c r="DH5" i="37"/>
  <c r="DH6" i="37"/>
  <c r="DH7" i="37"/>
  <c r="DH8" i="37"/>
  <c r="DH9" i="37"/>
  <c r="DH10" i="37"/>
  <c r="DH11" i="37"/>
  <c r="DH12" i="37"/>
  <c r="DH13" i="37"/>
  <c r="DH14" i="37"/>
  <c r="DH15" i="37"/>
  <c r="DH16" i="37"/>
  <c r="DH17" i="37"/>
  <c r="DH18" i="37"/>
  <c r="DH19" i="37"/>
  <c r="DH20" i="37"/>
  <c r="DH21" i="37"/>
  <c r="DH22" i="37"/>
  <c r="DH23" i="37"/>
  <c r="DH24" i="37"/>
  <c r="DH25" i="37"/>
  <c r="DH26" i="37"/>
  <c r="DH27" i="37"/>
  <c r="DH28" i="37"/>
  <c r="DH29" i="37"/>
  <c r="DH30" i="37"/>
  <c r="DH31" i="37"/>
  <c r="DH32" i="37"/>
  <c r="DH33" i="37"/>
  <c r="DH3" i="37"/>
  <c r="DA4" i="37"/>
  <c r="DA5" i="37"/>
  <c r="DA6" i="37"/>
  <c r="DA7" i="37"/>
  <c r="DA8" i="37"/>
  <c r="DA9" i="37"/>
  <c r="DA10" i="37"/>
  <c r="DA11" i="37"/>
  <c r="DA12" i="37"/>
  <c r="DA13" i="37"/>
  <c r="DA14" i="37"/>
  <c r="DA15" i="37"/>
  <c r="DA16" i="37"/>
  <c r="DA17" i="37"/>
  <c r="DA18" i="37"/>
  <c r="DA19" i="37"/>
  <c r="DA20" i="37"/>
  <c r="DA21" i="37"/>
  <c r="DA22" i="37"/>
  <c r="DA23" i="37"/>
  <c r="DA24" i="37"/>
  <c r="DA25" i="37"/>
  <c r="DA26" i="37"/>
  <c r="DA27" i="37"/>
  <c r="DA28" i="37"/>
  <c r="DA29" i="37"/>
  <c r="DA3" i="37"/>
  <c r="CT4" i="37"/>
  <c r="CT5" i="37"/>
  <c r="CT6" i="37"/>
  <c r="CT7" i="37"/>
  <c r="CT8" i="37"/>
  <c r="CT9" i="37"/>
  <c r="CT10" i="37"/>
  <c r="CT11" i="37"/>
  <c r="CT12" i="37"/>
  <c r="CT13" i="37"/>
  <c r="CT14" i="37"/>
  <c r="CT15" i="37"/>
  <c r="CT16" i="37"/>
  <c r="CT17" i="37"/>
  <c r="CT18" i="37"/>
  <c r="CT19" i="37"/>
  <c r="CT20" i="37"/>
  <c r="CT21" i="37"/>
  <c r="CT22" i="37"/>
  <c r="CT23" i="37"/>
  <c r="CT24" i="37"/>
  <c r="CT25" i="37"/>
  <c r="CT26" i="37"/>
  <c r="CT27" i="37"/>
  <c r="CT28" i="37"/>
  <c r="CT29" i="37"/>
  <c r="CT30" i="37"/>
  <c r="CT31" i="37"/>
  <c r="CT32" i="37"/>
  <c r="CT33" i="37"/>
  <c r="CT34" i="37"/>
  <c r="CT35" i="37"/>
  <c r="CT36" i="37"/>
  <c r="CT37" i="37"/>
  <c r="CT38" i="37"/>
  <c r="CT39" i="37"/>
  <c r="CT40" i="37"/>
  <c r="CT41" i="37"/>
  <c r="CT42" i="37"/>
  <c r="CT43" i="37"/>
  <c r="CT44" i="37"/>
  <c r="CT45" i="37"/>
  <c r="CT46" i="37"/>
  <c r="CT47" i="37"/>
  <c r="CT48" i="37"/>
  <c r="CT49" i="37"/>
  <c r="CT50" i="37"/>
  <c r="CT51" i="37"/>
  <c r="CT52" i="37"/>
  <c r="CT53" i="37"/>
  <c r="CT54" i="37"/>
  <c r="CT55" i="37"/>
  <c r="CT56" i="37"/>
  <c r="CT57" i="37"/>
  <c r="CT3" i="37"/>
  <c r="CM4" i="37"/>
  <c r="CM5" i="37"/>
  <c r="CM6" i="37"/>
  <c r="CM7" i="37"/>
  <c r="CM8" i="37"/>
  <c r="CM9" i="37"/>
  <c r="CM10" i="37"/>
  <c r="CM11" i="37"/>
  <c r="CM12" i="37"/>
  <c r="CM13" i="37"/>
  <c r="CM14" i="37"/>
  <c r="CM15" i="37"/>
  <c r="CM16" i="37"/>
  <c r="CM17" i="37"/>
  <c r="CM18" i="37"/>
  <c r="CM19" i="37"/>
  <c r="CM20" i="37"/>
  <c r="CM21" i="37"/>
  <c r="CM22" i="37"/>
  <c r="CM23" i="37"/>
  <c r="CM24" i="37"/>
  <c r="CM25" i="37"/>
  <c r="CM26" i="37"/>
  <c r="CM27" i="37"/>
  <c r="CM28" i="37"/>
  <c r="CM29" i="37"/>
  <c r="CM30" i="37"/>
  <c r="CM31" i="37"/>
  <c r="CM32" i="37"/>
  <c r="CM33" i="37"/>
  <c r="CM34" i="37"/>
  <c r="CM35" i="37"/>
  <c r="CM36" i="37"/>
  <c r="CM37" i="37"/>
  <c r="CM38" i="37"/>
  <c r="CM39" i="37"/>
  <c r="CM40" i="37"/>
  <c r="CM41" i="37"/>
  <c r="CM42" i="37"/>
  <c r="CM43" i="37"/>
  <c r="CM44" i="37"/>
  <c r="CM3" i="37"/>
  <c r="CF4" i="37"/>
  <c r="CF5" i="37"/>
  <c r="CF6" i="37"/>
  <c r="CF7" i="37"/>
  <c r="CF8" i="37"/>
  <c r="CF9" i="37"/>
  <c r="CF10" i="37"/>
  <c r="CF11" i="37"/>
  <c r="CF12" i="37"/>
  <c r="CF13" i="37"/>
  <c r="CF14" i="37"/>
  <c r="CF15" i="37"/>
  <c r="CF16" i="37"/>
  <c r="CF17" i="37"/>
  <c r="CF18" i="37"/>
  <c r="CF19" i="37"/>
  <c r="CF20" i="37"/>
  <c r="CF21" i="37"/>
  <c r="CF22" i="37"/>
  <c r="CF23" i="37"/>
  <c r="CF24" i="37"/>
  <c r="CF25" i="37"/>
  <c r="CF26" i="37"/>
  <c r="CF27" i="37"/>
  <c r="CF28" i="37"/>
  <c r="CF29" i="37"/>
  <c r="CF30" i="37"/>
  <c r="CF31" i="37"/>
  <c r="CF32" i="37"/>
  <c r="CF33" i="37"/>
  <c r="CF34" i="37"/>
  <c r="CF35" i="37"/>
  <c r="CF36" i="37"/>
  <c r="CF37" i="37"/>
  <c r="CF38" i="37"/>
  <c r="CF39" i="37"/>
  <c r="CF40" i="37"/>
  <c r="CF41" i="37"/>
  <c r="CF42" i="37"/>
  <c r="CF43" i="37"/>
  <c r="CF44" i="37"/>
  <c r="CF45" i="37"/>
  <c r="CF46" i="37"/>
  <c r="CF47" i="37"/>
  <c r="CF3" i="37"/>
  <c r="BY4" i="37"/>
  <c r="BY5" i="37"/>
  <c r="BY6" i="37"/>
  <c r="BY7" i="37"/>
  <c r="BY8" i="37"/>
  <c r="BY9" i="37"/>
  <c r="BY10" i="37"/>
  <c r="BY11" i="37"/>
  <c r="BY12" i="37"/>
  <c r="BY13" i="37"/>
  <c r="BY14" i="37"/>
  <c r="BY15" i="37"/>
  <c r="BY16" i="37"/>
  <c r="BY17" i="37"/>
  <c r="BY3" i="37"/>
  <c r="BR4" i="37"/>
  <c r="BR5" i="37"/>
  <c r="BR6" i="37"/>
  <c r="BR7" i="37"/>
  <c r="BR8" i="37"/>
  <c r="BR9" i="37"/>
  <c r="BR10" i="37"/>
  <c r="BR11" i="37"/>
  <c r="BR12" i="37"/>
  <c r="BR13" i="37"/>
  <c r="BR14" i="37"/>
  <c r="BR15" i="37"/>
  <c r="BR16" i="37"/>
  <c r="BR17" i="37"/>
  <c r="BR18" i="37"/>
  <c r="BR19" i="37"/>
  <c r="BR20" i="37"/>
  <c r="BR21" i="37"/>
  <c r="BR22" i="37"/>
  <c r="BR23" i="37"/>
  <c r="BR24" i="37"/>
  <c r="BR25" i="37"/>
  <c r="BR26" i="37"/>
  <c r="BR27" i="37"/>
  <c r="BR28" i="37"/>
  <c r="BR29" i="37"/>
  <c r="BR30" i="37"/>
  <c r="BR31" i="37"/>
  <c r="BR32" i="37"/>
  <c r="BR33" i="37"/>
  <c r="BR34" i="37"/>
  <c r="BR35" i="37"/>
  <c r="BR3" i="37"/>
  <c r="BK4" i="37"/>
  <c r="BK5" i="37"/>
  <c r="BK6" i="37"/>
  <c r="BK7" i="37"/>
  <c r="BK8" i="37"/>
  <c r="BK9" i="37"/>
  <c r="BK10" i="37"/>
  <c r="BK11" i="37"/>
  <c r="BK12" i="37"/>
  <c r="BK13" i="37"/>
  <c r="BK14" i="37"/>
  <c r="BK15" i="37"/>
  <c r="BK16" i="37"/>
  <c r="BK17" i="37"/>
  <c r="BK18" i="37"/>
  <c r="BK19" i="37"/>
  <c r="BK20" i="37"/>
  <c r="BK21" i="37"/>
  <c r="BK22" i="37"/>
  <c r="BK23" i="37"/>
  <c r="BK24" i="37"/>
  <c r="BK25" i="37"/>
  <c r="BK26" i="37"/>
  <c r="BK27" i="37"/>
  <c r="BK28" i="37"/>
  <c r="BK29" i="37"/>
  <c r="BK30" i="37"/>
  <c r="BK31" i="37"/>
  <c r="BK32" i="37"/>
  <c r="BK33" i="37"/>
  <c r="BK34" i="37"/>
  <c r="BK35" i="37"/>
  <c r="BK36" i="37"/>
  <c r="BK3" i="37"/>
  <c r="BD4" i="37"/>
  <c r="BD5" i="37"/>
  <c r="BD6" i="37"/>
  <c r="BD7" i="37"/>
  <c r="BD8" i="37"/>
  <c r="BD9" i="37"/>
  <c r="BD10" i="37"/>
  <c r="BD11" i="37"/>
  <c r="BD12" i="37"/>
  <c r="BD13" i="37"/>
  <c r="BD14" i="37"/>
  <c r="BD15" i="37"/>
  <c r="BD16" i="37"/>
  <c r="BD17" i="37"/>
  <c r="BD18" i="37"/>
  <c r="BD19" i="37"/>
  <c r="BD20" i="37"/>
  <c r="BD21" i="37"/>
  <c r="BD22" i="37"/>
  <c r="BD23" i="37"/>
  <c r="BD3" i="37"/>
  <c r="AW4" i="37"/>
  <c r="AW5" i="37"/>
  <c r="AW6" i="37"/>
  <c r="AW7" i="37"/>
  <c r="AW8" i="37"/>
  <c r="AW9" i="37"/>
  <c r="AW10" i="37"/>
  <c r="AW11" i="37"/>
  <c r="AW12" i="37"/>
  <c r="AW13" i="37"/>
  <c r="AW14" i="37"/>
  <c r="AW15" i="37"/>
  <c r="AW16" i="37"/>
  <c r="AW17" i="37"/>
  <c r="AW3" i="37"/>
  <c r="AP4" i="37"/>
  <c r="AP5" i="37"/>
  <c r="AP6" i="37"/>
  <c r="AP7" i="37"/>
  <c r="AP8" i="37"/>
  <c r="AP9" i="37"/>
  <c r="AP10" i="37"/>
  <c r="AP11" i="37"/>
  <c r="AP12" i="37"/>
  <c r="AP13" i="37"/>
  <c r="AP14" i="37"/>
  <c r="AP15" i="37"/>
  <c r="AP3" i="37"/>
  <c r="AI4" i="37"/>
  <c r="AI5" i="37"/>
  <c r="AI6" i="37"/>
  <c r="AI7" i="37"/>
  <c r="AI8" i="37"/>
  <c r="AI9" i="37"/>
  <c r="AI10" i="37"/>
  <c r="AI11" i="37"/>
  <c r="AI12" i="37"/>
  <c r="AI13" i="37"/>
  <c r="AI14" i="37"/>
  <c r="AI15" i="37"/>
  <c r="AI16" i="37"/>
  <c r="AI17" i="37"/>
  <c r="AI18" i="37"/>
  <c r="AI19" i="37"/>
  <c r="AI20" i="37"/>
  <c r="AI21" i="37"/>
  <c r="AI22" i="37"/>
  <c r="AI23" i="37"/>
  <c r="AI24" i="37"/>
  <c r="AI25" i="37"/>
  <c r="AI26" i="37"/>
  <c r="AI27" i="37"/>
  <c r="AI28" i="37"/>
  <c r="AI29" i="37"/>
  <c r="AI30" i="37"/>
  <c r="AI31" i="37"/>
  <c r="AI32" i="37"/>
  <c r="AI33" i="37"/>
  <c r="AI34" i="37"/>
  <c r="AI35" i="37"/>
  <c r="AI36" i="37"/>
  <c r="AI37" i="37"/>
  <c r="AI38" i="37"/>
  <c r="AI39" i="37"/>
  <c r="AI40" i="37"/>
  <c r="AI41" i="37"/>
  <c r="AI42" i="37"/>
  <c r="AI43" i="37"/>
  <c r="AI44" i="37"/>
  <c r="AI45" i="37"/>
  <c r="AI46" i="37"/>
  <c r="AI3" i="37"/>
  <c r="AB4" i="37"/>
  <c r="AB5" i="37"/>
  <c r="AB6" i="37"/>
  <c r="AB7" i="37"/>
  <c r="AB8" i="37"/>
  <c r="AB9" i="37"/>
  <c r="AB10" i="37"/>
  <c r="AB11" i="37"/>
  <c r="AB12" i="37"/>
  <c r="AB13" i="37"/>
  <c r="AB14" i="37"/>
  <c r="AB15" i="37"/>
  <c r="AB3" i="37"/>
  <c r="U4" i="37"/>
  <c r="U5" i="37"/>
  <c r="U6" i="37"/>
  <c r="U7" i="37"/>
  <c r="U8" i="37"/>
  <c r="U9" i="37"/>
  <c r="U10" i="37"/>
  <c r="U11" i="37"/>
  <c r="U12" i="37"/>
  <c r="U13" i="37"/>
  <c r="U14" i="37"/>
  <c r="U15" i="37"/>
  <c r="U16" i="37"/>
  <c r="U17" i="37"/>
  <c r="U18" i="37"/>
  <c r="U19" i="37"/>
  <c r="U20" i="37"/>
  <c r="U21" i="37"/>
  <c r="U22" i="37"/>
  <c r="U23" i="37"/>
  <c r="U3" i="37"/>
  <c r="N4" i="37"/>
  <c r="N5"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3" i="37"/>
  <c r="G4" i="37"/>
  <c r="G5" i="37"/>
  <c r="G6" i="37"/>
  <c r="G7" i="37"/>
  <c r="G8" i="37"/>
  <c r="G9" i="37"/>
  <c r="G10" i="37"/>
  <c r="G11" i="37"/>
  <c r="G12" i="37"/>
  <c r="G13" i="37"/>
  <c r="G14" i="37"/>
  <c r="G15" i="37"/>
  <c r="G3" i="37"/>
  <c r="DV2" i="37"/>
  <c r="DO2" i="37"/>
  <c r="DH2" i="37"/>
  <c r="DA2" i="37"/>
  <c r="CT2" i="37"/>
  <c r="CM2" i="37"/>
  <c r="CF2" i="37"/>
  <c r="BY2" i="37"/>
  <c r="BR2" i="37"/>
  <c r="BK2" i="37"/>
  <c r="BD2" i="37"/>
  <c r="AW2" i="37"/>
  <c r="AP2" i="37"/>
  <c r="AI2" i="37"/>
  <c r="AB2" i="37"/>
  <c r="U2" i="37"/>
  <c r="N2" i="37"/>
  <c r="G2" i="37"/>
  <c r="M48" i="63" l="1"/>
  <c r="M47" i="63"/>
  <c r="M46" i="63"/>
  <c r="M45" i="63"/>
  <c r="M44" i="63"/>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P44" i="63" l="1"/>
  <c r="P45" i="63"/>
  <c r="P47" i="63"/>
  <c r="P46" i="63"/>
  <c r="P48" i="63"/>
  <c r="AP6" i="11" l="1"/>
  <c r="AM6" i="11"/>
  <c r="Y45" i="19" l="1"/>
  <c r="W45" i="19"/>
  <c r="AB8" i="65" l="1"/>
  <c r="AC8" i="65"/>
  <c r="AD8" i="65"/>
  <c r="AE8" i="65"/>
  <c r="AF8" i="65"/>
  <c r="AH8" i="65"/>
  <c r="AI8" i="65"/>
  <c r="AJ8" i="65"/>
  <c r="AK8" i="65"/>
  <c r="AL8" i="65"/>
  <c r="AM8" i="65"/>
  <c r="AB9" i="65"/>
  <c r="AC9" i="65"/>
  <c r="AD9" i="65"/>
  <c r="AE9" i="65"/>
  <c r="AF9" i="65"/>
  <c r="AH9" i="65"/>
  <c r="AI9" i="65"/>
  <c r="AJ9" i="65"/>
  <c r="AK9" i="65"/>
  <c r="AL9" i="65"/>
  <c r="AM9" i="65"/>
  <c r="AB10" i="65"/>
  <c r="AC10" i="65"/>
  <c r="AD10" i="65"/>
  <c r="AE10" i="65"/>
  <c r="AF10" i="65"/>
  <c r="AH10" i="65"/>
  <c r="AI10" i="65"/>
  <c r="AJ10" i="65"/>
  <c r="AK10" i="65"/>
  <c r="AL10" i="65"/>
  <c r="AM10"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3" i="65"/>
  <c r="AC23" i="65"/>
  <c r="AD23" i="65"/>
  <c r="AE23" i="65"/>
  <c r="AF23" i="65"/>
  <c r="AH23" i="65"/>
  <c r="AI23" i="65"/>
  <c r="AJ23" i="65"/>
  <c r="AK23" i="65"/>
  <c r="AL23" i="65"/>
  <c r="AM23" i="65"/>
  <c r="AB24" i="65"/>
  <c r="AC24" i="65"/>
  <c r="AD24" i="65"/>
  <c r="AE24" i="65"/>
  <c r="AF24" i="65"/>
  <c r="AH24" i="65"/>
  <c r="AI24" i="65"/>
  <c r="AJ24" i="65"/>
  <c r="AK24" i="65"/>
  <c r="AL24" i="65"/>
  <c r="AM24" i="65"/>
  <c r="AB25" i="65"/>
  <c r="AC25" i="65"/>
  <c r="AD25" i="65"/>
  <c r="AE25" i="65"/>
  <c r="AF25" i="65"/>
  <c r="AH25" i="65"/>
  <c r="AI25" i="65"/>
  <c r="AJ25" i="65"/>
  <c r="AK25" i="65"/>
  <c r="AL25" i="65"/>
  <c r="AM25" i="65"/>
  <c r="AB26" i="65"/>
  <c r="AC26" i="65"/>
  <c r="AD26" i="65"/>
  <c r="AE26" i="65"/>
  <c r="AF26" i="65"/>
  <c r="AH26" i="65"/>
  <c r="AI26" i="65"/>
  <c r="AJ26" i="65"/>
  <c r="AK26" i="65"/>
  <c r="AL26" i="65"/>
  <c r="AM26"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4" i="34"/>
  <c r="V34" i="34"/>
  <c r="W34" i="34"/>
  <c r="X34" i="34"/>
  <c r="Y34" i="34"/>
  <c r="Z34" i="34"/>
  <c r="AA34" i="34"/>
  <c r="U38" i="34"/>
  <c r="V38" i="34"/>
  <c r="W38" i="34"/>
  <c r="X38" i="34"/>
  <c r="Y38" i="34"/>
  <c r="Z38" i="34"/>
  <c r="AA38" i="34"/>
  <c r="C42" i="2" l="1"/>
  <c r="W25" i="65"/>
  <c r="W13" i="65"/>
  <c r="W9" i="65"/>
  <c r="W21" i="65"/>
  <c r="W17" i="65"/>
  <c r="W26" i="65"/>
  <c r="W22" i="65"/>
  <c r="W18" i="65"/>
  <c r="W14" i="65"/>
  <c r="W10" i="65"/>
  <c r="W23" i="65"/>
  <c r="W19" i="65"/>
  <c r="W15" i="65"/>
  <c r="W11" i="65"/>
  <c r="W24" i="65"/>
  <c r="W20" i="65"/>
  <c r="W16" i="65"/>
  <c r="W12" i="65"/>
  <c r="W8" i="65"/>
  <c r="P34" i="63"/>
  <c r="P28" i="63"/>
  <c r="P25" i="63"/>
  <c r="P23" i="63"/>
  <c r="P18" i="63"/>
  <c r="P14" i="63"/>
  <c r="P12" i="63"/>
  <c r="P9" i="63"/>
  <c r="P7" i="63"/>
  <c r="P15" i="63"/>
  <c r="P35" i="63"/>
  <c r="P26" i="63"/>
  <c r="P22" i="63"/>
  <c r="P13" i="63"/>
  <c r="P10" i="63"/>
  <c r="P8" i="63"/>
  <c r="P24" i="63"/>
  <c r="B56" i="2" l="1"/>
  <c r="B55" i="2"/>
  <c r="B54" i="2"/>
  <c r="B53" i="2"/>
  <c r="B52" i="2"/>
  <c r="B51" i="2"/>
  <c r="B50" i="2"/>
  <c r="B49" i="2"/>
  <c r="B48" i="2"/>
  <c r="B47" i="2"/>
  <c r="B46" i="2"/>
  <c r="B45" i="2"/>
  <c r="B44" i="2"/>
  <c r="B43" i="2"/>
  <c r="X50" i="66" l="1"/>
  <c r="X44" i="66"/>
  <c r="X43" i="66"/>
  <c r="X42" i="66"/>
  <c r="X41" i="66"/>
  <c r="X40" i="66"/>
  <c r="X39" i="66"/>
  <c r="X38" i="66"/>
  <c r="X37" i="66"/>
  <c r="X36" i="66"/>
  <c r="X35" i="66"/>
  <c r="X34" i="66"/>
  <c r="X33" i="66"/>
  <c r="X32" i="66"/>
  <c r="X31" i="66"/>
  <c r="X30" i="66"/>
  <c r="X29" i="66"/>
  <c r="X28" i="66"/>
  <c r="X27" i="66"/>
  <c r="X26" i="66"/>
  <c r="X25" i="66"/>
  <c r="X24" i="66"/>
  <c r="X23" i="66"/>
  <c r="X22" i="66"/>
  <c r="X21" i="66"/>
  <c r="X20" i="66"/>
  <c r="X19" i="66"/>
  <c r="X18" i="66"/>
  <c r="X17" i="66"/>
  <c r="X16" i="66"/>
  <c r="X15" i="66"/>
  <c r="X14" i="66"/>
  <c r="X13" i="66"/>
  <c r="X12" i="66"/>
  <c r="X11" i="66"/>
  <c r="X10" i="66"/>
  <c r="X9" i="66"/>
  <c r="X8" i="66"/>
  <c r="O50" i="66"/>
  <c r="O44" i="66"/>
  <c r="O43" i="66"/>
  <c r="O42" i="66"/>
  <c r="O41" i="66"/>
  <c r="O40" i="66"/>
  <c r="O39" i="66"/>
  <c r="O38" i="66"/>
  <c r="O37" i="66"/>
  <c r="O36" i="66"/>
  <c r="O35" i="66"/>
  <c r="O34" i="66"/>
  <c r="O33" i="66"/>
  <c r="O32" i="66"/>
  <c r="O31" i="66"/>
  <c r="O30" i="66"/>
  <c r="O29" i="66"/>
  <c r="O28" i="66"/>
  <c r="O27" i="66"/>
  <c r="O26" i="66"/>
  <c r="O25" i="66"/>
  <c r="O24" i="66"/>
  <c r="O23" i="66"/>
  <c r="O22" i="66"/>
  <c r="O21" i="66"/>
  <c r="O20" i="66"/>
  <c r="O19" i="66"/>
  <c r="O18" i="66"/>
  <c r="O17" i="66"/>
  <c r="O16" i="66"/>
  <c r="O15" i="66"/>
  <c r="O14" i="66"/>
  <c r="O13" i="66"/>
  <c r="O12" i="66"/>
  <c r="O11" i="66"/>
  <c r="O10" i="66"/>
  <c r="O9" i="66"/>
  <c r="O8" i="66"/>
  <c r="AR44" i="66" l="1"/>
  <c r="AN44" i="66"/>
  <c r="AI44" i="66"/>
  <c r="AE44" i="66"/>
  <c r="AS44" i="66"/>
  <c r="AO44" i="66"/>
  <c r="AJ44" i="66"/>
  <c r="AU44" i="66"/>
  <c r="AQ44" i="66"/>
  <c r="AL44" i="66"/>
  <c r="AH44" i="66"/>
  <c r="AT44" i="66"/>
  <c r="AP44" i="66"/>
  <c r="AK44" i="66"/>
  <c r="AG44" i="66"/>
  <c r="AF44" i="66"/>
  <c r="AT50" i="66"/>
  <c r="AP50" i="66"/>
  <c r="AK50" i="66"/>
  <c r="AG50" i="66"/>
  <c r="AU50" i="66"/>
  <c r="AH50" i="66"/>
  <c r="AS50" i="66"/>
  <c r="AO50" i="66"/>
  <c r="AJ50" i="66"/>
  <c r="AF50" i="66"/>
  <c r="AR50" i="66"/>
  <c r="AN50" i="66"/>
  <c r="AI50" i="66"/>
  <c r="AE50" i="66"/>
  <c r="AQ50" i="66"/>
  <c r="AL50" i="66"/>
  <c r="AR36" i="66"/>
  <c r="AN36" i="66"/>
  <c r="AI36" i="66"/>
  <c r="AE36" i="66"/>
  <c r="AT36" i="66"/>
  <c r="AP36" i="66"/>
  <c r="AK36" i="66"/>
  <c r="AG36" i="66"/>
  <c r="AS36" i="66"/>
  <c r="AO36" i="66"/>
  <c r="AJ36" i="66"/>
  <c r="AF36" i="66"/>
  <c r="AU36" i="66"/>
  <c r="AQ36" i="66"/>
  <c r="AL36" i="66"/>
  <c r="AH36" i="66"/>
  <c r="AU37" i="66"/>
  <c r="AQ37" i="66"/>
  <c r="AL37" i="66"/>
  <c r="AH37" i="66"/>
  <c r="AS37" i="66"/>
  <c r="AO37" i="66"/>
  <c r="AJ37" i="66"/>
  <c r="AF37" i="66"/>
  <c r="AR37" i="66"/>
  <c r="AN37" i="66"/>
  <c r="AI37" i="66"/>
  <c r="AE37" i="66"/>
  <c r="AT37" i="66"/>
  <c r="AP37" i="66"/>
  <c r="AK37" i="66"/>
  <c r="AG37" i="66"/>
  <c r="AU41" i="66"/>
  <c r="AQ41" i="66"/>
  <c r="AL41" i="66"/>
  <c r="AH41" i="66"/>
  <c r="AO41" i="66"/>
  <c r="AF41" i="66"/>
  <c r="AT41" i="66"/>
  <c r="AP41" i="66"/>
  <c r="AK41" i="66"/>
  <c r="AG41" i="66"/>
  <c r="AS41" i="66"/>
  <c r="AJ41" i="66"/>
  <c r="AR41" i="66"/>
  <c r="AN41" i="66"/>
  <c r="AI41" i="66"/>
  <c r="AE41" i="66"/>
  <c r="AT38" i="66"/>
  <c r="AP38" i="66"/>
  <c r="AK38" i="66"/>
  <c r="AG38" i="66"/>
  <c r="AR38" i="66"/>
  <c r="AN38" i="66"/>
  <c r="AI38" i="66"/>
  <c r="AE38" i="66"/>
  <c r="AS38" i="66"/>
  <c r="AO38" i="66"/>
  <c r="AJ38" i="66"/>
  <c r="AF38" i="66"/>
  <c r="AU38" i="66"/>
  <c r="AQ38" i="66"/>
  <c r="AL38" i="66"/>
  <c r="AH38" i="66"/>
  <c r="AT42" i="66"/>
  <c r="AP42" i="66"/>
  <c r="AK42" i="66"/>
  <c r="AG42" i="66"/>
  <c r="AN42" i="66"/>
  <c r="AE42" i="66"/>
  <c r="AQ42" i="66"/>
  <c r="AH42" i="66"/>
  <c r="AS42" i="66"/>
  <c r="AO42" i="66"/>
  <c r="AJ42" i="66"/>
  <c r="AF42" i="66"/>
  <c r="AR42" i="66"/>
  <c r="AI42" i="66"/>
  <c r="AU42" i="66"/>
  <c r="AL42" i="66"/>
  <c r="AR40" i="66"/>
  <c r="AN40" i="66"/>
  <c r="AI40" i="66"/>
  <c r="AE40" i="66"/>
  <c r="AP40" i="66"/>
  <c r="AG40" i="66"/>
  <c r="AU40" i="66"/>
  <c r="AQ40" i="66"/>
  <c r="AL40" i="66"/>
  <c r="AH40" i="66"/>
  <c r="AT40" i="66"/>
  <c r="AK40" i="66"/>
  <c r="AS40" i="66"/>
  <c r="AO40" i="66"/>
  <c r="AJ40" i="66"/>
  <c r="AF40" i="66"/>
  <c r="AS39" i="66"/>
  <c r="AO39" i="66"/>
  <c r="AJ39" i="66"/>
  <c r="AF39" i="66"/>
  <c r="AQ39" i="66"/>
  <c r="AH39" i="66"/>
  <c r="AR39" i="66"/>
  <c r="AN39" i="66"/>
  <c r="AI39" i="66"/>
  <c r="AE39" i="66"/>
  <c r="AU39" i="66"/>
  <c r="AL39" i="66"/>
  <c r="AT39" i="66"/>
  <c r="AP39" i="66"/>
  <c r="AK39" i="66"/>
  <c r="AG39" i="66"/>
  <c r="AS43" i="66"/>
  <c r="AO43" i="66"/>
  <c r="AJ43" i="66"/>
  <c r="AF43" i="66"/>
  <c r="AH43" i="66"/>
  <c r="AP43" i="66"/>
  <c r="AG43" i="66"/>
  <c r="AR43" i="66"/>
  <c r="AN43" i="66"/>
  <c r="AI43" i="66"/>
  <c r="AE43" i="66"/>
  <c r="AL43" i="66"/>
  <c r="AU43" i="66"/>
  <c r="AQ43" i="66"/>
  <c r="AT43" i="66"/>
  <c r="AK43" i="66"/>
  <c r="J41" i="76"/>
  <c r="J40" i="76"/>
  <c r="J39" i="76"/>
  <c r="J36" i="76"/>
  <c r="J35" i="76"/>
  <c r="J34" i="76"/>
  <c r="J33" i="76"/>
  <c r="J32" i="76"/>
  <c r="J31" i="76"/>
  <c r="O23" i="76"/>
  <c r="N22" i="76"/>
  <c r="N24" i="76" s="1"/>
  <c r="M22" i="76"/>
  <c r="M24" i="76" s="1"/>
  <c r="L22" i="76"/>
  <c r="L24" i="76" s="1"/>
  <c r="K22" i="76"/>
  <c r="K24" i="76" s="1"/>
  <c r="I22" i="76"/>
  <c r="I24" i="76" s="1"/>
  <c r="H22" i="76"/>
  <c r="H24" i="76" s="1"/>
  <c r="G22" i="76"/>
  <c r="G24" i="76" s="1"/>
  <c r="O21" i="76"/>
  <c r="O20" i="76"/>
  <c r="O19" i="76"/>
  <c r="O18" i="76"/>
  <c r="O17" i="76"/>
  <c r="O13" i="76"/>
  <c r="N12" i="76"/>
  <c r="N14" i="76" s="1"/>
  <c r="M12" i="76"/>
  <c r="M14" i="76" s="1"/>
  <c r="L12" i="76"/>
  <c r="L14" i="76" s="1"/>
  <c r="K12" i="76"/>
  <c r="K14" i="76" s="1"/>
  <c r="I12" i="76"/>
  <c r="I14" i="76" s="1"/>
  <c r="H12" i="76"/>
  <c r="G12" i="76"/>
  <c r="G14" i="76" s="1"/>
  <c r="O11" i="76"/>
  <c r="O10" i="76"/>
  <c r="O9" i="76"/>
  <c r="O8" i="76"/>
  <c r="O7" i="76"/>
  <c r="V30" i="75"/>
  <c r="U30" i="75"/>
  <c r="T30" i="75"/>
  <c r="S30" i="75"/>
  <c r="K30" i="75"/>
  <c r="V28" i="75"/>
  <c r="U28" i="75"/>
  <c r="T28" i="75"/>
  <c r="S28" i="75"/>
  <c r="K28" i="75"/>
  <c r="V27" i="75"/>
  <c r="U27" i="75"/>
  <c r="T27" i="75"/>
  <c r="S27" i="75"/>
  <c r="K27" i="75"/>
  <c r="V26" i="75"/>
  <c r="U26" i="75"/>
  <c r="T26" i="75"/>
  <c r="S26" i="75"/>
  <c r="K26" i="75"/>
  <c r="V23" i="75"/>
  <c r="U23" i="75"/>
  <c r="T23" i="75"/>
  <c r="S23" i="75"/>
  <c r="K23" i="75"/>
  <c r="V22" i="75"/>
  <c r="U22" i="75"/>
  <c r="T22" i="75"/>
  <c r="S22" i="75"/>
  <c r="K22" i="75"/>
  <c r="V21" i="75"/>
  <c r="U21" i="75"/>
  <c r="T21" i="75"/>
  <c r="S21" i="75"/>
  <c r="K21" i="75"/>
  <c r="V20" i="75"/>
  <c r="U20" i="75"/>
  <c r="T20" i="75"/>
  <c r="S20" i="75"/>
  <c r="K20" i="75"/>
  <c r="V19" i="75"/>
  <c r="U19" i="75"/>
  <c r="T19" i="75"/>
  <c r="S19" i="75"/>
  <c r="K19" i="75"/>
  <c r="X13" i="75"/>
  <c r="W13" i="75"/>
  <c r="V13" i="75"/>
  <c r="U13" i="75"/>
  <c r="T13" i="75"/>
  <c r="S13" i="75"/>
  <c r="M13" i="75"/>
  <c r="L12" i="75"/>
  <c r="L14" i="75" s="1"/>
  <c r="K12" i="75"/>
  <c r="K14" i="75" s="1"/>
  <c r="J12" i="75"/>
  <c r="J14" i="75" s="1"/>
  <c r="I12" i="75"/>
  <c r="I14" i="75" s="1"/>
  <c r="H12" i="75"/>
  <c r="H14" i="75" s="1"/>
  <c r="G12" i="75"/>
  <c r="G14" i="75" s="1"/>
  <c r="X11" i="75"/>
  <c r="W11" i="75"/>
  <c r="V11" i="75"/>
  <c r="U11" i="75"/>
  <c r="T11" i="75"/>
  <c r="S11" i="75"/>
  <c r="M11" i="75"/>
  <c r="X10" i="75"/>
  <c r="W10" i="75"/>
  <c r="V10" i="75"/>
  <c r="U10" i="75"/>
  <c r="T10" i="75"/>
  <c r="S10" i="75"/>
  <c r="M10" i="75"/>
  <c r="X9" i="75"/>
  <c r="W9" i="75"/>
  <c r="V9" i="75"/>
  <c r="U9" i="75"/>
  <c r="T9" i="75"/>
  <c r="S9" i="75"/>
  <c r="M9" i="75"/>
  <c r="X8" i="75"/>
  <c r="W8" i="75"/>
  <c r="V8" i="75"/>
  <c r="U8" i="75"/>
  <c r="T8" i="75"/>
  <c r="S8" i="75"/>
  <c r="M8" i="75"/>
  <c r="X7" i="75"/>
  <c r="W7" i="75"/>
  <c r="V7" i="75"/>
  <c r="U7" i="75"/>
  <c r="T7" i="75"/>
  <c r="S7" i="75"/>
  <c r="M7" i="75"/>
  <c r="M31" i="74"/>
  <c r="J31" i="74" s="1"/>
  <c r="M30" i="74"/>
  <c r="J30" i="74" s="1"/>
  <c r="M29" i="74"/>
  <c r="J29" i="74" s="1"/>
  <c r="M28" i="74"/>
  <c r="J28" i="74" s="1"/>
  <c r="M27" i="74"/>
  <c r="J27" i="74" s="1"/>
  <c r="M26" i="74"/>
  <c r="J26" i="74" s="1"/>
  <c r="M25" i="74"/>
  <c r="J25" i="74" s="1"/>
  <c r="M24" i="74"/>
  <c r="J24" i="74" s="1"/>
  <c r="G23" i="74"/>
  <c r="M22" i="74"/>
  <c r="J22" i="74" s="1"/>
  <c r="M21" i="74"/>
  <c r="J21" i="74" s="1"/>
  <c r="M18" i="74"/>
  <c r="J18" i="74" s="1"/>
  <c r="M17" i="74"/>
  <c r="J17" i="74" s="1"/>
  <c r="M14" i="74"/>
  <c r="J14" i="74" s="1"/>
  <c r="G13" i="74"/>
  <c r="M12" i="74"/>
  <c r="J12" i="74" s="1"/>
  <c r="M11" i="74"/>
  <c r="J11" i="74" s="1"/>
  <c r="G10" i="74"/>
  <c r="M9" i="74"/>
  <c r="J9" i="74" s="1"/>
  <c r="M8" i="74"/>
  <c r="J8" i="74" s="1"/>
  <c r="M7" i="74"/>
  <c r="J7" i="74" s="1"/>
  <c r="M6" i="74"/>
  <c r="H22" i="73"/>
  <c r="G22" i="73"/>
  <c r="AE24" i="72"/>
  <c r="AD24" i="72"/>
  <c r="AC24" i="72"/>
  <c r="AB24" i="72"/>
  <c r="AA24" i="72"/>
  <c r="Y24" i="72"/>
  <c r="X24" i="72"/>
  <c r="W24" i="72"/>
  <c r="V24" i="72"/>
  <c r="U24" i="72"/>
  <c r="S24" i="72"/>
  <c r="R24" i="72"/>
  <c r="Q24" i="72"/>
  <c r="P24" i="72"/>
  <c r="M24" i="72"/>
  <c r="L24" i="72"/>
  <c r="K24" i="72"/>
  <c r="J24" i="72"/>
  <c r="I24" i="72"/>
  <c r="H24" i="72"/>
  <c r="G24" i="72"/>
  <c r="AF23" i="72"/>
  <c r="Z23" i="72"/>
  <c r="T23" i="72"/>
  <c r="N23" i="72"/>
  <c r="AF22" i="72"/>
  <c r="Z22" i="72"/>
  <c r="T22" i="72"/>
  <c r="N22" i="72"/>
  <c r="AF21" i="72"/>
  <c r="Z21" i="72"/>
  <c r="T21" i="72"/>
  <c r="N21" i="72"/>
  <c r="AF20" i="72"/>
  <c r="Z20" i="72"/>
  <c r="T20" i="72"/>
  <c r="N20" i="72"/>
  <c r="AF19" i="72"/>
  <c r="Z19" i="72"/>
  <c r="T19" i="72"/>
  <c r="N19" i="72"/>
  <c r="AF18" i="72"/>
  <c r="Z18" i="72"/>
  <c r="T18" i="72"/>
  <c r="N18" i="72"/>
  <c r="AE14" i="72"/>
  <c r="AD14" i="72"/>
  <c r="AC14" i="72"/>
  <c r="AB14" i="72"/>
  <c r="AA14" i="72"/>
  <c r="Y14" i="72"/>
  <c r="X14" i="72"/>
  <c r="W14" i="72"/>
  <c r="V14" i="72"/>
  <c r="U14" i="72"/>
  <c r="S14" i="72"/>
  <c r="R14" i="72"/>
  <c r="Q14" i="72"/>
  <c r="P14" i="72"/>
  <c r="M14" i="72"/>
  <c r="L14" i="72"/>
  <c r="K14" i="72"/>
  <c r="J14" i="72"/>
  <c r="I14" i="72"/>
  <c r="H14" i="72"/>
  <c r="G14" i="72"/>
  <c r="AF13" i="72"/>
  <c r="Z13" i="72"/>
  <c r="T13" i="72"/>
  <c r="N13" i="72"/>
  <c r="AF12" i="72"/>
  <c r="Z12" i="72"/>
  <c r="T12" i="72"/>
  <c r="N12" i="72"/>
  <c r="AF11" i="72"/>
  <c r="Z11" i="72"/>
  <c r="T11" i="72"/>
  <c r="N11" i="72"/>
  <c r="AF10" i="72"/>
  <c r="Z10" i="72"/>
  <c r="T10" i="72"/>
  <c r="N10" i="72"/>
  <c r="AF9" i="72"/>
  <c r="Z9" i="72"/>
  <c r="T9" i="72"/>
  <c r="N9" i="72"/>
  <c r="AF8" i="72"/>
  <c r="Z8" i="72"/>
  <c r="T8" i="72"/>
  <c r="N8" i="72"/>
  <c r="G50" i="71"/>
  <c r="G43" i="71"/>
  <c r="G38" i="71"/>
  <c r="G32" i="71"/>
  <c r="M36" i="70"/>
  <c r="J36" i="70" s="1"/>
  <c r="M35" i="70"/>
  <c r="J35" i="70" s="1"/>
  <c r="M34" i="70"/>
  <c r="J34" i="70" s="1"/>
  <c r="J33" i="70"/>
  <c r="G33" i="70"/>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M119" i="69"/>
  <c r="J119" i="69" s="1"/>
  <c r="M118" i="69"/>
  <c r="J118" i="69" s="1"/>
  <c r="M117" i="69"/>
  <c r="J117" i="69" s="1"/>
  <c r="M116" i="69"/>
  <c r="J116" i="69" s="1"/>
  <c r="M115" i="69"/>
  <c r="J115" i="69" s="1"/>
  <c r="M114" i="69"/>
  <c r="J114" i="69" s="1"/>
  <c r="M113" i="69"/>
  <c r="J113" i="69" s="1"/>
  <c r="M112" i="69"/>
  <c r="J112" i="69" s="1"/>
  <c r="J111" i="69"/>
  <c r="J110" i="69"/>
  <c r="M109" i="69"/>
  <c r="J109" i="69" s="1"/>
  <c r="M108" i="69"/>
  <c r="J108" i="69" s="1"/>
  <c r="M107" i="69"/>
  <c r="J107" i="69" s="1"/>
  <c r="M106" i="69"/>
  <c r="J106" i="69" s="1"/>
  <c r="M105" i="69"/>
  <c r="J105" i="69" s="1"/>
  <c r="M104" i="69"/>
  <c r="J104" i="69" s="1"/>
  <c r="M103" i="69"/>
  <c r="J103" i="69" s="1"/>
  <c r="M102" i="69"/>
  <c r="J102" i="69" s="1"/>
  <c r="J101" i="69"/>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9" i="69"/>
  <c r="J69" i="69" s="1"/>
  <c r="M68" i="69"/>
  <c r="J68" i="69" s="1"/>
  <c r="M67" i="69"/>
  <c r="J67" i="69" s="1"/>
  <c r="M66" i="69"/>
  <c r="J66" i="69" s="1"/>
  <c r="M65" i="69"/>
  <c r="J65" i="69" s="1"/>
  <c r="M64" i="69"/>
  <c r="J64"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5" i="69"/>
  <c r="J35" i="69" s="1"/>
  <c r="M34" i="69"/>
  <c r="J34" i="69" s="1"/>
  <c r="M33" i="69"/>
  <c r="J33" i="69" s="1"/>
  <c r="M32" i="69"/>
  <c r="J32" i="69" s="1"/>
  <c r="M31" i="69"/>
  <c r="J31" i="69" s="1"/>
  <c r="M30" i="69"/>
  <c r="J30" i="69" s="1"/>
  <c r="M27" i="69"/>
  <c r="J27" i="69" s="1"/>
  <c r="M26" i="69"/>
  <c r="J26" i="69" s="1"/>
  <c r="M25" i="69"/>
  <c r="J25" i="69" s="1"/>
  <c r="M24" i="69"/>
  <c r="J24" i="69" s="1"/>
  <c r="M23" i="69"/>
  <c r="J23" i="69" s="1"/>
  <c r="M22" i="69"/>
  <c r="J22" i="69" s="1"/>
  <c r="M21" i="69"/>
  <c r="J21" i="69" s="1"/>
  <c r="M20" i="69"/>
  <c r="J20" i="69" s="1"/>
  <c r="M19" i="69"/>
  <c r="J19" i="69" s="1"/>
  <c r="M18" i="69"/>
  <c r="J18" i="69" s="1"/>
  <c r="M17" i="69"/>
  <c r="J17" i="69" s="1"/>
  <c r="M16" i="69"/>
  <c r="J16" i="69" s="1"/>
  <c r="M15" i="69"/>
  <c r="J15" i="69" s="1"/>
  <c r="M14" i="69"/>
  <c r="J14" i="69" s="1"/>
  <c r="M13" i="69"/>
  <c r="J13" i="69" s="1"/>
  <c r="M12" i="69"/>
  <c r="J12" i="69" s="1"/>
  <c r="M11" i="69"/>
  <c r="J11" i="69" s="1"/>
  <c r="M10" i="69"/>
  <c r="J10" i="69" s="1"/>
  <c r="M9" i="69"/>
  <c r="J9" i="69" s="1"/>
  <c r="M8" i="69"/>
  <c r="J8" i="69" s="1"/>
  <c r="M7" i="69"/>
  <c r="J7" i="69" s="1"/>
  <c r="M6" i="69"/>
  <c r="I15" i="67"/>
  <c r="G2685" i="81" s="1"/>
  <c r="G14" i="67"/>
  <c r="I14" i="67" s="1"/>
  <c r="G13" i="67"/>
  <c r="G12" i="67"/>
  <c r="I12" i="67" s="1"/>
  <c r="G11" i="67"/>
  <c r="I10" i="67"/>
  <c r="G2684" i="81" s="1"/>
  <c r="I9" i="67"/>
  <c r="G2683" i="81" s="1"/>
  <c r="I8" i="67"/>
  <c r="G2682" i="81" s="1"/>
  <c r="I7" i="67"/>
  <c r="G2681" i="81" s="1"/>
  <c r="I6" i="67"/>
  <c r="G2680" i="81" s="1"/>
  <c r="I5" i="67"/>
  <c r="G2679" i="81" s="1"/>
  <c r="W51" i="66"/>
  <c r="P51" i="66"/>
  <c r="N51" i="66"/>
  <c r="N52" i="66" s="1"/>
  <c r="H51" i="66"/>
  <c r="H52" i="66" s="1"/>
  <c r="G51" i="66"/>
  <c r="G52" i="66" s="1"/>
  <c r="S42" i="65"/>
  <c r="R42" i="65"/>
  <c r="Q42" i="65"/>
  <c r="P42" i="65"/>
  <c r="O42" i="65"/>
  <c r="N42" i="65"/>
  <c r="L42" i="65"/>
  <c r="L43" i="65" s="1"/>
  <c r="K42" i="65"/>
  <c r="K43" i="65" s="1"/>
  <c r="J42" i="65"/>
  <c r="J43" i="65" s="1"/>
  <c r="I42" i="65"/>
  <c r="I43" i="65" s="1"/>
  <c r="H42" i="65"/>
  <c r="H43" i="65" s="1"/>
  <c r="G42" i="65"/>
  <c r="G43" i="65" s="1"/>
  <c r="T41" i="65"/>
  <c r="M41" i="65"/>
  <c r="T35" i="65"/>
  <c r="M35" i="65"/>
  <c r="T34" i="65"/>
  <c r="M34" i="65"/>
  <c r="T33" i="65"/>
  <c r="M33" i="65"/>
  <c r="T32" i="65"/>
  <c r="M32" i="65"/>
  <c r="T31" i="65"/>
  <c r="M31" i="65"/>
  <c r="T30" i="65"/>
  <c r="M30" i="65"/>
  <c r="T29" i="65"/>
  <c r="M29" i="65"/>
  <c r="T28" i="65"/>
  <c r="M28" i="65"/>
  <c r="T27" i="65"/>
  <c r="M27" i="65"/>
  <c r="T26" i="65"/>
  <c r="M26" i="65"/>
  <c r="T25" i="65"/>
  <c r="M25" i="65"/>
  <c r="T24" i="65"/>
  <c r="M24" i="65"/>
  <c r="T23" i="65"/>
  <c r="M23" i="65"/>
  <c r="T22" i="65"/>
  <c r="M22" i="65"/>
  <c r="T21" i="65"/>
  <c r="M21" i="65"/>
  <c r="T20" i="65"/>
  <c r="M20" i="65"/>
  <c r="T19" i="65"/>
  <c r="M19" i="65"/>
  <c r="T18" i="65"/>
  <c r="M18" i="65"/>
  <c r="T17" i="65"/>
  <c r="M17" i="65"/>
  <c r="T16" i="65"/>
  <c r="M16" i="65"/>
  <c r="T15" i="65"/>
  <c r="M15" i="65"/>
  <c r="T14" i="65"/>
  <c r="M14" i="65"/>
  <c r="T13" i="65"/>
  <c r="M13" i="65"/>
  <c r="T12" i="65"/>
  <c r="M12" i="65"/>
  <c r="T11" i="65"/>
  <c r="M11" i="65"/>
  <c r="T10" i="65"/>
  <c r="M10" i="65"/>
  <c r="T9" i="65"/>
  <c r="M9" i="65"/>
  <c r="T8" i="65"/>
  <c r="M8" i="65"/>
  <c r="O43" i="64"/>
  <c r="O42" i="64"/>
  <c r="O41" i="64"/>
  <c r="O40" i="64"/>
  <c r="O39" i="64"/>
  <c r="O35" i="64"/>
  <c r="O34" i="64"/>
  <c r="O30" i="64"/>
  <c r="AG30" i="64" s="1"/>
  <c r="O28" i="64"/>
  <c r="N27" i="64"/>
  <c r="M27" i="64"/>
  <c r="M29" i="64" s="1"/>
  <c r="L27" i="64"/>
  <c r="K27" i="64"/>
  <c r="K29" i="64" s="1"/>
  <c r="J27" i="64"/>
  <c r="J29" i="64" s="1"/>
  <c r="I27" i="64"/>
  <c r="H27" i="64"/>
  <c r="H29" i="64" s="1"/>
  <c r="G27" i="64"/>
  <c r="G29" i="64" s="1"/>
  <c r="O26" i="64"/>
  <c r="O25" i="64"/>
  <c r="O24" i="64"/>
  <c r="O23" i="64"/>
  <c r="O22" i="64"/>
  <c r="O18" i="64"/>
  <c r="N16" i="64"/>
  <c r="N19" i="64" s="1"/>
  <c r="M16" i="64"/>
  <c r="M19" i="64" s="1"/>
  <c r="M31" i="64" s="1"/>
  <c r="L16" i="64"/>
  <c r="L19" i="64" s="1"/>
  <c r="K16" i="64"/>
  <c r="K19" i="64" s="1"/>
  <c r="J16" i="64"/>
  <c r="J19" i="64" s="1"/>
  <c r="I16" i="64"/>
  <c r="I19" i="64" s="1"/>
  <c r="H16" i="64"/>
  <c r="H19" i="64" s="1"/>
  <c r="G16" i="64"/>
  <c r="O15" i="64"/>
  <c r="O14" i="64"/>
  <c r="O13" i="64"/>
  <c r="O12" i="64"/>
  <c r="O10" i="64"/>
  <c r="O9" i="64"/>
  <c r="O8" i="64"/>
  <c r="M49" i="63"/>
  <c r="M43" i="63"/>
  <c r="M42" i="63"/>
  <c r="M41" i="63"/>
  <c r="M40" i="63"/>
  <c r="M39" i="63"/>
  <c r="M35" i="63"/>
  <c r="M34" i="63"/>
  <c r="M30" i="63"/>
  <c r="AC30" i="63" s="1"/>
  <c r="M28" i="63"/>
  <c r="M26" i="63"/>
  <c r="M25" i="63"/>
  <c r="M24" i="63"/>
  <c r="M23" i="63"/>
  <c r="M22" i="63"/>
  <c r="M18" i="63"/>
  <c r="M15" i="63"/>
  <c r="M14" i="63"/>
  <c r="M13" i="63"/>
  <c r="M12" i="63"/>
  <c r="M10" i="63"/>
  <c r="M9" i="63"/>
  <c r="M8" i="63"/>
  <c r="M7" i="63"/>
  <c r="AB28" i="75" l="1"/>
  <c r="AA39" i="66"/>
  <c r="AA40" i="66"/>
  <c r="AA38" i="66"/>
  <c r="AA41" i="66"/>
  <c r="AA37" i="66"/>
  <c r="AA44" i="66"/>
  <c r="AF41" i="76"/>
  <c r="AD41" i="76" s="1"/>
  <c r="C55" i="2"/>
  <c r="J6" i="74"/>
  <c r="C54" i="2"/>
  <c r="J6" i="70"/>
  <c r="C50" i="2"/>
  <c r="J6" i="69"/>
  <c r="C49" i="2"/>
  <c r="AA50" i="66"/>
  <c r="AA42" i="66"/>
  <c r="AA43" i="66"/>
  <c r="Z40" i="64"/>
  <c r="W40" i="64"/>
  <c r="V40" i="64"/>
  <c r="AC40" i="64"/>
  <c r="Y40" i="64"/>
  <c r="AB40" i="64"/>
  <c r="X40" i="64"/>
  <c r="AA40" i="64"/>
  <c r="AA41" i="64"/>
  <c r="W41" i="64"/>
  <c r="X41" i="64"/>
  <c r="Z41" i="64"/>
  <c r="V41" i="64"/>
  <c r="AC41" i="64"/>
  <c r="Y41" i="64"/>
  <c r="AB41" i="64"/>
  <c r="AB42" i="64"/>
  <c r="X42" i="64"/>
  <c r="Y42" i="64"/>
  <c r="AA42" i="64"/>
  <c r="W42" i="64"/>
  <c r="Z42" i="64"/>
  <c r="AC42" i="64"/>
  <c r="V42" i="64"/>
  <c r="AC39" i="64"/>
  <c r="Y39" i="64"/>
  <c r="AB39" i="64"/>
  <c r="X39" i="64"/>
  <c r="AA39" i="64"/>
  <c r="W39" i="64"/>
  <c r="V39" i="64"/>
  <c r="Z39" i="64"/>
  <c r="AC43" i="64"/>
  <c r="Y43" i="64"/>
  <c r="Z43" i="64"/>
  <c r="AB43" i="64"/>
  <c r="X43" i="64"/>
  <c r="V43" i="64"/>
  <c r="AA43" i="64"/>
  <c r="W43" i="64"/>
  <c r="K31" i="64"/>
  <c r="K36" i="64" s="1"/>
  <c r="K52" i="64" s="1"/>
  <c r="G15" i="74"/>
  <c r="AM28" i="65"/>
  <c r="AI28" i="65"/>
  <c r="AD28" i="65"/>
  <c r="AJ28" i="65"/>
  <c r="AA28" i="65"/>
  <c r="AL28" i="65"/>
  <c r="AH28" i="65"/>
  <c r="AC28" i="65"/>
  <c r="AK28" i="65"/>
  <c r="AF28" i="65"/>
  <c r="AB28" i="65"/>
  <c r="AE28" i="65"/>
  <c r="AM30" i="65"/>
  <c r="AI30" i="65"/>
  <c r="AD30" i="65"/>
  <c r="AJ30" i="65"/>
  <c r="AL30" i="65"/>
  <c r="AH30" i="65"/>
  <c r="AC30" i="65"/>
  <c r="AA30" i="65"/>
  <c r="AK30" i="65"/>
  <c r="AF30" i="65"/>
  <c r="AB30" i="65"/>
  <c r="AE30" i="65"/>
  <c r="AM32" i="65"/>
  <c r="AI32" i="65"/>
  <c r="AD32" i="65"/>
  <c r="AJ32" i="65"/>
  <c r="AL32" i="65"/>
  <c r="AH32" i="65"/>
  <c r="AC32" i="65"/>
  <c r="AA32" i="65"/>
  <c r="AK32" i="65"/>
  <c r="AF32" i="65"/>
  <c r="AB32" i="65"/>
  <c r="AE32" i="65"/>
  <c r="AM34" i="65"/>
  <c r="AI34" i="65"/>
  <c r="AD34" i="65"/>
  <c r="AE34" i="65"/>
  <c r="AL34" i="65"/>
  <c r="AH34" i="65"/>
  <c r="AC34" i="65"/>
  <c r="AA34" i="65"/>
  <c r="AK34" i="65"/>
  <c r="AF34" i="65"/>
  <c r="AB34" i="65"/>
  <c r="AJ34" i="65"/>
  <c r="AM41" i="65"/>
  <c r="AI41" i="65"/>
  <c r="AD41" i="65"/>
  <c r="AA41" i="65"/>
  <c r="AL41" i="65"/>
  <c r="AH41" i="65"/>
  <c r="AC41" i="65"/>
  <c r="AE41" i="65"/>
  <c r="AK41" i="65"/>
  <c r="AF41" i="65"/>
  <c r="AB41" i="65"/>
  <c r="AJ41" i="65"/>
  <c r="AM29" i="65"/>
  <c r="AI29" i="65"/>
  <c r="AD29" i="65"/>
  <c r="AE29" i="65"/>
  <c r="AL29" i="65"/>
  <c r="AH29" i="65"/>
  <c r="AC29" i="65"/>
  <c r="AA29" i="65"/>
  <c r="AK29" i="65"/>
  <c r="AF29" i="65"/>
  <c r="AB29" i="65"/>
  <c r="AJ29" i="65"/>
  <c r="AM33" i="65"/>
  <c r="AI33" i="65"/>
  <c r="AD33" i="65"/>
  <c r="AE33" i="65"/>
  <c r="AL33" i="65"/>
  <c r="AH33" i="65"/>
  <c r="AC33" i="65"/>
  <c r="AA33" i="65"/>
  <c r="AK33" i="65"/>
  <c r="AF33" i="65"/>
  <c r="AB33" i="65"/>
  <c r="AJ33" i="65"/>
  <c r="AM35" i="65"/>
  <c r="AI35" i="65"/>
  <c r="AD35" i="65"/>
  <c r="AE35" i="65"/>
  <c r="AL35" i="65"/>
  <c r="AH35" i="65"/>
  <c r="AC35" i="65"/>
  <c r="AA35" i="65"/>
  <c r="AK35" i="65"/>
  <c r="AF35" i="65"/>
  <c r="AB35" i="65"/>
  <c r="AJ35" i="65"/>
  <c r="AM31" i="65"/>
  <c r="AI31" i="65"/>
  <c r="AD31" i="65"/>
  <c r="AJ31" i="65"/>
  <c r="AL31" i="65"/>
  <c r="AH31" i="65"/>
  <c r="AC31" i="65"/>
  <c r="AA31" i="65"/>
  <c r="AK31" i="65"/>
  <c r="AF31" i="65"/>
  <c r="AB31" i="65"/>
  <c r="AE31"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27" i="65"/>
  <c r="AI27" i="65"/>
  <c r="AD27" i="65"/>
  <c r="AE27" i="65"/>
  <c r="AL27" i="65"/>
  <c r="AH27" i="65"/>
  <c r="AC27" i="65"/>
  <c r="AA27" i="65"/>
  <c r="AK27" i="65"/>
  <c r="AF27" i="65"/>
  <c r="AB27" i="65"/>
  <c r="AJ27" i="65"/>
  <c r="G16" i="67"/>
  <c r="I16" i="67" s="1"/>
  <c r="Z14" i="72"/>
  <c r="O52" i="66"/>
  <c r="M6" i="65"/>
  <c r="T24" i="72"/>
  <c r="X51" i="66"/>
  <c r="J31" i="64"/>
  <c r="J36" i="64" s="1"/>
  <c r="J52" i="64" s="1"/>
  <c r="T42" i="65"/>
  <c r="H31" i="64"/>
  <c r="M42" i="65"/>
  <c r="AQ42" i="65" s="1"/>
  <c r="AR43" i="65"/>
  <c r="O51" i="66"/>
  <c r="AY51" i="66" s="1"/>
  <c r="O16" i="64"/>
  <c r="G19" i="64"/>
  <c r="G31" i="64" s="1"/>
  <c r="G36" i="64" s="1"/>
  <c r="G52" i="64" s="1"/>
  <c r="M36" i="64"/>
  <c r="M52" i="64" s="1"/>
  <c r="I29" i="64"/>
  <c r="I31" i="64" s="1"/>
  <c r="I36" i="64" s="1"/>
  <c r="I52" i="64" s="1"/>
  <c r="L29" i="64"/>
  <c r="L31" i="64" s="1"/>
  <c r="M27" i="63"/>
  <c r="M16" i="63"/>
  <c r="P13" i="75"/>
  <c r="P22" i="75"/>
  <c r="P30" i="75"/>
  <c r="AF14" i="72"/>
  <c r="Z24" i="72"/>
  <c r="P8" i="75"/>
  <c r="P7" i="75"/>
  <c r="P10" i="75"/>
  <c r="P11" i="75"/>
  <c r="P21" i="75"/>
  <c r="P23" i="75"/>
  <c r="P27" i="75"/>
  <c r="O49" i="64"/>
  <c r="AZ52" i="66" s="1"/>
  <c r="O27" i="64"/>
  <c r="N29" i="64"/>
  <c r="N31" i="64" s="1"/>
  <c r="I11" i="67"/>
  <c r="I13" i="67"/>
  <c r="O22" i="76"/>
  <c r="M12" i="75"/>
  <c r="N14" i="72"/>
  <c r="P26" i="75"/>
  <c r="T14" i="72"/>
  <c r="AF24" i="72"/>
  <c r="M14" i="75"/>
  <c r="AB14" i="75" s="1"/>
  <c r="P19" i="75"/>
  <c r="P20" i="75"/>
  <c r="H14" i="76"/>
  <c r="O14" i="76" s="1"/>
  <c r="AF14" i="76" s="1"/>
  <c r="O12" i="76"/>
  <c r="O24" i="76"/>
  <c r="AF24" i="76" s="1"/>
  <c r="N24" i="72"/>
  <c r="P9" i="75"/>
  <c r="AQ43" i="65" l="1"/>
  <c r="R42" i="64"/>
  <c r="C45" i="2"/>
  <c r="R40" i="64"/>
  <c r="R43" i="64"/>
  <c r="R39" i="64"/>
  <c r="R41" i="64"/>
  <c r="L36" i="64"/>
  <c r="L52" i="64" s="1"/>
  <c r="H36" i="64"/>
  <c r="H52" i="64" s="1"/>
  <c r="C43" i="2"/>
  <c r="W31" i="65"/>
  <c r="W35" i="65"/>
  <c r="W33" i="65"/>
  <c r="W29" i="65"/>
  <c r="W41" i="65"/>
  <c r="W34" i="65"/>
  <c r="W32" i="65"/>
  <c r="W30" i="65"/>
  <c r="W28" i="65"/>
  <c r="W27" i="65"/>
  <c r="P40" i="63"/>
  <c r="P41" i="63"/>
  <c r="P43" i="63"/>
  <c r="P42" i="63"/>
  <c r="P39" i="63"/>
  <c r="M43" i="65"/>
  <c r="AO44" i="65" s="1"/>
  <c r="AY52" i="66"/>
  <c r="AW52" i="66" s="1"/>
  <c r="M19" i="63"/>
  <c r="AO43" i="65"/>
  <c r="O19" i="64"/>
  <c r="O29" i="64"/>
  <c r="M29" i="63"/>
  <c r="M31" i="63" l="1"/>
  <c r="N36" i="64"/>
  <c r="O31" i="64"/>
  <c r="M36" i="63"/>
  <c r="M52" i="63"/>
  <c r="AC52" i="63" s="1"/>
  <c r="N52" i="64" l="1"/>
  <c r="O52" i="64" s="1"/>
  <c r="AG52" i="64" s="1"/>
  <c r="O36" i="64"/>
  <c r="N11" i="31" l="1"/>
  <c r="N10" i="31"/>
  <c r="O10" i="31" s="1"/>
  <c r="N9" i="31"/>
  <c r="N8" i="31"/>
  <c r="N7" i="31"/>
  <c r="M12" i="31"/>
  <c r="L12" i="31"/>
  <c r="K12" i="31"/>
  <c r="I12" i="31"/>
  <c r="N12" i="31" l="1"/>
  <c r="L13" i="27"/>
  <c r="L19" i="27" s="1"/>
  <c r="K13" i="27"/>
  <c r="K19" i="27" s="1"/>
  <c r="H13" i="27"/>
  <c r="I28" i="19"/>
  <c r="I27" i="19"/>
  <c r="I26" i="19"/>
  <c r="I14" i="19"/>
  <c r="I13" i="19"/>
  <c r="I12" i="19"/>
  <c r="I8" i="19"/>
  <c r="I7" i="19"/>
  <c r="I6" i="19"/>
  <c r="H29" i="19"/>
  <c r="AQ6" i="11" s="1"/>
  <c r="AH6" i="11" s="1"/>
  <c r="G29" i="19"/>
  <c r="H15" i="19"/>
  <c r="G15" i="19"/>
  <c r="G23" i="19" s="1"/>
  <c r="H9" i="19"/>
  <c r="I10" i="13"/>
  <c r="H12" i="13"/>
  <c r="H14" i="13" s="1"/>
  <c r="N7" i="11"/>
  <c r="N6" i="11"/>
  <c r="AV6" i="11" s="1"/>
  <c r="K16" i="11"/>
  <c r="K15" i="11"/>
  <c r="K7" i="11"/>
  <c r="K6" i="1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G12" i="14"/>
  <c r="N17" i="14"/>
  <c r="N10" i="14"/>
  <c r="J26" i="15"/>
  <c r="X25" i="29"/>
  <c r="W25" i="29"/>
  <c r="V25" i="29"/>
  <c r="U25" i="29"/>
  <c r="T25" i="29"/>
  <c r="S25" i="29"/>
  <c r="J15" i="30"/>
  <c r="I15" i="30"/>
  <c r="H15" i="30"/>
  <c r="G15" i="30"/>
  <c r="G20" i="6"/>
  <c r="E31" i="18"/>
  <c r="P7" i="11" l="1"/>
  <c r="AS6" i="11"/>
  <c r="P6" i="11"/>
  <c r="H23" i="19"/>
  <c r="AN6" i="11"/>
  <c r="AG6" i="11" s="1"/>
  <c r="I29" i="19"/>
  <c r="I15" i="19"/>
  <c r="AW6" i="11" s="1"/>
  <c r="AJ6" i="11" s="1"/>
  <c r="P25" i="29"/>
  <c r="B24" i="2"/>
  <c r="I5" i="16"/>
  <c r="H16" i="44" l="1"/>
  <c r="G16" i="44"/>
  <c r="S16" i="44" s="1"/>
  <c r="Q16" i="44" s="1"/>
  <c r="J16" i="44" s="1"/>
  <c r="H9" i="44"/>
  <c r="G9" i="44"/>
  <c r="S9" i="44" s="1"/>
  <c r="O8" i="44"/>
  <c r="N8" i="44"/>
  <c r="K8" i="44" s="1"/>
  <c r="O7" i="44"/>
  <c r="N7" i="44"/>
  <c r="O6" i="44"/>
  <c r="N6" i="44"/>
  <c r="H1" i="44"/>
  <c r="Q9" i="44" l="1"/>
  <c r="D24" i="2" s="1"/>
  <c r="K7" i="44"/>
  <c r="K6" i="44"/>
  <c r="J9" i="44" l="1"/>
  <c r="G21" i="34" l="1"/>
  <c r="X20" i="31" l="1"/>
  <c r="U20" i="31"/>
  <c r="X18" i="31"/>
  <c r="U18" i="31"/>
  <c r="X23" i="31"/>
  <c r="U23" i="31"/>
  <c r="N23" i="31"/>
  <c r="J23" i="31"/>
  <c r="N20" i="31"/>
  <c r="J20" i="31"/>
  <c r="N18" i="31"/>
  <c r="J18" i="31"/>
  <c r="O23" i="31" l="1"/>
  <c r="Q23" i="31" s="1"/>
  <c r="O20" i="31"/>
  <c r="O18" i="31"/>
  <c r="J21" i="15" l="1"/>
  <c r="J15" i="15"/>
  <c r="Q10" i="15"/>
  <c r="P10" i="15"/>
  <c r="O10" i="15"/>
  <c r="J10" i="15"/>
  <c r="I21" i="13"/>
  <c r="Z17" i="14"/>
  <c r="Y17" i="14"/>
  <c r="U17" i="14"/>
  <c r="T17" i="14"/>
  <c r="Z10" i="14"/>
  <c r="Y10" i="14"/>
  <c r="U10" i="14"/>
  <c r="T10" i="14"/>
  <c r="X13" i="29"/>
  <c r="W13" i="29"/>
  <c r="V13" i="29"/>
  <c r="U13" i="29"/>
  <c r="T13" i="29"/>
  <c r="S13" i="29"/>
  <c r="X12" i="29"/>
  <c r="W12" i="29"/>
  <c r="V12" i="29"/>
  <c r="U12" i="29"/>
  <c r="T12" i="29"/>
  <c r="S12" i="29"/>
  <c r="L10" i="15" l="1"/>
  <c r="P13" i="29"/>
  <c r="P12" i="29"/>
  <c r="J24" i="12"/>
  <c r="I24" i="12"/>
  <c r="J12" i="12"/>
  <c r="J11" i="12"/>
  <c r="O13" i="30"/>
  <c r="O12" i="30"/>
  <c r="O25" i="30"/>
  <c r="N26" i="30"/>
  <c r="M26" i="30"/>
  <c r="L26" i="30"/>
  <c r="K26" i="30"/>
  <c r="J26" i="30"/>
  <c r="I26" i="30"/>
  <c r="H26" i="30"/>
  <c r="G26" i="30"/>
  <c r="I12" i="12"/>
  <c r="I11" i="12"/>
  <c r="M13" i="29"/>
  <c r="M12" i="29"/>
  <c r="M25" i="29"/>
  <c r="L26" i="29"/>
  <c r="K26" i="29"/>
  <c r="J26" i="29"/>
  <c r="I26" i="29"/>
  <c r="H26" i="29"/>
  <c r="G26" i="29"/>
  <c r="H24" i="12"/>
  <c r="H12" i="12"/>
  <c r="H11" i="12"/>
  <c r="G24" i="12"/>
  <c r="G12" i="12"/>
  <c r="G11" i="12"/>
  <c r="L12" i="12" l="1"/>
  <c r="L11" i="12"/>
  <c r="L24" i="12"/>
  <c r="N10" i="28"/>
  <c r="N9" i="28"/>
  <c r="N8" i="28"/>
  <c r="N7" i="28"/>
  <c r="N6" i="28"/>
  <c r="R40" i="6"/>
  <c r="Q40" i="6"/>
  <c r="P40" i="6"/>
  <c r="J40" i="6"/>
  <c r="K40" i="6" s="1"/>
  <c r="M40" i="6" l="1"/>
  <c r="P35" i="4"/>
  <c r="M35" i="4" s="1"/>
  <c r="G36" i="4"/>
  <c r="P34" i="4"/>
  <c r="M34" i="4" s="1"/>
  <c r="P33" i="4"/>
  <c r="M33" i="4" s="1"/>
  <c r="I29" i="4"/>
  <c r="I20" i="4" s="1"/>
  <c r="H29" i="4"/>
  <c r="H20" i="4" s="1"/>
  <c r="G29" i="4"/>
  <c r="G20" i="4" s="1"/>
  <c r="R28" i="4"/>
  <c r="Q28" i="4"/>
  <c r="P28" i="4"/>
  <c r="J28" i="4"/>
  <c r="K28" i="4" s="1"/>
  <c r="R27" i="4"/>
  <c r="Q27" i="4"/>
  <c r="P27" i="4"/>
  <c r="J27" i="4"/>
  <c r="K27" i="4" s="1"/>
  <c r="J29" i="4" l="1"/>
  <c r="K29" i="4" s="1"/>
  <c r="M27" i="4"/>
  <c r="M28" i="4"/>
  <c r="H9" i="12"/>
  <c r="I8" i="12"/>
  <c r="J36" i="12" l="1"/>
  <c r="I36" i="12"/>
  <c r="J35" i="12"/>
  <c r="I35" i="12"/>
  <c r="J30" i="12"/>
  <c r="I30" i="12"/>
  <c r="J26" i="12"/>
  <c r="I26" i="12"/>
  <c r="J23" i="12"/>
  <c r="I23" i="12"/>
  <c r="J22" i="12"/>
  <c r="I22" i="12"/>
  <c r="J21" i="12"/>
  <c r="I21" i="12"/>
  <c r="J20" i="12"/>
  <c r="I20" i="12"/>
  <c r="J16" i="12"/>
  <c r="I16" i="12"/>
  <c r="I7" i="12"/>
  <c r="J7" i="12"/>
  <c r="J8" i="12"/>
  <c r="I9" i="12"/>
  <c r="J9" i="12"/>
  <c r="I10" i="12"/>
  <c r="J10" i="12"/>
  <c r="I13" i="12"/>
  <c r="J13" i="12"/>
  <c r="J6" i="12"/>
  <c r="I6" i="12"/>
  <c r="AH30" i="64" l="1"/>
  <c r="AE30" i="64" s="1"/>
  <c r="I25" i="12"/>
  <c r="J25" i="12"/>
  <c r="G3" i="2"/>
  <c r="H36" i="12"/>
  <c r="G36" i="12"/>
  <c r="H35" i="12"/>
  <c r="G35" i="12"/>
  <c r="L35" i="12" s="1"/>
  <c r="H30" i="12"/>
  <c r="G30" i="12"/>
  <c r="H26" i="12"/>
  <c r="G26" i="12"/>
  <c r="L26" i="12" s="1"/>
  <c r="H23" i="12"/>
  <c r="G23" i="12"/>
  <c r="H22" i="12"/>
  <c r="G22" i="12"/>
  <c r="L22" i="12" s="1"/>
  <c r="H21" i="12"/>
  <c r="G21" i="12"/>
  <c r="H20" i="12"/>
  <c r="G20" i="12"/>
  <c r="L20" i="12" s="1"/>
  <c r="H16" i="12"/>
  <c r="H6" i="12"/>
  <c r="G16" i="12"/>
  <c r="G7" i="12"/>
  <c r="H7" i="12"/>
  <c r="G8" i="12"/>
  <c r="H8" i="12"/>
  <c r="G9" i="12"/>
  <c r="L9" i="12" s="1"/>
  <c r="G10" i="12"/>
  <c r="H10" i="12"/>
  <c r="G13" i="12"/>
  <c r="H13" i="12"/>
  <c r="G6" i="12"/>
  <c r="L6" i="12" l="1"/>
  <c r="L10" i="12"/>
  <c r="L8" i="12"/>
  <c r="H3" i="2"/>
  <c r="D53" i="2"/>
  <c r="L7" i="12"/>
  <c r="L13" i="12"/>
  <c r="L16" i="12"/>
  <c r="L21" i="12"/>
  <c r="L23" i="12"/>
  <c r="L30" i="12"/>
  <c r="Y30" i="12" s="1"/>
  <c r="L36" i="12"/>
  <c r="AD30" i="63"/>
  <c r="H25" i="12"/>
  <c r="G25" i="12"/>
  <c r="H9" i="11"/>
  <c r="G9" i="11"/>
  <c r="L9" i="11"/>
  <c r="J9" i="11"/>
  <c r="I9" i="11"/>
  <c r="Q45" i="19" l="1"/>
  <c r="Q49" i="19"/>
  <c r="Q48" i="19"/>
  <c r="Q50" i="19"/>
  <c r="AB10" i="11"/>
  <c r="AD6" i="11"/>
  <c r="AA6" i="11"/>
  <c r="P45" i="19"/>
  <c r="AA30" i="63"/>
  <c r="K9" i="11"/>
  <c r="L25" i="12"/>
  <c r="O11" i="24"/>
  <c r="H11" i="24" s="1"/>
  <c r="P30" i="63" l="1"/>
  <c r="L11" i="24"/>
  <c r="I11" i="24" s="1"/>
  <c r="M12" i="14" l="1"/>
  <c r="L12" i="14"/>
  <c r="K12" i="14"/>
  <c r="I12" i="14"/>
  <c r="H12" i="14"/>
  <c r="CX2" i="39" l="1"/>
  <c r="M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F15" i="24" l="1"/>
  <c r="Q34" i="17" l="1"/>
  <c r="M22" i="33" l="1"/>
  <c r="J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7" i="2" l="1"/>
  <c r="H12" i="31"/>
  <c r="G12" i="31"/>
  <c r="G15" i="31" s="1"/>
  <c r="G21" i="31" s="1"/>
  <c r="G34" i="7" l="1"/>
  <c r="J8" i="6"/>
  <c r="K8" i="6" s="1"/>
  <c r="H13" i="6"/>
  <c r="H1" i="26" l="1"/>
  <c r="J1" i="15"/>
  <c r="P7" i="15"/>
  <c r="M27" i="14" l="1"/>
  <c r="AH27" i="14" s="1"/>
  <c r="L27" i="14"/>
  <c r="AG27" i="14" s="1"/>
  <c r="K27" i="14"/>
  <c r="AF27" i="14" s="1"/>
  <c r="I27" i="14"/>
  <c r="AD27" i="14" s="1"/>
  <c r="H27" i="14"/>
  <c r="AC27" i="14" s="1"/>
  <c r="G27" i="14"/>
  <c r="AB27" i="14" s="1"/>
  <c r="H29" i="6"/>
  <c r="R59" i="21" l="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I15" i="31"/>
  <c r="I21" i="31" s="1"/>
  <c r="H15" i="31"/>
  <c r="H21" i="31" s="1"/>
  <c r="X17" i="31"/>
  <c r="U17" i="31"/>
  <c r="X14" i="31"/>
  <c r="U14" i="31"/>
  <c r="N17" i="31"/>
  <c r="J17" i="31"/>
  <c r="N14" i="31"/>
  <c r="L14" i="34"/>
  <c r="K14" i="34"/>
  <c r="I14" i="34"/>
  <c r="H14" i="34"/>
  <c r="G14" i="34"/>
  <c r="J13" i="34"/>
  <c r="J12" i="34"/>
  <c r="J11" i="34"/>
  <c r="J9" i="34"/>
  <c r="R13" i="34" l="1"/>
  <c r="R12" i="34"/>
  <c r="R9" i="34"/>
  <c r="R11" i="34"/>
  <c r="R10" i="34"/>
  <c r="O17" i="31"/>
  <c r="G16" i="13" s="1"/>
  <c r="X49" i="29"/>
  <c r="W49" i="29"/>
  <c r="V49" i="29"/>
  <c r="U49" i="29"/>
  <c r="T49" i="29"/>
  <c r="S49" i="29"/>
  <c r="Q10" i="27"/>
  <c r="Q16" i="27"/>
  <c r="P49" i="29" l="1"/>
  <c r="O50" i="19"/>
  <c r="O49" i="19"/>
  <c r="Q37" i="19"/>
  <c r="L37" i="19" s="1"/>
  <c r="H51" i="19"/>
  <c r="P15" i="15"/>
  <c r="L15" i="15" s="1"/>
  <c r="J51" i="19" l="1"/>
  <c r="Q17" i="31"/>
  <c r="I28" i="18"/>
  <c r="I27" i="18"/>
  <c r="I26" i="18"/>
  <c r="I25" i="18"/>
  <c r="I24" i="18"/>
  <c r="I23" i="18"/>
  <c r="I22" i="18"/>
  <c r="I21" i="18"/>
  <c r="I20" i="18"/>
  <c r="I19" i="18"/>
  <c r="I18" i="18"/>
  <c r="I17" i="18"/>
  <c r="I16" i="18"/>
  <c r="I15" i="18"/>
  <c r="I14" i="18"/>
  <c r="I13" i="18"/>
  <c r="I12" i="18"/>
  <c r="I11" i="18"/>
  <c r="I10" i="18"/>
  <c r="I9" i="18"/>
  <c r="I6" i="18"/>
  <c r="I26" i="17"/>
  <c r="I25" i="17"/>
  <c r="I24" i="17"/>
  <c r="I23" i="17"/>
  <c r="I22" i="17"/>
  <c r="I21" i="17"/>
  <c r="I20" i="17"/>
  <c r="I19" i="17"/>
  <c r="I18" i="17"/>
  <c r="I17" i="17"/>
  <c r="I16" i="17"/>
  <c r="I15" i="17"/>
  <c r="I14" i="17"/>
  <c r="I13" i="17"/>
  <c r="I12" i="17"/>
  <c r="I11" i="17"/>
  <c r="I10" i="17"/>
  <c r="I9" i="17"/>
  <c r="I6" i="17"/>
  <c r="E30" i="17"/>
  <c r="Q8" i="16" l="1"/>
  <c r="Q5" i="16"/>
  <c r="Z18" i="14"/>
  <c r="Y18" i="14"/>
  <c r="U26" i="14"/>
  <c r="U25" i="14"/>
  <c r="U18" i="14"/>
  <c r="U16" i="14"/>
  <c r="U15" i="14"/>
  <c r="U11" i="14"/>
  <c r="U9" i="14"/>
  <c r="U8" i="14"/>
  <c r="U7" i="14"/>
  <c r="Z11" i="14"/>
  <c r="Y11" i="14"/>
  <c r="T11" i="14"/>
  <c r="N11" i="14"/>
  <c r="N27" i="14"/>
  <c r="Z26" i="14"/>
  <c r="Y26" i="14"/>
  <c r="T26" i="14"/>
  <c r="N26" i="14"/>
  <c r="Z25" i="14"/>
  <c r="Y25" i="14"/>
  <c r="T25" i="14"/>
  <c r="N25" i="14"/>
  <c r="H22" i="14"/>
  <c r="H19" i="14"/>
  <c r="I19" i="14"/>
  <c r="I22" i="14"/>
  <c r="H21" i="14" l="1"/>
  <c r="I21" i="14"/>
  <c r="O17" i="13"/>
  <c r="K17" i="13" s="1"/>
  <c r="Y16" i="11"/>
  <c r="X16" i="11"/>
  <c r="Y15" i="11"/>
  <c r="X15" i="11"/>
  <c r="Y11" i="11"/>
  <c r="X11" i="11"/>
  <c r="Y10" i="11"/>
  <c r="X10" i="11"/>
  <c r="W10" i="11"/>
  <c r="V10" i="11"/>
  <c r="Y7" i="11"/>
  <c r="Y6" i="11"/>
  <c r="J27" i="12"/>
  <c r="I14" i="12"/>
  <c r="H14" i="12"/>
  <c r="I27" i="12" l="1"/>
  <c r="H27" i="12"/>
  <c r="H17" i="12"/>
  <c r="I17" i="12"/>
  <c r="N15" i="11"/>
  <c r="P15" i="11" s="1"/>
  <c r="N16" i="11"/>
  <c r="P16" i="11" s="1"/>
  <c r="I32" i="12" l="1"/>
  <c r="I39" i="12" s="1"/>
  <c r="H32" i="12"/>
  <c r="L8" i="11"/>
  <c r="J8" i="11"/>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C29" i="2" l="1"/>
  <c r="D29"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B30" i="2"/>
  <c r="P14" i="24"/>
  <c r="H14" i="24" s="1"/>
  <c r="N8" i="24"/>
  <c r="H8" i="24" s="1"/>
  <c r="N9" i="24"/>
  <c r="H9" i="24" s="1"/>
  <c r="N10" i="24"/>
  <c r="H10" i="24" s="1"/>
  <c r="N7" i="24"/>
  <c r="L14" i="24"/>
  <c r="I14" i="24" s="1"/>
  <c r="L8" i="24"/>
  <c r="I8" i="24" s="1"/>
  <c r="L9" i="24"/>
  <c r="I9" i="24" s="1"/>
  <c r="L10" i="24"/>
  <c r="I10" i="24" s="1"/>
  <c r="L7" i="24"/>
  <c r="D1" i="24"/>
  <c r="D30" i="2" l="1"/>
  <c r="I7" i="24"/>
  <c r="C30" i="2"/>
  <c r="H7" i="24"/>
  <c r="F18" i="24"/>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D5" i="22" l="1"/>
  <c r="G5" i="22"/>
  <c r="E5" i="22"/>
  <c r="F5" i="22"/>
  <c r="B7" i="22"/>
  <c r="B8" i="22" s="1"/>
  <c r="C6" i="22"/>
  <c r="H6" i="22" s="1"/>
  <c r="P5" i="22"/>
  <c r="Q5" i="22"/>
  <c r="N11" i="11"/>
  <c r="N10" i="11"/>
  <c r="N9" i="11"/>
  <c r="P9" i="11" s="1"/>
  <c r="K11" i="11"/>
  <c r="K10" i="11"/>
  <c r="P10" i="11" l="1"/>
  <c r="G8" i="32"/>
  <c r="P11" i="11"/>
  <c r="AM9" i="11"/>
  <c r="G5" i="32"/>
  <c r="P6" i="22"/>
  <c r="F6" i="22"/>
  <c r="E6" i="22"/>
  <c r="D6" i="22"/>
  <c r="G6" i="22"/>
  <c r="H5" i="32"/>
  <c r="Q6" i="22"/>
  <c r="C7" i="22"/>
  <c r="H7" i="22" s="1"/>
  <c r="B9" i="22"/>
  <c r="C8" i="22"/>
  <c r="H8" i="22" s="1"/>
  <c r="M5" i="22"/>
  <c r="J5" i="32" l="1"/>
  <c r="M6" i="22"/>
  <c r="Q7" i="22"/>
  <c r="E7" i="22"/>
  <c r="G7" i="22"/>
  <c r="F7" i="22"/>
  <c r="D7" i="22"/>
  <c r="G8" i="22"/>
  <c r="F8" i="22"/>
  <c r="D8" i="22"/>
  <c r="E8" i="22"/>
  <c r="X29" i="19"/>
  <c r="AM7" i="11"/>
  <c r="P7" i="22"/>
  <c r="P8" i="22"/>
  <c r="Q8" i="22"/>
  <c r="B10" i="22"/>
  <c r="C9" i="22"/>
  <c r="H9" i="22" s="1"/>
  <c r="S23" i="8"/>
  <c r="R23" i="8"/>
  <c r="Q23" i="8"/>
  <c r="P23" i="8"/>
  <c r="M7" i="22" l="1"/>
  <c r="G9" i="22"/>
  <c r="F9" i="22"/>
  <c r="E9" i="22"/>
  <c r="D9" i="22"/>
  <c r="M23" i="8"/>
  <c r="M8" i="22"/>
  <c r="B11" i="22"/>
  <c r="C10" i="22"/>
  <c r="H10" i="22" s="1"/>
  <c r="P9" i="22"/>
  <c r="Q9" i="22"/>
  <c r="R24" i="4"/>
  <c r="Q24" i="4"/>
  <c r="P24" i="4"/>
  <c r="J24" i="4"/>
  <c r="K24" i="4" s="1"/>
  <c r="J38" i="34"/>
  <c r="B29" i="2"/>
  <c r="B28" i="2"/>
  <c r="G10" i="22" l="1"/>
  <c r="D10" i="22"/>
  <c r="F10" i="22"/>
  <c r="E10" i="22"/>
  <c r="M24" i="4"/>
  <c r="R38" i="34"/>
  <c r="M9" i="22"/>
  <c r="P10" i="22"/>
  <c r="Q10" i="22"/>
  <c r="C11" i="22"/>
  <c r="H11" i="22" s="1"/>
  <c r="B12" i="22"/>
  <c r="F11" i="22" l="1"/>
  <c r="G11" i="22"/>
  <c r="E11" i="22"/>
  <c r="D11" i="22"/>
  <c r="B13" i="22"/>
  <c r="C12" i="22"/>
  <c r="H12" i="22" s="1"/>
  <c r="M10" i="22"/>
  <c r="Q11" i="22"/>
  <c r="P11" i="22"/>
  <c r="F30" i="17"/>
  <c r="I34" i="17" s="1"/>
  <c r="H31" i="18"/>
  <c r="F31" i="18"/>
  <c r="I31" i="18" l="1"/>
  <c r="G12" i="22"/>
  <c r="F12" i="22"/>
  <c r="D12" i="22"/>
  <c r="E12" i="22"/>
  <c r="M11" i="22"/>
  <c r="P12" i="22"/>
  <c r="Q12" i="22"/>
  <c r="B14" i="22"/>
  <c r="C13" i="22"/>
  <c r="H13" i="22" s="1"/>
  <c r="I10" i="16"/>
  <c r="I9" i="16"/>
  <c r="I8" i="16"/>
  <c r="I7" i="16"/>
  <c r="I6" i="16"/>
  <c r="D13" i="22" l="1"/>
  <c r="G13" i="22"/>
  <c r="F13" i="22"/>
  <c r="E13" i="22"/>
  <c r="P13" i="22"/>
  <c r="Q13" i="22"/>
  <c r="B15" i="22"/>
  <c r="C14" i="22"/>
  <c r="H14" i="22" s="1"/>
  <c r="M12" i="22"/>
  <c r="M16" i="33"/>
  <c r="J16" i="33" s="1"/>
  <c r="G14" i="22" l="1"/>
  <c r="F14" i="22"/>
  <c r="E14" i="22"/>
  <c r="D14" i="22"/>
  <c r="P14" i="22"/>
  <c r="Q14" i="22"/>
  <c r="M13" i="22"/>
  <c r="B16" i="22"/>
  <c r="C15" i="22"/>
  <c r="H15" i="22" s="1"/>
  <c r="B8" i="2"/>
  <c r="B9" i="2"/>
  <c r="B10" i="2"/>
  <c r="B11" i="2"/>
  <c r="B12" i="2"/>
  <c r="C14" i="2"/>
  <c r="D14" i="2"/>
  <c r="B15" i="2"/>
  <c r="B16" i="2"/>
  <c r="B17" i="2"/>
  <c r="B18" i="2"/>
  <c r="B19" i="2"/>
  <c r="B20" i="2"/>
  <c r="B21" i="2"/>
  <c r="B22" i="2"/>
  <c r="B23" i="2"/>
  <c r="B27" i="2"/>
  <c r="B34" i="2"/>
  <c r="B35" i="2"/>
  <c r="B36" i="2"/>
  <c r="B37" i="2"/>
  <c r="B38" i="2"/>
  <c r="B39" i="2"/>
  <c r="B40" i="2"/>
  <c r="B41" i="2"/>
  <c r="B42" i="2"/>
  <c r="BH23" i="72" l="1"/>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R17" i="32"/>
  <c r="R11" i="32"/>
  <c r="O8" i="28"/>
  <c r="U23" i="27"/>
  <c r="U11" i="27"/>
  <c r="S23" i="27"/>
  <c r="S11" i="27"/>
  <c r="P43" i="15"/>
  <c r="W17" i="14"/>
  <c r="W10" i="14"/>
  <c r="U26" i="12"/>
  <c r="O26" i="12" s="1"/>
  <c r="U21" i="12"/>
  <c r="O21" i="12" s="1"/>
  <c r="U12" i="12"/>
  <c r="O12" i="12" s="1"/>
  <c r="U8" i="12"/>
  <c r="O8" i="12" s="1"/>
  <c r="AD15" i="11"/>
  <c r="O10" i="28"/>
  <c r="O6" i="28"/>
  <c r="P49" i="15"/>
  <c r="W8" i="14"/>
  <c r="U35" i="12"/>
  <c r="O35" i="12" s="1"/>
  <c r="U16" i="12"/>
  <c r="O16" i="12" s="1"/>
  <c r="U10" i="12"/>
  <c r="O10" i="12" s="1"/>
  <c r="AD10" i="11"/>
  <c r="U7" i="27"/>
  <c r="S12" i="27"/>
  <c r="W18" i="14"/>
  <c r="W7" i="14"/>
  <c r="U30" i="12"/>
  <c r="O30" i="12" s="1"/>
  <c r="U22" i="12"/>
  <c r="O22" i="12" s="1"/>
  <c r="U9" i="12"/>
  <c r="O9" i="12" s="1"/>
  <c r="AD7" i="11"/>
  <c r="R14" i="32"/>
  <c r="R7" i="32"/>
  <c r="O7" i="28"/>
  <c r="U20" i="27"/>
  <c r="U10" i="27"/>
  <c r="S20" i="27"/>
  <c r="S10" i="27"/>
  <c r="W26" i="14"/>
  <c r="W16" i="14"/>
  <c r="W9" i="14"/>
  <c r="U36" i="12"/>
  <c r="O36" i="12" s="1"/>
  <c r="U24" i="12"/>
  <c r="O24" i="12" s="1"/>
  <c r="U20" i="12"/>
  <c r="O20" i="12" s="1"/>
  <c r="U11" i="12"/>
  <c r="O11" i="12" s="1"/>
  <c r="U7" i="12"/>
  <c r="O7" i="12" s="1"/>
  <c r="AD11" i="11"/>
  <c r="R13" i="32"/>
  <c r="U16" i="27"/>
  <c r="S16" i="27"/>
  <c r="W25" i="14"/>
  <c r="W15" i="14"/>
  <c r="U23" i="12"/>
  <c r="O23" i="12" s="1"/>
  <c r="U6" i="12"/>
  <c r="R12" i="32"/>
  <c r="O9" i="28"/>
  <c r="U12" i="27"/>
  <c r="P45" i="15"/>
  <c r="W11" i="14"/>
  <c r="U13" i="12"/>
  <c r="O13" i="12" s="1"/>
  <c r="AD16" i="11"/>
  <c r="P19" i="19"/>
  <c r="O18" i="19"/>
  <c r="P37" i="15"/>
  <c r="L37" i="15" s="1"/>
  <c r="O34" i="15"/>
  <c r="O33" i="15"/>
  <c r="O32" i="15"/>
  <c r="O31" i="15"/>
  <c r="O30" i="15"/>
  <c r="O20" i="19"/>
  <c r="Q33" i="15"/>
  <c r="Q31" i="15"/>
  <c r="Q30" i="15"/>
  <c r="P34" i="15"/>
  <c r="P32" i="15"/>
  <c r="P30" i="15"/>
  <c r="P20" i="19"/>
  <c r="O19" i="19"/>
  <c r="L19" i="19" s="1"/>
  <c r="Q34" i="15"/>
  <c r="Q32" i="15"/>
  <c r="P18" i="19"/>
  <c r="P33" i="15"/>
  <c r="P31" i="15"/>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6" i="66"/>
  <c r="P16" i="67"/>
  <c r="L16" i="67" s="1"/>
  <c r="P12" i="67"/>
  <c r="P8" i="67"/>
  <c r="P5" i="67"/>
  <c r="P15" i="67"/>
  <c r="P11" i="67"/>
  <c r="P7" i="67"/>
  <c r="P9" i="67"/>
  <c r="P14" i="67"/>
  <c r="P10" i="67"/>
  <c r="P6" i="67"/>
  <c r="P13" i="67"/>
  <c r="O12" i="67"/>
  <c r="O8" i="67"/>
  <c r="O15" i="67"/>
  <c r="O13" i="67"/>
  <c r="O11" i="67"/>
  <c r="O9" i="67"/>
  <c r="O7" i="67"/>
  <c r="O5" i="67"/>
  <c r="O6" i="67"/>
  <c r="O14" i="67"/>
  <c r="O10" i="67"/>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23" i="76"/>
  <c r="X18" i="76"/>
  <c r="X10" i="76"/>
  <c r="X20" i="76"/>
  <c r="X8" i="76"/>
  <c r="X11" i="76"/>
  <c r="X21" i="76"/>
  <c r="X17" i="76"/>
  <c r="X9" i="76"/>
  <c r="X13" i="76"/>
  <c r="X19" i="76"/>
  <c r="X7" i="76"/>
  <c r="L6" i="9"/>
  <c r="L6" i="78"/>
  <c r="L6" i="20"/>
  <c r="L6" i="25"/>
  <c r="W41" i="76"/>
  <c r="V40" i="76"/>
  <c r="U39" i="76"/>
  <c r="W34" i="76"/>
  <c r="V33" i="76"/>
  <c r="U32" i="76"/>
  <c r="AB23" i="76"/>
  <c r="W23" i="76"/>
  <c r="AA21" i="76"/>
  <c r="V21" i="76"/>
  <c r="Z20" i="76"/>
  <c r="U20" i="76"/>
  <c r="Y19" i="76"/>
  <c r="AB18" i="76"/>
  <c r="W18" i="76"/>
  <c r="AA17" i="76"/>
  <c r="V17" i="76"/>
  <c r="Z13" i="76"/>
  <c r="U13" i="76"/>
  <c r="Y11" i="76"/>
  <c r="AB10" i="76"/>
  <c r="W10" i="76"/>
  <c r="AA9" i="76"/>
  <c r="V9" i="76"/>
  <c r="Z8" i="76"/>
  <c r="U8" i="76"/>
  <c r="Y7"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41" i="76"/>
  <c r="U40" i="76"/>
  <c r="W35" i="76"/>
  <c r="V34" i="76"/>
  <c r="U33" i="76"/>
  <c r="W31" i="76"/>
  <c r="AA23" i="76"/>
  <c r="V23" i="76"/>
  <c r="Z21" i="76"/>
  <c r="U21" i="76"/>
  <c r="Y20" i="76"/>
  <c r="AB19" i="76"/>
  <c r="W19" i="76"/>
  <c r="AA18" i="76"/>
  <c r="V18" i="76"/>
  <c r="Z17" i="76"/>
  <c r="U17" i="76"/>
  <c r="Y13" i="76"/>
  <c r="AB11" i="76"/>
  <c r="W11" i="76"/>
  <c r="AA10" i="76"/>
  <c r="V10" i="76"/>
  <c r="Z9" i="76"/>
  <c r="U9" i="76"/>
  <c r="Y8" i="76"/>
  <c r="AB7" i="76"/>
  <c r="W7"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41" i="76"/>
  <c r="W39" i="76"/>
  <c r="V35" i="76"/>
  <c r="U34" i="76"/>
  <c r="W32" i="76"/>
  <c r="V31" i="76"/>
  <c r="Z23" i="76"/>
  <c r="U23" i="76"/>
  <c r="Y21" i="76"/>
  <c r="AB20" i="76"/>
  <c r="W20" i="76"/>
  <c r="AA19" i="76"/>
  <c r="V19" i="76"/>
  <c r="Z18" i="76"/>
  <c r="U18" i="76"/>
  <c r="Y17" i="76"/>
  <c r="AB13" i="76"/>
  <c r="W13" i="76"/>
  <c r="AA11" i="76"/>
  <c r="V11" i="76"/>
  <c r="Z10" i="76"/>
  <c r="U10" i="76"/>
  <c r="Y9" i="76"/>
  <c r="AB8" i="76"/>
  <c r="W8" i="76"/>
  <c r="AA7" i="76"/>
  <c r="V7"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40" i="76"/>
  <c r="V32" i="76"/>
  <c r="W21" i="76"/>
  <c r="U19" i="76"/>
  <c r="AA13" i="76"/>
  <c r="Y10" i="76"/>
  <c r="V8"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8" i="71"/>
  <c r="J48" i="71" s="1"/>
  <c r="M41" i="71"/>
  <c r="J41" i="71" s="1"/>
  <c r="M34" i="71"/>
  <c r="J34" i="71" s="1"/>
  <c r="M26" i="71"/>
  <c r="J26" i="71" s="1"/>
  <c r="M22" i="71"/>
  <c r="J22" i="71" s="1"/>
  <c r="M18" i="71"/>
  <c r="J18" i="71" s="1"/>
  <c r="M14" i="71"/>
  <c r="J14" i="71" s="1"/>
  <c r="M10" i="71"/>
  <c r="J10" i="71" s="1"/>
  <c r="M6" i="71"/>
  <c r="V39" i="76"/>
  <c r="U31" i="76"/>
  <c r="AA20" i="76"/>
  <c r="Y18" i="76"/>
  <c r="V13" i="76"/>
  <c r="AB9" i="76"/>
  <c r="Z7"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4" i="71"/>
  <c r="J54" i="71" s="1"/>
  <c r="M47" i="71"/>
  <c r="J47" i="71" s="1"/>
  <c r="M40" i="71"/>
  <c r="J40" i="71" s="1"/>
  <c r="M31" i="71"/>
  <c r="J31" i="71" s="1"/>
  <c r="M25" i="71"/>
  <c r="J25" i="71" s="1"/>
  <c r="M21" i="71"/>
  <c r="J21" i="71" s="1"/>
  <c r="M17" i="71"/>
  <c r="J17" i="71" s="1"/>
  <c r="M13" i="71"/>
  <c r="J13" i="71" s="1"/>
  <c r="M9" i="71"/>
  <c r="J9" i="71" s="1"/>
  <c r="U35" i="76"/>
  <c r="Y23" i="76"/>
  <c r="V20" i="76"/>
  <c r="AB17" i="76"/>
  <c r="Z11" i="76"/>
  <c r="W9" i="76"/>
  <c r="U7" i="76"/>
  <c r="N11" i="73"/>
  <c r="AL33" i="72"/>
  <c r="AI33" i="72" s="1"/>
  <c r="AU23" i="72"/>
  <c r="AZ22" i="72"/>
  <c r="AO21" i="72"/>
  <c r="BD18" i="72"/>
  <c r="AN18" i="72"/>
  <c r="AX12" i="72"/>
  <c r="BC11" i="72"/>
  <c r="AM11" i="72"/>
  <c r="AX10" i="72"/>
  <c r="AP10" i="72"/>
  <c r="AL10" i="72"/>
  <c r="BC9" i="72"/>
  <c r="AU9" i="72"/>
  <c r="AQ9" i="72"/>
  <c r="AM9" i="72"/>
  <c r="BD8" i="72"/>
  <c r="AZ8" i="72"/>
  <c r="AV8" i="72"/>
  <c r="AR8" i="72"/>
  <c r="AN8" i="72"/>
  <c r="M52" i="71"/>
  <c r="J52" i="71" s="1"/>
  <c r="M45" i="71"/>
  <c r="J45" i="71" s="1"/>
  <c r="M37" i="71"/>
  <c r="J37" i="71" s="1"/>
  <c r="M30" i="71"/>
  <c r="J30" i="71" s="1"/>
  <c r="M24" i="71"/>
  <c r="J24" i="71" s="1"/>
  <c r="M20" i="71"/>
  <c r="J20" i="71" s="1"/>
  <c r="M16" i="71"/>
  <c r="J16" i="71" s="1"/>
  <c r="M12" i="71"/>
  <c r="J12" i="71" s="1"/>
  <c r="M8" i="71"/>
  <c r="J8" i="71" s="1"/>
  <c r="W33" i="76"/>
  <c r="U11" i="76"/>
  <c r="AL29" i="72"/>
  <c r="AI29" i="72" s="1"/>
  <c r="BD10" i="72"/>
  <c r="AP9" i="72"/>
  <c r="AU8" i="72"/>
  <c r="M42" i="71"/>
  <c r="J42"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B21" i="76"/>
  <c r="AA8" i="76"/>
  <c r="AQ23" i="72"/>
  <c r="AP20" i="72"/>
  <c r="AO13" i="72"/>
  <c r="AW10" i="72"/>
  <c r="BB9" i="72"/>
  <c r="AL9" i="72"/>
  <c r="AQ8" i="72"/>
  <c r="M36" i="71"/>
  <c r="J36"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Z19" i="7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17" i="76"/>
  <c r="M49" i="71"/>
  <c r="J49"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M7" i="71"/>
  <c r="J7" i="71" s="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7" i="14"/>
  <c r="X13" i="30"/>
  <c r="X10" i="14"/>
  <c r="Z13" i="30"/>
  <c r="V13" i="30"/>
  <c r="Z12" i="30"/>
  <c r="V12" i="30"/>
  <c r="AB12" i="30"/>
  <c r="X12" i="30"/>
  <c r="Q21" i="15"/>
  <c r="V10" i="14"/>
  <c r="Y13" i="30"/>
  <c r="U13" i="30"/>
  <c r="Y12" i="30"/>
  <c r="U12" i="30"/>
  <c r="P21" i="15"/>
  <c r="AB13" i="30"/>
  <c r="P10" i="28"/>
  <c r="P8" i="28"/>
  <c r="P9" i="28"/>
  <c r="K9" i="28" s="1"/>
  <c r="P7" i="28"/>
  <c r="P6" i="28"/>
  <c r="G15" i="22"/>
  <c r="E15" i="22"/>
  <c r="D15" i="22"/>
  <c r="F15" i="22"/>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P50" i="19"/>
  <c r="L50" i="19" s="1"/>
  <c r="P49" i="19"/>
  <c r="L49" i="19" s="1"/>
  <c r="P48" i="19"/>
  <c r="L45" i="19"/>
  <c r="Q43" i="15"/>
  <c r="Q37" i="18"/>
  <c r="L37" i="18" s="1"/>
  <c r="V23" i="27"/>
  <c r="V16" i="27"/>
  <c r="V11" i="27"/>
  <c r="V7" i="27"/>
  <c r="V20" i="27"/>
  <c r="V12" i="27"/>
  <c r="V10" i="27"/>
  <c r="W17" i="31"/>
  <c r="Y14" i="31"/>
  <c r="Z17" i="31"/>
  <c r="V17" i="31"/>
  <c r="V14" i="31"/>
  <c r="Y17" i="31"/>
  <c r="W14" i="31"/>
  <c r="Z14" i="31"/>
  <c r="R16" i="27"/>
  <c r="Q10" i="16"/>
  <c r="Q6" i="16"/>
  <c r="V26" i="14"/>
  <c r="V15" i="14"/>
  <c r="V7" i="14"/>
  <c r="X11" i="14"/>
  <c r="X26" i="14"/>
  <c r="V8" i="14"/>
  <c r="Q9" i="16"/>
  <c r="V25" i="14"/>
  <c r="V11" i="14"/>
  <c r="V18" i="14"/>
  <c r="V9" i="14"/>
  <c r="X25" i="14"/>
  <c r="Q7" i="16"/>
  <c r="V16" i="14"/>
  <c r="AB11" i="11"/>
  <c r="AA16" i="11"/>
  <c r="AA10" i="11"/>
  <c r="AA15" i="11"/>
  <c r="AB16" i="11"/>
  <c r="AA11" i="11"/>
  <c r="AA7" i="11"/>
  <c r="AB15" i="11"/>
  <c r="Q15" i="22"/>
  <c r="P15" i="22"/>
  <c r="B17" i="22"/>
  <c r="C16" i="22"/>
  <c r="H16" i="22" s="1"/>
  <c r="M14" i="22"/>
  <c r="Z10" i="31"/>
  <c r="W19" i="31"/>
  <c r="Z9" i="31"/>
  <c r="W11" i="31"/>
  <c r="Z19" i="31"/>
  <c r="Z8" i="31"/>
  <c r="Z11" i="31"/>
  <c r="Z7" i="31"/>
  <c r="W7" i="31"/>
  <c r="W9" i="31"/>
  <c r="W8" i="31"/>
  <c r="C47" i="2" l="1"/>
  <c r="N7" i="27"/>
  <c r="O6" i="12"/>
  <c r="C16" i="2"/>
  <c r="C38" i="2"/>
  <c r="C24" i="2"/>
  <c r="C44" i="2"/>
  <c r="C56" i="2"/>
  <c r="I6" i="87"/>
  <c r="C59" i="2"/>
  <c r="C36" i="2"/>
  <c r="J6" i="71"/>
  <c r="C51" i="2"/>
  <c r="C53" i="2"/>
  <c r="C46" i="2"/>
  <c r="C52" i="2"/>
  <c r="K8" i="28"/>
  <c r="K10" i="28"/>
  <c r="K6" i="28"/>
  <c r="L34" i="15"/>
  <c r="L31" i="15"/>
  <c r="L32" i="15"/>
  <c r="L18" i="19"/>
  <c r="L30" i="15"/>
  <c r="L20" i="19"/>
  <c r="L33" i="15"/>
  <c r="K18" i="73"/>
  <c r="L13" i="67"/>
  <c r="L9" i="67"/>
  <c r="L5" i="67"/>
  <c r="L6" i="67"/>
  <c r="L7" i="67"/>
  <c r="L8" i="67"/>
  <c r="L10" i="67"/>
  <c r="L11" i="67"/>
  <c r="L12" i="67"/>
  <c r="L14" i="67"/>
  <c r="L15" i="67"/>
  <c r="K20" i="73"/>
  <c r="R30" i="64"/>
  <c r="R41" i="76"/>
  <c r="K9" i="73"/>
  <c r="K6" i="73"/>
  <c r="K17" i="73"/>
  <c r="R35" i="76"/>
  <c r="R31" i="76"/>
  <c r="R7"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11" i="76"/>
  <c r="K7" i="73"/>
  <c r="R10" i="76"/>
  <c r="AI22" i="72"/>
  <c r="K12" i="73"/>
  <c r="AI11" i="72"/>
  <c r="R20" i="76"/>
  <c r="AA24" i="66"/>
  <c r="AA28" i="66"/>
  <c r="AA32" i="66"/>
  <c r="AI9" i="72"/>
  <c r="AI10" i="72"/>
  <c r="AI8" i="72"/>
  <c r="R19" i="76"/>
  <c r="AI13" i="72"/>
  <c r="R21" i="76"/>
  <c r="R40" i="76"/>
  <c r="AI19" i="72"/>
  <c r="R13" i="76"/>
  <c r="R39" i="76"/>
  <c r="AA25" i="66"/>
  <c r="AA29" i="66"/>
  <c r="AA33" i="66"/>
  <c r="R7" i="64"/>
  <c r="R9" i="64"/>
  <c r="R12" i="64"/>
  <c r="R14" i="64"/>
  <c r="R18" i="64"/>
  <c r="R23" i="64"/>
  <c r="R25" i="64"/>
  <c r="R28" i="64"/>
  <c r="R34" i="64"/>
  <c r="AI20" i="72"/>
  <c r="AI21" i="72"/>
  <c r="R23" i="76"/>
  <c r="R34" i="76"/>
  <c r="K8" i="73"/>
  <c r="K19" i="73"/>
  <c r="R17" i="76"/>
  <c r="R33" i="76"/>
  <c r="AI23" i="72"/>
  <c r="R8" i="76"/>
  <c r="R32" i="76"/>
  <c r="AA22" i="66"/>
  <c r="AA26" i="66"/>
  <c r="AA30" i="66"/>
  <c r="AA34" i="66"/>
  <c r="AI12" i="72"/>
  <c r="R18" i="76"/>
  <c r="AI18" i="72"/>
  <c r="R9" i="76"/>
  <c r="R25" i="30"/>
  <c r="Q10" i="14"/>
  <c r="K15" i="44"/>
  <c r="K12" i="44"/>
  <c r="K14" i="44"/>
  <c r="K7" i="28"/>
  <c r="R13" i="30"/>
  <c r="R18" i="31"/>
  <c r="R23" i="31"/>
  <c r="K13" i="44"/>
  <c r="Q17" i="14"/>
  <c r="R20" i="31"/>
  <c r="R12" i="30"/>
  <c r="L21" i="15"/>
  <c r="D16" i="22"/>
  <c r="E16" i="22"/>
  <c r="F16" i="22"/>
  <c r="G16" i="22"/>
  <c r="R51" i="30"/>
  <c r="N16" i="27"/>
  <c r="S10" i="11"/>
  <c r="S9" i="11"/>
  <c r="Q11" i="14"/>
  <c r="Q26" i="14"/>
  <c r="Q25" i="14"/>
  <c r="R14" i="31"/>
  <c r="R17" i="31"/>
  <c r="M15" i="22"/>
  <c r="P16" i="22"/>
  <c r="Q16" i="22"/>
  <c r="B18" i="22"/>
  <c r="C17" i="22"/>
  <c r="H17"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L35" i="34"/>
  <c r="K35" i="34"/>
  <c r="I35" i="34"/>
  <c r="H35" i="34"/>
  <c r="G35" i="34"/>
  <c r="J34" i="34"/>
  <c r="J33" i="34"/>
  <c r="J32" i="34"/>
  <c r="J31" i="34"/>
  <c r="L28" i="34"/>
  <c r="K28" i="34"/>
  <c r="I28" i="34"/>
  <c r="H28" i="34"/>
  <c r="G28" i="34"/>
  <c r="J27" i="34"/>
  <c r="J26" i="34"/>
  <c r="J25" i="34"/>
  <c r="J24" i="34"/>
  <c r="L21" i="34"/>
  <c r="K21" i="34"/>
  <c r="I21" i="34"/>
  <c r="H21" i="34"/>
  <c r="J20" i="34"/>
  <c r="J19" i="34"/>
  <c r="J18" i="34"/>
  <c r="J17" i="34"/>
  <c r="J10" i="34"/>
  <c r="J8" i="34"/>
  <c r="P1" i="34"/>
  <c r="Q38" i="33"/>
  <c r="O38" i="33" s="1"/>
  <c r="I38" i="33" s="1"/>
  <c r="M38" i="33"/>
  <c r="J38" i="33" s="1"/>
  <c r="M37" i="33"/>
  <c r="J37" i="33" s="1"/>
  <c r="M36" i="33"/>
  <c r="J36" i="33" s="1"/>
  <c r="M35" i="33"/>
  <c r="J35" i="33" s="1"/>
  <c r="M34" i="33"/>
  <c r="M20" i="33"/>
  <c r="J20" i="33" s="1"/>
  <c r="M19" i="33"/>
  <c r="J19" i="33" s="1"/>
  <c r="M17" i="33"/>
  <c r="J17" i="33" s="1"/>
  <c r="J15" i="33"/>
  <c r="M12" i="33"/>
  <c r="J12" i="33" s="1"/>
  <c r="M11" i="33"/>
  <c r="J11" i="33" s="1"/>
  <c r="M10" i="33"/>
  <c r="G1" i="33"/>
  <c r="P17" i="32"/>
  <c r="V17" i="32"/>
  <c r="P14" i="32"/>
  <c r="V14" i="32"/>
  <c r="P13" i="32"/>
  <c r="V13" i="32"/>
  <c r="P12" i="32"/>
  <c r="V12" i="32"/>
  <c r="P11" i="32"/>
  <c r="V11" i="32"/>
  <c r="H8" i="32"/>
  <c r="J8" i="32" s="1"/>
  <c r="P7" i="32"/>
  <c r="J1" i="32"/>
  <c r="O31" i="31"/>
  <c r="AA30" i="31"/>
  <c r="R30" i="31" s="1"/>
  <c r="AA29" i="31"/>
  <c r="R29" i="31" s="1"/>
  <c r="O28" i="31"/>
  <c r="AA27" i="31"/>
  <c r="R27" i="31" s="1"/>
  <c r="AA26" i="31"/>
  <c r="R26" i="31" s="1"/>
  <c r="X19" i="31"/>
  <c r="U19" i="31"/>
  <c r="N19" i="31"/>
  <c r="J19" i="31"/>
  <c r="M15" i="31"/>
  <c r="M21" i="31" s="1"/>
  <c r="L15" i="31"/>
  <c r="L21" i="31" s="1"/>
  <c r="K15" i="31"/>
  <c r="K21" i="31" s="1"/>
  <c r="X11" i="31"/>
  <c r="U11" i="31"/>
  <c r="J11" i="31"/>
  <c r="X10" i="31"/>
  <c r="X9" i="31"/>
  <c r="U9" i="31"/>
  <c r="J9" i="31"/>
  <c r="O9" i="31" s="1"/>
  <c r="X8" i="31"/>
  <c r="U8" i="31"/>
  <c r="J8" i="31"/>
  <c r="O8" i="31" s="1"/>
  <c r="X7" i="31"/>
  <c r="U7" i="31"/>
  <c r="J7" i="31"/>
  <c r="O1" i="31"/>
  <c r="R49" i="30"/>
  <c r="R48" i="30"/>
  <c r="R47" i="30"/>
  <c r="R46" i="30"/>
  <c r="R45" i="30"/>
  <c r="R44" i="30"/>
  <c r="R43" i="30"/>
  <c r="R42" i="30"/>
  <c r="O37" i="30"/>
  <c r="O36" i="30"/>
  <c r="O31" i="30"/>
  <c r="AF31" i="30" s="1"/>
  <c r="O27" i="30"/>
  <c r="N28" i="30"/>
  <c r="M28" i="30"/>
  <c r="L28" i="30"/>
  <c r="K28" i="30"/>
  <c r="J28" i="30"/>
  <c r="I28" i="30"/>
  <c r="H28" i="30"/>
  <c r="G28" i="30"/>
  <c r="O24" i="30"/>
  <c r="O23" i="30"/>
  <c r="O22" i="30"/>
  <c r="O21" i="30"/>
  <c r="O17" i="30"/>
  <c r="N15" i="30"/>
  <c r="AG24" i="76" s="1"/>
  <c r="M15" i="30"/>
  <c r="AG14" i="76" s="1"/>
  <c r="L15" i="30"/>
  <c r="L18" i="30" s="1"/>
  <c r="K15" i="30"/>
  <c r="K18" i="30" s="1"/>
  <c r="J18" i="30"/>
  <c r="I18" i="30"/>
  <c r="H18" i="30"/>
  <c r="G18" i="30"/>
  <c r="O14" i="30"/>
  <c r="O11" i="30"/>
  <c r="O10" i="30"/>
  <c r="O8" i="30"/>
  <c r="O7" i="30"/>
  <c r="R6" i="30"/>
  <c r="O1" i="30"/>
  <c r="X47" i="29"/>
  <c r="P47" i="29" s="1"/>
  <c r="W46" i="29"/>
  <c r="P46" i="29" s="1"/>
  <c r="V45" i="29"/>
  <c r="P45" i="29" s="1"/>
  <c r="U44" i="29"/>
  <c r="P44" i="29" s="1"/>
  <c r="T43" i="29"/>
  <c r="P43" i="29" s="1"/>
  <c r="S42" i="29"/>
  <c r="P42" i="29" s="1"/>
  <c r="X37" i="29"/>
  <c r="W37" i="29"/>
  <c r="V37" i="29"/>
  <c r="U37" i="29"/>
  <c r="T37" i="29"/>
  <c r="S37" i="29"/>
  <c r="M37" i="29"/>
  <c r="X36" i="29"/>
  <c r="W36" i="29"/>
  <c r="V36" i="29"/>
  <c r="U36" i="29"/>
  <c r="T36" i="29"/>
  <c r="S36" i="29"/>
  <c r="M36" i="29"/>
  <c r="X31" i="29"/>
  <c r="W31" i="29"/>
  <c r="V31" i="29"/>
  <c r="U31" i="29"/>
  <c r="T31" i="29"/>
  <c r="S31" i="29"/>
  <c r="M31" i="29"/>
  <c r="AB31" i="29" s="1"/>
  <c r="X27" i="29"/>
  <c r="W27" i="29"/>
  <c r="V27" i="29"/>
  <c r="U27" i="29"/>
  <c r="T27" i="29"/>
  <c r="S27" i="29"/>
  <c r="M27" i="29"/>
  <c r="L28" i="29"/>
  <c r="K28" i="29"/>
  <c r="J28" i="29"/>
  <c r="I28" i="29"/>
  <c r="H28" i="29"/>
  <c r="G28" i="29"/>
  <c r="X24" i="29"/>
  <c r="W24" i="29"/>
  <c r="V24" i="29"/>
  <c r="U24" i="29"/>
  <c r="T24" i="29"/>
  <c r="S24" i="29"/>
  <c r="M24" i="29"/>
  <c r="X23" i="29"/>
  <c r="W23" i="29"/>
  <c r="V23" i="29"/>
  <c r="U23" i="29"/>
  <c r="T23" i="29"/>
  <c r="S23" i="29"/>
  <c r="M23" i="29"/>
  <c r="X22" i="29"/>
  <c r="W22" i="29"/>
  <c r="V22" i="29"/>
  <c r="U22" i="29"/>
  <c r="T22" i="29"/>
  <c r="S22" i="29"/>
  <c r="M22" i="29"/>
  <c r="X21" i="29"/>
  <c r="W21" i="29"/>
  <c r="V21" i="29"/>
  <c r="U21" i="29"/>
  <c r="T21" i="29"/>
  <c r="S21" i="29"/>
  <c r="M21" i="29"/>
  <c r="X17" i="29"/>
  <c r="W17" i="29"/>
  <c r="V17" i="29"/>
  <c r="U17" i="29"/>
  <c r="T17" i="29"/>
  <c r="S17" i="29"/>
  <c r="M17" i="29"/>
  <c r="L15" i="29"/>
  <c r="L18" i="29" s="1"/>
  <c r="K15" i="29"/>
  <c r="K18" i="29" s="1"/>
  <c r="J15" i="29"/>
  <c r="J18" i="29" s="1"/>
  <c r="I15" i="29"/>
  <c r="I18" i="29" s="1"/>
  <c r="H15" i="29"/>
  <c r="H18" i="29" s="1"/>
  <c r="G15" i="29"/>
  <c r="X14" i="29"/>
  <c r="W14" i="29"/>
  <c r="V14" i="29"/>
  <c r="U14" i="29"/>
  <c r="T14" i="29"/>
  <c r="S14" i="29"/>
  <c r="M14" i="29"/>
  <c r="X11" i="29"/>
  <c r="W11" i="29"/>
  <c r="V11" i="29"/>
  <c r="U11" i="29"/>
  <c r="T11" i="29"/>
  <c r="S11" i="29"/>
  <c r="M11" i="29"/>
  <c r="X10" i="29"/>
  <c r="W10" i="29"/>
  <c r="V10" i="29"/>
  <c r="U10" i="29"/>
  <c r="T10" i="29"/>
  <c r="S10" i="29"/>
  <c r="M10" i="29"/>
  <c r="X9" i="29"/>
  <c r="W9" i="29"/>
  <c r="V9" i="29"/>
  <c r="U9" i="29"/>
  <c r="T9" i="29"/>
  <c r="S9" i="29"/>
  <c r="M9" i="29"/>
  <c r="X8" i="29"/>
  <c r="W8" i="29"/>
  <c r="V8" i="29"/>
  <c r="U8" i="29"/>
  <c r="T8" i="29"/>
  <c r="S8" i="29"/>
  <c r="M8" i="29"/>
  <c r="X7" i="29"/>
  <c r="W7" i="29"/>
  <c r="V7" i="29"/>
  <c r="U7" i="29"/>
  <c r="T7" i="29"/>
  <c r="S7" i="29"/>
  <c r="M7" i="29"/>
  <c r="P6" i="29"/>
  <c r="M1" i="29"/>
  <c r="I1" i="28"/>
  <c r="Q23" i="27"/>
  <c r="Q20" i="27"/>
  <c r="Q12" i="27"/>
  <c r="Q11" i="27"/>
  <c r="L1" i="27"/>
  <c r="M17" i="26"/>
  <c r="J17" i="26" s="1"/>
  <c r="M16" i="26"/>
  <c r="M15" i="26"/>
  <c r="N9" i="26"/>
  <c r="M9" i="26"/>
  <c r="N8" i="26"/>
  <c r="M8" i="26"/>
  <c r="B6" i="21"/>
  <c r="B7" i="21" s="1"/>
  <c r="B8" i="21" s="1"/>
  <c r="B9" i="21" s="1"/>
  <c r="B10" i="21" s="1"/>
  <c r="B11" i="21" s="1"/>
  <c r="B12" i="21" s="1"/>
  <c r="B13" i="21" s="1"/>
  <c r="B14" i="21" s="1"/>
  <c r="B15" i="21" s="1"/>
  <c r="B16" i="21" s="1"/>
  <c r="B17" i="21" s="1"/>
  <c r="B18" i="21" s="1"/>
  <c r="B19" i="21" s="1"/>
  <c r="B20" i="21" s="1"/>
  <c r="P1" i="21"/>
  <c r="O48" i="19"/>
  <c r="Q34" i="19"/>
  <c r="L34" i="19" s="1"/>
  <c r="L33" i="19"/>
  <c r="Q32" i="19"/>
  <c r="L32" i="19" s="1"/>
  <c r="P28" i="19"/>
  <c r="O28" i="19"/>
  <c r="P27" i="19"/>
  <c r="O27" i="19"/>
  <c r="P26" i="19"/>
  <c r="O26" i="19"/>
  <c r="P8" i="19"/>
  <c r="O8" i="19"/>
  <c r="P7" i="19"/>
  <c r="O7" i="19"/>
  <c r="P6" i="19"/>
  <c r="O6" i="19"/>
  <c r="I1" i="19"/>
  <c r="V33" i="18"/>
  <c r="F33" i="18"/>
  <c r="I37" i="18" s="1"/>
  <c r="E33" i="18"/>
  <c r="U33" i="18" s="1"/>
  <c r="G28" i="18"/>
  <c r="G27" i="18"/>
  <c r="G26" i="18"/>
  <c r="G25" i="18"/>
  <c r="G24" i="18"/>
  <c r="G23" i="18"/>
  <c r="G22" i="18"/>
  <c r="G21" i="18"/>
  <c r="G20" i="18"/>
  <c r="G19" i="18"/>
  <c r="G18" i="18"/>
  <c r="G17" i="18"/>
  <c r="G16" i="18"/>
  <c r="G15" i="18"/>
  <c r="G14" i="18"/>
  <c r="G13" i="18"/>
  <c r="G12" i="18"/>
  <c r="G11" i="18"/>
  <c r="G10" i="18"/>
  <c r="G9" i="18"/>
  <c r="Q6" i="18"/>
  <c r="P6" i="18"/>
  <c r="O6" i="18"/>
  <c r="G6" i="18"/>
  <c r="I1" i="18"/>
  <c r="V30" i="17"/>
  <c r="U30" i="17"/>
  <c r="G26" i="17"/>
  <c r="G25" i="17"/>
  <c r="G24" i="17"/>
  <c r="G23" i="17"/>
  <c r="G22" i="17"/>
  <c r="G21" i="17"/>
  <c r="G20" i="17"/>
  <c r="G19" i="17"/>
  <c r="G18" i="17"/>
  <c r="G17" i="17"/>
  <c r="G16" i="17"/>
  <c r="G15" i="17"/>
  <c r="G14" i="17"/>
  <c r="G13" i="17"/>
  <c r="G12" i="17"/>
  <c r="G11" i="17"/>
  <c r="G10" i="17"/>
  <c r="G9" i="17"/>
  <c r="Q6" i="17"/>
  <c r="P6" i="17"/>
  <c r="O6" i="17"/>
  <c r="G6" i="17"/>
  <c r="I1" i="17"/>
  <c r="H11" i="16"/>
  <c r="F11" i="16"/>
  <c r="E11" i="16"/>
  <c r="G10" i="16"/>
  <c r="G9" i="16"/>
  <c r="O8" i="16"/>
  <c r="N8" i="16"/>
  <c r="G8" i="16"/>
  <c r="G7" i="16"/>
  <c r="G6" i="16"/>
  <c r="O5" i="16"/>
  <c r="N5" i="16"/>
  <c r="G5" i="16"/>
  <c r="I1" i="16"/>
  <c r="I24" i="15"/>
  <c r="H24" i="15"/>
  <c r="G24" i="15"/>
  <c r="J23" i="15"/>
  <c r="J22" i="15"/>
  <c r="J20" i="15"/>
  <c r="J19" i="15"/>
  <c r="I13" i="15"/>
  <c r="H13" i="15"/>
  <c r="G44" i="15" s="1"/>
  <c r="G13" i="15"/>
  <c r="Q12" i="15"/>
  <c r="P12" i="15"/>
  <c r="O12" i="15"/>
  <c r="J12" i="15"/>
  <c r="Q11" i="15"/>
  <c r="P11" i="15"/>
  <c r="O11" i="15"/>
  <c r="J11" i="15"/>
  <c r="Q9" i="15"/>
  <c r="P9" i="15"/>
  <c r="O9" i="15"/>
  <c r="J9" i="15"/>
  <c r="Q8" i="15"/>
  <c r="P8" i="15"/>
  <c r="O8" i="15"/>
  <c r="J8" i="15"/>
  <c r="Q7" i="15"/>
  <c r="O7" i="15"/>
  <c r="J7" i="15"/>
  <c r="M22" i="14"/>
  <c r="L22" i="14"/>
  <c r="K22" i="14"/>
  <c r="G22" i="14"/>
  <c r="K19" i="14"/>
  <c r="G19" i="14"/>
  <c r="T18" i="14"/>
  <c r="M19" i="14"/>
  <c r="L19" i="14"/>
  <c r="Z16" i="14"/>
  <c r="Y16" i="14"/>
  <c r="T16" i="14"/>
  <c r="N16" i="14"/>
  <c r="Z15" i="14"/>
  <c r="Y15" i="14"/>
  <c r="T15" i="14"/>
  <c r="N15" i="14"/>
  <c r="Z9" i="14"/>
  <c r="Y9" i="14"/>
  <c r="T9" i="14"/>
  <c r="N9" i="14"/>
  <c r="Z8" i="14"/>
  <c r="Y8" i="14"/>
  <c r="T8" i="14"/>
  <c r="N8" i="14"/>
  <c r="Z7" i="14"/>
  <c r="Y7" i="14"/>
  <c r="T7" i="14"/>
  <c r="N1" i="14"/>
  <c r="O21" i="13"/>
  <c r="N21" i="13"/>
  <c r="O16" i="13"/>
  <c r="I16" i="13"/>
  <c r="O13" i="13"/>
  <c r="H19" i="13"/>
  <c r="G14" i="33" s="1"/>
  <c r="O11" i="13"/>
  <c r="O10" i="13"/>
  <c r="O9" i="13"/>
  <c r="O8" i="13"/>
  <c r="O7" i="13"/>
  <c r="O6" i="13"/>
  <c r="I1" i="13"/>
  <c r="J14" i="12"/>
  <c r="G14" i="12"/>
  <c r="L1" i="12"/>
  <c r="AE20" i="11"/>
  <c r="S20" i="11" s="1"/>
  <c r="W16" i="11"/>
  <c r="V16" i="11"/>
  <c r="W15" i="11"/>
  <c r="V15" i="11"/>
  <c r="W11" i="11"/>
  <c r="V11" i="11"/>
  <c r="AM11" i="11"/>
  <c r="W7" i="11"/>
  <c r="V7" i="11"/>
  <c r="W6" i="11"/>
  <c r="V6" i="11"/>
  <c r="P1" i="11"/>
  <c r="S21" i="8"/>
  <c r="R21" i="8"/>
  <c r="Q21" i="8"/>
  <c r="P21" i="8"/>
  <c r="S20" i="8"/>
  <c r="R20" i="8"/>
  <c r="Q20" i="8"/>
  <c r="P20" i="8"/>
  <c r="R17" i="8"/>
  <c r="Q17" i="8"/>
  <c r="P17" i="8"/>
  <c r="J17" i="8"/>
  <c r="R16" i="8"/>
  <c r="Q16" i="8"/>
  <c r="P16" i="8"/>
  <c r="S14" i="8"/>
  <c r="S10" i="8"/>
  <c r="S9" i="8"/>
  <c r="M9" i="8" s="1"/>
  <c r="R6" i="8"/>
  <c r="Q6" i="8"/>
  <c r="P6" i="8"/>
  <c r="J1" i="8"/>
  <c r="I34" i="7"/>
  <c r="H34" i="7"/>
  <c r="R33" i="7"/>
  <c r="Q33" i="7"/>
  <c r="P33" i="7"/>
  <c r="J33" i="7"/>
  <c r="K33" i="7" s="1"/>
  <c r="R32" i="7"/>
  <c r="Q32" i="7"/>
  <c r="P32" i="7"/>
  <c r="J32" i="7"/>
  <c r="K32" i="7" s="1"/>
  <c r="R31" i="7"/>
  <c r="Q31" i="7"/>
  <c r="P31" i="7"/>
  <c r="J31" i="7"/>
  <c r="K31" i="7" s="1"/>
  <c r="I26" i="7"/>
  <c r="H26" i="7"/>
  <c r="G26" i="7"/>
  <c r="R25" i="7"/>
  <c r="Q25" i="7"/>
  <c r="P25" i="7"/>
  <c r="J25" i="7"/>
  <c r="K25" i="7" s="1"/>
  <c r="R24" i="7"/>
  <c r="Q24" i="7"/>
  <c r="P24" i="7"/>
  <c r="J24" i="7"/>
  <c r="K24" i="7" s="1"/>
  <c r="R23" i="7"/>
  <c r="Q23" i="7"/>
  <c r="P23" i="7"/>
  <c r="J23" i="7"/>
  <c r="K23" i="7" s="1"/>
  <c r="R22" i="7"/>
  <c r="Q22" i="7"/>
  <c r="P22" i="7"/>
  <c r="J22" i="7"/>
  <c r="K22" i="7" s="1"/>
  <c r="R18" i="7"/>
  <c r="Q18" i="7"/>
  <c r="P18" i="7"/>
  <c r="J18" i="7"/>
  <c r="K18" i="7" s="1"/>
  <c r="R17" i="7"/>
  <c r="Q17" i="7"/>
  <c r="P17" i="7"/>
  <c r="J17" i="7"/>
  <c r="K17" i="7" s="1"/>
  <c r="R14" i="7"/>
  <c r="Q14" i="7"/>
  <c r="P14" i="7"/>
  <c r="J14" i="7"/>
  <c r="K14" i="7" s="1"/>
  <c r="R13" i="7"/>
  <c r="Q13" i="7"/>
  <c r="P13" i="7"/>
  <c r="J13" i="7"/>
  <c r="K13" i="7" s="1"/>
  <c r="R12" i="7"/>
  <c r="Q12" i="7"/>
  <c r="P12" i="7"/>
  <c r="J12" i="7"/>
  <c r="K12" i="7" s="1"/>
  <c r="R11" i="7"/>
  <c r="Q11" i="7"/>
  <c r="P11" i="7"/>
  <c r="J11" i="7"/>
  <c r="K11" i="7" s="1"/>
  <c r="R10" i="7"/>
  <c r="Q10" i="7"/>
  <c r="P10" i="7"/>
  <c r="J10" i="7"/>
  <c r="K10" i="7" s="1"/>
  <c r="R9" i="7"/>
  <c r="Q9" i="7"/>
  <c r="P9" i="7"/>
  <c r="J9" i="7"/>
  <c r="K9" i="7" s="1"/>
  <c r="R8" i="7"/>
  <c r="Q8" i="7"/>
  <c r="P8" i="7"/>
  <c r="J8" i="7"/>
  <c r="K8" i="7" s="1"/>
  <c r="K1" i="7"/>
  <c r="I50" i="6"/>
  <c r="H50" i="6"/>
  <c r="G50" i="6"/>
  <c r="R49" i="6"/>
  <c r="Q49" i="6"/>
  <c r="P49" i="6"/>
  <c r="J49" i="6"/>
  <c r="K49" i="6" s="1"/>
  <c r="R48" i="6"/>
  <c r="Q48" i="6"/>
  <c r="P48" i="6"/>
  <c r="J48" i="6"/>
  <c r="K48" i="6" s="1"/>
  <c r="I43" i="6"/>
  <c r="H43" i="6"/>
  <c r="G43" i="6"/>
  <c r="R42" i="6"/>
  <c r="Q42" i="6"/>
  <c r="P42" i="6"/>
  <c r="J42" i="6"/>
  <c r="K42" i="6" s="1"/>
  <c r="R41" i="6"/>
  <c r="Q41" i="6"/>
  <c r="P41" i="6"/>
  <c r="J41" i="6"/>
  <c r="K41" i="6" s="1"/>
  <c r="J7" i="8" s="1"/>
  <c r="R39" i="6"/>
  <c r="Q39" i="6"/>
  <c r="P39" i="6"/>
  <c r="J39" i="6"/>
  <c r="K39" i="6" s="1"/>
  <c r="R38" i="6"/>
  <c r="Q38" i="6"/>
  <c r="P38" i="6"/>
  <c r="J38" i="6"/>
  <c r="K38" i="6" s="1"/>
  <c r="R37" i="6"/>
  <c r="Q37" i="6"/>
  <c r="P37" i="6"/>
  <c r="J37" i="6"/>
  <c r="K37" i="6" s="1"/>
  <c r="R36" i="6"/>
  <c r="Q36" i="6"/>
  <c r="P36" i="6"/>
  <c r="J36" i="6"/>
  <c r="K36" i="6" s="1"/>
  <c r="R35" i="6"/>
  <c r="Q35" i="6"/>
  <c r="P35" i="6"/>
  <c r="J35" i="6"/>
  <c r="K35" i="6" s="1"/>
  <c r="R34" i="6"/>
  <c r="Q34" i="6"/>
  <c r="P34" i="6"/>
  <c r="J34" i="6"/>
  <c r="K34" i="6" s="1"/>
  <c r="I29" i="6"/>
  <c r="G29" i="6"/>
  <c r="R28" i="6"/>
  <c r="Q28" i="6"/>
  <c r="P28" i="6"/>
  <c r="J28" i="6"/>
  <c r="K28" i="6" s="1"/>
  <c r="R27" i="6"/>
  <c r="Q27" i="6"/>
  <c r="P27" i="6"/>
  <c r="J27" i="6"/>
  <c r="K27" i="6" s="1"/>
  <c r="R26" i="6"/>
  <c r="Q26" i="6"/>
  <c r="P26" i="6"/>
  <c r="J26" i="6"/>
  <c r="K26" i="6" s="1"/>
  <c r="R25" i="6"/>
  <c r="Q25" i="6"/>
  <c r="P25" i="6"/>
  <c r="J25" i="6"/>
  <c r="K25" i="6" s="1"/>
  <c r="R24" i="6"/>
  <c r="Q24" i="6"/>
  <c r="P24" i="6"/>
  <c r="J24" i="6"/>
  <c r="K24" i="6" s="1"/>
  <c r="R23" i="6"/>
  <c r="Q23" i="6"/>
  <c r="P23" i="6"/>
  <c r="J23" i="6"/>
  <c r="K23" i="6" s="1"/>
  <c r="I20" i="6"/>
  <c r="H20" i="6"/>
  <c r="H31" i="6" s="1"/>
  <c r="R19" i="6"/>
  <c r="Q19" i="6"/>
  <c r="P19" i="6"/>
  <c r="J19" i="6"/>
  <c r="K19" i="6" s="1"/>
  <c r="R18" i="6"/>
  <c r="Q18" i="6"/>
  <c r="P18" i="6"/>
  <c r="J18" i="6"/>
  <c r="K18" i="6" s="1"/>
  <c r="R17" i="6"/>
  <c r="Q17" i="6"/>
  <c r="P17" i="6"/>
  <c r="J17" i="6"/>
  <c r="K17" i="6" s="1"/>
  <c r="R16" i="6"/>
  <c r="Q16" i="6"/>
  <c r="P16" i="6"/>
  <c r="J16" i="6"/>
  <c r="K16" i="6" s="1"/>
  <c r="I13" i="6"/>
  <c r="G13" i="6"/>
  <c r="R12" i="6"/>
  <c r="Q12" i="6"/>
  <c r="P12" i="6"/>
  <c r="J12" i="6"/>
  <c r="K12" i="6" s="1"/>
  <c r="R11" i="6"/>
  <c r="Q11" i="6"/>
  <c r="P11" i="6"/>
  <c r="J11" i="6"/>
  <c r="K11" i="6" s="1"/>
  <c r="R10" i="6"/>
  <c r="Q10" i="6"/>
  <c r="P10" i="6"/>
  <c r="J10" i="6"/>
  <c r="K10" i="6" s="1"/>
  <c r="R9" i="6"/>
  <c r="Q9" i="6"/>
  <c r="P9" i="6"/>
  <c r="J9" i="6"/>
  <c r="K9" i="6" s="1"/>
  <c r="R8" i="6"/>
  <c r="Q8" i="6"/>
  <c r="P8" i="6"/>
  <c r="R7" i="6"/>
  <c r="Q7" i="6"/>
  <c r="P7" i="6"/>
  <c r="J7" i="6"/>
  <c r="K7" i="6" s="1"/>
  <c r="K1" i="6"/>
  <c r="R8" i="5"/>
  <c r="Q8" i="5"/>
  <c r="P8" i="5"/>
  <c r="J8" i="5"/>
  <c r="K8" i="5" s="1"/>
  <c r="R7" i="5"/>
  <c r="Q7" i="5"/>
  <c r="P7" i="5"/>
  <c r="J7" i="5"/>
  <c r="K7" i="5" s="1"/>
  <c r="K1" i="5"/>
  <c r="R21" i="4"/>
  <c r="Q21" i="4"/>
  <c r="P21" i="4"/>
  <c r="J21" i="4"/>
  <c r="K21" i="4" s="1"/>
  <c r="R20" i="4"/>
  <c r="Q20" i="4"/>
  <c r="P20" i="4"/>
  <c r="J20" i="4"/>
  <c r="K20" i="4" s="1"/>
  <c r="R17" i="4"/>
  <c r="Q17" i="4"/>
  <c r="P17" i="4"/>
  <c r="J17" i="4"/>
  <c r="K17" i="4" s="1"/>
  <c r="W17" i="32" s="1"/>
  <c r="R14" i="4"/>
  <c r="Q14" i="4"/>
  <c r="P14" i="4"/>
  <c r="J14" i="4"/>
  <c r="K14" i="4" s="1"/>
  <c r="W14" i="32" s="1"/>
  <c r="T14" i="32" s="1"/>
  <c r="L14" i="32" s="1"/>
  <c r="R13" i="4"/>
  <c r="Q13" i="4"/>
  <c r="P13" i="4"/>
  <c r="J13" i="4"/>
  <c r="K13" i="4" s="1"/>
  <c r="W13" i="32" s="1"/>
  <c r="R12" i="4"/>
  <c r="Q12" i="4"/>
  <c r="P12" i="4"/>
  <c r="J12" i="4"/>
  <c r="K12" i="4" s="1"/>
  <c r="W12" i="32" s="1"/>
  <c r="R11" i="4"/>
  <c r="Q11" i="4"/>
  <c r="P11" i="4"/>
  <c r="J11" i="4"/>
  <c r="K11" i="4" s="1"/>
  <c r="W11" i="32" s="1"/>
  <c r="I9" i="4"/>
  <c r="I7" i="7" s="1"/>
  <c r="I15" i="7" s="1"/>
  <c r="I19" i="7" s="1"/>
  <c r="H9" i="4"/>
  <c r="H7" i="7" s="1"/>
  <c r="H15" i="7" s="1"/>
  <c r="G9" i="4"/>
  <c r="G7" i="7" s="1"/>
  <c r="R8" i="4"/>
  <c r="Q8" i="4"/>
  <c r="P8" i="4"/>
  <c r="J8" i="4"/>
  <c r="K8" i="4" s="1"/>
  <c r="AN11" i="11" s="1"/>
  <c r="R7" i="4"/>
  <c r="Q7" i="4"/>
  <c r="P7" i="4"/>
  <c r="J7" i="4"/>
  <c r="K7" i="4" s="1"/>
  <c r="AN8" i="11" s="1"/>
  <c r="R6" i="4"/>
  <c r="Q6" i="4"/>
  <c r="P6" i="4"/>
  <c r="J6" i="4"/>
  <c r="K6" i="4" s="1"/>
  <c r="K1" i="4"/>
  <c r="G18" i="29" l="1"/>
  <c r="G48" i="29" s="1"/>
  <c r="AC14" i="75"/>
  <c r="Z14" i="75" s="1"/>
  <c r="P14" i="75" s="1"/>
  <c r="T11" i="32"/>
  <c r="L11" i="32" s="1"/>
  <c r="T17" i="32"/>
  <c r="L17" i="32" s="1"/>
  <c r="C28" i="18"/>
  <c r="AB28" i="18" s="1"/>
  <c r="C24" i="18"/>
  <c r="AB24" i="18" s="1"/>
  <c r="C20" i="18"/>
  <c r="AB20" i="18" s="1"/>
  <c r="C16" i="18"/>
  <c r="AB16" i="18" s="1"/>
  <c r="C12" i="18"/>
  <c r="AB12" i="18" s="1"/>
  <c r="C26" i="18"/>
  <c r="AB26" i="18" s="1"/>
  <c r="C18" i="18"/>
  <c r="AB18" i="18" s="1"/>
  <c r="C10" i="18"/>
  <c r="AB10" i="18" s="1"/>
  <c r="C25" i="18"/>
  <c r="AB25" i="18" s="1"/>
  <c r="C21" i="18"/>
  <c r="AB21" i="18" s="1"/>
  <c r="C13" i="18"/>
  <c r="AB13" i="18" s="1"/>
  <c r="C27" i="18"/>
  <c r="AB27" i="18" s="1"/>
  <c r="C23" i="18"/>
  <c r="AB23" i="18" s="1"/>
  <c r="C19" i="18"/>
  <c r="AB19" i="18" s="1"/>
  <c r="C15" i="18"/>
  <c r="AB15" i="18" s="1"/>
  <c r="C11" i="18"/>
  <c r="AB11" i="18" s="1"/>
  <c r="C30" i="18"/>
  <c r="C22" i="18"/>
  <c r="AB22" i="18" s="1"/>
  <c r="C14" i="18"/>
  <c r="AB14" i="18" s="1"/>
  <c r="C29" i="18"/>
  <c r="C17" i="18"/>
  <c r="AB17" i="18" s="1"/>
  <c r="C9" i="18"/>
  <c r="AB9" i="18" s="1"/>
  <c r="C41" i="2"/>
  <c r="C37" i="2"/>
  <c r="G28" i="17"/>
  <c r="G30" i="17" s="1"/>
  <c r="C17" i="2"/>
  <c r="C12" i="2"/>
  <c r="C11" i="2"/>
  <c r="C10" i="2"/>
  <c r="C9" i="2"/>
  <c r="C8" i="2"/>
  <c r="I46" i="15"/>
  <c r="H44" i="15"/>
  <c r="H46" i="15" s="1"/>
  <c r="G46" i="15"/>
  <c r="C15"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H45" i="6"/>
  <c r="L41" i="34"/>
  <c r="G41" i="34"/>
  <c r="T13" i="32"/>
  <c r="L13" i="32" s="1"/>
  <c r="H52" i="30"/>
  <c r="H50" i="30"/>
  <c r="L52" i="30"/>
  <c r="L50" i="30"/>
  <c r="I52" i="30"/>
  <c r="I50" i="30"/>
  <c r="J52" i="30"/>
  <c r="J50" i="30"/>
  <c r="G52" i="30"/>
  <c r="G50" i="30"/>
  <c r="K52" i="30"/>
  <c r="K50" i="30"/>
  <c r="AZ51" i="66"/>
  <c r="AW51" i="66" s="1"/>
  <c r="D46" i="2" s="1"/>
  <c r="AR42" i="65"/>
  <c r="AO42" i="65" s="1"/>
  <c r="D45" i="2" s="1"/>
  <c r="AC28" i="75"/>
  <c r="Z28" i="75" s="1"/>
  <c r="M6" i="8"/>
  <c r="N18" i="30"/>
  <c r="AD24" i="76"/>
  <c r="R24" i="76" s="1"/>
  <c r="M18" i="30"/>
  <c r="AD14" i="76"/>
  <c r="K41" i="34"/>
  <c r="AE41" i="34" s="1"/>
  <c r="J21" i="34"/>
  <c r="Z45" i="19"/>
  <c r="T45" i="19" s="1"/>
  <c r="J35" i="34"/>
  <c r="H41" i="34"/>
  <c r="J12" i="31"/>
  <c r="J15" i="31" s="1"/>
  <c r="J21" i="31" s="1"/>
  <c r="O7" i="31"/>
  <c r="G33" i="30"/>
  <c r="G39" i="30" s="1"/>
  <c r="I50" i="29"/>
  <c r="I48" i="29"/>
  <c r="J50" i="29"/>
  <c r="J48" i="29"/>
  <c r="K50" i="29"/>
  <c r="K48" i="29"/>
  <c r="H48" i="29"/>
  <c r="H50" i="29"/>
  <c r="L50" i="29"/>
  <c r="L48" i="29"/>
  <c r="I11" i="16"/>
  <c r="J14" i="34"/>
  <c r="I31" i="6"/>
  <c r="I45" i="6" s="1"/>
  <c r="AN7" i="11"/>
  <c r="AG7" i="11" s="1"/>
  <c r="X39" i="19"/>
  <c r="T12" i="32"/>
  <c r="G17" i="22"/>
  <c r="F17" i="22"/>
  <c r="D17" i="22"/>
  <c r="E17" i="22"/>
  <c r="M14" i="8"/>
  <c r="H8" i="11"/>
  <c r="H12" i="11" s="1"/>
  <c r="H18" i="11" s="1"/>
  <c r="C19" i="21"/>
  <c r="G19" i="21" s="1"/>
  <c r="C15" i="21"/>
  <c r="G15" i="21" s="1"/>
  <c r="C11" i="21"/>
  <c r="G11" i="21" s="1"/>
  <c r="C7" i="21"/>
  <c r="G7" i="21" s="1"/>
  <c r="C13" i="21"/>
  <c r="G13" i="21" s="1"/>
  <c r="C5" i="21"/>
  <c r="H5" i="21" s="1"/>
  <c r="C20" i="21"/>
  <c r="G20" i="21" s="1"/>
  <c r="C12" i="21"/>
  <c r="G12" i="21" s="1"/>
  <c r="C18" i="21"/>
  <c r="G18" i="21" s="1"/>
  <c r="C14" i="21"/>
  <c r="G14" i="21" s="1"/>
  <c r="C10" i="21"/>
  <c r="G10" i="21" s="1"/>
  <c r="C6" i="21"/>
  <c r="G6" i="21" s="1"/>
  <c r="C17" i="21"/>
  <c r="G17" i="21" s="1"/>
  <c r="C9" i="21"/>
  <c r="G9" i="21" s="1"/>
  <c r="C16" i="21"/>
  <c r="G16" i="21" s="1"/>
  <c r="C8" i="21"/>
  <c r="G8" i="21" s="1"/>
  <c r="N15" i="31"/>
  <c r="N21" i="31" s="1"/>
  <c r="AI18" i="21"/>
  <c r="AI9" i="21"/>
  <c r="AI16" i="21"/>
  <c r="AI10" i="21"/>
  <c r="AI7" i="21"/>
  <c r="AI20" i="21"/>
  <c r="AI14" i="21"/>
  <c r="AI5" i="21"/>
  <c r="AI12" i="21"/>
  <c r="AI11" i="21"/>
  <c r="AI19" i="21"/>
  <c r="AI17" i="21"/>
  <c r="AI15" i="21"/>
  <c r="AI8" i="21"/>
  <c r="AI6" i="21"/>
  <c r="AI13" i="21"/>
  <c r="J34" i="33"/>
  <c r="G50" i="29"/>
  <c r="J17" i="12"/>
  <c r="J33" i="30"/>
  <c r="J39" i="30" s="1"/>
  <c r="I41" i="34"/>
  <c r="I33" i="30"/>
  <c r="I39" i="30" s="1"/>
  <c r="S33" i="18"/>
  <c r="D22" i="2" s="1"/>
  <c r="P17" i="22"/>
  <c r="Q17" i="22"/>
  <c r="M16" i="22"/>
  <c r="B19" i="22"/>
  <c r="C18" i="22"/>
  <c r="H18" i="22" s="1"/>
  <c r="B21" i="21"/>
  <c r="AI21" i="21" s="1"/>
  <c r="J8" i="8"/>
  <c r="J33" i="29"/>
  <c r="J39" i="29" s="1"/>
  <c r="G31" i="18"/>
  <c r="G33" i="18" s="1"/>
  <c r="S30" i="17"/>
  <c r="D21" i="2" s="1"/>
  <c r="J13" i="6"/>
  <c r="K13" i="6" s="1"/>
  <c r="M24" i="6"/>
  <c r="M10" i="8"/>
  <c r="M18" i="29"/>
  <c r="J10" i="33"/>
  <c r="R26" i="34"/>
  <c r="L26" i="19"/>
  <c r="K8" i="13"/>
  <c r="M21" i="4"/>
  <c r="M12" i="6"/>
  <c r="M16" i="6"/>
  <c r="M13" i="7"/>
  <c r="M42" i="6"/>
  <c r="M17" i="8"/>
  <c r="K21" i="14"/>
  <c r="P9" i="29"/>
  <c r="R24" i="30"/>
  <c r="R18" i="34"/>
  <c r="I15" i="4"/>
  <c r="I18" i="4" s="1"/>
  <c r="I22" i="4" s="1"/>
  <c r="I6" i="5" s="1"/>
  <c r="I9" i="5" s="1"/>
  <c r="M39" i="6"/>
  <c r="M49" i="6"/>
  <c r="J50" i="6"/>
  <c r="K50" i="6" s="1"/>
  <c r="M12" i="7"/>
  <c r="J34" i="7"/>
  <c r="K34" i="7" s="1"/>
  <c r="L27" i="12"/>
  <c r="L28" i="19"/>
  <c r="K6" i="13"/>
  <c r="K10" i="13"/>
  <c r="N22" i="14"/>
  <c r="G21" i="14"/>
  <c r="L7" i="15"/>
  <c r="L9" i="15"/>
  <c r="L7" i="19"/>
  <c r="L27" i="19"/>
  <c r="P23" i="29"/>
  <c r="P37" i="29"/>
  <c r="M20" i="4"/>
  <c r="M8" i="6"/>
  <c r="M41" i="6"/>
  <c r="M11" i="7"/>
  <c r="M33" i="7"/>
  <c r="M16" i="8"/>
  <c r="K13" i="13"/>
  <c r="K33" i="29"/>
  <c r="K39" i="29" s="1"/>
  <c r="K33" i="30"/>
  <c r="K39" i="30" s="1"/>
  <c r="R21" i="30"/>
  <c r="R27" i="30"/>
  <c r="R34" i="34"/>
  <c r="M7" i="5"/>
  <c r="M11" i="6"/>
  <c r="J20" i="6"/>
  <c r="K20" i="6" s="1"/>
  <c r="M27" i="6"/>
  <c r="M18" i="7"/>
  <c r="M25" i="7"/>
  <c r="J26" i="7"/>
  <c r="K26" i="7" s="1"/>
  <c r="M31" i="7"/>
  <c r="L23" i="15"/>
  <c r="J24" i="15"/>
  <c r="R31" i="34"/>
  <c r="M11" i="4"/>
  <c r="M26" i="6"/>
  <c r="M37" i="6"/>
  <c r="M24" i="7"/>
  <c r="K7" i="13"/>
  <c r="K11" i="13"/>
  <c r="K21" i="13"/>
  <c r="L21" i="14"/>
  <c r="L11" i="15"/>
  <c r="L20" i="15"/>
  <c r="I9" i="19"/>
  <c r="I23" i="19" s="1"/>
  <c r="L8" i="19"/>
  <c r="L48" i="19"/>
  <c r="R14" i="30"/>
  <c r="R37" i="30"/>
  <c r="R19" i="34"/>
  <c r="R24" i="34"/>
  <c r="R25" i="34"/>
  <c r="J28" i="34"/>
  <c r="M10" i="6"/>
  <c r="P17" i="29"/>
  <c r="R32" i="34"/>
  <c r="M7" i="6"/>
  <c r="G27" i="12"/>
  <c r="M21" i="14"/>
  <c r="J13" i="15"/>
  <c r="L19" i="15"/>
  <c r="K5" i="16"/>
  <c r="K8" i="16"/>
  <c r="H44" i="19"/>
  <c r="H46" i="19" s="1"/>
  <c r="H53" i="19" s="1"/>
  <c r="J8" i="26"/>
  <c r="P7" i="29"/>
  <c r="P10" i="29"/>
  <c r="P14" i="29"/>
  <c r="P22" i="29"/>
  <c r="P31" i="29"/>
  <c r="R8" i="30"/>
  <c r="R11" i="30"/>
  <c r="R31" i="30"/>
  <c r="G31" i="6"/>
  <c r="G45" i="6" s="1"/>
  <c r="M17" i="4"/>
  <c r="M17" i="6"/>
  <c r="J29" i="6"/>
  <c r="K29" i="6" s="1"/>
  <c r="M35" i="6"/>
  <c r="M10" i="7"/>
  <c r="M17" i="7"/>
  <c r="M7" i="4"/>
  <c r="M13" i="4"/>
  <c r="M14" i="4"/>
  <c r="M19" i="6"/>
  <c r="M25" i="6"/>
  <c r="M9" i="7"/>
  <c r="M22" i="7"/>
  <c r="M23" i="7"/>
  <c r="M20" i="8"/>
  <c r="M21" i="8"/>
  <c r="P11" i="29"/>
  <c r="R10" i="30"/>
  <c r="R23" i="30"/>
  <c r="O15" i="30"/>
  <c r="R36" i="30"/>
  <c r="O11" i="31"/>
  <c r="R17" i="34"/>
  <c r="I28" i="7"/>
  <c r="I36" i="7" s="1"/>
  <c r="M28" i="6"/>
  <c r="M34" i="6"/>
  <c r="M38" i="6"/>
  <c r="J43" i="6"/>
  <c r="K43" i="6" s="1"/>
  <c r="M48" i="6"/>
  <c r="L14" i="12"/>
  <c r="L17" i="12" s="1"/>
  <c r="K9" i="13"/>
  <c r="K16" i="13"/>
  <c r="N18" i="14"/>
  <c r="AI27" i="14" s="1"/>
  <c r="D18" i="2" s="1"/>
  <c r="L8" i="15"/>
  <c r="L12" i="15"/>
  <c r="J9" i="26"/>
  <c r="I33" i="29"/>
  <c r="I39" i="29" s="1"/>
  <c r="P24" i="29"/>
  <c r="H33" i="30"/>
  <c r="H39" i="30" s="1"/>
  <c r="L33" i="30"/>
  <c r="L39" i="30" s="1"/>
  <c r="R17" i="30"/>
  <c r="O28" i="30"/>
  <c r="O19" i="31"/>
  <c r="G17" i="13" s="1"/>
  <c r="R8" i="34"/>
  <c r="R27" i="34"/>
  <c r="R33" i="34"/>
  <c r="H33" i="18"/>
  <c r="I33" i="18" s="1"/>
  <c r="AF41" i="34"/>
  <c r="H19" i="7"/>
  <c r="J15" i="7"/>
  <c r="N12" i="14"/>
  <c r="H30" i="17"/>
  <c r="I30" i="17" s="1"/>
  <c r="P13" i="19"/>
  <c r="M6" i="4"/>
  <c r="M8" i="4"/>
  <c r="H15" i="4"/>
  <c r="J9" i="4"/>
  <c r="K9" i="4" s="1"/>
  <c r="M12" i="4"/>
  <c r="M9" i="6"/>
  <c r="M18" i="6"/>
  <c r="J7" i="7"/>
  <c r="K7" i="7" s="1"/>
  <c r="M8" i="7"/>
  <c r="G15" i="7"/>
  <c r="M32" i="7"/>
  <c r="AG11" i="11"/>
  <c r="R11" i="11" s="1"/>
  <c r="N19" i="14"/>
  <c r="L22" i="15"/>
  <c r="Q49" i="15"/>
  <c r="L49" i="15" s="1"/>
  <c r="G11" i="16"/>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Q45" i="15"/>
  <c r="X7" i="14"/>
  <c r="O10" i="16"/>
  <c r="N9" i="16"/>
  <c r="O6" i="16"/>
  <c r="X18" i="14"/>
  <c r="Q18" i="14" s="1"/>
  <c r="X15" i="14"/>
  <c r="Q15" i="14" s="1"/>
  <c r="X8" i="14"/>
  <c r="Q8" i="14" s="1"/>
  <c r="N10" i="16"/>
  <c r="O7" i="16"/>
  <c r="N6" i="16"/>
  <c r="X16" i="14"/>
  <c r="Q16" i="14" s="1"/>
  <c r="X9" i="14"/>
  <c r="Q9" i="14" s="1"/>
  <c r="G15" i="4"/>
  <c r="M8" i="5"/>
  <c r="M23" i="6"/>
  <c r="M36" i="6"/>
  <c r="M14" i="7"/>
  <c r="P12" i="19"/>
  <c r="P14" i="19"/>
  <c r="G27" i="33"/>
  <c r="G17" i="12"/>
  <c r="M28" i="29"/>
  <c r="L33" i="29"/>
  <c r="L39" i="29" s="1"/>
  <c r="H33" i="29"/>
  <c r="H39" i="29" s="1"/>
  <c r="P21" i="29"/>
  <c r="P36" i="29"/>
  <c r="P8" i="29"/>
  <c r="G33" i="29"/>
  <c r="G39" i="29" s="1"/>
  <c r="R7" i="30"/>
  <c r="R9" i="30"/>
  <c r="M15" i="29"/>
  <c r="O26" i="30"/>
  <c r="M26" i="29"/>
  <c r="P27" i="29"/>
  <c r="R20" i="34"/>
  <c r="R22" i="30"/>
  <c r="D55" i="2" l="1"/>
  <c r="D56" i="2"/>
  <c r="C19" i="2"/>
  <c r="F553" i="81"/>
  <c r="F507" i="81"/>
  <c r="F530" i="81"/>
  <c r="AB29" i="18"/>
  <c r="Q29" i="18"/>
  <c r="O29" i="18"/>
  <c r="P29" i="18"/>
  <c r="F554" i="81"/>
  <c r="F508" i="81"/>
  <c r="F531" i="81"/>
  <c r="AB30" i="18"/>
  <c r="O30" i="18"/>
  <c r="Q30" i="18"/>
  <c r="P30" i="18"/>
  <c r="F444" i="81"/>
  <c r="F484" i="81"/>
  <c r="F464" i="81"/>
  <c r="J46" i="15"/>
  <c r="D40" i="2"/>
  <c r="AT6" i="11"/>
  <c r="AI6" i="11" s="1"/>
  <c r="R6" i="11" s="1"/>
  <c r="J44" i="15"/>
  <c r="R7" i="11"/>
  <c r="C35" i="2"/>
  <c r="AB26" i="17"/>
  <c r="F483" i="81"/>
  <c r="F443" i="81"/>
  <c r="F463" i="81"/>
  <c r="Q26" i="17"/>
  <c r="P26" i="17"/>
  <c r="O26" i="17"/>
  <c r="AB27" i="17"/>
  <c r="Q27" i="17"/>
  <c r="P27" i="17"/>
  <c r="O27" i="17"/>
  <c r="J15" i="26"/>
  <c r="C34" i="2"/>
  <c r="C39" i="2"/>
  <c r="C40" i="2"/>
  <c r="C20" i="2"/>
  <c r="C23" i="2"/>
  <c r="C18" i="2"/>
  <c r="L45" i="15"/>
  <c r="F512" i="81"/>
  <c r="F535" i="81"/>
  <c r="F489" i="81"/>
  <c r="F511" i="81"/>
  <c r="F534" i="81"/>
  <c r="F488" i="81"/>
  <c r="F459" i="81"/>
  <c r="F479" i="81"/>
  <c r="F439" i="81"/>
  <c r="F453" i="81"/>
  <c r="F433" i="81"/>
  <c r="F473" i="81"/>
  <c r="F455" i="81"/>
  <c r="F475" i="81"/>
  <c r="F435" i="81"/>
  <c r="F450" i="81"/>
  <c r="F470" i="81"/>
  <c r="F430" i="81"/>
  <c r="F452" i="81"/>
  <c r="F472" i="81"/>
  <c r="F432" i="81"/>
  <c r="F457" i="81"/>
  <c r="F477" i="81"/>
  <c r="F437" i="81"/>
  <c r="F448" i="81"/>
  <c r="F468" i="81"/>
  <c r="F428" i="81"/>
  <c r="F454" i="81"/>
  <c r="F474" i="81"/>
  <c r="F434" i="81"/>
  <c r="F528" i="81"/>
  <c r="F551" i="81"/>
  <c r="F505" i="81"/>
  <c r="F517" i="81"/>
  <c r="F540" i="81"/>
  <c r="F494" i="81"/>
  <c r="F518" i="81"/>
  <c r="F541" i="81"/>
  <c r="F495" i="81"/>
  <c r="F516" i="81"/>
  <c r="F539" i="81"/>
  <c r="F493" i="81"/>
  <c r="F521" i="81"/>
  <c r="F544" i="81"/>
  <c r="F498" i="81"/>
  <c r="F522" i="81"/>
  <c r="F545" i="81"/>
  <c r="F499" i="81"/>
  <c r="F520" i="81"/>
  <c r="F543" i="81"/>
  <c r="F497" i="81"/>
  <c r="F527" i="81"/>
  <c r="F550" i="81"/>
  <c r="F504" i="81"/>
  <c r="F525" i="81"/>
  <c r="F548" i="81"/>
  <c r="F502" i="81"/>
  <c r="F510" i="81"/>
  <c r="F533" i="81"/>
  <c r="F487" i="81"/>
  <c r="F526" i="81"/>
  <c r="F549" i="81"/>
  <c r="F503" i="81"/>
  <c r="F460" i="81"/>
  <c r="F480" i="81"/>
  <c r="F440" i="81"/>
  <c r="F461" i="81"/>
  <c r="F481" i="81"/>
  <c r="F441" i="81"/>
  <c r="F456" i="81"/>
  <c r="F476" i="81"/>
  <c r="F436" i="81"/>
  <c r="F458" i="81"/>
  <c r="F478" i="81"/>
  <c r="F438" i="81"/>
  <c r="F515" i="81"/>
  <c r="F538" i="81"/>
  <c r="F492" i="81"/>
  <c r="F523" i="81"/>
  <c r="F546" i="81"/>
  <c r="F500" i="81"/>
  <c r="F519" i="81"/>
  <c r="F496" i="81"/>
  <c r="F542" i="81"/>
  <c r="F524" i="81"/>
  <c r="F547" i="81"/>
  <c r="F501" i="81"/>
  <c r="F513" i="81"/>
  <c r="F536" i="81"/>
  <c r="F490" i="81"/>
  <c r="F529" i="81"/>
  <c r="F552" i="81"/>
  <c r="F506" i="81"/>
  <c r="F514" i="81"/>
  <c r="F537" i="81"/>
  <c r="F491" i="81"/>
  <c r="F451" i="81"/>
  <c r="F471" i="81"/>
  <c r="F431" i="81"/>
  <c r="F449" i="81"/>
  <c r="F469" i="81"/>
  <c r="F429" i="81"/>
  <c r="F447" i="81"/>
  <c r="F467" i="81"/>
  <c r="F427" i="81"/>
  <c r="F446" i="81"/>
  <c r="F426" i="81"/>
  <c r="F466" i="81"/>
  <c r="F462" i="81"/>
  <c r="F482" i="81"/>
  <c r="F442" i="81"/>
  <c r="P28" i="75"/>
  <c r="M52" i="30"/>
  <c r="M50" i="30"/>
  <c r="N33" i="30"/>
  <c r="N39" i="30" s="1"/>
  <c r="N52" i="30"/>
  <c r="N50" i="30"/>
  <c r="AA51" i="66"/>
  <c r="O18" i="30"/>
  <c r="W42" i="65"/>
  <c r="R14" i="76"/>
  <c r="AA30" i="12"/>
  <c r="AG31" i="30"/>
  <c r="AD31" i="30" s="1"/>
  <c r="D38" i="2" s="1"/>
  <c r="K45" i="19"/>
  <c r="Z30" i="12"/>
  <c r="AC31" i="29"/>
  <c r="Z31" i="29" s="1"/>
  <c r="D37" i="2" s="1"/>
  <c r="M33" i="30"/>
  <c r="M39" i="30" s="1"/>
  <c r="H16" i="21"/>
  <c r="H18" i="21"/>
  <c r="H13" i="21"/>
  <c r="H15" i="21"/>
  <c r="H10" i="21"/>
  <c r="H19" i="21"/>
  <c r="H20" i="21"/>
  <c r="H17" i="21"/>
  <c r="H7" i="21"/>
  <c r="H8" i="21"/>
  <c r="H14" i="21"/>
  <c r="H11" i="21"/>
  <c r="H12" i="21"/>
  <c r="H6" i="21"/>
  <c r="H9" i="21"/>
  <c r="G44" i="19"/>
  <c r="G46" i="19" s="1"/>
  <c r="G53" i="19" s="1"/>
  <c r="P27" i="14"/>
  <c r="AN9" i="11"/>
  <c r="AG9" i="11" s="1"/>
  <c r="R9" i="11" s="1"/>
  <c r="V5" i="21"/>
  <c r="K33" i="18"/>
  <c r="C21" i="21"/>
  <c r="G11" i="13"/>
  <c r="I11" i="13" s="1"/>
  <c r="G7" i="13"/>
  <c r="G8" i="13"/>
  <c r="G6" i="13"/>
  <c r="G9" i="13"/>
  <c r="G32" i="12"/>
  <c r="G33" i="33"/>
  <c r="G32" i="33"/>
  <c r="G31" i="33"/>
  <c r="J11" i="8"/>
  <c r="L12" i="32"/>
  <c r="D11" i="21"/>
  <c r="D7" i="21"/>
  <c r="E6" i="21"/>
  <c r="E11" i="21"/>
  <c r="F16" i="21"/>
  <c r="D5" i="21"/>
  <c r="F14" i="21"/>
  <c r="F8" i="21"/>
  <c r="F12" i="21"/>
  <c r="F17" i="21"/>
  <c r="F18" i="21"/>
  <c r="F20" i="21"/>
  <c r="F19" i="21"/>
  <c r="F18" i="22"/>
  <c r="E18" i="22"/>
  <c r="D18" i="22"/>
  <c r="G18" i="22"/>
  <c r="F13" i="21"/>
  <c r="F15" i="21"/>
  <c r="F5" i="21"/>
  <c r="F6" i="21"/>
  <c r="F7" i="21"/>
  <c r="F9" i="21"/>
  <c r="F10" i="21"/>
  <c r="F11" i="21"/>
  <c r="D10" i="21"/>
  <c r="D9" i="21"/>
  <c r="E7" i="21"/>
  <c r="E9" i="21"/>
  <c r="E10" i="21"/>
  <c r="E8" i="21"/>
  <c r="E13" i="21"/>
  <c r="D18" i="21"/>
  <c r="D17" i="21"/>
  <c r="E16" i="21"/>
  <c r="D14" i="21"/>
  <c r="E17" i="21"/>
  <c r="D13" i="21"/>
  <c r="D16" i="21"/>
  <c r="E18" i="21"/>
  <c r="D20" i="21"/>
  <c r="D12" i="21"/>
  <c r="E5" i="21"/>
  <c r="E12" i="21"/>
  <c r="E19" i="21"/>
  <c r="D6" i="21"/>
  <c r="E15" i="21"/>
  <c r="D15" i="21"/>
  <c r="E14" i="21"/>
  <c r="G5" i="21"/>
  <c r="D19" i="21"/>
  <c r="E20" i="21"/>
  <c r="D8" i="21"/>
  <c r="V6" i="21"/>
  <c r="I8" i="11"/>
  <c r="G6" i="32"/>
  <c r="G9" i="32" s="1"/>
  <c r="G15" i="32" s="1"/>
  <c r="G18" i="32" s="1"/>
  <c r="O15" i="31"/>
  <c r="AE15" i="31" s="1"/>
  <c r="J32" i="12"/>
  <c r="J39" i="12" s="1"/>
  <c r="I19" i="27" s="1"/>
  <c r="M8" i="11"/>
  <c r="H6" i="32"/>
  <c r="O14" i="31"/>
  <c r="L34" i="17"/>
  <c r="J45" i="6"/>
  <c r="K45" i="6" s="1"/>
  <c r="Z5" i="21"/>
  <c r="Q18" i="22"/>
  <c r="P18" i="22"/>
  <c r="B20" i="22"/>
  <c r="C19" i="22"/>
  <c r="H19" i="22" s="1"/>
  <c r="M17" i="22"/>
  <c r="B22" i="21"/>
  <c r="AB5" i="21"/>
  <c r="AD5" i="21"/>
  <c r="AD6" i="21"/>
  <c r="Z6" i="21"/>
  <c r="AB6" i="21"/>
  <c r="V7" i="21"/>
  <c r="K30" i="17"/>
  <c r="J41" i="34"/>
  <c r="AC41" i="34" s="1"/>
  <c r="D42" i="2" s="1"/>
  <c r="O12" i="31"/>
  <c r="AE12" i="31" s="1"/>
  <c r="W5" i="21"/>
  <c r="S7" i="11"/>
  <c r="S16" i="11"/>
  <c r="Q7" i="14"/>
  <c r="M7" i="32"/>
  <c r="X5" i="21"/>
  <c r="S15" i="11"/>
  <c r="K9" i="16"/>
  <c r="R9" i="31"/>
  <c r="J31" i="6"/>
  <c r="K31" i="6" s="1"/>
  <c r="W6" i="21"/>
  <c r="L12" i="19"/>
  <c r="R11" i="31"/>
  <c r="X6" i="21"/>
  <c r="R8" i="31"/>
  <c r="S11" i="11"/>
  <c r="P20" i="17"/>
  <c r="O20" i="17"/>
  <c r="Q20" i="17"/>
  <c r="P16" i="17"/>
  <c r="O16" i="17"/>
  <c r="Q16" i="17"/>
  <c r="Q11" i="18"/>
  <c r="P11" i="18"/>
  <c r="O11" i="18"/>
  <c r="Q19" i="18"/>
  <c r="P19" i="18"/>
  <c r="O19" i="18"/>
  <c r="Q23" i="18"/>
  <c r="P23" i="18"/>
  <c r="O23" i="18"/>
  <c r="P25" i="17"/>
  <c r="O25" i="17"/>
  <c r="Q25" i="17"/>
  <c r="H18" i="4"/>
  <c r="J15" i="4"/>
  <c r="K15" i="4" s="1"/>
  <c r="P23" i="17"/>
  <c r="O23" i="17"/>
  <c r="Q23" i="17"/>
  <c r="P15" i="17"/>
  <c r="O15" i="17"/>
  <c r="Q15" i="17"/>
  <c r="K10" i="16"/>
  <c r="Q16" i="18"/>
  <c r="P16" i="18"/>
  <c r="O16" i="18"/>
  <c r="Q28" i="18"/>
  <c r="P28" i="18"/>
  <c r="O28" i="18"/>
  <c r="K15" i="7"/>
  <c r="G19" i="7"/>
  <c r="H28" i="7"/>
  <c r="J19" i="7"/>
  <c r="M33" i="29"/>
  <c r="M39" i="29"/>
  <c r="AD52" i="63" s="1"/>
  <c r="AA52" i="63" s="1"/>
  <c r="D43" i="2" s="1"/>
  <c r="P22" i="17"/>
  <c r="O22" i="17"/>
  <c r="Q22" i="17"/>
  <c r="P18" i="17"/>
  <c r="O18" i="17"/>
  <c r="Q18" i="17"/>
  <c r="P14" i="17"/>
  <c r="O14" i="17"/>
  <c r="Q14" i="17"/>
  <c r="P10" i="17"/>
  <c r="O10" i="17"/>
  <c r="Q10" i="17"/>
  <c r="Q9" i="18"/>
  <c r="P9" i="18"/>
  <c r="O9" i="18"/>
  <c r="Q13" i="18"/>
  <c r="P13" i="18"/>
  <c r="O13" i="18"/>
  <c r="Q17" i="18"/>
  <c r="P17" i="18"/>
  <c r="O17" i="18"/>
  <c r="Q21" i="18"/>
  <c r="P21" i="18"/>
  <c r="O21" i="18"/>
  <c r="Q25" i="18"/>
  <c r="P25" i="18"/>
  <c r="O25" i="18"/>
  <c r="S6" i="11"/>
  <c r="L13" i="19"/>
  <c r="N21" i="14"/>
  <c r="P24" i="17"/>
  <c r="O24" i="17"/>
  <c r="Q24" i="17"/>
  <c r="P12" i="17"/>
  <c r="O12" i="17"/>
  <c r="Q12" i="17"/>
  <c r="Q15" i="18"/>
  <c r="P15" i="18"/>
  <c r="O15" i="18"/>
  <c r="Q27" i="18"/>
  <c r="P27" i="18"/>
  <c r="O27" i="18"/>
  <c r="L43" i="15"/>
  <c r="P19" i="17"/>
  <c r="O19" i="17"/>
  <c r="Q19" i="17"/>
  <c r="P11" i="17"/>
  <c r="O11" i="17"/>
  <c r="Q11" i="17"/>
  <c r="G18" i="4"/>
  <c r="Q12" i="18"/>
  <c r="P12" i="18"/>
  <c r="O12" i="18"/>
  <c r="Q20" i="18"/>
  <c r="P20" i="18"/>
  <c r="O20" i="18"/>
  <c r="Q24" i="18"/>
  <c r="P24" i="18"/>
  <c r="O24" i="18"/>
  <c r="K7" i="16"/>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L30" i="18" l="1"/>
  <c r="L29" i="18"/>
  <c r="L26" i="17"/>
  <c r="J13" i="8"/>
  <c r="G9" i="33" s="1"/>
  <c r="G8" i="33"/>
  <c r="W30" i="12"/>
  <c r="D16" i="2" s="1"/>
  <c r="J44" i="19"/>
  <c r="J46" i="19" s="1"/>
  <c r="J53" i="19" s="1"/>
  <c r="I39" i="19"/>
  <c r="W39" i="19" s="1"/>
  <c r="L27" i="17"/>
  <c r="C22" i="2"/>
  <c r="C21" i="2"/>
  <c r="J6" i="32"/>
  <c r="L32" i="12"/>
  <c r="L39" i="12" s="1"/>
  <c r="O39" i="30"/>
  <c r="AH52" i="64" s="1"/>
  <c r="AE52" i="64" s="1"/>
  <c r="D44" i="2" s="1"/>
  <c r="Q31" i="30"/>
  <c r="O33" i="30"/>
  <c r="O31" i="29"/>
  <c r="P52" i="63"/>
  <c r="G21" i="21"/>
  <c r="H21" i="21"/>
  <c r="W29" i="19"/>
  <c r="S29" i="19" s="1"/>
  <c r="H9" i="32"/>
  <c r="H15" i="32" s="1"/>
  <c r="H18" i="32" s="1"/>
  <c r="G12" i="13"/>
  <c r="D21" i="21"/>
  <c r="E21" i="21"/>
  <c r="F21" i="21"/>
  <c r="C22" i="21"/>
  <c r="H22" i="21" s="1"/>
  <c r="AI22" i="21"/>
  <c r="Q33" i="33"/>
  <c r="O33" i="33" s="1"/>
  <c r="D41" i="2" s="1"/>
  <c r="I6" i="13"/>
  <c r="Q7" i="31"/>
  <c r="Q19" i="31"/>
  <c r="I17" i="13"/>
  <c r="I9" i="13"/>
  <c r="Q10" i="31"/>
  <c r="I7" i="13"/>
  <c r="Q8" i="31"/>
  <c r="Q11" i="31"/>
  <c r="Q9" i="31"/>
  <c r="I8" i="13"/>
  <c r="G13" i="13"/>
  <c r="G7" i="33"/>
  <c r="E19" i="22"/>
  <c r="D19" i="22"/>
  <c r="F19" i="22"/>
  <c r="G19" i="22"/>
  <c r="K8" i="11"/>
  <c r="K12" i="11" s="1"/>
  <c r="K18" i="11" s="1"/>
  <c r="H7" i="27"/>
  <c r="H19" i="27" s="1"/>
  <c r="N8" i="11"/>
  <c r="N12" i="11" s="1"/>
  <c r="N18" i="11" s="1"/>
  <c r="S5" i="21"/>
  <c r="L9" i="17"/>
  <c r="O21" i="31"/>
  <c r="AE21" i="31" s="1"/>
  <c r="M18" i="22"/>
  <c r="Q19" i="22"/>
  <c r="P19" i="22"/>
  <c r="B21" i="22"/>
  <c r="C20" i="22"/>
  <c r="H20" i="22" s="1"/>
  <c r="B23" i="21"/>
  <c r="AB7" i="21"/>
  <c r="AD7" i="21"/>
  <c r="Z7" i="21"/>
  <c r="W7" i="21"/>
  <c r="X7" i="21"/>
  <c r="R41" i="34"/>
  <c r="S6" i="21"/>
  <c r="L15" i="17"/>
  <c r="L18" i="18"/>
  <c r="L17" i="17"/>
  <c r="L21" i="18"/>
  <c r="L20" i="18"/>
  <c r="L22" i="18"/>
  <c r="L25" i="18"/>
  <c r="L15" i="18"/>
  <c r="L23" i="18"/>
  <c r="L12" i="18"/>
  <c r="L27" i="18"/>
  <c r="L22" i="17"/>
  <c r="L16" i="18"/>
  <c r="G22" i="4"/>
  <c r="L19" i="17"/>
  <c r="L24" i="17"/>
  <c r="L9" i="18"/>
  <c r="G28" i="7"/>
  <c r="G36" i="7" s="1"/>
  <c r="K19" i="7"/>
  <c r="G18" i="33" s="1"/>
  <c r="G23" i="33" s="1"/>
  <c r="G24" i="33" s="1"/>
  <c r="L25" i="17"/>
  <c r="L26" i="18"/>
  <c r="L10" i="18"/>
  <c r="L24" i="18"/>
  <c r="L11" i="17"/>
  <c r="L12" i="17"/>
  <c r="L13" i="18"/>
  <c r="L14" i="17"/>
  <c r="L28" i="18"/>
  <c r="L11" i="18"/>
  <c r="L20" i="17"/>
  <c r="L13" i="17"/>
  <c r="L18" i="17"/>
  <c r="L14" i="18"/>
  <c r="L21" i="17"/>
  <c r="L17" i="18"/>
  <c r="L10" i="17"/>
  <c r="J28" i="7"/>
  <c r="H36" i="7"/>
  <c r="J36" i="7" s="1"/>
  <c r="L23" i="17"/>
  <c r="H22" i="4"/>
  <c r="J18" i="4"/>
  <c r="K18" i="4" s="1"/>
  <c r="L19" i="18"/>
  <c r="G39" i="12"/>
  <c r="L16" i="17"/>
  <c r="J15" i="32" l="1"/>
  <c r="N30" i="12"/>
  <c r="J9" i="32"/>
  <c r="G21" i="33"/>
  <c r="R52" i="64"/>
  <c r="G14" i="13"/>
  <c r="G19" i="13" s="1"/>
  <c r="G13" i="33" s="1"/>
  <c r="I12" i="13"/>
  <c r="I33" i="33"/>
  <c r="C23" i="21"/>
  <c r="H23" i="21" s="1"/>
  <c r="AI23" i="21"/>
  <c r="G22" i="21"/>
  <c r="F22" i="21"/>
  <c r="D22" i="21"/>
  <c r="E22" i="21"/>
  <c r="Q14" i="31"/>
  <c r="I13" i="13"/>
  <c r="AF12" i="31"/>
  <c r="AC12" i="31" s="1"/>
  <c r="G7" i="27"/>
  <c r="G19" i="27" s="1"/>
  <c r="E20" i="22"/>
  <c r="D20" i="22"/>
  <c r="G20" i="22"/>
  <c r="F20" i="22"/>
  <c r="S8" i="11"/>
  <c r="S39" i="19"/>
  <c r="D23" i="2" s="1"/>
  <c r="M19" i="22"/>
  <c r="P20" i="22"/>
  <c r="Q20" i="22"/>
  <c r="B22" i="22"/>
  <c r="C21" i="22"/>
  <c r="H21" i="22" s="1"/>
  <c r="B24" i="21"/>
  <c r="S7" i="21"/>
  <c r="Z8" i="21"/>
  <c r="AB8" i="21"/>
  <c r="AD8" i="21"/>
  <c r="K29" i="19"/>
  <c r="X8" i="21"/>
  <c r="V8" i="21"/>
  <c r="W8" i="21"/>
  <c r="K36" i="7"/>
  <c r="K28" i="7"/>
  <c r="H6" i="5"/>
  <c r="J22" i="4"/>
  <c r="K22" i="4" s="1"/>
  <c r="G6" i="5"/>
  <c r="K39" i="19" l="1"/>
  <c r="I14" i="13"/>
  <c r="I19" i="13" s="1"/>
  <c r="Q12" i="31"/>
  <c r="C24" i="21"/>
  <c r="H24" i="21" s="1"/>
  <c r="AI24" i="21"/>
  <c r="G23" i="21"/>
  <c r="D23" i="21"/>
  <c r="E23" i="21"/>
  <c r="F23" i="21"/>
  <c r="AF21" i="31"/>
  <c r="AC21" i="31" s="1"/>
  <c r="Q21" i="31" s="1"/>
  <c r="G8" i="11"/>
  <c r="P8" i="11" s="1"/>
  <c r="AF15" i="31"/>
  <c r="AC15" i="31" s="1"/>
  <c r="D21" i="22"/>
  <c r="G21" i="22"/>
  <c r="F21" i="22"/>
  <c r="E21" i="22"/>
  <c r="Q21" i="22"/>
  <c r="P21" i="22"/>
  <c r="M20" i="22"/>
  <c r="B23" i="22"/>
  <c r="C22" i="22"/>
  <c r="H22" i="22" s="1"/>
  <c r="B25" i="21"/>
  <c r="Z9" i="21"/>
  <c r="AB9" i="21"/>
  <c r="AD9" i="21"/>
  <c r="J18" i="32"/>
  <c r="V9" i="21"/>
  <c r="X9" i="21"/>
  <c r="W9" i="21"/>
  <c r="S8" i="21"/>
  <c r="J6" i="5"/>
  <c r="K6" i="5" s="1"/>
  <c r="H9" i="5"/>
  <c r="J9" i="5" s="1"/>
  <c r="G9" i="5"/>
  <c r="D39" i="2" l="1"/>
  <c r="G12" i="11"/>
  <c r="P12" i="11" s="1"/>
  <c r="C25" i="21"/>
  <c r="H25" i="21" s="1"/>
  <c r="AI25" i="21"/>
  <c r="G24" i="21"/>
  <c r="F24" i="21"/>
  <c r="E24" i="21"/>
  <c r="D24" i="21"/>
  <c r="Q15" i="31"/>
  <c r="F22" i="22"/>
  <c r="E22" i="22"/>
  <c r="D22" i="22"/>
  <c r="G22" i="22"/>
  <c r="M21" i="22"/>
  <c r="Q22" i="22"/>
  <c r="P22" i="22"/>
  <c r="B24" i="22"/>
  <c r="C23" i="22"/>
  <c r="H23" i="22" s="1"/>
  <c r="B26" i="21"/>
  <c r="AD10" i="21"/>
  <c r="Z10" i="21"/>
  <c r="AB10" i="21"/>
  <c r="K9" i="5"/>
  <c r="W10" i="21"/>
  <c r="V10" i="21"/>
  <c r="X10" i="21"/>
  <c r="S9" i="21"/>
  <c r="G18" i="11" l="1"/>
  <c r="P18" i="11" s="1"/>
  <c r="G25" i="21"/>
  <c r="E25" i="21"/>
  <c r="D25" i="21"/>
  <c r="F25" i="21"/>
  <c r="AI26" i="21"/>
  <c r="C26" i="21"/>
  <c r="H26" i="21" s="1"/>
  <c r="G28" i="33"/>
  <c r="AM8" i="11"/>
  <c r="AG8" i="11" s="1"/>
  <c r="D15" i="2" s="1"/>
  <c r="G23" i="22"/>
  <c r="E23" i="22"/>
  <c r="D23" i="22"/>
  <c r="F23" i="22"/>
  <c r="M22" i="22"/>
  <c r="P23" i="22"/>
  <c r="Q23" i="22"/>
  <c r="B25" i="22"/>
  <c r="C24" i="22"/>
  <c r="H24" i="22" s="1"/>
  <c r="B27" i="21"/>
  <c r="AB11" i="21"/>
  <c r="AD11" i="21"/>
  <c r="Z11" i="21"/>
  <c r="S10" i="21"/>
  <c r="V11" i="21"/>
  <c r="W11" i="21"/>
  <c r="X11" i="21"/>
  <c r="G26" i="21" l="1"/>
  <c r="E26" i="21"/>
  <c r="F26" i="21"/>
  <c r="D26" i="21"/>
  <c r="C27" i="21"/>
  <c r="H27" i="21" s="1"/>
  <c r="AI27" i="21"/>
  <c r="R8" i="11"/>
  <c r="E24" i="22"/>
  <c r="G24" i="22"/>
  <c r="F24" i="22"/>
  <c r="D24" i="22"/>
  <c r="P24" i="22"/>
  <c r="Q24" i="22"/>
  <c r="M23" i="22"/>
  <c r="B26" i="22"/>
  <c r="C25" i="22"/>
  <c r="H25" i="22" s="1"/>
  <c r="B28" i="21"/>
  <c r="Z12" i="21"/>
  <c r="AB12" i="21"/>
  <c r="AD12" i="21"/>
  <c r="W12" i="21"/>
  <c r="V12" i="21"/>
  <c r="X12" i="21"/>
  <c r="S11" i="21"/>
  <c r="G27" i="21" l="1"/>
  <c r="E27" i="21"/>
  <c r="D27" i="21"/>
  <c r="F27" i="21"/>
  <c r="C28" i="21"/>
  <c r="H28" i="21" s="1"/>
  <c r="AI28" i="21"/>
  <c r="G25" i="22"/>
  <c r="F25" i="22"/>
  <c r="E25" i="22"/>
  <c r="D25" i="22"/>
  <c r="P25" i="22"/>
  <c r="Q25" i="22"/>
  <c r="B27" i="22"/>
  <c r="C26" i="22"/>
  <c r="H26" i="22" s="1"/>
  <c r="M24" i="22"/>
  <c r="B29" i="21"/>
  <c r="Z13" i="21"/>
  <c r="AB13" i="21"/>
  <c r="AD13" i="21"/>
  <c r="X13" i="21"/>
  <c r="V13" i="21"/>
  <c r="W13" i="21"/>
  <c r="S12" i="21"/>
  <c r="AI29" i="21" l="1"/>
  <c r="C29" i="21"/>
  <c r="H29" i="21" s="1"/>
  <c r="G28" i="21"/>
  <c r="E28" i="21"/>
  <c r="F28" i="21"/>
  <c r="D28" i="21"/>
  <c r="G26" i="22"/>
  <c r="F26" i="22"/>
  <c r="E26" i="22"/>
  <c r="D26" i="22"/>
  <c r="M25" i="22"/>
  <c r="P26" i="22"/>
  <c r="Q26" i="22"/>
  <c r="B28" i="22"/>
  <c r="C27" i="22"/>
  <c r="H27" i="22" s="1"/>
  <c r="B30" i="21"/>
  <c r="AD14" i="21"/>
  <c r="Z14" i="21"/>
  <c r="AB14" i="21"/>
  <c r="S13" i="21"/>
  <c r="X14" i="21"/>
  <c r="V14" i="21"/>
  <c r="W14" i="21"/>
  <c r="AI30" i="21" l="1"/>
  <c r="C30" i="21"/>
  <c r="H30" i="21" s="1"/>
  <c r="G29" i="21"/>
  <c r="E29" i="21"/>
  <c r="D29" i="21"/>
  <c r="F29" i="21"/>
  <c r="G27" i="22"/>
  <c r="F27" i="22"/>
  <c r="E27" i="22"/>
  <c r="D27" i="22"/>
  <c r="S27" i="22" s="1"/>
  <c r="M26" i="22"/>
  <c r="B29" i="22"/>
  <c r="C28" i="22"/>
  <c r="H28" i="22" s="1"/>
  <c r="Q27" i="22"/>
  <c r="P27" i="22"/>
  <c r="B31" i="21"/>
  <c r="AB15" i="21"/>
  <c r="AD15" i="21"/>
  <c r="Z15" i="21"/>
  <c r="V15" i="21"/>
  <c r="X15" i="21"/>
  <c r="W15" i="21"/>
  <c r="S14" i="21"/>
  <c r="C31" i="21" l="1"/>
  <c r="H31" i="21" s="1"/>
  <c r="AI31" i="21"/>
  <c r="G30" i="21"/>
  <c r="D30" i="21"/>
  <c r="F30" i="21"/>
  <c r="E30" i="21"/>
  <c r="T27" i="22"/>
  <c r="G28" i="22"/>
  <c r="F28" i="22"/>
  <c r="D28" i="22"/>
  <c r="T28" i="22" s="1"/>
  <c r="E28" i="22"/>
  <c r="P28" i="22"/>
  <c r="Q28" i="22"/>
  <c r="M27" i="22"/>
  <c r="B30" i="22"/>
  <c r="C29" i="22"/>
  <c r="H29" i="22" s="1"/>
  <c r="B32" i="21"/>
  <c r="Z16" i="21"/>
  <c r="AB16" i="21"/>
  <c r="AD16" i="21"/>
  <c r="W16" i="21"/>
  <c r="X16" i="21"/>
  <c r="V16" i="21"/>
  <c r="S15" i="21"/>
  <c r="AI32" i="21" l="1"/>
  <c r="C32" i="21"/>
  <c r="H32" i="21" s="1"/>
  <c r="G31" i="21"/>
  <c r="D31" i="21"/>
  <c r="F31" i="21"/>
  <c r="E31" i="21"/>
  <c r="S28" i="22"/>
  <c r="D29" i="22"/>
  <c r="S29" i="22" s="1"/>
  <c r="E29" i="22"/>
  <c r="G29" i="22"/>
  <c r="F29" i="22"/>
  <c r="B31" i="22"/>
  <c r="C30" i="22"/>
  <c r="H30" i="22" s="1"/>
  <c r="M28" i="22"/>
  <c r="Q29" i="22"/>
  <c r="P29" i="22"/>
  <c r="B33" i="21"/>
  <c r="Z17" i="21"/>
  <c r="AB17" i="21"/>
  <c r="AD17" i="21"/>
  <c r="S16" i="21"/>
  <c r="X17" i="21"/>
  <c r="V17" i="21"/>
  <c r="W17" i="21"/>
  <c r="T29" i="22" l="1"/>
  <c r="G32" i="21"/>
  <c r="F32" i="21"/>
  <c r="E32" i="21"/>
  <c r="D32" i="21"/>
  <c r="C33" i="21"/>
  <c r="H33" i="21" s="1"/>
  <c r="AI33" i="21"/>
  <c r="G30" i="22"/>
  <c r="F30" i="22"/>
  <c r="E30" i="22"/>
  <c r="D30" i="22"/>
  <c r="T30" i="22" s="1"/>
  <c r="M29" i="22"/>
  <c r="Q30" i="22"/>
  <c r="P30" i="22"/>
  <c r="B32" i="22"/>
  <c r="C31" i="22"/>
  <c r="H31" i="22" s="1"/>
  <c r="B34" i="21"/>
  <c r="AD18" i="21"/>
  <c r="Z18" i="21"/>
  <c r="AB18" i="21"/>
  <c r="S17" i="21"/>
  <c r="V18" i="21"/>
  <c r="W18" i="21"/>
  <c r="X18" i="21"/>
  <c r="S30" i="22" l="1"/>
  <c r="C34" i="21"/>
  <c r="H34" i="21" s="1"/>
  <c r="AI34" i="21"/>
  <c r="G33" i="21"/>
  <c r="F33" i="21"/>
  <c r="D33" i="21"/>
  <c r="E33" i="21"/>
  <c r="G31" i="22"/>
  <c r="E31" i="22"/>
  <c r="D31" i="22"/>
  <c r="S31" i="22" s="1"/>
  <c r="F31" i="22"/>
  <c r="M30" i="22"/>
  <c r="B33" i="22"/>
  <c r="C32" i="22"/>
  <c r="H32" i="22" s="1"/>
  <c r="P31" i="22"/>
  <c r="Q31" i="22"/>
  <c r="B35" i="21"/>
  <c r="AB19" i="21"/>
  <c r="AD19" i="21"/>
  <c r="Z19" i="21"/>
  <c r="X19" i="21"/>
  <c r="V19" i="21"/>
  <c r="W19" i="21"/>
  <c r="S18" i="21"/>
  <c r="T31" i="22" l="1"/>
  <c r="AI35" i="21"/>
  <c r="C35" i="21"/>
  <c r="H35" i="21" s="1"/>
  <c r="G34" i="21"/>
  <c r="F34" i="21"/>
  <c r="D34" i="21"/>
  <c r="E34" i="21"/>
  <c r="D32" i="22"/>
  <c r="T32" i="22" s="1"/>
  <c r="G32" i="22"/>
  <c r="E32" i="22"/>
  <c r="F32" i="22"/>
  <c r="M31" i="22"/>
  <c r="P32" i="22"/>
  <c r="Q32" i="22"/>
  <c r="B34" i="22"/>
  <c r="C33" i="22"/>
  <c r="H33" i="22" s="1"/>
  <c r="B36" i="21"/>
  <c r="Z20" i="21"/>
  <c r="AB20" i="21"/>
  <c r="AD20" i="21"/>
  <c r="W20" i="21"/>
  <c r="V20" i="21"/>
  <c r="X20" i="21"/>
  <c r="S19" i="21"/>
  <c r="S32" i="22" l="1"/>
  <c r="AI36" i="21"/>
  <c r="C36" i="21"/>
  <c r="H36" i="21" s="1"/>
  <c r="G35" i="21"/>
  <c r="D35" i="21"/>
  <c r="F35" i="21"/>
  <c r="E35" i="21"/>
  <c r="D33" i="22"/>
  <c r="S33" i="22" s="1"/>
  <c r="G33" i="22"/>
  <c r="F33" i="22"/>
  <c r="E33" i="22"/>
  <c r="M32" i="22"/>
  <c r="Q33" i="22"/>
  <c r="P33" i="22"/>
  <c r="B35" i="22"/>
  <c r="C34" i="22"/>
  <c r="H34" i="22" s="1"/>
  <c r="B37" i="21"/>
  <c r="Z21" i="21"/>
  <c r="AB21" i="21"/>
  <c r="AD21" i="21"/>
  <c r="V21" i="21"/>
  <c r="X21" i="21"/>
  <c r="W21" i="21"/>
  <c r="S20" i="21"/>
  <c r="T33" i="22" l="1"/>
  <c r="C37" i="21"/>
  <c r="H37" i="21" s="1"/>
  <c r="AI37" i="21"/>
  <c r="G36" i="21"/>
  <c r="E36" i="21"/>
  <c r="D36" i="21"/>
  <c r="F36" i="21"/>
  <c r="F34" i="22"/>
  <c r="E34" i="22"/>
  <c r="D34" i="22"/>
  <c r="T34" i="22" s="1"/>
  <c r="G34" i="22"/>
  <c r="P34" i="22"/>
  <c r="Q34" i="22"/>
  <c r="M33" i="22"/>
  <c r="B36" i="22"/>
  <c r="C35" i="22"/>
  <c r="H35" i="22" s="1"/>
  <c r="B38" i="21"/>
  <c r="AD22" i="21"/>
  <c r="Z22" i="21"/>
  <c r="AB22" i="21"/>
  <c r="S21" i="21"/>
  <c r="W22" i="21"/>
  <c r="V22" i="21"/>
  <c r="X22" i="21"/>
  <c r="S34" i="22" l="1"/>
  <c r="C38" i="21"/>
  <c r="H38" i="21" s="1"/>
  <c r="AI38" i="21"/>
  <c r="G37" i="21"/>
  <c r="E37" i="21"/>
  <c r="F37" i="21"/>
  <c r="D37" i="21"/>
  <c r="E35" i="22"/>
  <c r="D35" i="22"/>
  <c r="S35" i="22" s="1"/>
  <c r="G35" i="22"/>
  <c r="F35" i="22"/>
  <c r="B37" i="22"/>
  <c r="C36" i="22"/>
  <c r="H36" i="22" s="1"/>
  <c r="M34" i="22"/>
  <c r="P35" i="22"/>
  <c r="Q35" i="22"/>
  <c r="B39" i="21"/>
  <c r="AB23" i="21"/>
  <c r="AD23" i="21"/>
  <c r="Z23" i="21"/>
  <c r="S22" i="21"/>
  <c r="V23" i="21"/>
  <c r="W23" i="21"/>
  <c r="X23" i="21"/>
  <c r="T35" i="22" l="1"/>
  <c r="G38" i="21"/>
  <c r="E38" i="21"/>
  <c r="F38" i="21"/>
  <c r="D38" i="21"/>
  <c r="C39" i="21"/>
  <c r="H39" i="21" s="1"/>
  <c r="AI39" i="21"/>
  <c r="E36" i="22"/>
  <c r="G36" i="22"/>
  <c r="F36" i="22"/>
  <c r="D36" i="22"/>
  <c r="T36" i="22" s="1"/>
  <c r="M35" i="22"/>
  <c r="P36" i="22"/>
  <c r="Q36" i="22"/>
  <c r="B38" i="22"/>
  <c r="C37" i="22"/>
  <c r="H37" i="22" s="1"/>
  <c r="B40" i="21"/>
  <c r="Z24" i="21"/>
  <c r="AB24" i="21"/>
  <c r="AD24" i="21"/>
  <c r="S23" i="21"/>
  <c r="V24" i="21"/>
  <c r="X24" i="21"/>
  <c r="W24" i="21"/>
  <c r="S36" i="22" l="1"/>
  <c r="C40" i="21"/>
  <c r="H40" i="21" s="1"/>
  <c r="AI40" i="21"/>
  <c r="G39" i="21"/>
  <c r="D39" i="21"/>
  <c r="F39" i="21"/>
  <c r="E39" i="21"/>
  <c r="G37" i="22"/>
  <c r="F37" i="22"/>
  <c r="D37" i="22"/>
  <c r="T37" i="22" s="1"/>
  <c r="E37" i="22"/>
  <c r="M36" i="22"/>
  <c r="B39" i="22"/>
  <c r="C38" i="22"/>
  <c r="H38" i="22" s="1"/>
  <c r="Q37" i="22"/>
  <c r="P37" i="22"/>
  <c r="B41" i="21"/>
  <c r="Z25" i="21"/>
  <c r="AB25" i="21"/>
  <c r="AD25" i="21"/>
  <c r="S24" i="21"/>
  <c r="V25" i="21"/>
  <c r="X25" i="21"/>
  <c r="W25" i="21"/>
  <c r="S37" i="22" l="1"/>
  <c r="AI41" i="21"/>
  <c r="C41" i="21"/>
  <c r="H41" i="21" s="1"/>
  <c r="G40" i="21"/>
  <c r="F40" i="21"/>
  <c r="E40" i="21"/>
  <c r="D40" i="21"/>
  <c r="F38" i="22"/>
  <c r="E38" i="22"/>
  <c r="D38" i="22"/>
  <c r="S38" i="22" s="1"/>
  <c r="G38" i="22"/>
  <c r="M37" i="22"/>
  <c r="Q38" i="22"/>
  <c r="P38" i="22"/>
  <c r="B40" i="22"/>
  <c r="C39" i="22"/>
  <c r="H39" i="22" s="1"/>
  <c r="B42" i="21"/>
  <c r="AD26" i="21"/>
  <c r="Z26" i="21"/>
  <c r="AB26" i="21"/>
  <c r="V26" i="21"/>
  <c r="W26" i="21"/>
  <c r="X26" i="21"/>
  <c r="S25" i="21"/>
  <c r="T38" i="22" l="1"/>
  <c r="AI42" i="21"/>
  <c r="C42" i="21"/>
  <c r="H42" i="21" s="1"/>
  <c r="G41" i="21"/>
  <c r="D41" i="21"/>
  <c r="F41" i="21"/>
  <c r="E41" i="21"/>
  <c r="F39" i="22"/>
  <c r="E39" i="22"/>
  <c r="D39" i="22"/>
  <c r="T39" i="22" s="1"/>
  <c r="G39" i="22"/>
  <c r="M38" i="22"/>
  <c r="B41" i="22"/>
  <c r="C40" i="22"/>
  <c r="H40" i="22" s="1"/>
  <c r="Q39" i="22"/>
  <c r="P39" i="22"/>
  <c r="B43" i="21"/>
  <c r="AB27" i="21"/>
  <c r="AD27" i="21"/>
  <c r="Z27" i="21"/>
  <c r="X27" i="21"/>
  <c r="V27" i="21"/>
  <c r="W27" i="21"/>
  <c r="S26" i="21"/>
  <c r="S39" i="22" l="1"/>
  <c r="C43" i="21"/>
  <c r="H43" i="21" s="1"/>
  <c r="AI43" i="21"/>
  <c r="G42" i="21"/>
  <c r="D42" i="21"/>
  <c r="E42" i="21"/>
  <c r="F42" i="21"/>
  <c r="E40" i="22"/>
  <c r="G40" i="22"/>
  <c r="F40" i="22"/>
  <c r="D40" i="22"/>
  <c r="T40" i="22" s="1"/>
  <c r="P40" i="22"/>
  <c r="Q40" i="22"/>
  <c r="M39" i="22"/>
  <c r="B42" i="22"/>
  <c r="C41" i="22"/>
  <c r="H41" i="22" s="1"/>
  <c r="B44" i="21"/>
  <c r="Z28" i="21"/>
  <c r="AB28" i="21"/>
  <c r="AD28" i="21"/>
  <c r="S27" i="21"/>
  <c r="W28" i="21"/>
  <c r="X28" i="21"/>
  <c r="V28" i="21"/>
  <c r="S40" i="22" l="1"/>
  <c r="G43" i="21"/>
  <c r="F43" i="21"/>
  <c r="E43" i="21"/>
  <c r="D43" i="21"/>
  <c r="C44" i="21"/>
  <c r="H44" i="21" s="1"/>
  <c r="AI44" i="21"/>
  <c r="G41" i="22"/>
  <c r="F41" i="22"/>
  <c r="E41" i="22"/>
  <c r="D41" i="22"/>
  <c r="T41" i="22" s="1"/>
  <c r="B43" i="22"/>
  <c r="C42" i="22"/>
  <c r="H42" i="22" s="1"/>
  <c r="P41" i="22"/>
  <c r="Q41" i="22"/>
  <c r="M40" i="22"/>
  <c r="B45" i="21"/>
  <c r="Z29" i="21"/>
  <c r="AB29" i="21"/>
  <c r="AD29" i="21"/>
  <c r="S28" i="21"/>
  <c r="X29" i="21"/>
  <c r="V29" i="21"/>
  <c r="W29" i="21"/>
  <c r="S41" i="22" l="1"/>
  <c r="AI45" i="21"/>
  <c r="C45" i="21"/>
  <c r="H45" i="21" s="1"/>
  <c r="G44" i="21"/>
  <c r="E44" i="21"/>
  <c r="F44" i="21"/>
  <c r="D44" i="21"/>
  <c r="D42" i="22"/>
  <c r="T42" i="22" s="1"/>
  <c r="G42" i="22"/>
  <c r="F42" i="22"/>
  <c r="E42" i="22"/>
  <c r="M41" i="22"/>
  <c r="P42" i="22"/>
  <c r="Q42" i="22"/>
  <c r="B44" i="22"/>
  <c r="C43" i="22"/>
  <c r="H43" i="22" s="1"/>
  <c r="B46" i="21"/>
  <c r="AD30" i="21"/>
  <c r="Z30" i="21"/>
  <c r="AB30" i="21"/>
  <c r="S29" i="21"/>
  <c r="W30" i="21"/>
  <c r="V30" i="21"/>
  <c r="X30" i="21"/>
  <c r="S42" i="22" l="1"/>
  <c r="AI46" i="21"/>
  <c r="C46" i="21"/>
  <c r="H46" i="21" s="1"/>
  <c r="G45" i="21"/>
  <c r="D45" i="21"/>
  <c r="F45" i="21"/>
  <c r="E45" i="21"/>
  <c r="G43" i="22"/>
  <c r="E43" i="22"/>
  <c r="D43" i="22"/>
  <c r="S43" i="22" s="1"/>
  <c r="F43" i="22"/>
  <c r="M42" i="22"/>
  <c r="Q43" i="22"/>
  <c r="P43" i="22"/>
  <c r="C44" i="22"/>
  <c r="H44" i="22" s="1"/>
  <c r="B47" i="21"/>
  <c r="AB31" i="21"/>
  <c r="AD31" i="21"/>
  <c r="Z31" i="21"/>
  <c r="S30" i="21"/>
  <c r="W31" i="21"/>
  <c r="X31" i="21"/>
  <c r="V31" i="21"/>
  <c r="T43" i="22" l="1"/>
  <c r="AI47" i="21"/>
  <c r="C47" i="21"/>
  <c r="H47" i="21" s="1"/>
  <c r="G46" i="21"/>
  <c r="F46" i="21"/>
  <c r="D46" i="21"/>
  <c r="E46" i="21"/>
  <c r="S44" i="22"/>
  <c r="G44" i="22"/>
  <c r="F44" i="22"/>
  <c r="D44" i="22"/>
  <c r="T44" i="22" s="1"/>
  <c r="E44" i="22"/>
  <c r="P44" i="22"/>
  <c r="Q44" i="22"/>
  <c r="C28" i="2" s="1"/>
  <c r="M43" i="22"/>
  <c r="B48" i="21"/>
  <c r="Z32" i="21"/>
  <c r="AB32" i="21"/>
  <c r="AD32" i="21"/>
  <c r="X32" i="21"/>
  <c r="W32" i="21"/>
  <c r="V32" i="21"/>
  <c r="S31" i="21"/>
  <c r="AI48" i="21" l="1"/>
  <c r="C48" i="21"/>
  <c r="H48" i="21" s="1"/>
  <c r="G47" i="21"/>
  <c r="F47" i="21"/>
  <c r="D47" i="21"/>
  <c r="E47" i="21"/>
  <c r="M44" i="22"/>
  <c r="B49" i="21"/>
  <c r="Z33" i="21"/>
  <c r="AB33" i="21"/>
  <c r="AD33" i="21"/>
  <c r="S32" i="21"/>
  <c r="W33" i="21"/>
  <c r="V33" i="21"/>
  <c r="X33" i="21"/>
  <c r="AI49" i="21" l="1"/>
  <c r="C49" i="21"/>
  <c r="H49" i="21" s="1"/>
  <c r="G48" i="21"/>
  <c r="F48" i="21"/>
  <c r="D48" i="21"/>
  <c r="E48" i="21"/>
  <c r="B50" i="21"/>
  <c r="AD34" i="21"/>
  <c r="Z34" i="21"/>
  <c r="AB34" i="21"/>
  <c r="X34" i="21"/>
  <c r="W34" i="21"/>
  <c r="V34" i="21"/>
  <c r="S33" i="21"/>
  <c r="C50" i="21" l="1"/>
  <c r="H50" i="21" s="1"/>
  <c r="AI50" i="21"/>
  <c r="G49" i="21"/>
  <c r="D49" i="21"/>
  <c r="E49" i="21"/>
  <c r="F49" i="21"/>
  <c r="B51" i="21"/>
  <c r="AB35" i="21"/>
  <c r="AD35" i="21"/>
  <c r="Z35" i="21"/>
  <c r="S34" i="21"/>
  <c r="V35" i="21"/>
  <c r="X35" i="21"/>
  <c r="W35" i="21"/>
  <c r="G50" i="21" l="1"/>
  <c r="F50" i="21"/>
  <c r="D50" i="21"/>
  <c r="E50" i="21"/>
  <c r="C51" i="21"/>
  <c r="H51" i="21" s="1"/>
  <c r="AI51" i="21"/>
  <c r="B52" i="21"/>
  <c r="Z36" i="21"/>
  <c r="AB36" i="21"/>
  <c r="AD36" i="21"/>
  <c r="S35" i="21"/>
  <c r="X36" i="21"/>
  <c r="W36" i="21"/>
  <c r="V36" i="21"/>
  <c r="C52" i="21" l="1"/>
  <c r="H52" i="21" s="1"/>
  <c r="AI52" i="21"/>
  <c r="G51" i="21"/>
  <c r="E51" i="21"/>
  <c r="F51" i="21"/>
  <c r="D51" i="21"/>
  <c r="B53" i="21"/>
  <c r="Z37" i="21"/>
  <c r="AB37" i="21"/>
  <c r="AD37" i="21"/>
  <c r="V37" i="21"/>
  <c r="X37" i="21"/>
  <c r="W37" i="21"/>
  <c r="S36" i="21"/>
  <c r="G52" i="21" l="1"/>
  <c r="D52" i="21"/>
  <c r="F52" i="21"/>
  <c r="E52" i="21"/>
  <c r="C53" i="21"/>
  <c r="H53" i="21" s="1"/>
  <c r="AI53" i="21"/>
  <c r="B54" i="21"/>
  <c r="AD38" i="21"/>
  <c r="Z38" i="21"/>
  <c r="AB38" i="21"/>
  <c r="V38" i="21"/>
  <c r="W38" i="21"/>
  <c r="X38" i="21"/>
  <c r="S37" i="21"/>
  <c r="C54" i="21" l="1"/>
  <c r="H54" i="21" s="1"/>
  <c r="AI54" i="21"/>
  <c r="G53" i="21"/>
  <c r="F53" i="21"/>
  <c r="E53" i="21"/>
  <c r="D53" i="21"/>
  <c r="B55" i="21"/>
  <c r="AB39" i="21"/>
  <c r="AD39" i="21"/>
  <c r="Z39" i="21"/>
  <c r="W39" i="21"/>
  <c r="X39" i="21"/>
  <c r="V39" i="21"/>
  <c r="S38" i="21"/>
  <c r="G54" i="21" l="1"/>
  <c r="F54" i="21"/>
  <c r="E54" i="21"/>
  <c r="D54" i="21"/>
  <c r="C55" i="21"/>
  <c r="H55" i="21" s="1"/>
  <c r="AI55" i="21"/>
  <c r="B56" i="21"/>
  <c r="Z40" i="21"/>
  <c r="AB40" i="21"/>
  <c r="AD40" i="21"/>
  <c r="S39" i="21"/>
  <c r="W40" i="21"/>
  <c r="V40" i="21"/>
  <c r="X40" i="21"/>
  <c r="AI56" i="21" l="1"/>
  <c r="C56" i="21"/>
  <c r="H56" i="21" s="1"/>
  <c r="G55" i="21"/>
  <c r="D55" i="21"/>
  <c r="F55" i="21"/>
  <c r="E55" i="21"/>
  <c r="B57" i="21"/>
  <c r="Z41" i="21"/>
  <c r="AB41" i="21"/>
  <c r="AD41" i="21"/>
  <c r="X41" i="21"/>
  <c r="W41" i="21"/>
  <c r="V41" i="21"/>
  <c r="S40" i="21"/>
  <c r="AI57" i="21" l="1"/>
  <c r="C57" i="21"/>
  <c r="H57" i="21" s="1"/>
  <c r="G56" i="21"/>
  <c r="E56" i="21"/>
  <c r="D56" i="21"/>
  <c r="F56" i="21"/>
  <c r="B58" i="21"/>
  <c r="AD42" i="21"/>
  <c r="Z42" i="21"/>
  <c r="AB42" i="21"/>
  <c r="X42" i="21"/>
  <c r="W42" i="21"/>
  <c r="V42" i="21"/>
  <c r="S41" i="21"/>
  <c r="AI58" i="21" l="1"/>
  <c r="C58" i="21"/>
  <c r="H58" i="21" s="1"/>
  <c r="G57" i="21"/>
  <c r="F57" i="21"/>
  <c r="D57" i="21"/>
  <c r="E57" i="21"/>
  <c r="B59" i="21"/>
  <c r="AB43" i="21"/>
  <c r="AD43" i="21"/>
  <c r="Z43" i="21"/>
  <c r="S42" i="21"/>
  <c r="X43" i="21"/>
  <c r="V43" i="21"/>
  <c r="W43" i="21"/>
  <c r="C59" i="21" l="1"/>
  <c r="H59" i="21" s="1"/>
  <c r="AI59" i="21"/>
  <c r="G58" i="21"/>
  <c r="F58" i="21"/>
  <c r="D58" i="21"/>
  <c r="E58" i="21"/>
  <c r="Z44" i="21"/>
  <c r="AB44" i="21"/>
  <c r="AD44" i="21"/>
  <c r="X44" i="21"/>
  <c r="V44" i="21"/>
  <c r="W44" i="21"/>
  <c r="S43" i="21"/>
  <c r="T26" i="22" l="1"/>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G59" i="21"/>
  <c r="D59" i="21"/>
  <c r="F59" i="21"/>
  <c r="E59" i="21"/>
  <c r="S15" i="22"/>
  <c r="S16" i="22"/>
  <c r="S14" i="22"/>
  <c r="S17" i="22"/>
  <c r="T15" i="22"/>
  <c r="S19" i="22"/>
  <c r="T18" i="22"/>
  <c r="T14" i="22"/>
  <c r="T20" i="22"/>
  <c r="T17" i="22"/>
  <c r="T19" i="22"/>
  <c r="T16" i="22"/>
  <c r="S18" i="22"/>
  <c r="T21" i="22"/>
  <c r="S21" i="22"/>
  <c r="S20" i="22"/>
  <c r="Z45" i="21"/>
  <c r="AB45" i="21"/>
  <c r="AD45" i="21"/>
  <c r="V45" i="21"/>
  <c r="W45" i="21"/>
  <c r="X45" i="21"/>
  <c r="S44" i="21"/>
  <c r="D28" i="2" l="1"/>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W46" i="21"/>
  <c r="X46" i="21"/>
  <c r="S45" i="21"/>
  <c r="AB47" i="21" l="1"/>
  <c r="AD47" i="21"/>
  <c r="Z47" i="21"/>
  <c r="V47" i="21"/>
  <c r="W47" i="21"/>
  <c r="X47" i="21"/>
  <c r="S46" i="21"/>
  <c r="Z48" i="21" l="1"/>
  <c r="AB48" i="21"/>
  <c r="AD48" i="21"/>
  <c r="S47" i="21"/>
  <c r="W48" i="21"/>
  <c r="V48" i="21"/>
  <c r="X48" i="21"/>
  <c r="Z49" i="21" l="1"/>
  <c r="AB49" i="21"/>
  <c r="AD49" i="21"/>
  <c r="S48" i="21"/>
  <c r="X49" i="21"/>
  <c r="V49" i="21"/>
  <c r="W49" i="21"/>
  <c r="AD50" i="21" l="1"/>
  <c r="Z50" i="21"/>
  <c r="AB50" i="21"/>
  <c r="S49" i="21"/>
  <c r="W50" i="21"/>
  <c r="X50" i="21"/>
  <c r="V50" i="21"/>
  <c r="AB51" i="21" l="1"/>
  <c r="AD51" i="21"/>
  <c r="Z51" i="21"/>
  <c r="X51" i="21"/>
  <c r="V51" i="21"/>
  <c r="W51" i="21"/>
  <c r="S50" i="21"/>
  <c r="Z52" i="21" l="1"/>
  <c r="AB52" i="21"/>
  <c r="AD52" i="21"/>
  <c r="W52" i="21"/>
  <c r="X52" i="21"/>
  <c r="V52" i="21"/>
  <c r="S51" i="21"/>
  <c r="Z53" i="21" l="1"/>
  <c r="AB53" i="21"/>
  <c r="AD53" i="21"/>
  <c r="V53" i="21"/>
  <c r="X53" i="21"/>
  <c r="W53" i="21"/>
  <c r="S52" i="21"/>
  <c r="AD54" i="21" l="1"/>
  <c r="Z54" i="21"/>
  <c r="AB54" i="21"/>
  <c r="W54" i="21"/>
  <c r="V54" i="21"/>
  <c r="X54" i="21"/>
  <c r="S53" i="21"/>
  <c r="AB55" i="21" l="1"/>
  <c r="AD55" i="21"/>
  <c r="Z55" i="21"/>
  <c r="S54" i="21"/>
  <c r="X55" i="21"/>
  <c r="V55" i="21"/>
  <c r="W55" i="21"/>
  <c r="Z56" i="21" l="1"/>
  <c r="AB56" i="21"/>
  <c r="AD56" i="21"/>
  <c r="S55" i="21"/>
  <c r="X56" i="21"/>
  <c r="V56" i="21"/>
  <c r="W56" i="21"/>
  <c r="Z57" i="21" l="1"/>
  <c r="AB57" i="21"/>
  <c r="AD57" i="21"/>
  <c r="S56" i="21"/>
  <c r="W57" i="21"/>
  <c r="V57" i="21"/>
  <c r="X57" i="21"/>
  <c r="AD58" i="21" l="1"/>
  <c r="Z58" i="21"/>
  <c r="AB58" i="21"/>
  <c r="S57" i="21"/>
  <c r="X58" i="21"/>
  <c r="V58" i="21"/>
  <c r="W58" i="21"/>
  <c r="AB59" i="21" l="1"/>
  <c r="AD59" i="21"/>
  <c r="Z59" i="21"/>
  <c r="S58" i="21"/>
  <c r="V59" i="21"/>
  <c r="W59" i="21"/>
  <c r="X59" i="21"/>
  <c r="C27" i="2" l="1"/>
  <c r="S59" i="21"/>
</calcChain>
</file>

<file path=xl/sharedStrings.xml><?xml version="1.0" encoding="utf-8"?>
<sst xmlns="http://schemas.openxmlformats.org/spreadsheetml/2006/main" count="38475" uniqueCount="12222">
  <si>
    <t>Acronym</t>
  </si>
  <si>
    <t>Reference</t>
  </si>
  <si>
    <t>Item description</t>
  </si>
  <si>
    <t>Unit</t>
  </si>
  <si>
    <t>Model</t>
  </si>
  <si>
    <t>Description_input</t>
  </si>
  <si>
    <t>2017-18</t>
  </si>
  <si>
    <t>2015-20</t>
  </si>
  <si>
    <t>£m</t>
  </si>
  <si>
    <t>Cyclical Foundation</t>
  </si>
  <si>
    <t>%</t>
  </si>
  <si>
    <t>nr</t>
  </si>
  <si>
    <t>£000</t>
  </si>
  <si>
    <t>000s</t>
  </si>
  <si>
    <t>l/h/d</t>
  </si>
  <si>
    <t>Ml/d</t>
  </si>
  <si>
    <t>Ml</t>
  </si>
  <si>
    <t>Tonnes</t>
  </si>
  <si>
    <t>m3</t>
  </si>
  <si>
    <t>ttds</t>
  </si>
  <si>
    <t>Text</t>
  </si>
  <si>
    <t>dec</t>
  </si>
  <si>
    <t>Group entry</t>
  </si>
  <si>
    <t>AIMAMP6_AS</t>
  </si>
  <si>
    <t>Abstraction sites</t>
  </si>
  <si>
    <t>AIMAMP6_AP</t>
  </si>
  <si>
    <t>Decimal places</t>
  </si>
  <si>
    <t>AIM performance (Ml)</t>
  </si>
  <si>
    <t>AIMAMP6_NAP</t>
  </si>
  <si>
    <t>Normalised AIM performance</t>
  </si>
  <si>
    <t>AIMAMP6_CAP</t>
  </si>
  <si>
    <t>Cumulative AIM performance (Ml)</t>
  </si>
  <si>
    <t>AIMAMP6_CNAP</t>
  </si>
  <si>
    <t>Cumulative normalised AIM performance</t>
  </si>
  <si>
    <t>AIMAMP6_TEXT</t>
  </si>
  <si>
    <t>Contextual information relating to AIM performance</t>
  </si>
  <si>
    <t>2018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</si>
  <si>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</si>
  <si>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2017-18 data from all companies. Companies should complete these tables and return them to us at the same time as they publish their annual performance report on their own websites, and no later than 15 July 2018.</t>
  </si>
  <si>
    <r>
      <rPr>
        <sz val="10"/>
        <rFont val="Arial"/>
        <family val="2"/>
      </rPr>
      <t xml:space="preserve">Further detail is included in </t>
    </r>
    <r>
      <rPr>
        <u/>
        <sz val="10"/>
        <color theme="10"/>
        <rFont val="Arial"/>
        <family val="2"/>
      </rPr>
      <t>IN 18/07 ‘Expectations for monopoly company annual performance reporting 2017-18’.</t>
    </r>
  </si>
  <si>
    <t>Tables</t>
  </si>
  <si>
    <t>Companies should have particular regard to the regulatory accounting guidelines set out for each table when preparing their submission.</t>
  </si>
  <si>
    <t>Please refer to RAG 4.07 - Guideline for the table definitions in the annual performance report for the reporting year 2017-18.</t>
  </si>
  <si>
    <t>We expect companies to complete the tables with actual data for 2017-18.</t>
  </si>
  <si>
    <t>The content of three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</si>
  <si>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</si>
  <si>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</si>
  <si>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</si>
  <si>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</si>
  <si>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</si>
  <si>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</si>
  <si>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2018.</t>
  </si>
  <si>
    <t xml:space="preserve">Companies should complete and upload the 2018 annual performance report tables template to our data capture portal. All queries should be sent to: </t>
  </si>
  <si>
    <t>PR19@ofwat.gsi.gov.uk</t>
  </si>
  <si>
    <t>Links to additional information / guidance</t>
  </si>
  <si>
    <t xml:space="preserve">IN 17 08 Regulatory accounting guidelines 2017-18 </t>
  </si>
  <si>
    <t>RAG 3.10 - Guideline for the format and disclosures for the annual performance report</t>
  </si>
  <si>
    <t>RAG 4.07 - Guideline for the table definitions in the annual performance report</t>
  </si>
  <si>
    <t xml:space="preserve">Proforma tables 2017-18 </t>
  </si>
  <si>
    <t>FOUNTAIN_INSTANCE_URL</t>
  </si>
  <si>
    <t>http://fnttest202:8082/Fountain/rest-services_XLSPF</t>
  </si>
  <si>
    <t>Change history</t>
  </si>
  <si>
    <r>
      <rPr>
        <sz val="11"/>
        <rFont val="Arial"/>
        <family val="2"/>
      </rPr>
      <t xml:space="preserve">On 3 April 2018 we published </t>
    </r>
    <r>
      <rPr>
        <u/>
        <sz val="11"/>
        <color theme="10"/>
        <rFont val="Arial"/>
        <family val="2"/>
      </rPr>
      <t>IN 18/07 ‘Expectations for monopoly company annual performance reporting 2017-18’.</t>
    </r>
  </si>
  <si>
    <t>We have updated the 2017-18 APR excel tables file to correct for some cell referencing errors and presentational changes.  These changes are detailed below. We have also updated the 2017-18 APR excel tables file for TMS to use when completing its data submission. These changes are detailed below.</t>
  </si>
  <si>
    <t>Version</t>
  </si>
  <si>
    <t>Description of change</t>
  </si>
  <si>
    <t>Table 3C - wrap text added for text fields in column C.  Wrap text also updated for all other tables too.</t>
  </si>
  <si>
    <t>Table 3S - sewer flooding descriptions now include 'including sewer flooding due to severe weather events'</t>
  </si>
  <si>
    <t>Line 4K.21 - calculation error corrected in columns K, L, M, and N</t>
  </si>
  <si>
    <t>Line 4R.34 - units corrected to m3*km/year</t>
  </si>
  <si>
    <t>Line 4T.9 - calculation error corrected</t>
  </si>
  <si>
    <t>Lines 4W.21 - 4W.25 - Cost lines should be to 3 dps (as for column J)</t>
  </si>
  <si>
    <t>Lines 4W.19 and 4W.20 - Total should be to 0 dps as for other columns</t>
  </si>
  <si>
    <t>Tables 2A, 2B, 2D, 2E, 2I, 4B, 4C and 4G updated to add in TTT columns/rows for TMS.
Tables 1E and 4H updated with calculations that reflect changes made to dependant tables where TTT columns/rows have been added.</t>
  </si>
  <si>
    <t>This amendment is specific to Bristol Water only and relates to the 25 April 2018 corrigenda to the company specific appendix that accompanied the Notification by the Water Services Regulation Authority of its determination of Price Controls for Retail Activities and for Wholesale Activities for Bristol Water Limited.
For Bristol Water we have updated the pre-populated performance commitment data in APR table 3A as follows: 
1. Leakage: the decimal places changed from 0 to 1
2. Biodiversity Index: the decimal places changed from TBC to 0 (this is now reported numerically, rather than text)
3. Raw Water Quality of Sources: the decimal places changed from na to 0.</t>
  </si>
  <si>
    <t>Table 4Q. Line 4Q.25 to 4Q.26 - units changed from kWh to MWh.</t>
  </si>
  <si>
    <t>Table 4R. Line 4R.12 - units changed from MI/d to MI/yr</t>
  </si>
  <si>
    <r>
      <t>Table 4R. Line 4R.39 - units changed from ttds*km/year to m</t>
    </r>
    <r>
      <rPr>
        <vertAlign val="superscript"/>
        <sz val="9"/>
        <color theme="1"/>
        <rFont val="Arial"/>
        <family val="2"/>
      </rPr>
      <t>3</t>
    </r>
    <r>
      <rPr>
        <sz val="9"/>
        <color theme="1"/>
        <rFont val="Arial"/>
        <family val="2"/>
      </rPr>
      <t>*km/year</t>
    </r>
  </si>
  <si>
    <t>Table 4V. Line 4V.8 - validation check changed from table 4J to 4D.</t>
  </si>
  <si>
    <t>Data validation checks</t>
  </si>
  <si>
    <t>For the 12 months ended 31 March 2018</t>
  </si>
  <si>
    <t>Thames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</si>
  <si>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</si>
  <si>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</si>
  <si>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</si>
  <si>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</si>
  <si>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</si>
  <si>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</si>
  <si>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</si>
  <si>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</si>
  <si>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</si>
  <si>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</si>
  <si>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</si>
  <si>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</si>
  <si>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</si>
  <si>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</si>
  <si>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</si>
  <si>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</si>
  <si>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</si>
  <si>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</si>
  <si>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</si>
  <si>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</si>
  <si>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</si>
  <si>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</si>
  <si>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</si>
  <si>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</si>
  <si>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</si>
  <si>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</si>
  <si>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</si>
  <si>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</si>
  <si>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</si>
  <si>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</si>
  <si>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</si>
  <si>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</si>
  <si>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</si>
  <si>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</si>
  <si>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</si>
  <si>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</si>
  <si>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</si>
  <si>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</si>
  <si>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</si>
  <si>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</si>
  <si>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</si>
  <si>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</si>
  <si>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</si>
  <si>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</si>
  <si>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</si>
  <si>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</si>
  <si>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</si>
  <si>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</si>
  <si>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</si>
  <si>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</si>
  <si>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</si>
  <si>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</si>
  <si>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</si>
  <si>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</si>
  <si>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</si>
  <si>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</si>
  <si>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</si>
  <si>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</si>
  <si>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</si>
  <si>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</si>
  <si>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</si>
  <si>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</si>
  <si>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</si>
  <si>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</si>
  <si>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</si>
  <si>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</si>
  <si>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</si>
  <si>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</si>
  <si>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</si>
  <si>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</si>
  <si>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</si>
  <si>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</si>
  <si>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</si>
  <si>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</si>
  <si>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</si>
  <si>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</si>
  <si>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</si>
  <si>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</si>
  <si>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</si>
  <si>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</si>
  <si>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</si>
  <si>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</si>
  <si>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</si>
  <si>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</si>
  <si>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</si>
  <si>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</si>
  <si>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</si>
  <si>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</si>
  <si>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</si>
  <si>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</si>
  <si>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</si>
  <si>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</si>
  <si>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</si>
  <si>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</si>
  <si>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</si>
  <si>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</si>
  <si>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</si>
  <si>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</si>
  <si>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</si>
  <si>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</si>
  <si>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</si>
  <si>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</si>
  <si>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</si>
  <si>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</si>
  <si>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</si>
  <si>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</si>
  <si>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</si>
  <si>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</si>
  <si>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</si>
  <si>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</si>
  <si>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</si>
  <si>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</si>
  <si>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</si>
  <si>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</si>
  <si>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</si>
  <si>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</si>
  <si>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</si>
  <si>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</si>
  <si>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</si>
  <si>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</si>
  <si>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</si>
  <si>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</si>
  <si>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</si>
  <si>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</si>
  <si>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</si>
  <si>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</si>
  <si>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</si>
  <si>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</si>
  <si>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</si>
  <si>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</si>
  <si>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</si>
  <si>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</si>
  <si>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</si>
  <si>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</si>
  <si>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</si>
  <si>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</si>
  <si>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</si>
  <si>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</si>
  <si>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</si>
  <si>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</si>
  <si>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</si>
  <si>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</si>
  <si>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</si>
  <si>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</si>
  <si>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</si>
  <si>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</si>
  <si>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</si>
  <si>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</si>
  <si>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</si>
  <si>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</si>
  <si>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</si>
  <si>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</si>
  <si>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</si>
  <si>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</si>
  <si>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</si>
  <si>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</si>
  <si>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</si>
  <si>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</si>
  <si>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</si>
  <si>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</si>
  <si>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</si>
  <si>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</si>
  <si>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</si>
  <si>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</si>
  <si>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</si>
  <si>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</si>
  <si>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</si>
  <si>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</si>
  <si>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</si>
  <si>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4.07 - Guideline for the table definitions in the annual performance report for the reporting year 2017-18</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</si>
  <si>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</si>
  <si>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</si>
  <si>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</si>
  <si>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</si>
  <si>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</si>
  <si>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</si>
  <si>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</si>
  <si>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</si>
  <si>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</si>
  <si>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</si>
  <si>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</si>
  <si>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</si>
  <si>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</si>
  <si>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</si>
  <si>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</si>
  <si>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</si>
  <si>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</si>
  <si>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</si>
  <si>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</si>
  <si>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</si>
  <si>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</si>
  <si>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</si>
  <si>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</si>
  <si>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</si>
  <si>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</si>
  <si>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</si>
  <si>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</si>
  <si>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</si>
  <si>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</si>
  <si>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</si>
  <si>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</si>
  <si>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</si>
  <si>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</si>
  <si>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</si>
  <si>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</si>
  <si>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</si>
  <si>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</si>
  <si>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</si>
  <si>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</si>
  <si>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</si>
  <si>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</si>
  <si>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</si>
  <si>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</si>
  <si>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</si>
  <si>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</si>
  <si>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</si>
  <si>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</si>
  <si>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</si>
  <si>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</si>
  <si>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</si>
  <si>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</si>
  <si>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</si>
  <si>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</si>
  <si>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</si>
  <si>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</si>
  <si>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</si>
  <si>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</si>
  <si>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</si>
  <si>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</si>
  <si>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</si>
  <si>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</si>
  <si>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</si>
  <si>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</si>
  <si>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</si>
  <si>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</si>
  <si>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</si>
  <si>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</si>
  <si>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</si>
  <si>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</si>
  <si>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</si>
  <si>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</si>
  <si>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</si>
  <si>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</si>
  <si>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</si>
  <si>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</si>
  <si>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</si>
  <si>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</si>
  <si>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</si>
  <si>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</si>
  <si>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</si>
  <si>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</si>
  <si>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</si>
  <si>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</si>
  <si>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</si>
  <si>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</si>
  <si>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</si>
  <si>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</si>
  <si>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</si>
  <si>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</si>
  <si>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</si>
  <si>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</si>
  <si>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</si>
  <si>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</si>
  <si>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</si>
  <si>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</si>
  <si>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</si>
  <si>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</si>
  <si>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</si>
  <si>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</si>
  <si>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</si>
  <si>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</si>
  <si>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</si>
  <si>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</si>
  <si>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</si>
  <si>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</si>
  <si>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</si>
  <si>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</si>
  <si>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</si>
  <si>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</si>
  <si>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</si>
  <si>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</si>
  <si>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</si>
  <si>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</si>
  <si>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</si>
  <si>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</si>
  <si>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</si>
  <si>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</si>
  <si>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</si>
  <si>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</si>
  <si>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</si>
  <si>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</si>
  <si>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</si>
  <si>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</si>
  <si>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</si>
  <si>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</si>
  <si>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</si>
  <si>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</si>
  <si>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</si>
  <si>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</si>
  <si>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</si>
  <si>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</si>
  <si>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</si>
  <si>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</si>
  <si>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</si>
  <si>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</si>
  <si>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</si>
  <si>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</si>
  <si>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</si>
  <si>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</si>
  <si>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</si>
  <si>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</si>
  <si>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</si>
  <si>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</si>
  <si>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</si>
  <si>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</si>
  <si>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</si>
  <si>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</si>
  <si>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</si>
  <si>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</si>
  <si>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</si>
  <si>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</si>
  <si>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</si>
  <si>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</si>
  <si>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</si>
  <si>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</si>
  <si>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</si>
  <si>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</si>
  <si>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</si>
  <si>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</si>
  <si>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</si>
  <si>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</si>
  <si>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</si>
  <si>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</si>
  <si>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</si>
  <si>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</si>
  <si>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</si>
  <si>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</si>
  <si>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</si>
  <si>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</si>
  <si>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</si>
  <si>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</si>
  <si>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</si>
  <si>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</si>
  <si>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</si>
  <si>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</si>
  <si>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</si>
  <si>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</si>
  <si>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</si>
  <si>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</si>
  <si>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</si>
  <si>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</si>
  <si>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</si>
  <si>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</si>
  <si>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</si>
  <si>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</si>
  <si>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</si>
  <si>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</si>
  <si>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</si>
  <si>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</si>
  <si>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</si>
  <si>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</si>
  <si>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</si>
  <si>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</si>
  <si>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</si>
  <si>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</si>
  <si>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</si>
  <si>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</si>
  <si>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</si>
  <si>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</si>
  <si>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</si>
  <si>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</si>
  <si>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</si>
  <si>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</si>
  <si>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</si>
  <si>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</si>
  <si>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</si>
  <si>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</si>
  <si>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</si>
  <si>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</si>
  <si>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</si>
  <si>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</si>
  <si>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</si>
  <si>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</si>
  <si>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</si>
  <si>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</si>
  <si>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</si>
  <si>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</si>
  <si>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</si>
  <si>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</si>
  <si>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</si>
  <si>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</si>
  <si>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</si>
  <si>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</si>
  <si>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</si>
  <si>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</si>
  <si>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</si>
  <si>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</si>
  <si>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</si>
  <si>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</si>
  <si>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</si>
  <si>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</si>
  <si>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</si>
  <si>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</si>
  <si>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</si>
  <si>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</si>
  <si>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</si>
  <si>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</si>
  <si>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</si>
  <si>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</si>
  <si>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</si>
  <si>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</si>
  <si>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</si>
  <si>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</si>
  <si>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</si>
  <si>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</si>
  <si>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</si>
  <si>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</si>
  <si>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</si>
  <si>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</si>
  <si>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</si>
  <si>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</si>
  <si>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</si>
  <si>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</si>
  <si>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</si>
  <si>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</si>
  <si>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</si>
  <si>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</si>
  <si>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</si>
  <si>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</si>
  <si>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</si>
  <si>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</si>
  <si>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</si>
  <si>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</si>
  <si>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</si>
  <si>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</si>
  <si>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</si>
  <si>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</si>
  <si>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</si>
  <si>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</si>
  <si>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</si>
  <si>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</si>
  <si>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</si>
  <si>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</si>
  <si>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</si>
  <si>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</si>
  <si>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</si>
  <si>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</si>
  <si>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</si>
  <si>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</si>
  <si>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</si>
  <si>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</si>
  <si>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</si>
  <si>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</si>
  <si>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</si>
  <si>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</si>
  <si>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</si>
  <si>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</si>
  <si>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</si>
  <si>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</si>
  <si>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</si>
  <si>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</si>
  <si>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</si>
  <si>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</si>
  <si>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</si>
  <si>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</si>
  <si>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</si>
  <si>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</si>
  <si>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</si>
  <si>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</si>
  <si>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</si>
  <si>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</si>
  <si>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</si>
  <si>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</si>
  <si>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</si>
  <si>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</si>
  <si>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</si>
  <si>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</si>
  <si>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</si>
  <si>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</si>
  <si>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</si>
  <si>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</si>
  <si>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</si>
  <si>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</si>
  <si>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</si>
  <si>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</si>
  <si>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</si>
  <si>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</si>
  <si>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</si>
  <si>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</si>
  <si>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</si>
  <si>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</si>
  <si>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</si>
  <si>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</si>
  <si>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</si>
  <si>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</si>
  <si>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</si>
  <si>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</si>
  <si>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</si>
  <si>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</si>
  <si>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</si>
  <si>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</si>
  <si>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</si>
  <si>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</si>
  <si>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</si>
  <si>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</si>
  <si>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</si>
  <si>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</si>
  <si>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</si>
  <si>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</si>
  <si>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</si>
  <si>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</si>
  <si>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</si>
  <si>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</si>
  <si>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</si>
  <si>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</si>
  <si>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</si>
  <si>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</si>
  <si>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</si>
  <si>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</si>
  <si>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</si>
  <si>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</si>
  <si>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</si>
  <si>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</si>
  <si>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</si>
  <si>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</si>
  <si>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</si>
  <si>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</si>
  <si>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</si>
  <si>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</si>
  <si>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</si>
  <si>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</si>
  <si>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</si>
  <si>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</si>
  <si>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</si>
  <si>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</si>
  <si>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</si>
  <si>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</si>
  <si>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</si>
  <si>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</si>
  <si>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</si>
  <si>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</si>
  <si>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</si>
  <si>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</si>
  <si>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</si>
  <si>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</si>
  <si>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</si>
  <si>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</si>
  <si>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</si>
  <si>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</si>
  <si>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</si>
  <si>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</si>
  <si>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</si>
  <si>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</si>
  <si>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</si>
  <si>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</si>
  <si>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</si>
  <si>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</si>
  <si>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</si>
  <si>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</si>
  <si>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</si>
  <si>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</si>
  <si>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</si>
  <si>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</si>
  <si>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</si>
  <si>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</si>
  <si>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</si>
  <si>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</si>
  <si>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</si>
  <si>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</si>
  <si>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</si>
  <si>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</si>
  <si>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</si>
  <si>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</si>
  <si>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</si>
  <si>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</si>
  <si>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</si>
  <si>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</si>
  <si>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</si>
  <si>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</si>
  <si>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</si>
  <si>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</si>
  <si>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</si>
  <si>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</si>
  <si>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</si>
  <si>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</si>
  <si>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</si>
  <si>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</si>
  <si>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</si>
  <si>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</si>
  <si>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</si>
  <si>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</si>
  <si>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1E - Net debt analysis at 31 March 2018</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</si>
  <si>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</si>
  <si>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</si>
  <si>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</si>
  <si>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</si>
  <si>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</si>
  <si>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</si>
  <si>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</si>
  <si>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</si>
  <si>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</si>
  <si>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</si>
  <si>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</si>
  <si>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</si>
  <si>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</si>
  <si>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</si>
  <si>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</si>
  <si>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</si>
  <si>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</si>
  <si>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</si>
  <si>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</si>
  <si>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</si>
  <si>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</si>
  <si>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</si>
  <si>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</si>
  <si>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</si>
  <si>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</si>
  <si>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</si>
  <si>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</si>
  <si>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</si>
  <si>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</si>
  <si>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</si>
  <si>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</si>
  <si>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</si>
  <si>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</si>
  <si>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</si>
  <si>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</si>
  <si>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</si>
  <si>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</si>
  <si>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</si>
  <si>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</si>
  <si>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</si>
  <si>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</si>
  <si>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</si>
  <si>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</si>
  <si>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</si>
  <si>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</si>
  <si>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</si>
  <si>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</si>
  <si>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</si>
  <si>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</si>
  <si>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</si>
  <si>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</si>
  <si>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</si>
  <si>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</si>
  <si>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</si>
  <si>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</si>
  <si>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</si>
  <si>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</si>
  <si>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</si>
  <si>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</si>
  <si>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</si>
  <si>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</si>
  <si>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FI00560FX</t>
  </si>
  <si>
    <t>FI00560FR</t>
  </si>
  <si>
    <t>FI00560IL</t>
  </si>
  <si>
    <t>FI00560</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</si>
  <si>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</si>
  <si>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</si>
  <si>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</si>
  <si>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</si>
  <si>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</si>
  <si>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</si>
  <si>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</si>
  <si>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</si>
  <si>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</si>
  <si>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</si>
  <si>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</si>
  <si>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</si>
  <si>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</si>
  <si>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</si>
  <si>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</si>
  <si>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</si>
  <si>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</si>
  <si>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</si>
  <si>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</si>
  <si>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</si>
  <si>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</si>
  <si>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</si>
  <si>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</si>
  <si>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</si>
  <si>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</si>
  <si>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</si>
  <si>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</si>
  <si>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</si>
  <si>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</si>
  <si>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</si>
  <si>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</si>
  <si>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</si>
  <si>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</si>
  <si>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</si>
  <si>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</si>
  <si>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</si>
  <si>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</si>
  <si>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</si>
  <si>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</si>
  <si>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</si>
  <si>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</si>
  <si>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</si>
  <si>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</si>
  <si>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</si>
  <si>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</si>
  <si>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</si>
  <si>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</si>
  <si>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</si>
  <si>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</si>
  <si>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</si>
  <si>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</si>
  <si>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</si>
  <si>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</si>
  <si>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</si>
  <si>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</si>
  <si>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</si>
  <si>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</si>
  <si>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</si>
  <si>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</si>
  <si>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</si>
  <si>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</si>
  <si>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</si>
  <si>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</si>
  <si>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</si>
  <si>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</si>
  <si>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</si>
  <si>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</si>
  <si>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</si>
  <si>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</si>
  <si>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</si>
  <si>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</si>
  <si>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</si>
  <si>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</si>
  <si>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</si>
  <si>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</si>
  <si>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</si>
  <si>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</si>
  <si>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</si>
  <si>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</si>
  <si>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</si>
  <si>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</si>
  <si>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</si>
  <si>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</si>
  <si>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</si>
  <si>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</si>
  <si>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</si>
  <si>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</si>
  <si>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</si>
  <si>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</si>
  <si>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</si>
  <si>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</si>
  <si>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</si>
  <si>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</si>
  <si>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</si>
  <si>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</si>
  <si>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</si>
  <si>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</si>
  <si>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</si>
  <si>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</si>
  <si>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</si>
  <si>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</si>
  <si>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</si>
  <si>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</si>
  <si>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</si>
  <si>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</si>
  <si>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</si>
  <si>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</si>
  <si>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</si>
  <si>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</si>
  <si>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</si>
  <si>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</si>
  <si>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</si>
  <si>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</si>
  <si>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</si>
  <si>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</si>
  <si>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</si>
  <si>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</si>
  <si>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</si>
  <si>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</si>
  <si>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</si>
  <si>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</si>
  <si>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</si>
  <si>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</si>
  <si>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</si>
  <si>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</si>
  <si>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</si>
  <si>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</si>
  <si>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</si>
  <si>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</si>
  <si>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</si>
  <si>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</si>
  <si>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</si>
  <si>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</si>
  <si>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</si>
  <si>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</si>
  <si>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</si>
  <si>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</si>
  <si>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</si>
  <si>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</si>
  <si>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</si>
  <si>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</si>
  <si>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</si>
  <si>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</si>
  <si>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</si>
  <si>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</si>
  <si>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</si>
  <si>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</si>
  <si>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</si>
  <si>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</si>
  <si>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</si>
  <si>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</si>
  <si>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</si>
  <si>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</si>
  <si>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</si>
  <si>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</si>
  <si>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</si>
  <si>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</si>
  <si>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</si>
  <si>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</si>
  <si>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</si>
  <si>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</si>
  <si>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</si>
  <si>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</si>
  <si>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</si>
  <si>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</si>
  <si>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</si>
  <si>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</si>
  <si>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</si>
  <si>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</si>
  <si>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</si>
  <si>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</si>
  <si>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</si>
  <si>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</si>
  <si>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</si>
  <si>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</si>
  <si>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</si>
  <si>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</si>
  <si>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</si>
  <si>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</si>
  <si>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</si>
  <si>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</si>
  <si>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</si>
  <si>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</si>
  <si>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</si>
  <si>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</si>
  <si>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</si>
  <si>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</si>
  <si>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</si>
  <si>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</si>
  <si>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</si>
  <si>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</si>
  <si>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</si>
  <si>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</si>
  <si>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</si>
  <si>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</si>
  <si>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</si>
  <si>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</si>
  <si>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</si>
  <si>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</si>
  <si>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</si>
  <si>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</si>
  <si>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</si>
  <si>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</si>
  <si>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</si>
  <si>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</si>
  <si>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</si>
  <si>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</si>
  <si>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</si>
  <si>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</si>
  <si>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</si>
  <si>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</si>
  <si>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</si>
  <si>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</si>
  <si>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</si>
  <si>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</si>
  <si>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</si>
  <si>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</si>
  <si>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</si>
  <si>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</si>
  <si>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</si>
  <si>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</si>
  <si>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</si>
  <si>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</si>
  <si>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</si>
  <si>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</si>
  <si>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</si>
  <si>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</si>
  <si>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</si>
  <si>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</si>
  <si>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</si>
  <si>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</si>
  <si>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</si>
  <si>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</si>
  <si>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</si>
  <si>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</si>
  <si>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</si>
  <si>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</si>
  <si>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</si>
  <si>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</si>
  <si>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</si>
  <si>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</si>
  <si>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</si>
  <si>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</si>
  <si>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</si>
  <si>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</si>
  <si>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</si>
  <si>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</si>
  <si>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</si>
  <si>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</si>
  <si>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</si>
  <si>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</si>
  <si>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</si>
  <si>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</si>
  <si>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</si>
  <si>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</si>
  <si>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</si>
  <si>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</si>
  <si>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</si>
  <si>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</si>
  <si>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</si>
  <si>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</si>
  <si>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</si>
  <si>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</si>
  <si>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</si>
  <si>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</si>
  <si>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</si>
  <si>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</si>
  <si>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</si>
  <si>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</si>
  <si>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</si>
  <si>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</si>
  <si>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</si>
  <si>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</si>
  <si>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</si>
  <si>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</si>
  <si>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</si>
  <si>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</si>
  <si>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</si>
  <si>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</si>
  <si>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</si>
  <si>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</si>
  <si>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</si>
  <si>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</si>
  <si>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</si>
  <si>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</si>
  <si>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</si>
  <si>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</si>
  <si>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</si>
  <si>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</si>
  <si>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</si>
  <si>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</si>
  <si>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</si>
  <si>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</si>
  <si>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</si>
  <si>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</si>
  <si>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</si>
  <si>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</si>
  <si>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</si>
  <si>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</si>
  <si>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</si>
  <si>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</si>
  <si>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</si>
  <si>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</si>
  <si>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</si>
  <si>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</si>
  <si>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</si>
  <si>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</si>
  <si>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</si>
  <si>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</si>
  <si>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</si>
  <si>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</si>
  <si>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</si>
  <si>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</si>
  <si>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</si>
  <si>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</si>
  <si>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</si>
  <si>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</si>
  <si>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</si>
  <si>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</si>
  <si>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</si>
  <si>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</si>
  <si>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</si>
  <si>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</si>
  <si>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</si>
  <si>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</si>
  <si>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</si>
  <si>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</si>
  <si>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</si>
  <si>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</si>
  <si>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</si>
  <si>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</si>
  <si>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</si>
  <si>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</si>
  <si>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</si>
  <si>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</si>
  <si>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</si>
  <si>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</si>
  <si>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</si>
  <si>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</si>
  <si>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</si>
  <si>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</si>
  <si>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</si>
  <si>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</si>
  <si>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</si>
  <si>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</si>
  <si>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</si>
  <si>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</si>
  <si>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</si>
  <si>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</si>
  <si>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</si>
  <si>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</si>
  <si>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</si>
  <si>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</si>
  <si>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</si>
  <si>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</si>
  <si>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</si>
  <si>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</si>
  <si>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</si>
  <si>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</si>
  <si>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</si>
  <si>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</si>
  <si>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</si>
  <si>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</si>
  <si>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</si>
  <si>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</si>
  <si>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</si>
  <si>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</si>
  <si>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</si>
  <si>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</si>
  <si>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</si>
  <si>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</si>
  <si>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</si>
  <si>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</si>
  <si>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</si>
  <si>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</si>
  <si>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</si>
  <si>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2D - Historic cost analysis of fixed assets - wholesale &amp; retail</t>
  </si>
  <si>
    <t>Total depreciation charge should agree to line 2D.10.</t>
  </si>
  <si>
    <t>Cost</t>
  </si>
  <si>
    <t>2D.1</t>
  </si>
  <si>
    <t>At 1 April 2017</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</si>
  <si>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</si>
  <si>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</si>
  <si>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</si>
  <si>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</si>
  <si>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</si>
  <si>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</si>
  <si>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</si>
  <si>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</si>
  <si>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</si>
  <si>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</si>
  <si>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</si>
  <si>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</si>
  <si>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</si>
  <si>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</si>
  <si>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</si>
  <si>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</si>
  <si>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</si>
  <si>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</si>
  <si>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</si>
  <si>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</si>
  <si>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</si>
  <si>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</si>
  <si>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</si>
  <si>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</si>
  <si>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</si>
  <si>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</si>
  <si>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</si>
  <si>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</si>
  <si>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</si>
  <si>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</si>
  <si>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</si>
  <si>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</si>
  <si>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</si>
  <si>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</si>
  <si>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</si>
  <si>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</si>
  <si>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</si>
  <si>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</si>
  <si>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</si>
  <si>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</si>
  <si>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</si>
  <si>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</si>
  <si>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</si>
  <si>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</si>
  <si>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</si>
  <si>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</si>
  <si>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</si>
  <si>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</si>
  <si>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2018</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</si>
  <si>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</si>
  <si>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</si>
  <si>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</si>
  <si>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</si>
  <si>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</si>
  <si>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</si>
  <si>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</si>
  <si>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</si>
  <si>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</si>
  <si>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</si>
  <si>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</si>
  <si>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</si>
  <si>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</si>
  <si>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</si>
  <si>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</si>
  <si>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</si>
  <si>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</si>
  <si>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</si>
  <si>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</si>
  <si>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</si>
  <si>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</si>
  <si>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</si>
  <si>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</si>
  <si>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</si>
  <si>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</si>
  <si>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</si>
  <si>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</si>
  <si>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</si>
  <si>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</si>
  <si>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</si>
  <si>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</si>
  <si>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</si>
  <si>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</si>
  <si>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</si>
  <si>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</si>
  <si>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</si>
  <si>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</si>
  <si>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</si>
  <si>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</si>
  <si>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</si>
  <si>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</si>
  <si>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</si>
  <si>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</si>
  <si>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</si>
  <si>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</si>
  <si>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</si>
  <si>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</si>
  <si>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</si>
  <si>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</si>
  <si>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</si>
  <si>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</si>
  <si>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</si>
  <si>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</si>
  <si>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</si>
  <si>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2018</t>
  </si>
  <si>
    <t>BM4048WR</t>
  </si>
  <si>
    <t>BM4048WN</t>
  </si>
  <si>
    <t>BM4048WNK</t>
  </si>
  <si>
    <t>BM4048SG</t>
  </si>
  <si>
    <t>BM4048STTT</t>
  </si>
  <si>
    <t>BM4048H</t>
  </si>
  <si>
    <t>BM4048NH</t>
  </si>
  <si>
    <t>BM4048CTOT</t>
  </si>
  <si>
    <t>2D.13</t>
  </si>
  <si>
    <t>Net book amount at 1 April 2017</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</si>
  <si>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</si>
  <si>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</si>
  <si>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</si>
  <si>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</si>
  <si>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</si>
  <si>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</si>
  <si>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</si>
  <si>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</si>
  <si>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</si>
  <si>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</si>
  <si>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</si>
  <si>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</si>
  <si>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</si>
  <si>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</si>
  <si>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</si>
  <si>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</si>
  <si>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</si>
  <si>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</si>
  <si>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</si>
  <si>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</si>
  <si>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</si>
  <si>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</si>
  <si>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</si>
  <si>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</si>
  <si>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</si>
  <si>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</si>
  <si>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</si>
  <si>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</si>
  <si>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</si>
  <si>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</si>
  <si>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</si>
  <si>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</si>
  <si>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</si>
  <si>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</si>
  <si>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</si>
  <si>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</si>
  <si>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</si>
  <si>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2E - Analysis of capital contributions and land sales - wholesale</t>
  </si>
  <si>
    <t>Fully recognised in income statement</t>
  </si>
  <si>
    <t>Capitalised and amortised (in income statement)</t>
  </si>
  <si>
    <t>Fully netted off capex</t>
  </si>
  <si>
    <t>Grants and contributions - water</t>
  </si>
  <si>
    <t>2E.1</t>
  </si>
  <si>
    <t>Connection charges (s45)</t>
  </si>
  <si>
    <t>BC11271REV</t>
  </si>
  <si>
    <t>BC11271CAP</t>
  </si>
  <si>
    <t>BC11271NET</t>
  </si>
  <si>
    <t>BC11271</t>
  </si>
  <si>
    <t>2E.2</t>
  </si>
  <si>
    <t>Infrastructure charge receipts (s146)</t>
  </si>
  <si>
    <t>BC11270REV</t>
  </si>
  <si>
    <t>BC11270CAP</t>
  </si>
  <si>
    <t>BC11270NET</t>
  </si>
  <si>
    <t>BC11270</t>
  </si>
  <si>
    <t>2E.3</t>
  </si>
  <si>
    <t>Requisitioned mains (s43, s55 &amp; s56)</t>
  </si>
  <si>
    <t>BC11272REV</t>
  </si>
  <si>
    <t>BC11272CAP</t>
  </si>
  <si>
    <t>BC11272NET</t>
  </si>
  <si>
    <t>BC11272</t>
  </si>
  <si>
    <t>2E.4</t>
  </si>
  <si>
    <t>Other contributions (price control)</t>
  </si>
  <si>
    <t>BA1085REVPC</t>
  </si>
  <si>
    <t>BA1086CAPPC</t>
  </si>
  <si>
    <t>BA1085NETPC</t>
  </si>
  <si>
    <t>BA1086PC</t>
  </si>
  <si>
    <t>2E.5</t>
  </si>
  <si>
    <t>Diversions (s185)</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</si>
  <si>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</si>
  <si>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</si>
  <si>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</si>
  <si>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</si>
  <si>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</si>
  <si>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</si>
  <si>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</si>
  <si>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</si>
  <si>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</si>
  <si>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</si>
  <si>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</si>
  <si>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</si>
  <si>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</si>
  <si>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</si>
  <si>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</si>
  <si>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</si>
  <si>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</si>
  <si>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BC30460WCAP</t>
  </si>
  <si>
    <t>BC30460TWCAP</t>
  </si>
  <si>
    <t>Grants and contributions - wastewater</t>
  </si>
  <si>
    <t>2E.9</t>
  </si>
  <si>
    <t>BC11370REV</t>
  </si>
  <si>
    <t>BC11370CAP</t>
  </si>
  <si>
    <t>BC11370NET</t>
  </si>
  <si>
    <t>BC11370</t>
  </si>
  <si>
    <t>2E.10</t>
  </si>
  <si>
    <t>Requisitioned sewers (s100)</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</si>
  <si>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</si>
  <si>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</si>
  <si>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</si>
  <si>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</si>
  <si>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</si>
  <si>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</si>
  <si>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</si>
  <si>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</si>
  <si>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</si>
  <si>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</si>
  <si>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</si>
  <si>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</si>
  <si>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</si>
  <si>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</si>
  <si>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</si>
  <si>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</si>
  <si>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</si>
  <si>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</si>
  <si>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</si>
  <si>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</si>
  <si>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</si>
  <si>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</si>
  <si>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</si>
  <si>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</si>
  <si>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</si>
  <si>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BC30460WWCAP</t>
  </si>
  <si>
    <t>BC30460TWWCAP</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</si>
  <si>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</si>
  <si>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</si>
  <si>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</si>
  <si>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</si>
  <si>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</si>
  <si>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</si>
  <si>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</si>
  <si>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</si>
  <si>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</si>
  <si>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</si>
  <si>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</si>
  <si>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</si>
  <si>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</si>
  <si>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</si>
  <si>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</si>
  <si>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</si>
  <si>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</si>
  <si>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</si>
  <si>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</si>
  <si>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</si>
  <si>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</si>
  <si>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</si>
  <si>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</si>
  <si>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</si>
  <si>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</si>
  <si>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BC30460TTTCAP</t>
  </si>
  <si>
    <t>BC30460TTTTCAP</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</si>
  <si>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</si>
  <si>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</si>
  <si>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</si>
  <si>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</si>
  <si>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</si>
  <si>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</si>
  <si>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</si>
  <si>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</si>
  <si>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</si>
  <si>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</si>
  <si>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</si>
  <si>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</si>
  <si>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</si>
  <si>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</si>
  <si>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</si>
  <si>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</si>
  <si>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</si>
  <si>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</si>
  <si>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</si>
  <si>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</si>
  <si>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</si>
  <si>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</si>
  <si>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</si>
  <si>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</si>
  <si>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</si>
  <si>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</si>
  <si>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</si>
  <si>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BT39301PW</t>
  </si>
  <si>
    <t>BT39301PS</t>
  </si>
  <si>
    <t>BT39301PTTT</t>
  </si>
  <si>
    <t>BT39301P</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</si>
  <si>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</si>
  <si>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</si>
  <si>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</si>
  <si>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</si>
  <si>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</si>
  <si>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</si>
  <si>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</si>
  <si>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</si>
  <si>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</si>
  <si>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</si>
  <si>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</si>
  <si>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</si>
  <si>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</si>
  <si>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</si>
  <si>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</si>
  <si>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</si>
  <si>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</si>
  <si>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</si>
  <si>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</si>
  <si>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</si>
  <si>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</si>
  <si>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</si>
  <si>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</si>
  <si>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</si>
  <si>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</si>
  <si>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</si>
  <si>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</si>
  <si>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</si>
  <si>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</si>
  <si>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</si>
  <si>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</si>
  <si>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</si>
  <si>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</si>
  <si>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</si>
  <si>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</si>
  <si>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</si>
  <si>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</si>
  <si>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</si>
  <si>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</si>
  <si>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</si>
  <si>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</si>
  <si>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</si>
  <si>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</si>
  <si>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</si>
  <si>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</si>
  <si>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</si>
  <si>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</si>
  <si>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</si>
  <si>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</si>
  <si>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</si>
  <si>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</si>
  <si>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</si>
  <si>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</si>
  <si>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</si>
  <si>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2G - Non-household water - revenues by customer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</si>
  <si>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</si>
  <si>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</si>
  <si>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</si>
  <si>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</si>
  <si>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</si>
  <si>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</si>
  <si>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</si>
  <si>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</si>
  <si>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</si>
  <si>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</si>
  <si>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</si>
  <si>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</si>
  <si>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</si>
  <si>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</si>
  <si>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</si>
  <si>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</si>
  <si>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</si>
  <si>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</si>
  <si>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</si>
  <si>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</si>
  <si>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</si>
  <si>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</si>
  <si>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</si>
  <si>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</si>
  <si>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</si>
  <si>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</si>
  <si>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</si>
  <si>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</si>
  <si>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</si>
  <si>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</si>
  <si>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</si>
  <si>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</si>
  <si>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</si>
  <si>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</si>
  <si>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</si>
  <si>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</si>
  <si>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</si>
  <si>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</si>
  <si>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</si>
  <si>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</si>
  <si>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</si>
  <si>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</si>
  <si>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</si>
  <si>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</si>
  <si>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</si>
  <si>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</si>
  <si>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</si>
  <si>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</si>
  <si>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</si>
  <si>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</si>
  <si>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</si>
  <si>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</si>
  <si>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</si>
  <si>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</si>
  <si>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</si>
  <si>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</si>
  <si>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</si>
  <si>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</si>
  <si>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</si>
  <si>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</si>
  <si>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</si>
  <si>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</si>
  <si>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</si>
  <si>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</si>
  <si>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</si>
  <si>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</si>
  <si>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</si>
  <si>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</si>
  <si>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</si>
  <si>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</si>
  <si>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</si>
  <si>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</si>
  <si>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</si>
  <si>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</si>
  <si>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</si>
  <si>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</si>
  <si>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</si>
  <si>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</si>
  <si>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</si>
  <si>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</si>
  <si>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</si>
  <si>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</si>
  <si>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</si>
  <si>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</si>
  <si>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</si>
  <si>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</si>
  <si>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</si>
  <si>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</si>
  <si>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</si>
  <si>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</si>
  <si>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</si>
  <si>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</si>
  <si>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</si>
  <si>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</si>
  <si>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</si>
  <si>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</si>
  <si>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</si>
  <si>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</si>
  <si>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</si>
  <si>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</si>
  <si>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</si>
  <si>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</si>
  <si>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</si>
  <si>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</si>
  <si>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</si>
  <si>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</si>
  <si>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</si>
  <si>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</si>
  <si>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</si>
  <si>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</si>
  <si>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</si>
  <si>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</si>
  <si>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</si>
  <si>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</si>
  <si>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</si>
  <si>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</si>
  <si>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</si>
  <si>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</si>
  <si>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</si>
  <si>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</si>
  <si>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</si>
  <si>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</si>
  <si>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</si>
  <si>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</si>
  <si>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</si>
  <si>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</si>
  <si>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</si>
  <si>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</si>
  <si>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</si>
  <si>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</si>
  <si>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</si>
  <si>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</si>
  <si>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</si>
  <si>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</si>
  <si>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</si>
  <si>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</si>
  <si>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</si>
  <si>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</si>
  <si>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</si>
  <si>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</si>
  <si>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</si>
  <si>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</si>
  <si>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</si>
  <si>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</si>
  <si>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</si>
  <si>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</si>
  <si>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</si>
  <si>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</si>
  <si>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2H - Non-household wastewater - revenues by customer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</si>
  <si>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</si>
  <si>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</si>
  <si>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</si>
  <si>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</si>
  <si>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</si>
  <si>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</si>
  <si>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</si>
  <si>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</si>
  <si>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</si>
  <si>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</si>
  <si>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</si>
  <si>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</si>
  <si>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</si>
  <si>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</si>
  <si>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</si>
  <si>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</si>
  <si>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</si>
  <si>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</si>
  <si>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</si>
  <si>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</si>
  <si>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</si>
  <si>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</si>
  <si>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</si>
  <si>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</si>
  <si>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</si>
  <si>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</si>
  <si>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</si>
  <si>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</si>
  <si>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</si>
  <si>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</si>
  <si>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</si>
  <si>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</si>
  <si>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</si>
  <si>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</si>
  <si>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</si>
  <si>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</si>
  <si>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</si>
  <si>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</si>
  <si>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</si>
  <si>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</si>
  <si>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</si>
  <si>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</si>
  <si>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</si>
  <si>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</si>
  <si>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</si>
  <si>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</si>
  <si>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</si>
  <si>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</si>
  <si>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</si>
  <si>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</si>
  <si>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</si>
  <si>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</si>
  <si>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</si>
  <si>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</si>
  <si>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</si>
  <si>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</si>
  <si>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</si>
  <si>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</si>
  <si>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</si>
  <si>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</si>
  <si>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</si>
  <si>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</si>
  <si>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</si>
  <si>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</si>
  <si>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</si>
  <si>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</si>
  <si>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</si>
  <si>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</si>
  <si>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</si>
  <si>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</si>
  <si>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</si>
  <si>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</si>
  <si>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</si>
  <si>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</si>
  <si>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</si>
  <si>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</si>
  <si>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</si>
  <si>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</si>
  <si>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</si>
  <si>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</si>
  <si>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</si>
  <si>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</si>
  <si>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</si>
  <si>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</si>
  <si>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</si>
  <si>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</si>
  <si>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</si>
  <si>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</si>
  <si>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</si>
  <si>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</si>
  <si>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</si>
  <si>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</si>
  <si>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</si>
  <si>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</si>
  <si>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</si>
  <si>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</si>
  <si>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</si>
  <si>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</si>
  <si>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</si>
  <si>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</si>
  <si>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</si>
  <si>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</si>
  <si>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</si>
  <si>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</si>
  <si>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</si>
  <si>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</si>
  <si>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</si>
  <si>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</si>
  <si>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</si>
  <si>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</si>
  <si>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</si>
  <si>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</si>
  <si>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</si>
  <si>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</si>
  <si>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</si>
  <si>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</si>
  <si>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</si>
  <si>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</si>
  <si>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</si>
  <si>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</si>
  <si>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</si>
  <si>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</si>
  <si>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</si>
  <si>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</si>
  <si>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</si>
  <si>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</si>
  <si>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</si>
  <si>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</si>
  <si>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</si>
  <si>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</si>
  <si>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</si>
  <si>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</si>
  <si>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</si>
  <si>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</si>
  <si>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</si>
  <si>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</si>
  <si>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</si>
  <si>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</si>
  <si>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</si>
  <si>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</si>
  <si>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</si>
  <si>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</si>
  <si>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</si>
  <si>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</si>
  <si>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</si>
  <si>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</si>
  <si>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</si>
  <si>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</si>
  <si>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</si>
  <si>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</si>
  <si>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</si>
  <si>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</si>
  <si>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</si>
  <si>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</si>
  <si>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2I - Revenue analysis &amp; wholesale control reconciliation</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</si>
  <si>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</si>
  <si>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</si>
  <si>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</si>
  <si>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</si>
  <si>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</si>
  <si>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</si>
  <si>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</si>
  <si>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</si>
  <si>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</si>
  <si>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</si>
  <si>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</si>
  <si>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</si>
  <si>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</si>
  <si>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</si>
  <si>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</si>
  <si>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</si>
  <si>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</si>
  <si>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</si>
  <si>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</si>
  <si>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</si>
  <si>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</si>
  <si>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</si>
  <si>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</si>
  <si>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</si>
  <si>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</si>
  <si>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</si>
  <si>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</si>
  <si>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</si>
  <si>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</si>
  <si>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</si>
  <si>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</si>
  <si>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</si>
  <si>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</si>
  <si>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</si>
  <si>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</si>
  <si>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</si>
  <si>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</si>
  <si>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</si>
  <si>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</si>
  <si>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</si>
  <si>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</si>
  <si>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</si>
  <si>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</si>
  <si>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</si>
  <si>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</si>
  <si>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</si>
  <si>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</si>
  <si>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</si>
  <si>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</si>
  <si>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</si>
  <si>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</si>
  <si>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</si>
  <si>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</si>
  <si>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</si>
  <si>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</si>
  <si>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</si>
  <si>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</si>
  <si>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</si>
  <si>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</si>
  <si>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</si>
  <si>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</si>
  <si>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</si>
  <si>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</si>
  <si>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</si>
  <si>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</si>
  <si>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</si>
  <si>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</si>
  <si>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</si>
  <si>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</si>
  <si>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</si>
  <si>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</si>
  <si>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 xml:space="preserve">The total of lines 2I.9 and 2I.13 should equal line 2A.1 </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</si>
  <si>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</si>
  <si>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</si>
  <si>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</si>
  <si>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</si>
  <si>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</si>
  <si>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</si>
  <si>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</si>
  <si>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</si>
  <si>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</si>
  <si>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</si>
  <si>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</si>
  <si>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</si>
  <si>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</si>
  <si>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</si>
  <si>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</si>
  <si>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</si>
  <si>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</si>
  <si>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</si>
  <si>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 xml:space="preserve">Line 2I.18 should equal the sum of line 1A.1 </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</si>
  <si>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</si>
  <si>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</si>
  <si>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</si>
  <si>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</si>
  <si>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</si>
  <si>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</si>
  <si>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</si>
  <si>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</si>
  <si>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</si>
  <si>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</si>
  <si>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</si>
  <si>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</si>
  <si>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</si>
  <si>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</si>
  <si>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</si>
  <si>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</si>
  <si>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</si>
  <si>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</si>
  <si>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</si>
  <si>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</si>
  <si>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</si>
  <si>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</si>
  <si>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</si>
  <si>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</si>
  <si>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</si>
  <si>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</si>
  <si>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</si>
  <si>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</si>
  <si>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</si>
  <si>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</si>
  <si>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</si>
  <si>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</si>
  <si>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</si>
  <si>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</si>
  <si>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</si>
  <si>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</si>
  <si>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</si>
  <si>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</si>
  <si>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</si>
  <si>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</si>
  <si>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</si>
  <si>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</si>
  <si>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</si>
  <si>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</si>
  <si>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</si>
  <si>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</si>
  <si>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</si>
  <si>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</si>
  <si>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</si>
  <si>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</si>
  <si>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</si>
  <si>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</si>
  <si>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</si>
  <si>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</si>
  <si>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</si>
  <si>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</si>
  <si>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</si>
  <si>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</si>
  <si>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</si>
  <si>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</si>
  <si>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</si>
  <si>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</si>
  <si>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</si>
  <si>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</si>
  <si>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</si>
  <si>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</si>
  <si>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</si>
  <si>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</si>
  <si>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</si>
  <si>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</si>
  <si>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</si>
  <si>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</si>
  <si>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</si>
  <si>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</si>
  <si>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</si>
  <si>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</si>
  <si>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</si>
  <si>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</si>
  <si>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</si>
  <si>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</si>
  <si>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</si>
  <si>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</si>
  <si>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</si>
  <si>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</si>
  <si>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</si>
  <si>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</si>
  <si>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</si>
  <si>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</si>
  <si>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3A - Outcome performance table</t>
  </si>
  <si>
    <t>Other checks</t>
  </si>
  <si>
    <t>Row</t>
  </si>
  <si>
    <t>Unique ID</t>
  </si>
  <si>
    <t>Performance commitment</t>
  </si>
  <si>
    <t>Unit description</t>
  </si>
  <si>
    <r>
      <t>2016-17 performance level - actual</t>
    </r>
    <r>
      <rPr>
        <sz val="10"/>
        <color rgb="FF0078C9"/>
        <rFont val="Arial"/>
        <family val="2"/>
      </rPr>
      <t xml:space="preserve">
(for information)</t>
    </r>
  </si>
  <si>
    <t>2017-18 performance level - actual</t>
  </si>
  <si>
    <t>2017-18 CPL met?</t>
  </si>
  <si>
    <r>
      <t xml:space="preserve">2017-18
outperformance payment
or underperformance penalty -
in-period ODIs 
</t>
    </r>
    <r>
      <rPr>
        <sz val="10"/>
        <color rgb="FF0078C9"/>
        <rFont val="Arial"/>
        <family val="2"/>
      </rPr>
      <t>(indicator)</t>
    </r>
  </si>
  <si>
    <r>
      <t xml:space="preserve">2017-18 outperformance payment or underperformance penalty - 
in-period ODIs 
</t>
    </r>
    <r>
      <rPr>
        <sz val="10"/>
        <color rgb="FF0078C9"/>
        <rFont val="Arial"/>
        <family val="2"/>
      </rPr>
      <t>(</t>
    </r>
    <r>
      <rPr>
        <sz val="9"/>
        <color rgb="FF0078C9"/>
        <rFont val="Arial"/>
        <family val="2"/>
      </rPr>
      <t>£m, to 4 dp)</t>
    </r>
  </si>
  <si>
    <r>
      <t xml:space="preserve">2017-18
outperformance payment
or underperformance penalty - 
ODIs payable at the end of AMP6 
</t>
    </r>
    <r>
      <rPr>
        <sz val="10"/>
        <color rgb="FF0078C9"/>
        <rFont val="Arial"/>
        <family val="2"/>
      </rPr>
      <t>(indicator)</t>
    </r>
  </si>
  <si>
    <r>
      <t xml:space="preserve">2017-18 outperformance payment or underperformance penalty - ODIs payable at the end of AMP6
</t>
    </r>
    <r>
      <rPr>
        <sz val="10"/>
        <color rgb="FF0078C9"/>
        <rFont val="Arial"/>
        <family val="2"/>
      </rPr>
      <t>(£m, to 4 dp)</t>
    </r>
  </si>
  <si>
    <r>
      <t xml:space="preserve">31 March 2020 forecast - 
total AMP6 outperformance payment or underperformance penalty
</t>
    </r>
    <r>
      <rPr>
        <sz val="10"/>
        <color rgb="FF0078C9"/>
        <rFont val="Arial"/>
        <family val="2"/>
      </rPr>
      <t>(indicator)</t>
    </r>
  </si>
  <si>
    <r>
      <t xml:space="preserve">31 March 2020 forecast -
total AMP6 outperformance payment or underperformance penalty
</t>
    </r>
    <r>
      <rPr>
        <sz val="10"/>
        <color rgb="FF0078C9"/>
        <rFont val="Arial"/>
        <family val="2"/>
      </rPr>
      <t xml:space="preserve">(£m, to </t>
    </r>
    <r>
      <rPr>
        <sz val="9"/>
        <color rgb="FF0078C9"/>
        <rFont val="Arial"/>
        <family val="2"/>
      </rPr>
      <t>4 dp)</t>
    </r>
  </si>
  <si>
    <t>Consistency</t>
  </si>
  <si>
    <t>Outperformance payments should be entered as positive numbers</t>
  </si>
  <si>
    <t>Underperformance penalties should be entered as negative numbers</t>
  </si>
  <si>
    <t>F</t>
  </si>
  <si>
    <t>G</t>
  </si>
  <si>
    <t>H</t>
  </si>
  <si>
    <t>I</t>
  </si>
  <si>
    <t>J</t>
  </si>
  <si>
    <t>K</t>
  </si>
  <si>
    <t>L</t>
  </si>
  <si>
    <t>M</t>
  </si>
  <si>
    <t>N</t>
  </si>
  <si>
    <t>Yes</t>
  </si>
  <si>
    <t>No</t>
  </si>
  <si>
    <t>-</t>
  </si>
  <si>
    <t>Marginal</t>
  </si>
  <si>
    <t>Underperformance penalty</t>
  </si>
  <si>
    <t>Stable</t>
  </si>
  <si>
    <t>Underperformance penalty deadband</t>
  </si>
  <si>
    <t>21</t>
  </si>
  <si>
    <t>Not available</t>
  </si>
  <si>
    <t>Outperformance payment</t>
  </si>
  <si>
    <t>26</t>
  </si>
  <si>
    <t>Scheme delivered 2015/16</t>
  </si>
  <si>
    <t>Scheme delivered 2016/17</t>
  </si>
  <si>
    <t>Outperformance payment deadband</t>
  </si>
  <si>
    <t xml:space="preserve">No </t>
  </si>
  <si>
    <t>New online self-ser channel</t>
  </si>
  <si>
    <t>3B - Sub-measure performance table</t>
  </si>
  <si>
    <t>Consistency check</t>
  </si>
  <si>
    <t>PC/sub-measure
ID</t>
  </si>
  <si>
    <t>PC / sub-measure</t>
  </si>
  <si>
    <t>2016-17 performance level - actual</t>
  </si>
  <si>
    <t>The value entered in table 3b does not correspond to the value entered in table 3a.</t>
  </si>
  <si>
    <t>3C - AIM table</t>
  </si>
  <si>
    <t>BON CODE ALLOCATION - Group items</t>
  </si>
  <si>
    <t>Consistency checks</t>
  </si>
  <si>
    <t>Abstraction site</t>
  </si>
  <si>
    <t>2017-18 AIM performance
[Ml]</t>
  </si>
  <si>
    <t>2017-18 normalised AIM performance
[nr]</t>
  </si>
  <si>
    <r>
      <t xml:space="preserve">Cumulative AIM performance 2016-17 onwards
</t>
    </r>
    <r>
      <rPr>
        <sz val="9"/>
        <color rgb="FF0078C9"/>
        <rFont val="Franklin Gothic Demi"/>
        <family val="2"/>
      </rPr>
      <t>[Ml]</t>
    </r>
  </si>
  <si>
    <t>Cumulative normalised AIM performance 2016-17 onwards 
[nr]</t>
  </si>
  <si>
    <t>Please complete columns D to H.</t>
  </si>
  <si>
    <t>Please enter a numeric value in columns D to H.</t>
  </si>
  <si>
    <t>RIVER LEE AT NEW GAUGE PUMPING STATION (London WRZ)</t>
  </si>
  <si>
    <t xml:space="preserve">River flows went below the AIM trigger flow during 2017/18 and despite water resource pressure and water quality challenges we were able to reduce abstraction and comply with AIM. </t>
  </si>
  <si>
    <t>AIMAMP6_DP</t>
  </si>
  <si>
    <t>PANGBOURNE (Kennet Valley WRZ)</t>
  </si>
  <si>
    <t xml:space="preserve">River flows went below the AIM trigger flow during 2017/18 and despite the water resource situation we were able to reduce abstraction and comply with AIM. </t>
  </si>
  <si>
    <t>AXFORD PUMPING STATION (SWOX WRZ)</t>
  </si>
  <si>
    <t>River flows went below the AIM trigger flow for a significant period during 2017/18,   despite burst issues on a strategic main in the area we were able to reduce abstraction and comply with AIM.</t>
  </si>
  <si>
    <t>PANN MILL PUMPING STATION (Slough/Wycombe/Aylesbury WRZ)</t>
  </si>
  <si>
    <t xml:space="preserve">River flows went below the AIM trigger flow during 2017/18 and despite water quality pressures we were able to reduce abstraction and comply with AIM. </t>
  </si>
  <si>
    <t>NORTH ORPINGTON PS (London WRZ)</t>
  </si>
  <si>
    <t xml:space="preserve">River flows went below the AIM trigger flow during 2017/18 for a short period,  we were able to reduce abstraction and comply with AIM. </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</si>
  <si>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</si>
  <si>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</si>
  <si>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</si>
  <si>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</si>
  <si>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</si>
  <si>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</si>
  <si>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</si>
  <si>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</si>
  <si>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</si>
  <si>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</si>
  <si>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</si>
  <si>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</si>
  <si>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</si>
  <si>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</si>
  <si>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</si>
  <si>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</si>
  <si>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</si>
  <si>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</si>
  <si>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</si>
  <si>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</si>
  <si>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</si>
  <si>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</si>
  <si>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</si>
  <si>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</si>
  <si>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</si>
  <si>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</si>
  <si>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Quantitative performance</t>
  </si>
  <si>
    <t>3D.6</t>
  </si>
  <si>
    <t>Total contact score</t>
  </si>
  <si>
    <t>SIMAMP6_CS</t>
  </si>
  <si>
    <t>3D.7</t>
  </si>
  <si>
    <t>Quantitative SIM score (out of 25)</t>
  </si>
  <si>
    <t>SIMAMP6_QNS</t>
  </si>
  <si>
    <t>SIM score</t>
  </si>
  <si>
    <t>3D.8</t>
  </si>
  <si>
    <t>Total annual SIM score (out of 100)</t>
  </si>
  <si>
    <t>KI001U</t>
  </si>
  <si>
    <t>1
2
3</t>
  </si>
  <si>
    <t>3S - Shadow reporting of new definition data</t>
  </si>
  <si>
    <t>Company name</t>
  </si>
  <si>
    <r>
      <t xml:space="preserve">For the 2019 price review we are requiring companies to have 14 common performance commitments (9 for water-only companies) with consistent definitions and consistent reporting.
We are currently running a consultancy project jointly with Water UK to finalise the consistent reporting guidance and consistent definitions for leakage, supply interruptions, internal sewer flooding, external sewer flooding (not a common performance commitment), main bursts, unplanned outage, per capita consumption and sewer collapses. However, we want to provide early clarity that the scope of shadow reporting through Table S3 will increase to include all the measures in the targeted review. Table S3 will also include the two new common resilience performance commitments (risk of severe restrictions in a drought and risk of sewer flooding in a storm) that have been developed through industry working groups.
As in 2017, we propose in 2018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 xml:space="preserve">. 
</t>
    </r>
    <r>
      <rPr>
        <sz val="11"/>
        <rFont val="Arial"/>
        <family val="2"/>
      </rPr>
      <t>Table 3S will be updated following the conclusion of the Water UK / Ofwat targeted review.</t>
    </r>
  </si>
  <si>
    <t>Company agreement to share information as described above:</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</si>
  <si>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</si>
  <si>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</si>
  <si>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</si>
  <si>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</si>
  <si>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</si>
  <si>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</si>
  <si>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</si>
  <si>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</si>
  <si>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</si>
  <si>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</si>
  <si>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</si>
  <si>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</si>
  <si>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</si>
  <si>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</si>
  <si>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</si>
  <si>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</si>
  <si>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</si>
  <si>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</si>
  <si>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</si>
  <si>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</si>
  <si>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</si>
  <si>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</si>
  <si>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</si>
  <si>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</si>
  <si>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</si>
  <si>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</si>
  <si>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</si>
  <si>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</si>
  <si>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</si>
  <si>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</si>
  <si>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</si>
  <si>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</si>
  <si>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</si>
  <si>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</si>
  <si>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</si>
  <si>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</si>
  <si>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</si>
  <si>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</si>
  <si>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</si>
  <si>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</si>
  <si>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</si>
  <si>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</si>
  <si>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</si>
  <si>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</si>
  <si>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</si>
  <si>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</si>
  <si>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</si>
  <si>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</si>
  <si>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</si>
  <si>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</si>
  <si>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</si>
  <si>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</si>
  <si>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</si>
  <si>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</si>
  <si>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</si>
  <si>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</si>
  <si>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</si>
  <si>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</si>
  <si>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</si>
  <si>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</si>
  <si>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</si>
  <si>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</si>
  <si>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</si>
  <si>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</si>
  <si>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</si>
  <si>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</si>
  <si>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</si>
  <si>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</si>
  <si>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</si>
  <si>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</si>
  <si>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</si>
  <si>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</si>
  <si>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</si>
  <si>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</si>
  <si>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</si>
  <si>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</si>
  <si>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</si>
  <si>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</si>
  <si>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</si>
  <si>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</si>
  <si>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</si>
  <si>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</si>
  <si>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</si>
  <si>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</si>
  <si>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</si>
  <si>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</si>
  <si>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</si>
  <si>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</si>
  <si>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</si>
  <si>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</si>
  <si>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</si>
  <si>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</si>
  <si>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</si>
  <si>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</si>
  <si>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</si>
  <si>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</si>
  <si>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</si>
  <si>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</si>
  <si>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</si>
  <si>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</si>
  <si>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</si>
  <si>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</si>
  <si>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</si>
  <si>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</si>
  <si>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</si>
  <si>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</si>
  <si>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</si>
  <si>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</si>
  <si>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</si>
  <si>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</si>
  <si>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</si>
  <si>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</si>
  <si>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</si>
  <si>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</si>
  <si>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</si>
  <si>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</si>
  <si>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</si>
  <si>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</si>
  <si>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</si>
  <si>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</si>
  <si>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</si>
  <si>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</si>
  <si>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</si>
  <si>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</si>
  <si>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</si>
  <si>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</si>
  <si>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</si>
  <si>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</si>
  <si>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</si>
  <si>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</si>
  <si>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</si>
  <si>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</si>
  <si>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</si>
  <si>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</si>
  <si>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</si>
  <si>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</si>
  <si>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</si>
  <si>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</si>
  <si>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</si>
  <si>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</si>
  <si>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</si>
  <si>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</si>
  <si>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</si>
  <si>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</si>
  <si>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</si>
  <si>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</si>
  <si>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</si>
  <si>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</si>
  <si>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</si>
  <si>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</si>
  <si>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</si>
  <si>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</si>
  <si>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</si>
  <si>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</si>
  <si>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</si>
  <si>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</si>
  <si>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</si>
  <si>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</si>
  <si>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</si>
  <si>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</si>
  <si>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</si>
  <si>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</si>
  <si>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</si>
  <si>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</si>
  <si>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</si>
  <si>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</si>
  <si>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</si>
  <si>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</si>
  <si>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</si>
  <si>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</si>
  <si>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</si>
  <si>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</si>
  <si>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</si>
  <si>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</si>
  <si>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</si>
  <si>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</si>
  <si>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</si>
  <si>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</si>
  <si>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</si>
  <si>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</si>
  <si>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</si>
  <si>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</si>
  <si>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</si>
  <si>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</si>
  <si>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</si>
  <si>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</si>
  <si>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</si>
  <si>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</si>
  <si>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</si>
  <si>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</si>
  <si>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</si>
  <si>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</si>
  <si>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</si>
  <si>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</si>
  <si>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</si>
  <si>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</si>
  <si>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</si>
  <si>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</si>
  <si>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</si>
  <si>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</si>
  <si>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</si>
  <si>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</si>
  <si>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</si>
  <si>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</si>
  <si>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</si>
  <si>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</si>
  <si>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</si>
  <si>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</si>
  <si>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</si>
  <si>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</si>
  <si>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</si>
  <si>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</si>
  <si>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</si>
  <si>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</si>
  <si>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</si>
  <si>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</si>
  <si>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</si>
  <si>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</si>
  <si>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</si>
  <si>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</si>
  <si>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</si>
  <si>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</si>
  <si>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</si>
  <si>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</si>
  <si>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</si>
  <si>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</si>
  <si>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</si>
  <si>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</si>
  <si>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</si>
  <si>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</si>
  <si>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</si>
  <si>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</si>
  <si>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</si>
  <si>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</si>
  <si>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</si>
  <si>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</si>
  <si>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</si>
  <si>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</si>
  <si>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</si>
  <si>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</si>
  <si>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</si>
  <si>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</si>
  <si>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</si>
  <si>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</si>
  <si>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</si>
  <si>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</si>
  <si>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</si>
  <si>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</si>
  <si>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</si>
  <si>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</si>
  <si>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</si>
  <si>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</si>
  <si>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</si>
  <si>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</si>
  <si>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</si>
  <si>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</si>
  <si>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</si>
  <si>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</si>
  <si>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</si>
  <si>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</si>
  <si>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</si>
  <si>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</si>
  <si>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</si>
  <si>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</si>
  <si>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</si>
  <si>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</si>
  <si>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</si>
  <si>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</si>
  <si>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</si>
  <si>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</si>
  <si>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</si>
  <si>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</si>
  <si>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</si>
  <si>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</si>
  <si>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</si>
  <si>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</si>
  <si>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</si>
  <si>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</si>
  <si>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</si>
  <si>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</si>
  <si>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</si>
  <si>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</si>
  <si>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</si>
  <si>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</si>
  <si>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</si>
  <si>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</si>
  <si>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</si>
  <si>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</si>
  <si>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</si>
  <si>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</si>
  <si>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</si>
  <si>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</si>
  <si>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</si>
  <si>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</si>
  <si>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</si>
  <si>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</si>
  <si>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</si>
  <si>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</si>
  <si>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</si>
  <si>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</si>
  <si>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</si>
  <si>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</si>
  <si>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</si>
  <si>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</si>
  <si>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</si>
  <si>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</si>
  <si>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</si>
  <si>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</si>
  <si>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</si>
  <si>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</si>
  <si>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</si>
  <si>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</si>
  <si>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</si>
  <si>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</si>
  <si>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</si>
  <si>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</si>
  <si>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</si>
  <si>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</si>
  <si>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</si>
  <si>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</si>
  <si>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</si>
  <si>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</si>
  <si>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</si>
  <si>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</si>
  <si>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</si>
  <si>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</si>
  <si>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</si>
  <si>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</si>
  <si>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</si>
  <si>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</si>
  <si>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</si>
  <si>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</si>
  <si>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</si>
  <si>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</si>
  <si>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</si>
  <si>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</si>
  <si>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</si>
  <si>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</si>
  <si>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</si>
  <si>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</si>
  <si>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</si>
  <si>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</si>
  <si>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</si>
  <si>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</si>
  <si>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</si>
  <si>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</si>
  <si>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</si>
  <si>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</si>
  <si>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</si>
  <si>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</si>
  <si>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</si>
  <si>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</si>
  <si>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</si>
  <si>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</si>
  <si>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</si>
  <si>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</si>
  <si>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</si>
  <si>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</si>
  <si>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</si>
  <si>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</si>
  <si>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</si>
  <si>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</si>
  <si>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</si>
  <si>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</si>
  <si>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</si>
  <si>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</si>
  <si>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</si>
  <si>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</si>
  <si>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</si>
  <si>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</si>
  <si>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</si>
  <si>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</si>
  <si>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</si>
  <si>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</si>
  <si>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</si>
  <si>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</si>
  <si>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</si>
  <si>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</si>
  <si>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</si>
  <si>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</si>
  <si>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</si>
  <si>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</si>
  <si>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</si>
  <si>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</si>
  <si>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</si>
  <si>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</si>
  <si>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</si>
  <si>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</si>
  <si>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</si>
  <si>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</si>
  <si>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</si>
  <si>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</si>
  <si>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</si>
  <si>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</si>
  <si>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</si>
  <si>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</si>
  <si>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</si>
  <si>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</si>
  <si>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</si>
  <si>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</si>
  <si>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</si>
  <si>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</si>
  <si>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</si>
  <si>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</si>
  <si>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</si>
  <si>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</si>
  <si>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</si>
  <si>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</si>
  <si>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</si>
  <si>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</si>
  <si>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</si>
  <si>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</si>
  <si>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</si>
  <si>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</si>
  <si>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</si>
  <si>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</si>
  <si>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</si>
  <si>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</si>
  <si>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</si>
  <si>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</si>
  <si>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</si>
  <si>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</si>
  <si>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</si>
  <si>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</si>
  <si>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</si>
  <si>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</si>
  <si>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</si>
  <si>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</si>
  <si>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</si>
  <si>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</si>
  <si>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</si>
  <si>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</si>
  <si>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</si>
  <si>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</si>
  <si>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</si>
  <si>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</si>
  <si>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</si>
  <si>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</si>
  <si>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</si>
  <si>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</si>
  <si>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</si>
  <si>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</si>
  <si>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</si>
  <si>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</si>
  <si>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</si>
  <si>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</si>
  <si>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</si>
  <si>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</si>
  <si>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</si>
  <si>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</si>
  <si>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</si>
  <si>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</si>
  <si>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</si>
  <si>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</si>
  <si>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</si>
  <si>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</si>
  <si>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</si>
  <si>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</si>
  <si>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</si>
  <si>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</si>
  <si>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</si>
  <si>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</si>
  <si>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</si>
  <si>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</si>
  <si>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</si>
  <si>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</si>
  <si>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</si>
  <si>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</si>
  <si>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</si>
  <si>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</si>
  <si>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</si>
  <si>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</si>
  <si>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2018-19</t>
  </si>
  <si>
    <t>2019-20</t>
  </si>
  <si>
    <t>Whole company</t>
  </si>
  <si>
    <t>Green</t>
  </si>
  <si>
    <t>Amber</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</si>
  <si>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</si>
  <si>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</si>
  <si>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</si>
  <si>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</si>
  <si>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</si>
  <si>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</si>
  <si>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</si>
  <si>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</si>
  <si>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</si>
  <si>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</si>
  <si>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</si>
  <si>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</si>
  <si>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</si>
  <si>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</si>
  <si>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</si>
  <si>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</si>
  <si>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</si>
  <si>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</si>
  <si>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</si>
  <si>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</si>
  <si>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</si>
  <si>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</si>
  <si>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</si>
  <si>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</si>
  <si>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</si>
  <si>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</si>
  <si>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</si>
  <si>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</si>
  <si>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</si>
  <si>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</si>
  <si>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</si>
  <si>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</si>
  <si>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</si>
  <si>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</si>
  <si>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</si>
  <si>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</si>
  <si>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</si>
  <si>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</si>
  <si>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</si>
  <si>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</si>
  <si>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</si>
  <si>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</si>
  <si>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</si>
  <si>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</si>
  <si>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</si>
  <si>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</si>
  <si>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Red</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</si>
  <si>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</si>
  <si>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</si>
  <si>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</si>
  <si>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</si>
  <si>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</si>
  <si>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</si>
  <si>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</si>
  <si>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</si>
  <si>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</si>
  <si>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</si>
  <si>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</si>
  <si>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</si>
  <si>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</si>
  <si>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</si>
  <si>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</si>
  <si>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</si>
  <si>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</si>
  <si>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</si>
  <si>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</si>
  <si>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</si>
  <si>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</si>
  <si>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</si>
  <si>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</si>
  <si>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</si>
  <si>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</si>
  <si>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</si>
  <si>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</si>
  <si>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</si>
  <si>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</si>
  <si>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</si>
  <si>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</si>
  <si>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</si>
  <si>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</si>
  <si>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</si>
  <si>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</si>
  <si>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Risk of severe restrictions in a drought</t>
  </si>
  <si>
    <t>Percentage of the population the company serves that would experience severe supply restrictions (for example, standpipes or rota cuts) in a 1 in 200 year drought</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</si>
  <si>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</si>
  <si>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</si>
  <si>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</si>
  <si>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</si>
  <si>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</si>
  <si>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</si>
  <si>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</si>
  <si>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</si>
  <si>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</si>
  <si>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</si>
  <si>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</si>
  <si>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</si>
  <si>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</si>
  <si>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</si>
  <si>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</si>
  <si>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</si>
  <si>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</si>
  <si>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</si>
  <si>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</si>
  <si>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</si>
  <si>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</si>
  <si>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</si>
  <si>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</si>
  <si>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Risk of sewer flooding in a storm</t>
  </si>
  <si>
    <t>Percentage of population at risk of sewer flooding in a 1-in-50 year storm</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</si>
  <si>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</si>
  <si>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</si>
  <si>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</si>
  <si>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</si>
  <si>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</si>
  <si>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</si>
  <si>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</si>
  <si>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</si>
  <si>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</si>
  <si>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</si>
  <si>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</si>
  <si>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</si>
  <si>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</si>
  <si>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</si>
  <si>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</si>
  <si>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</si>
  <si>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</si>
  <si>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red/amber/green assessments</t>
  </si>
  <si>
    <t>7</t>
  </si>
  <si>
    <t>8</t>
  </si>
  <si>
    <t>9</t>
  </si>
  <si>
    <t>10</t>
  </si>
  <si>
    <t>11</t>
  </si>
  <si>
    <t>12</t>
  </si>
  <si>
    <t>13</t>
  </si>
  <si>
    <t xml:space="preserve">3S table guidance </t>
  </si>
  <si>
    <r>
      <t xml:space="preserve">Background to shadow reporting
</t>
    </r>
    <r>
      <rPr>
        <sz val="10"/>
        <rFont val="Arial"/>
        <family val="2"/>
      </rPr>
      <t>Companies are calculating data against this consistent reporting guidance and will report the data on 15 July 2018.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</si>
  <si>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General notes</t>
    </r>
    <r>
      <rPr>
        <sz val="10"/>
        <rFont val="Arial"/>
        <family val="2"/>
      </rPr>
      <t xml:space="preserve">
1. This table is for the shadow reporting of common metrics according to the new consistent reporting guidance (some of which is still being finalised through the Water UK / Ofwat targeted review)
2. Please enter your company name, contact email address(es) and table submission date at the top of the table
3. We expect you to complete the template for 2017-18 data, but we have included the years up to 2019-20 for reporting in future years
4. For leakage, the table allows for data to be input for either the whole company or for up to four leakage regions
5.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</si>
  <si>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</si>
  <si>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2017-18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While all companies will be aiming to implement as much of the new guidance as practical for 2017-18 reporting, we recognise that many companies may have a significant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</si>
  <si>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</si>
  <si>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</si>
  <si>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</si>
  <si>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</si>
  <si>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Non-compliant</t>
  </si>
  <si>
    <t>Some minor non-compliance</t>
  </si>
  <si>
    <t>Red/amber/green assessment codes used in the drop down lists in table 3s</t>
  </si>
  <si>
    <t>Yes/No indicator used in the drop down lists in table 3s</t>
  </si>
  <si>
    <t>Please select yes/no option</t>
  </si>
  <si>
    <t>4A - Non-financial information</t>
  </si>
  <si>
    <t>Bon Code</t>
  </si>
  <si>
    <t>4A.1</t>
  </si>
  <si>
    <t>Number of void households</t>
  </si>
  <si>
    <t>WHV001U</t>
  </si>
  <si>
    <t>WHV001M</t>
  </si>
  <si>
    <t>4A.2</t>
  </si>
  <si>
    <t>Per capita consumption (excluding supply pipe leakage) l/h/d</t>
  </si>
  <si>
    <t>BN2304</t>
  </si>
  <si>
    <t>BN2305</t>
  </si>
  <si>
    <t>Volume (Ml/d)</t>
  </si>
  <si>
    <t>4A.3</t>
  </si>
  <si>
    <t>Bulk supply export</t>
  </si>
  <si>
    <t>BN2370</t>
  </si>
  <si>
    <t>BN2370S</t>
  </si>
  <si>
    <t>4A.4</t>
  </si>
  <si>
    <t>Bulk supply import</t>
  </si>
  <si>
    <t>BN2360</t>
  </si>
  <si>
    <t>BN2360S</t>
  </si>
  <si>
    <t>4A.5</t>
  </si>
  <si>
    <t>Distribution input</t>
  </si>
  <si>
    <t>BN1000</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</si>
  <si>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</si>
  <si>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</si>
  <si>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</si>
  <si>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</si>
  <si>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</si>
  <si>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</si>
  <si>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</si>
  <si>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</si>
  <si>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</si>
  <si>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</si>
  <si>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</si>
  <si>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</si>
  <si>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</si>
  <si>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</si>
  <si>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</si>
  <si>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</si>
  <si>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</si>
  <si>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</si>
  <si>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</si>
  <si>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</si>
  <si>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</si>
  <si>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</si>
  <si>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</si>
  <si>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</si>
  <si>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</si>
  <si>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</si>
  <si>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</si>
  <si>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</si>
  <si>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</si>
  <si>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</si>
  <si>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</si>
  <si>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</si>
  <si>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</si>
  <si>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</si>
  <si>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</si>
  <si>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</si>
  <si>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</si>
  <si>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</si>
  <si>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</si>
  <si>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</si>
  <si>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</si>
  <si>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</si>
  <si>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</si>
  <si>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</si>
  <si>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</si>
  <si>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</si>
  <si>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</si>
  <si>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</si>
  <si>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</si>
  <si>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</si>
  <si>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</si>
  <si>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</si>
  <si>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</si>
  <si>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</si>
  <si>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</si>
  <si>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</si>
  <si>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</si>
  <si>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</si>
  <si>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</si>
  <si>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</si>
  <si>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</si>
  <si>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</si>
  <si>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</si>
  <si>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</si>
  <si>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</si>
  <si>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</si>
  <si>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</si>
  <si>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</si>
  <si>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</si>
  <si>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</si>
  <si>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</si>
  <si>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</si>
  <si>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</si>
  <si>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</si>
  <si>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</si>
  <si>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</si>
  <si>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</si>
  <si>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</si>
  <si>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</si>
  <si>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</si>
  <si>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</si>
  <si>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</si>
  <si>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</si>
  <si>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</si>
  <si>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</si>
  <si>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</si>
  <si>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customer share of cumulative totex over/underspend</t>
  </si>
  <si>
    <t>RCT00587WTCR</t>
  </si>
  <si>
    <t>RCT00587WWTCR</t>
  </si>
  <si>
    <t>RCT00587TTTTCR</t>
  </si>
  <si>
    <t>4C.4</t>
  </si>
  <si>
    <t>Adjustment for ODI rewards or penalties</t>
  </si>
  <si>
    <t>RCT00588W</t>
  </si>
  <si>
    <t>RCT00588WW</t>
  </si>
  <si>
    <t>RCT00588TTT</t>
  </si>
  <si>
    <t>4C.5</t>
  </si>
  <si>
    <t>RCV determined at FD at 31 March</t>
  </si>
  <si>
    <t>RCT00586W</t>
  </si>
  <si>
    <t>RCT00586WW</t>
  </si>
  <si>
    <t>RCT00586TTT</t>
  </si>
  <si>
    <t>4C.6</t>
  </si>
  <si>
    <t>Projected 'shadow' RCV</t>
  </si>
  <si>
    <t>RCT00589W</t>
  </si>
  <si>
    <t>RCT00589WW</t>
  </si>
  <si>
    <t>RCT00589TTT</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</si>
  <si>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</si>
  <si>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</si>
  <si>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</si>
  <si>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</si>
  <si>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</si>
  <si>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</si>
  <si>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</si>
  <si>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</si>
  <si>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</si>
  <si>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</si>
  <si>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</si>
  <si>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</si>
  <si>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</si>
  <si>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</si>
  <si>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</si>
  <si>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</si>
  <si>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</si>
  <si>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</si>
  <si>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</si>
  <si>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</si>
  <si>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</si>
  <si>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</si>
  <si>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</si>
  <si>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</si>
  <si>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</si>
  <si>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</si>
  <si>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</si>
  <si>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</si>
  <si>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</si>
  <si>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</si>
  <si>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</si>
  <si>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</si>
  <si>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</si>
  <si>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</si>
  <si>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</si>
  <si>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</si>
  <si>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</si>
  <si>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</si>
  <si>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</si>
  <si>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</si>
  <si>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</si>
  <si>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</si>
  <si>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</si>
  <si>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</si>
  <si>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</si>
  <si>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</si>
  <si>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</si>
  <si>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</si>
  <si>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</si>
  <si>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</si>
  <si>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</si>
  <si>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</si>
  <si>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</si>
  <si>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</si>
  <si>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</si>
  <si>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</si>
  <si>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</si>
  <si>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</si>
  <si>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</si>
  <si>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</si>
  <si>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</si>
  <si>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</si>
  <si>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</si>
  <si>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</si>
  <si>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</si>
  <si>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</si>
  <si>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</si>
  <si>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</si>
  <si>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</si>
  <si>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</si>
  <si>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</si>
  <si>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</si>
  <si>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</si>
  <si>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</si>
  <si>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</si>
  <si>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</si>
  <si>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</si>
  <si>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</si>
  <si>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</si>
  <si>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</si>
  <si>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</si>
  <si>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</si>
  <si>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</si>
  <si>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</si>
  <si>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</si>
  <si>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</si>
  <si>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</si>
  <si>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</si>
  <si>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</si>
  <si>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</si>
  <si>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</si>
  <si>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</si>
  <si>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</si>
  <si>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</si>
  <si>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</si>
  <si>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</si>
  <si>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</si>
  <si>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</si>
  <si>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</si>
  <si>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</si>
  <si>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</si>
  <si>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</si>
  <si>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</si>
  <si>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</si>
  <si>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</si>
  <si>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</si>
  <si>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</si>
  <si>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</si>
  <si>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</si>
  <si>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</si>
  <si>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</si>
  <si>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</si>
  <si>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</si>
  <si>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</si>
  <si>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</si>
  <si>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</si>
  <si>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</si>
  <si>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</si>
  <si>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</si>
  <si>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</si>
  <si>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</si>
  <si>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</si>
  <si>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</si>
  <si>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</si>
  <si>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</si>
  <si>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</si>
  <si>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</si>
  <si>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</si>
  <si>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</si>
  <si>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</si>
  <si>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</si>
  <si>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</si>
  <si>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</si>
  <si>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</si>
  <si>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</si>
  <si>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</si>
  <si>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</si>
  <si>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</si>
  <si>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</si>
  <si>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</si>
  <si>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</si>
  <si>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</si>
  <si>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</si>
  <si>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</si>
  <si>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</si>
  <si>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</si>
  <si>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</si>
  <si>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</si>
  <si>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</si>
  <si>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</si>
  <si>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</si>
  <si>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</si>
  <si>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</si>
  <si>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</si>
  <si>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</si>
  <si>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</si>
  <si>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</si>
  <si>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</si>
  <si>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</si>
  <si>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</si>
  <si>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</si>
  <si>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</si>
  <si>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</si>
  <si>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</si>
  <si>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</si>
  <si>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</si>
  <si>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</si>
  <si>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</si>
  <si>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</si>
  <si>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</si>
  <si>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</si>
  <si>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</si>
  <si>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</si>
  <si>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</si>
  <si>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</si>
  <si>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</si>
  <si>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</si>
  <si>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</si>
  <si>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</si>
  <si>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</si>
  <si>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</si>
  <si>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</si>
  <si>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</si>
  <si>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</si>
  <si>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</si>
  <si>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</si>
  <si>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</si>
  <si>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</si>
  <si>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</si>
  <si>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</si>
  <si>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</si>
  <si>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</si>
  <si>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</si>
  <si>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</si>
  <si>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</si>
  <si>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</si>
  <si>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</si>
  <si>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</si>
  <si>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</si>
  <si>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</si>
  <si>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</si>
  <si>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</si>
  <si>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</si>
  <si>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</si>
  <si>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</si>
  <si>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</si>
  <si>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</si>
  <si>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</si>
  <si>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</si>
  <si>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</si>
  <si>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</si>
  <si>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</si>
  <si>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</si>
  <si>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</si>
  <si>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</si>
  <si>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</si>
  <si>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</si>
  <si>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</si>
  <si>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</si>
  <si>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</si>
  <si>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</si>
  <si>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</si>
  <si>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</si>
  <si>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</si>
  <si>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</si>
  <si>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</si>
  <si>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</si>
  <si>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</si>
  <si>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</si>
  <si>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</si>
  <si>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</si>
  <si>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</si>
  <si>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</si>
  <si>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</si>
  <si>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</si>
  <si>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</si>
  <si>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</si>
  <si>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</si>
  <si>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</si>
  <si>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</si>
  <si>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</si>
  <si>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</si>
  <si>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Please refer to RAG 4.07 - Guideline for the taHe definitions in the annual performance report for the reporting year 2017-18</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</si>
  <si>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</si>
  <si>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</si>
  <si>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</si>
  <si>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</si>
  <si>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</si>
  <si>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</si>
  <si>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</si>
  <si>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</si>
  <si>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</si>
  <si>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</si>
  <si>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</si>
  <si>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</si>
  <si>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</si>
  <si>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</si>
  <si>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</si>
  <si>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</si>
  <si>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</si>
  <si>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</si>
  <si>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</si>
  <si>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</si>
  <si>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</si>
  <si>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</si>
  <si>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</si>
  <si>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</si>
  <si>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</si>
  <si>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</si>
  <si>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</si>
  <si>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</si>
  <si>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</si>
  <si>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</si>
  <si>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</si>
  <si>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</si>
  <si>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</si>
  <si>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</si>
  <si>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</si>
  <si>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</si>
  <si>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</si>
  <si>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</si>
  <si>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</si>
  <si>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</si>
  <si>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</si>
  <si>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</si>
  <si>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</si>
  <si>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</si>
  <si>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</si>
  <si>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</si>
  <si>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</si>
  <si>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</si>
  <si>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</si>
  <si>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</si>
  <si>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</si>
  <si>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</si>
  <si>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</si>
  <si>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</si>
  <si>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</si>
  <si>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</si>
  <si>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</si>
  <si>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</si>
  <si>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</si>
  <si>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</si>
  <si>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</si>
  <si>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</si>
  <si>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</si>
  <si>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</si>
  <si>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</si>
  <si>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</si>
  <si>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</si>
  <si>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</si>
  <si>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</si>
  <si>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</si>
  <si>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</si>
  <si>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</si>
  <si>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</si>
  <si>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</si>
  <si>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</si>
  <si>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</si>
  <si>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</si>
  <si>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</si>
  <si>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</si>
  <si>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</si>
  <si>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</si>
  <si>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</si>
  <si>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</si>
  <si>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</si>
  <si>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</si>
  <si>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</si>
  <si>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</si>
  <si>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</si>
  <si>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</si>
  <si>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</si>
  <si>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</si>
  <si>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</si>
  <si>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</si>
  <si>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BM4290MTOT</t>
  </si>
  <si>
    <t>BM4290EX</t>
  </si>
  <si>
    <t>4F.10</t>
  </si>
  <si>
    <t>Depreciation - tangible fixed assets (on assets acquired since 1 April 2015)</t>
  </si>
  <si>
    <t>BM4290AQUWO</t>
  </si>
  <si>
    <t>BM4290AQUSO</t>
  </si>
  <si>
    <t>BM4290AQUWS</t>
  </si>
  <si>
    <t>BM4290AQUTOT</t>
  </si>
  <si>
    <t>BM4290AQMWO</t>
  </si>
  <si>
    <t>BM4290AQMSO</t>
  </si>
  <si>
    <t>BM4290AQMWS</t>
  </si>
  <si>
    <t>BM4290AQ</t>
  </si>
  <si>
    <t>4F.11</t>
  </si>
  <si>
    <t>Amortisation - intangible fixed assets (on assets existing at 31 March 2015)</t>
  </si>
  <si>
    <t>BM9027EXUWO</t>
  </si>
  <si>
    <t>BM9027EXUSO</t>
  </si>
  <si>
    <t>BM9027EXUWS</t>
  </si>
  <si>
    <t>BM9027EXUTOT</t>
  </si>
  <si>
    <t>BM9027EXMWO</t>
  </si>
  <si>
    <t>BM9027EXMSO</t>
  </si>
  <si>
    <t>BM9027EXMWS</t>
  </si>
  <si>
    <t>BM9027MTOT</t>
  </si>
  <si>
    <t>BM9027EX</t>
  </si>
  <si>
    <t>4F.12</t>
  </si>
  <si>
    <t>Amortisation - intangible fixed assets (on assets acquired since 1 April 2015)</t>
  </si>
  <si>
    <t>BM9027AQUWO</t>
  </si>
  <si>
    <t>BM9027AQUSO</t>
  </si>
  <si>
    <t>BM9027AQUWS</t>
  </si>
  <si>
    <t>BM9027AQUTOT</t>
  </si>
  <si>
    <t>BM9027AQMWO</t>
  </si>
  <si>
    <t>BM9027AQMSO</t>
  </si>
  <si>
    <t>BM9027AQMWS</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</si>
  <si>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</si>
  <si>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</si>
  <si>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</si>
  <si>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</si>
  <si>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</si>
  <si>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</si>
  <si>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</si>
  <si>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</si>
  <si>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</si>
  <si>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</si>
  <si>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</si>
  <si>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</si>
  <si>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</si>
  <si>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</si>
  <si>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</si>
  <si>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</si>
  <si>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</si>
  <si>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</si>
  <si>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</si>
  <si>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</si>
  <si>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</si>
  <si>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</si>
  <si>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</si>
  <si>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</si>
  <si>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</si>
  <si>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</si>
  <si>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</si>
  <si>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</si>
  <si>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</si>
  <si>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</si>
  <si>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</si>
  <si>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</si>
  <si>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</si>
  <si>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</si>
  <si>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</si>
  <si>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</si>
  <si>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</si>
  <si>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</si>
  <si>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</si>
  <si>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</si>
  <si>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</si>
  <si>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</si>
  <si>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</si>
  <si>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</si>
  <si>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</si>
  <si>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</si>
  <si>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</si>
  <si>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</si>
  <si>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</si>
  <si>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</si>
  <si>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</si>
  <si>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</si>
  <si>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</si>
  <si>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</si>
  <si>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</si>
  <si>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</si>
  <si>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</si>
  <si>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</si>
  <si>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</si>
  <si>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A19015WSS</t>
  </si>
  <si>
    <t>A10005</t>
  </si>
  <si>
    <t>4G.5</t>
  </si>
  <si>
    <t>Current cost operating profit</t>
  </si>
  <si>
    <t>BO3166WPL</t>
  </si>
  <si>
    <t>BO3166SPL</t>
  </si>
  <si>
    <t>BO3166SPLTTT</t>
  </si>
  <si>
    <t>BO3166PL</t>
  </si>
  <si>
    <t>4G.6</t>
  </si>
  <si>
    <t>Total should equal to line 1A.5 on the assumption that there is no material debt in retail business.</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</si>
  <si>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</si>
  <si>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</si>
  <si>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</si>
  <si>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</si>
  <si>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</si>
  <si>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</si>
  <si>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</si>
  <si>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</si>
  <si>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</si>
  <si>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</si>
  <si>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</si>
  <si>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</si>
  <si>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</si>
  <si>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</si>
  <si>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</si>
  <si>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</si>
  <si>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</si>
  <si>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</si>
  <si>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</si>
  <si>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</si>
  <si>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</si>
  <si>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</si>
  <si>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</si>
  <si>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</si>
  <si>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</si>
  <si>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</si>
  <si>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</si>
  <si>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</si>
  <si>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</si>
  <si>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</si>
  <si>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</si>
  <si>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</si>
  <si>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</si>
  <si>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</si>
  <si>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</si>
  <si>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</si>
  <si>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</si>
  <si>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</si>
  <si>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</si>
  <si>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</si>
  <si>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</si>
  <si>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4H - Financial metrics</t>
  </si>
  <si>
    <t>Metric</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</si>
  <si>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</si>
  <si>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</si>
  <si>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</si>
  <si>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</si>
  <si>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</si>
  <si>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</si>
  <si>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</si>
  <si>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</si>
  <si>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</si>
  <si>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</si>
  <si>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</si>
  <si>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</si>
  <si>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</si>
  <si>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</si>
  <si>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4H.6</t>
  </si>
  <si>
    <t>Dividend yield</t>
  </si>
  <si>
    <t>CR1050</t>
  </si>
  <si>
    <t>4H.7</t>
  </si>
  <si>
    <t>Retail profit margin - Household</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</si>
  <si>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</si>
  <si>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</si>
  <si>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</si>
  <si>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</si>
  <si>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</si>
  <si>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</si>
  <si>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</si>
  <si>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</si>
  <si>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n/a</t>
  </si>
  <si>
    <t>Baa1 negative</t>
  </si>
  <si>
    <t>A8012FM</t>
  </si>
  <si>
    <t>4H.10</t>
  </si>
  <si>
    <t>Return on RCV</t>
  </si>
  <si>
    <t>CR19006</t>
  </si>
  <si>
    <t>4H.11</t>
  </si>
  <si>
    <t>Dividend cover</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</si>
  <si>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</si>
  <si>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</si>
  <si>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</si>
  <si>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</si>
  <si>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</si>
  <si>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</si>
  <si>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</si>
  <si>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</si>
  <si>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</si>
  <si>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</si>
  <si>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</si>
  <si>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</si>
  <si>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</si>
  <si>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</si>
  <si>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</si>
  <si>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</si>
  <si>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</si>
  <si>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</si>
  <si>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</si>
  <si>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</si>
  <si>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</si>
  <si>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</si>
  <si>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</si>
  <si>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</si>
  <si>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</si>
  <si>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</si>
  <si>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</si>
  <si>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</si>
  <si>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4H.21</t>
  </si>
  <si>
    <t>Proportion of borrowings which are fixed rate</t>
  </si>
  <si>
    <t>CR1058</t>
  </si>
  <si>
    <t>4H.22</t>
  </si>
  <si>
    <t>Proportion of borrowings which are floating rate</t>
  </si>
  <si>
    <t>CR1059</t>
  </si>
  <si>
    <t>4H.23</t>
  </si>
  <si>
    <t>Proportion of borrowings which are index linked</t>
  </si>
  <si>
    <t>The total of lines 4H.21 to 4H.23 should equal 100%</t>
  </si>
  <si>
    <t>CR1060</t>
  </si>
  <si>
    <t>4H.24</t>
  </si>
  <si>
    <t>Proportion of borrowings due within 1 year or less</t>
  </si>
  <si>
    <t>CR1061</t>
  </si>
  <si>
    <t>4H.25</t>
  </si>
  <si>
    <t>Proportion of borrowings due in more than 1 year but no more than 2 years</t>
  </si>
  <si>
    <t>CR1062</t>
  </si>
  <si>
    <t>4H.26</t>
  </si>
  <si>
    <t>Proportion of borrowings due in more than 2 years but but no more than 5 years</t>
  </si>
  <si>
    <t>CR1063</t>
  </si>
  <si>
    <t>4H.27</t>
  </si>
  <si>
    <t>Proportion of borrowings due in more than 5 years but no more than 20 years</t>
  </si>
  <si>
    <t>CR1064</t>
  </si>
  <si>
    <t>4H.28</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</si>
  <si>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</si>
  <si>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</si>
  <si>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</si>
  <si>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</si>
  <si>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</si>
  <si>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</si>
  <si>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1
2
3
4
5
6
7
8
9
10</t>
  </si>
  <si>
    <t>4I - Financial derivatives</t>
  </si>
  <si>
    <t>BBN CODE ALLOCATION</t>
  </si>
  <si>
    <t>BBn Code</t>
  </si>
  <si>
    <t>Nominal value by maturity (net)</t>
  </si>
  <si>
    <t>Total value at 31 March 2018</t>
  </si>
  <si>
    <t>Total accretion at 31 March 2018</t>
  </si>
  <si>
    <t>Interest rate
(weighted average for 12 months to 31 March 2018)</t>
  </si>
  <si>
    <t>Completion &amp; consistency</t>
  </si>
  <si>
    <t>1 to 2 years</t>
  </si>
  <si>
    <t>2 to 5 years</t>
  </si>
  <si>
    <t>Over 5 years</t>
  </si>
  <si>
    <t>Nominal value (net)</t>
  </si>
  <si>
    <t>Mark to Market</t>
  </si>
  <si>
    <t>Payable</t>
  </si>
  <si>
    <t>Receivable</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</si>
  <si>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</si>
  <si>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</si>
  <si>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</si>
  <si>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</si>
  <si>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</si>
  <si>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</si>
  <si>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</si>
  <si>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</si>
  <si>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</si>
  <si>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</si>
  <si>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</si>
  <si>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</si>
  <si>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</si>
  <si>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</si>
  <si>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</si>
  <si>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</si>
  <si>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</si>
  <si>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</si>
  <si>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</si>
  <si>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</si>
  <si>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</si>
  <si>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</si>
  <si>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</si>
  <si>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</si>
  <si>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</si>
  <si>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</si>
  <si>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</si>
  <si>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</si>
  <si>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</si>
  <si>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</si>
  <si>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</si>
  <si>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</si>
  <si>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</si>
  <si>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</si>
  <si>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</si>
  <si>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</si>
  <si>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</si>
  <si>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</si>
  <si>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</si>
  <si>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</si>
  <si>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</si>
  <si>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</si>
  <si>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</si>
  <si>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</si>
  <si>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</si>
  <si>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</si>
  <si>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</si>
  <si>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</si>
  <si>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</si>
  <si>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</si>
  <si>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</si>
  <si>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</si>
  <si>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</si>
  <si>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</si>
  <si>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</si>
  <si>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</si>
  <si>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</si>
  <si>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</si>
  <si>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</si>
  <si>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</si>
  <si>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</si>
  <si>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</si>
  <si>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</si>
  <si>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</si>
  <si>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</si>
  <si>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</si>
  <si>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</si>
  <si>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</si>
  <si>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</si>
  <si>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</si>
  <si>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</si>
  <si>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</si>
  <si>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</si>
  <si>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</si>
  <si>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</si>
  <si>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</si>
  <si>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</si>
  <si>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</si>
  <si>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</si>
  <si>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</si>
  <si>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</si>
  <si>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</si>
  <si>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</si>
  <si>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</si>
  <si>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</si>
  <si>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</si>
  <si>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</si>
  <si>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</si>
  <si>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</si>
  <si>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</si>
  <si>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</si>
  <si>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</si>
  <si>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</si>
  <si>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</si>
  <si>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</si>
  <si>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</si>
  <si>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</si>
  <si>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</si>
  <si>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</si>
  <si>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</si>
  <si>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</si>
  <si>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</si>
  <si>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</si>
  <si>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</si>
  <si>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</si>
  <si>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</si>
  <si>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</si>
  <si>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</si>
  <si>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</si>
  <si>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</si>
  <si>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</si>
  <si>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</si>
  <si>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</si>
  <si>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</si>
  <si>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</si>
  <si>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</si>
  <si>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</si>
  <si>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</si>
  <si>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</si>
  <si>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</si>
  <si>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</si>
  <si>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</si>
  <si>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</si>
  <si>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</si>
  <si>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</si>
  <si>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</si>
  <si>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</si>
  <si>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</si>
  <si>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</si>
  <si>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</si>
  <si>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</si>
  <si>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</si>
  <si>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</si>
  <si>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</si>
  <si>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</si>
  <si>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</si>
  <si>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</si>
  <si>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</si>
  <si>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</si>
  <si>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</si>
  <si>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</si>
  <si>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</si>
  <si>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</si>
  <si>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</si>
  <si>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</si>
  <si>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</si>
  <si>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</si>
  <si>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</si>
  <si>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</si>
  <si>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</si>
  <si>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</si>
  <si>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</si>
  <si>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</si>
  <si>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</si>
  <si>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</si>
  <si>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</si>
  <si>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</si>
  <si>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</si>
  <si>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</si>
  <si>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</si>
  <si>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</si>
  <si>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</si>
  <si>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</si>
  <si>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</si>
  <si>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</si>
  <si>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</si>
  <si>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</si>
  <si>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</si>
  <si>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</si>
  <si>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</si>
  <si>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</si>
  <si>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</si>
  <si>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</si>
  <si>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</si>
  <si>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</si>
  <si>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</si>
  <si>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</si>
  <si>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</si>
  <si>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</si>
  <si>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</si>
  <si>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</si>
  <si>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</si>
  <si>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</si>
  <si>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</si>
  <si>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</si>
  <si>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</si>
  <si>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</si>
  <si>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</si>
  <si>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</si>
  <si>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</si>
  <si>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</si>
  <si>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</si>
  <si>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</si>
  <si>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</si>
  <si>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</si>
  <si>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</si>
  <si>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</si>
  <si>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</si>
  <si>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Other</t>
  </si>
  <si>
    <t>CR20018N1</t>
  </si>
  <si>
    <t>CR20018N2</t>
  </si>
  <si>
    <t>CR20018N5</t>
  </si>
  <si>
    <t>CR20018N6</t>
  </si>
  <si>
    <t>CR20018MM</t>
  </si>
  <si>
    <t>CR20018TA</t>
  </si>
  <si>
    <t>CR20018IRP</t>
  </si>
  <si>
    <t>CR20018IRR</t>
  </si>
  <si>
    <t>4I.22</t>
  </si>
  <si>
    <t>CR20019N1</t>
  </si>
  <si>
    <t>CR20019N2</t>
  </si>
  <si>
    <t>CR20019N5</t>
  </si>
  <si>
    <t>CR20019N6</t>
  </si>
  <si>
    <t>CR20019MM</t>
  </si>
  <si>
    <t>CR20019TA</t>
  </si>
  <si>
    <t>Other financial derivatives</t>
  </si>
  <si>
    <t>4I.23</t>
  </si>
  <si>
    <t>CR2028N1</t>
  </si>
  <si>
    <t>CR2028N2</t>
  </si>
  <si>
    <t>CR2028N5</t>
  </si>
  <si>
    <t>CR2028N6</t>
  </si>
  <si>
    <t>CR2028MM</t>
  </si>
  <si>
    <t>CR2028TA</t>
  </si>
  <si>
    <t>CR2028IRP</t>
  </si>
  <si>
    <t>CR2028IRR</t>
  </si>
  <si>
    <t>4I.24</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</si>
  <si>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</si>
  <si>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</si>
  <si>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</si>
  <si>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</si>
  <si>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</si>
  <si>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</si>
  <si>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</si>
  <si>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</si>
  <si>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</si>
  <si>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</si>
  <si>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</si>
  <si>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</si>
  <si>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</si>
  <si>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</si>
  <si>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</si>
  <si>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</si>
  <si>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</si>
  <si>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</si>
  <si>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</si>
  <si>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</si>
  <si>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</si>
  <si>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</si>
  <si>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</si>
  <si>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</si>
  <si>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</si>
  <si>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</si>
  <si>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</si>
  <si>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</si>
  <si>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</si>
  <si>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</si>
  <si>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</si>
  <si>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</si>
  <si>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</si>
  <si>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</si>
  <si>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</si>
  <si>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</si>
  <si>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</si>
  <si>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</si>
  <si>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</si>
  <si>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</si>
  <si>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</si>
  <si>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</si>
  <si>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</si>
  <si>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</si>
  <si>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</si>
  <si>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</si>
  <si>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</si>
  <si>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</si>
  <si>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</si>
  <si>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</si>
  <si>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</si>
  <si>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</si>
  <si>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</si>
  <si>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</si>
  <si>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</si>
  <si>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</si>
  <si>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</si>
  <si>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</si>
  <si>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</si>
  <si>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</si>
  <si>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</si>
  <si>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</si>
  <si>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</si>
  <si>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</si>
  <si>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</si>
  <si>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</si>
  <si>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</si>
  <si>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</si>
  <si>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</si>
  <si>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</si>
  <si>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</si>
  <si>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</si>
  <si>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</si>
  <si>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</si>
  <si>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</si>
  <si>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</si>
  <si>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</si>
  <si>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</si>
  <si>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</si>
  <si>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</si>
  <si>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</si>
  <si>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</si>
  <si>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</si>
  <si>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</si>
  <si>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</si>
  <si>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</si>
  <si>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</si>
  <si>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</si>
  <si>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</si>
  <si>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</si>
  <si>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</si>
  <si>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</si>
  <si>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</si>
  <si>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</si>
  <si>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</si>
  <si>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</si>
  <si>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</si>
  <si>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</si>
  <si>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</si>
  <si>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</si>
  <si>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</si>
  <si>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</si>
  <si>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</si>
  <si>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</si>
  <si>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</si>
  <si>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</si>
  <si>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</si>
  <si>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</si>
  <si>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</si>
  <si>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</si>
  <si>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</si>
  <si>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</si>
  <si>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</si>
  <si>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</si>
  <si>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</si>
  <si>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</si>
  <si>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</si>
  <si>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</si>
  <si>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</si>
  <si>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</si>
  <si>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</si>
  <si>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</si>
  <si>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</si>
  <si>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</si>
  <si>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</si>
  <si>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</si>
  <si>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</si>
  <si>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</si>
  <si>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</si>
  <si>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</si>
  <si>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</si>
  <si>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</si>
  <si>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</si>
  <si>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Revised guidance issued 6 July 2018</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</si>
  <si>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</si>
  <si>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</si>
  <si>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</si>
  <si>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</si>
  <si>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</si>
  <si>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</si>
  <si>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</si>
  <si>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</si>
  <si>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</si>
  <si>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</si>
  <si>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</si>
  <si>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</si>
  <si>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</si>
  <si>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</si>
  <si>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</si>
  <si>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</si>
  <si>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</si>
  <si>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</si>
  <si>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</si>
  <si>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</si>
  <si>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</si>
  <si>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</si>
  <si>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</si>
  <si>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</si>
  <si>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</si>
  <si>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</si>
  <si>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</si>
  <si>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</si>
  <si>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</si>
  <si>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</si>
  <si>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</si>
  <si>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</si>
  <si>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</si>
  <si>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</si>
  <si>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</si>
  <si>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</si>
  <si>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</si>
  <si>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</si>
  <si>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</si>
  <si>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</si>
  <si>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</si>
  <si>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</si>
  <si>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</si>
  <si>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</si>
  <si>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</si>
  <si>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</si>
  <si>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</si>
  <si>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</si>
  <si>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</si>
  <si>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</si>
  <si>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</si>
  <si>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</si>
  <si>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</si>
  <si>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</si>
  <si>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</si>
  <si>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</si>
  <si>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</si>
  <si>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</si>
  <si>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</si>
  <si>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</si>
  <si>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</si>
  <si>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</si>
  <si>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</si>
  <si>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</si>
  <si>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</si>
  <si>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</si>
  <si>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</si>
  <si>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</si>
  <si>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</si>
  <si>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</si>
  <si>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</si>
  <si>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</si>
  <si>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</si>
  <si>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</si>
  <si>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</si>
  <si>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</si>
  <si>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</si>
  <si>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</si>
  <si>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</si>
  <si>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</si>
  <si>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</si>
  <si>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</si>
  <si>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4D.20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</si>
  <si>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</si>
  <si>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</si>
  <si>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</si>
  <si>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</si>
  <si>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</si>
  <si>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</si>
  <si>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</si>
  <si>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</si>
  <si>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</si>
  <si>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</si>
  <si>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</si>
  <si>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</si>
  <si>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</si>
  <si>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</si>
  <si>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</si>
  <si>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</si>
  <si>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</si>
  <si>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</si>
  <si>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</si>
  <si>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</si>
  <si>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</si>
  <si>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</si>
  <si>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</si>
  <si>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</si>
  <si>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</si>
  <si>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</si>
  <si>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</si>
  <si>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</si>
  <si>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</si>
  <si>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</si>
  <si>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</si>
  <si>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</si>
  <si>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</si>
  <si>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</si>
  <si>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</si>
  <si>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</si>
  <si>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</si>
  <si>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</si>
  <si>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</si>
  <si>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</si>
  <si>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</si>
  <si>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</si>
  <si>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</si>
  <si>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</si>
  <si>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</si>
  <si>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</si>
  <si>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</si>
  <si>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</si>
  <si>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</si>
  <si>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</si>
  <si>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</si>
  <si>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</si>
  <si>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</si>
  <si>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</si>
  <si>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</si>
  <si>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CRSTSERV01D</t>
  </si>
  <si>
    <t>CRASLT005</t>
  </si>
  <si>
    <t>Volume transported</t>
  </si>
  <si>
    <t>CRASST005</t>
  </si>
  <si>
    <t>Dried solid mass treated</t>
  </si>
  <si>
    <t>CRASSTS005</t>
  </si>
  <si>
    <t>Dried solid mass disposed</t>
  </si>
  <si>
    <t>CRSDSERV01D</t>
  </si>
  <si>
    <t>4E.26</t>
  </si>
  <si>
    <t>£/unit</t>
  </si>
  <si>
    <t>CRASF006</t>
  </si>
  <si>
    <t>CRASSWD006</t>
  </si>
  <si>
    <t>CRASHD006</t>
  </si>
  <si>
    <t>CRSTSERV01C</t>
  </si>
  <si>
    <t>CRASLT006</t>
  </si>
  <si>
    <t>CRASST006</t>
  </si>
  <si>
    <t>CRASSTS006</t>
  </si>
  <si>
    <t>CRSDSERV01C</t>
  </si>
  <si>
    <t>4E.27</t>
  </si>
  <si>
    <t>BN2630F</t>
  </si>
  <si>
    <t>BN2630SWD</t>
  </si>
  <si>
    <t>BN2630HD</t>
  </si>
  <si>
    <t>BN2630STD</t>
  </si>
  <si>
    <t>BN2630SLT</t>
  </si>
  <si>
    <t>BN2630STP</t>
  </si>
  <si>
    <t>BN2630SDT</t>
  </si>
  <si>
    <t>BN2630SDD</t>
  </si>
  <si>
    <t>4E.28</t>
  </si>
  <si>
    <t>BN2631F</t>
  </si>
  <si>
    <t>BN2631SWD</t>
  </si>
  <si>
    <t>BN2631HD</t>
  </si>
  <si>
    <t>BN2631STD</t>
  </si>
  <si>
    <t>BN2631SLT</t>
  </si>
  <si>
    <t>BN2631STP</t>
  </si>
  <si>
    <t>BN2631SDT</t>
  </si>
  <si>
    <t>BN2631SDD</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</si>
  <si>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</si>
  <si>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</si>
  <si>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</si>
  <si>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</si>
  <si>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</si>
  <si>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</si>
  <si>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</si>
  <si>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</si>
  <si>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</si>
  <si>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</si>
  <si>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</si>
  <si>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</si>
  <si>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</si>
  <si>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</si>
  <si>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</si>
  <si>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</si>
  <si>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</si>
  <si>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</si>
  <si>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</si>
  <si>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</si>
  <si>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</si>
  <si>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</si>
  <si>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</si>
  <si>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</si>
  <si>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</si>
  <si>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</si>
  <si>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</si>
  <si>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</si>
  <si>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</si>
  <si>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</si>
  <si>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</si>
  <si>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</si>
  <si>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</si>
  <si>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</si>
  <si>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</si>
  <si>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</si>
  <si>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</si>
  <si>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</si>
  <si>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</si>
  <si>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</si>
  <si>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</si>
  <si>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</si>
  <si>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</si>
  <si>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</si>
  <si>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</si>
  <si>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</si>
  <si>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</si>
  <si>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</si>
  <si>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</si>
  <si>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</si>
  <si>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</si>
  <si>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</si>
  <si>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</si>
  <si>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</si>
  <si>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</si>
  <si>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</si>
  <si>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</si>
  <si>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</si>
  <si>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</si>
  <si>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</si>
  <si>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</si>
  <si>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</si>
  <si>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</si>
  <si>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</si>
  <si>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</si>
  <si>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</si>
  <si>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</si>
  <si>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</si>
  <si>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</si>
  <si>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</si>
  <si>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</si>
  <si>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</si>
  <si>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</si>
  <si>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</si>
  <si>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</si>
  <si>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</si>
  <si>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</si>
  <si>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</si>
  <si>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</si>
  <si>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</si>
  <si>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</si>
  <si>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</si>
  <si>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</si>
  <si>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</si>
  <si>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</si>
  <si>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</si>
  <si>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</si>
  <si>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</si>
  <si>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</si>
  <si>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</si>
  <si>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</si>
  <si>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</si>
  <si>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</si>
  <si>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</si>
  <si>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</si>
  <si>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</si>
  <si>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</si>
  <si>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</si>
  <si>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</si>
  <si>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</si>
  <si>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</si>
  <si>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</si>
  <si>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</si>
  <si>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</si>
  <si>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</si>
  <si>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</si>
  <si>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</si>
  <si>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</si>
  <si>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</si>
  <si>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</si>
  <si>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</si>
  <si>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</si>
  <si>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</si>
  <si>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</si>
  <si>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</si>
  <si>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</si>
  <si>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</si>
  <si>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</si>
  <si>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</si>
  <si>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</si>
  <si>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</si>
  <si>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</si>
  <si>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</si>
  <si>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</si>
  <si>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</si>
  <si>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</si>
  <si>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</si>
  <si>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</si>
  <si>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</si>
  <si>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</si>
  <si>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</si>
  <si>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</si>
  <si>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</si>
  <si>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</si>
  <si>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</si>
  <si>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</si>
  <si>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</si>
  <si>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</si>
  <si>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</si>
  <si>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</si>
  <si>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</si>
  <si>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</si>
  <si>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</si>
  <si>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</si>
  <si>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</si>
  <si>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</si>
  <si>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</si>
  <si>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</si>
  <si>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</si>
  <si>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</si>
  <si>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</si>
  <si>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</si>
  <si>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</si>
  <si>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</si>
  <si>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</si>
  <si>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</si>
  <si>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</si>
  <si>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</si>
  <si>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</si>
  <si>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</si>
  <si>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</si>
  <si>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</si>
  <si>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</si>
  <si>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</si>
  <si>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</si>
  <si>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</si>
  <si>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</si>
  <si>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</si>
  <si>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</si>
  <si>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</si>
  <si>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</si>
  <si>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</si>
  <si>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</si>
  <si>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</si>
  <si>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</si>
  <si>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</si>
  <si>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</si>
  <si>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</si>
  <si>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</si>
  <si>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</si>
  <si>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</si>
  <si>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</si>
  <si>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</si>
  <si>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</si>
  <si>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</si>
  <si>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</si>
  <si>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</si>
  <si>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</si>
  <si>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</si>
  <si>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</si>
  <si>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</si>
  <si>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</si>
  <si>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</si>
  <si>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</si>
  <si>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</si>
  <si>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</si>
  <si>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</si>
  <si>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</si>
  <si>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</si>
  <si>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</si>
  <si>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</si>
  <si>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</si>
  <si>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</si>
  <si>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</si>
  <si>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Restructuring costs</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</si>
  <si>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</si>
  <si>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</si>
  <si>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</si>
  <si>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</si>
  <si>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</si>
  <si>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</si>
  <si>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</si>
  <si>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</si>
  <si>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</si>
  <si>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</si>
  <si>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</si>
  <si>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</si>
  <si>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</si>
  <si>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</si>
  <si>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</si>
  <si>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</si>
  <si>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</si>
  <si>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</si>
  <si>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</si>
  <si>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</si>
  <si>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</si>
  <si>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</si>
  <si>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</si>
  <si>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</si>
  <si>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</si>
  <si>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</si>
  <si>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</si>
  <si>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</si>
  <si>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</si>
  <si>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</si>
  <si>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</si>
  <si>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</si>
  <si>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</si>
  <si>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</si>
  <si>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</si>
  <si>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</si>
  <si>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</si>
  <si>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</si>
  <si>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</si>
  <si>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</si>
  <si>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</si>
  <si>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</si>
  <si>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</si>
  <si>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</si>
  <si>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</si>
  <si>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</si>
  <si>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</si>
  <si>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</si>
  <si>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</si>
  <si>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</si>
  <si>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</si>
  <si>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</si>
  <si>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</si>
  <si>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</si>
  <si>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</si>
  <si>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</si>
  <si>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</si>
  <si>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</si>
  <si>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</si>
  <si>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</si>
  <si>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</si>
  <si>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</si>
  <si>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</si>
  <si>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</si>
  <si>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</si>
  <si>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</si>
  <si>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</si>
  <si>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</si>
  <si>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</si>
  <si>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</si>
  <si>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</si>
  <si>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</si>
  <si>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</si>
  <si>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</si>
  <si>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</si>
  <si>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</si>
  <si>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</si>
  <si>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</si>
  <si>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</si>
  <si>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</si>
  <si>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</si>
  <si>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</si>
  <si>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</si>
  <si>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</si>
  <si>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</si>
  <si>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</si>
  <si>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</si>
  <si>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</si>
  <si>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</si>
  <si>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</si>
  <si>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</si>
  <si>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</si>
  <si>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</si>
  <si>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</si>
  <si>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</si>
  <si>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</si>
  <si>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</si>
  <si>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</si>
  <si>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</si>
  <si>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</si>
  <si>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</si>
  <si>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</si>
  <si>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</si>
  <si>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</si>
  <si>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</si>
  <si>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</si>
  <si>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</si>
  <si>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</si>
  <si>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</si>
  <si>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</si>
  <si>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4K - Atypical expenditure by business unit - Wholesale wastewater</t>
  </si>
  <si>
    <t>Network+       Sewage Collection</t>
  </si>
  <si>
    <t>Network+       Sewage Treatment</t>
  </si>
  <si>
    <t>Line</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</si>
  <si>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</si>
  <si>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</si>
  <si>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</si>
  <si>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</si>
  <si>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</si>
  <si>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</si>
  <si>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</si>
  <si>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</si>
  <si>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</si>
  <si>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</si>
  <si>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</si>
  <si>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</si>
  <si>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</si>
  <si>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</si>
  <si>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</si>
  <si>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</si>
  <si>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</si>
  <si>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</si>
  <si>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</si>
  <si>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</si>
  <si>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</si>
  <si>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</si>
  <si>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</si>
  <si>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</si>
  <si>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</si>
  <si>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</si>
  <si>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</si>
  <si>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</si>
  <si>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</si>
  <si>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</si>
  <si>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</si>
  <si>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</si>
  <si>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</si>
  <si>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</si>
  <si>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</si>
  <si>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</si>
  <si>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</si>
  <si>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</si>
  <si>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</si>
  <si>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</si>
  <si>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</si>
  <si>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</si>
  <si>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</si>
  <si>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</si>
  <si>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</si>
  <si>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</si>
  <si>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</si>
  <si>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</si>
  <si>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</si>
  <si>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</si>
  <si>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</si>
  <si>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</si>
  <si>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</si>
  <si>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</si>
  <si>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</si>
  <si>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</si>
  <si>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</si>
  <si>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</si>
  <si>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</si>
  <si>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</si>
  <si>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</si>
  <si>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</si>
  <si>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</si>
  <si>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</si>
  <si>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</si>
  <si>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</si>
  <si>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</si>
  <si>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</si>
  <si>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</si>
  <si>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</si>
  <si>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</si>
  <si>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</si>
  <si>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</si>
  <si>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</si>
  <si>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</si>
  <si>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</si>
  <si>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</si>
  <si>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</si>
  <si>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</si>
  <si>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</si>
  <si>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</si>
  <si>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</si>
  <si>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</si>
  <si>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</si>
  <si>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</si>
  <si>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</si>
  <si>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</si>
  <si>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</si>
  <si>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</si>
  <si>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</si>
  <si>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</si>
  <si>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</si>
  <si>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</si>
  <si>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</si>
  <si>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</si>
  <si>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</si>
  <si>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</si>
  <si>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</si>
  <si>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</si>
  <si>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</si>
  <si>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</si>
  <si>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</si>
  <si>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</si>
  <si>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</si>
  <si>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</si>
  <si>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</si>
  <si>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</si>
  <si>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</si>
  <si>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</si>
  <si>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</si>
  <si>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</si>
  <si>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</si>
  <si>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</si>
  <si>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</si>
  <si>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</si>
  <si>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</si>
  <si>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</si>
  <si>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</si>
  <si>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</si>
  <si>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</si>
  <si>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</si>
  <si>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</si>
  <si>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</si>
  <si>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</si>
  <si>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</si>
  <si>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</si>
  <si>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</si>
  <si>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</si>
  <si>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</si>
  <si>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</si>
  <si>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</si>
  <si>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</si>
  <si>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</si>
  <si>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</si>
  <si>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</si>
  <si>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</si>
  <si>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</si>
  <si>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</si>
  <si>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</si>
  <si>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</si>
  <si>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</si>
  <si>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</si>
  <si>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</si>
  <si>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</si>
  <si>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</si>
  <si>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</si>
  <si>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</si>
  <si>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</si>
  <si>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</si>
  <si>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</si>
  <si>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</si>
  <si>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</si>
  <si>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</si>
  <si>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</si>
  <si>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</si>
  <si>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</si>
  <si>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</si>
  <si>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</si>
  <si>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</si>
  <si>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</si>
  <si>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</si>
  <si>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</si>
  <si>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</si>
  <si>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</si>
  <si>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</si>
  <si>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</si>
  <si>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</si>
  <si>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</si>
  <si>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</si>
  <si>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</si>
  <si>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</si>
  <si>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</si>
  <si>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</si>
  <si>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</si>
  <si>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</si>
  <si>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</si>
  <si>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</si>
  <si>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</si>
  <si>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</si>
  <si>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</si>
  <si>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</si>
  <si>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</si>
  <si>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</si>
  <si>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</si>
  <si>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</si>
  <si>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</si>
  <si>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</si>
  <si>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</si>
  <si>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</si>
  <si>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</si>
  <si>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</si>
  <si>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</si>
  <si>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</si>
  <si>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</si>
  <si>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</si>
  <si>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</si>
  <si>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</si>
  <si>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</si>
  <si>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</si>
  <si>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</si>
  <si>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</si>
  <si>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</si>
  <si>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</si>
  <si>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</si>
  <si>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</si>
  <si>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</si>
  <si>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</si>
  <si>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</si>
  <si>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</si>
  <si>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</si>
  <si>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</si>
  <si>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</si>
  <si>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</si>
  <si>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</si>
  <si>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</si>
  <si>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</si>
  <si>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</si>
  <si>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</si>
  <si>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</si>
  <si>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</si>
  <si>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</si>
  <si>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</si>
  <si>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</si>
  <si>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</si>
  <si>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</si>
  <si>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</si>
  <si>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</si>
  <si>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</si>
  <si>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</si>
  <si>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</si>
  <si>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</si>
  <si>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</si>
  <si>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</si>
  <si>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</si>
  <si>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</si>
  <si>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</si>
  <si>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</si>
  <si>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</si>
  <si>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</si>
  <si>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</si>
  <si>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</si>
  <si>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</si>
  <si>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</si>
  <si>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</si>
  <si>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</si>
  <si>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</si>
  <si>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</si>
  <si>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</si>
  <si>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</si>
  <si>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</si>
  <si>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</si>
  <si>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</si>
  <si>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</si>
  <si>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</si>
  <si>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</si>
  <si>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</si>
  <si>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</si>
  <si>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</si>
  <si>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</si>
  <si>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</si>
  <si>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</si>
  <si>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</si>
  <si>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</si>
  <si>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</si>
  <si>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</si>
  <si>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</si>
  <si>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</si>
  <si>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</si>
  <si>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</si>
  <si>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</si>
  <si>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</si>
  <si>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</si>
  <si>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</si>
  <si>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</si>
  <si>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</si>
  <si>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</si>
  <si>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</si>
  <si>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</si>
  <si>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</si>
  <si>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</si>
  <si>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</si>
  <si>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</si>
  <si>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</si>
  <si>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</si>
  <si>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</si>
  <si>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</si>
  <si>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</si>
  <si>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</si>
  <si>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</si>
  <si>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</si>
  <si>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</si>
  <si>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</si>
  <si>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</si>
  <si>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</si>
  <si>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</si>
  <si>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</si>
  <si>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</si>
  <si>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</si>
  <si>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</si>
  <si>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</si>
  <si>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</si>
  <si>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</si>
  <si>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</si>
  <si>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</si>
  <si>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</si>
  <si>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</si>
  <si>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</si>
  <si>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</si>
  <si>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</si>
  <si>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</si>
  <si>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</si>
  <si>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</si>
  <si>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</si>
  <si>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</si>
  <si>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</si>
  <si>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</si>
  <si>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</si>
  <si>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</si>
  <si>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</si>
  <si>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</si>
  <si>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</si>
  <si>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</si>
  <si>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</si>
  <si>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</si>
  <si>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</si>
  <si>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</si>
  <si>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</si>
  <si>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</si>
  <si>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</si>
  <si>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</si>
  <si>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</si>
  <si>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</si>
  <si>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</si>
  <si>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</si>
  <si>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</si>
  <si>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</si>
  <si>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</si>
  <si>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</si>
  <si>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</si>
  <si>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</si>
  <si>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</si>
  <si>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</si>
  <si>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</si>
  <si>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</si>
  <si>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</si>
  <si>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</si>
  <si>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</si>
  <si>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</si>
  <si>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</si>
  <si>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</si>
  <si>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</si>
  <si>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</si>
  <si>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</si>
  <si>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</si>
  <si>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</si>
  <si>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</si>
  <si>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</si>
  <si>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</si>
  <si>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</si>
  <si>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</si>
  <si>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</si>
  <si>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</si>
  <si>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</si>
  <si>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</si>
  <si>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</si>
  <si>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</si>
  <si>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Additional guidance to this table:</t>
  </si>
  <si>
    <t xml:space="preserve">This table is closely associated with pro forma 4E in the APR (as per RAG4.07).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</si>
  <si>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</si>
  <si>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</si>
  <si>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</si>
  <si>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</si>
  <si>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</si>
  <si>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</si>
  <si>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W3001WR</t>
  </si>
  <si>
    <t>W3001RWA</t>
  </si>
  <si>
    <t>W3001RWT</t>
  </si>
  <si>
    <t>W3001RWS</t>
  </si>
  <si>
    <t>W3001WT</t>
  </si>
  <si>
    <t>W3001TWD</t>
  </si>
  <si>
    <t>W3001CAW</t>
  </si>
  <si>
    <t>W3001WRCUM</t>
  </si>
  <si>
    <t>W3001RWACUM</t>
  </si>
  <si>
    <t>W3001RWTCUM</t>
  </si>
  <si>
    <t>W3001RWSCUM</t>
  </si>
  <si>
    <t>W3001WTCUM</t>
  </si>
  <si>
    <t>W3001TWDCUM</t>
  </si>
  <si>
    <t>W3001CAWCUM</t>
  </si>
  <si>
    <t>4L.2</t>
  </si>
  <si>
    <t>NEP - Eels Regulations (measures at intakes)</t>
  </si>
  <si>
    <t>WS2002WR</t>
  </si>
  <si>
    <t>WS2002RWA</t>
  </si>
  <si>
    <t>WS2002RWT</t>
  </si>
  <si>
    <t>WS2002RWS</t>
  </si>
  <si>
    <t>WS2002WT</t>
  </si>
  <si>
    <t>WS2002TWD</t>
  </si>
  <si>
    <t>WS2002CAW</t>
  </si>
  <si>
    <t>WS2002WRCUM</t>
  </si>
  <si>
    <t>WS2002RWACUM</t>
  </si>
  <si>
    <t>WS2002RWTCUM</t>
  </si>
  <si>
    <t>WS2002RWSCUM</t>
  </si>
  <si>
    <t>WS2002WTCUM</t>
  </si>
  <si>
    <t>WS2002TWDCUM</t>
  </si>
  <si>
    <t>WS2002CAWCUM</t>
  </si>
  <si>
    <t>4L.3</t>
  </si>
  <si>
    <t>Addressing low pressure</t>
  </si>
  <si>
    <t>W3002WR</t>
  </si>
  <si>
    <t>W3002RWA</t>
  </si>
  <si>
    <t>W3002RWT</t>
  </si>
  <si>
    <t>W3002RWS</t>
  </si>
  <si>
    <t>W3002WT</t>
  </si>
  <si>
    <t>W3002TWD</t>
  </si>
  <si>
    <t>W3002CAW</t>
  </si>
  <si>
    <t>W3002WRCUM</t>
  </si>
  <si>
    <t>W3002RWACUM</t>
  </si>
  <si>
    <t>W3002RWTCUM</t>
  </si>
  <si>
    <t>W3002RWSCUM</t>
  </si>
  <si>
    <t>W3002WTCUM</t>
  </si>
  <si>
    <t>W3002TWDCUM</t>
  </si>
  <si>
    <t>W3002CAWCUM</t>
  </si>
  <si>
    <t>4L.4</t>
  </si>
  <si>
    <t>Improving taste / odour / colour</t>
  </si>
  <si>
    <t>W3003WR</t>
  </si>
  <si>
    <t>W3003RWA</t>
  </si>
  <si>
    <t>W3003RWT</t>
  </si>
  <si>
    <t>W3003RWS</t>
  </si>
  <si>
    <t>W3003WT</t>
  </si>
  <si>
    <t>W3003TWD</t>
  </si>
  <si>
    <t>W3003CAW</t>
  </si>
  <si>
    <t>W3003WRCUM</t>
  </si>
  <si>
    <t>W3003RWACUM</t>
  </si>
  <si>
    <t>W3003RWTCUM</t>
  </si>
  <si>
    <t>W3003RWSCUM</t>
  </si>
  <si>
    <t>W3003WTCUM</t>
  </si>
  <si>
    <t>W3003TWDCUM</t>
  </si>
  <si>
    <t>W3003CAWCUM</t>
  </si>
  <si>
    <t>4L.5</t>
  </si>
  <si>
    <t>Meeting lead standards</t>
  </si>
  <si>
    <t>W3006WR</t>
  </si>
  <si>
    <t>W3006RWA</t>
  </si>
  <si>
    <t>W3006RWT</t>
  </si>
  <si>
    <t>W3006RWS</t>
  </si>
  <si>
    <t>W3006WT</t>
  </si>
  <si>
    <t>W3006TWD</t>
  </si>
  <si>
    <t>W3006CAW</t>
  </si>
  <si>
    <t>W3006WRCUM</t>
  </si>
  <si>
    <t>W3006RWACUM</t>
  </si>
  <si>
    <t>W3006RWTCUM</t>
  </si>
  <si>
    <t>W3006RWSCUM</t>
  </si>
  <si>
    <t>W3006WTCUM</t>
  </si>
  <si>
    <t>W3006TWDCUM</t>
  </si>
  <si>
    <t>W3006CAWCUM</t>
  </si>
  <si>
    <t>4L.6</t>
  </si>
  <si>
    <t>Supply side enhancements to the supply/demand balance (dry year critical / peak conditions)</t>
  </si>
  <si>
    <t>W3007SWR</t>
  </si>
  <si>
    <t>W3007SRWA</t>
  </si>
  <si>
    <t>W3007SRWT</t>
  </si>
  <si>
    <t>W3007SRWS</t>
  </si>
  <si>
    <t>W3007SWT</t>
  </si>
  <si>
    <t>W3007STWD</t>
  </si>
  <si>
    <t>W3007SCAW</t>
  </si>
  <si>
    <t>W3007SWRCUM</t>
  </si>
  <si>
    <t>W3007SRWACUM</t>
  </si>
  <si>
    <t>W3007SRWTCUM</t>
  </si>
  <si>
    <t>W3007SRWSCUM</t>
  </si>
  <si>
    <t>W3007SWTCUM</t>
  </si>
  <si>
    <t>W3007STWDCUM</t>
  </si>
  <si>
    <t>W3007SCAWCUM</t>
  </si>
  <si>
    <t>4L.7</t>
  </si>
  <si>
    <t>Supply side enhancements to the supply/demand balance (dry year annual average conditions)</t>
  </si>
  <si>
    <t>W3008SWR</t>
  </si>
  <si>
    <t>W3008SRWA</t>
  </si>
  <si>
    <t>W3008SRWT</t>
  </si>
  <si>
    <t>W3008SRWS</t>
  </si>
  <si>
    <t>W3008SWT</t>
  </si>
  <si>
    <t>W3008STWD</t>
  </si>
  <si>
    <t>W3008SCAW</t>
  </si>
  <si>
    <t>W3008SWRCUM</t>
  </si>
  <si>
    <t>W3008SRWACUM</t>
  </si>
  <si>
    <t>W3008SRWTCUM</t>
  </si>
  <si>
    <t>W3008SRWSCUM</t>
  </si>
  <si>
    <t>W3008SWTCUM</t>
  </si>
  <si>
    <t>W3008STWDCUM</t>
  </si>
  <si>
    <t>W3008SCAWCUM</t>
  </si>
  <si>
    <t>4L.8</t>
  </si>
  <si>
    <t>Demand side enhancements to the supply/demand balance (dry year critical / peak conditions)</t>
  </si>
  <si>
    <t>W3007DWR</t>
  </si>
  <si>
    <t>W3007DRWA</t>
  </si>
  <si>
    <t>W3007DRWT</t>
  </si>
  <si>
    <t>W3007DRWS</t>
  </si>
  <si>
    <t>W3007DWT</t>
  </si>
  <si>
    <t>W3007DTWD</t>
  </si>
  <si>
    <t>W3007DCAW</t>
  </si>
  <si>
    <t>W3007DWRCUM</t>
  </si>
  <si>
    <t>W3007DRWACUM</t>
  </si>
  <si>
    <t>W3007DRWTCUM</t>
  </si>
  <si>
    <t>W3007DRWSCUM</t>
  </si>
  <si>
    <t>W3007DWTCUM</t>
  </si>
  <si>
    <t>W3007DTWDCUM</t>
  </si>
  <si>
    <t>W3007DCAWCUM</t>
  </si>
  <si>
    <t>4L.9</t>
  </si>
  <si>
    <t>Demand side enhancements to the supply/demand balance (dry year annual average conditions)</t>
  </si>
  <si>
    <t>W3008DWR</t>
  </si>
  <si>
    <t>W3008DRWA</t>
  </si>
  <si>
    <t>W3008DRWT</t>
  </si>
  <si>
    <t>W3008DRWS</t>
  </si>
  <si>
    <t>W3008DWT</t>
  </si>
  <si>
    <t>W3008DTWD</t>
  </si>
  <si>
    <t>W3008DCAW</t>
  </si>
  <si>
    <t>W3008DWRCUM</t>
  </si>
  <si>
    <t>W3008DRWACUM</t>
  </si>
  <si>
    <t>W3008DRWTCUM</t>
  </si>
  <si>
    <t>W3008DRWSCUM</t>
  </si>
  <si>
    <t>W3008DWTCUM</t>
  </si>
  <si>
    <t>W3008DTWDCUM</t>
  </si>
  <si>
    <t>W3008DCAWCUM</t>
  </si>
  <si>
    <t>4L.10</t>
  </si>
  <si>
    <t>New developments</t>
  </si>
  <si>
    <t>W3009WR</t>
  </si>
  <si>
    <t>W3009RWA</t>
  </si>
  <si>
    <t>W3009RWT</t>
  </si>
  <si>
    <t>W3009RWS</t>
  </si>
  <si>
    <t>W3009WT</t>
  </si>
  <si>
    <t>W3009TWD</t>
  </si>
  <si>
    <t>W3009CAW</t>
  </si>
  <si>
    <t>W3009WRCUM</t>
  </si>
  <si>
    <t>W3009RWACUM</t>
  </si>
  <si>
    <t>W3009RWTCUM</t>
  </si>
  <si>
    <t>W3009RWSCUM</t>
  </si>
  <si>
    <t>W3009WTCUM</t>
  </si>
  <si>
    <t>W3009TWDCUM</t>
  </si>
  <si>
    <t>W3009CAWCUM</t>
  </si>
  <si>
    <t>4L.11</t>
  </si>
  <si>
    <t>New connections element of new development (CPs, meters)</t>
  </si>
  <si>
    <t>WS2004WR</t>
  </si>
  <si>
    <t>WS2004RWA</t>
  </si>
  <si>
    <t>WS2004RWT</t>
  </si>
  <si>
    <t>WS2004RWS</t>
  </si>
  <si>
    <t>WS2004WT</t>
  </si>
  <si>
    <t>WS2004TWD</t>
  </si>
  <si>
    <t>WS2004CAW</t>
  </si>
  <si>
    <t>WS2004WRCUM</t>
  </si>
  <si>
    <t>WS2004RWACUM</t>
  </si>
  <si>
    <t>WS2004RWTCUM</t>
  </si>
  <si>
    <t>WS2004RWSCUM</t>
  </si>
  <si>
    <t>WS2004WTCUM</t>
  </si>
  <si>
    <t>WS2004TWDCUM</t>
  </si>
  <si>
    <t>WS2004CAWCUM</t>
  </si>
  <si>
    <t>4L.12</t>
  </si>
  <si>
    <t>Investment to address raw water deterioration (THM, nitrates, Crypto, pesticides, others)</t>
  </si>
  <si>
    <t>W3010WR</t>
  </si>
  <si>
    <t>W3010RWA</t>
  </si>
  <si>
    <t>W3010RWT</t>
  </si>
  <si>
    <t>W3010RWS</t>
  </si>
  <si>
    <t>W3010WT</t>
  </si>
  <si>
    <t>W3010TWD</t>
  </si>
  <si>
    <t>W3010CAW</t>
  </si>
  <si>
    <t>W3010WRCUM</t>
  </si>
  <si>
    <t>W3010RWACUM</t>
  </si>
  <si>
    <t>W3010RWTCUM</t>
  </si>
  <si>
    <t>W3010RWSCUM</t>
  </si>
  <si>
    <t>W3010WTCUM</t>
  </si>
  <si>
    <t>W3010TWDCUM</t>
  </si>
  <si>
    <t>W3010CAWCUM</t>
  </si>
  <si>
    <t>4L.13</t>
  </si>
  <si>
    <t>Resilience</t>
  </si>
  <si>
    <t>W3011WR</t>
  </si>
  <si>
    <t>W3011RWA</t>
  </si>
  <si>
    <t>W3011RWT</t>
  </si>
  <si>
    <t>W3011RWS</t>
  </si>
  <si>
    <t>W3011WT</t>
  </si>
  <si>
    <t>W3011TWD</t>
  </si>
  <si>
    <t>W3011CAW</t>
  </si>
  <si>
    <t>W3011WRCUM</t>
  </si>
  <si>
    <t>W3011RWACUM</t>
  </si>
  <si>
    <t>W3011RWTCUM</t>
  </si>
  <si>
    <t>W3011RWSCUM</t>
  </si>
  <si>
    <t>W3011WTCUM</t>
  </si>
  <si>
    <t>W3011TWDCUM</t>
  </si>
  <si>
    <t>W3011CAWCUM</t>
  </si>
  <si>
    <t>4L.14</t>
  </si>
  <si>
    <t>SEMD</t>
  </si>
  <si>
    <t>W3012WR</t>
  </si>
  <si>
    <t>W3012RWA</t>
  </si>
  <si>
    <t>W3012RWT</t>
  </si>
  <si>
    <t>W3012RWS</t>
  </si>
  <si>
    <t>W3012WT</t>
  </si>
  <si>
    <t>W3012TWD</t>
  </si>
  <si>
    <t>W3012CAW</t>
  </si>
  <si>
    <t>W3012WRCUM</t>
  </si>
  <si>
    <t>W3012RWACUM</t>
  </si>
  <si>
    <t>W3012RWTCUM</t>
  </si>
  <si>
    <t>W3012RWSCUM</t>
  </si>
  <si>
    <t>W3012WTCUM</t>
  </si>
  <si>
    <t>W3012TWDCUM</t>
  </si>
  <si>
    <t>W3012CAWCUM</t>
  </si>
  <si>
    <t>4L.15</t>
  </si>
  <si>
    <t>NEP - Investigations</t>
  </si>
  <si>
    <t>WS2008WR</t>
  </si>
  <si>
    <t>WS2008RWA</t>
  </si>
  <si>
    <t>WS2008RWT</t>
  </si>
  <si>
    <t>WS2008RWS</t>
  </si>
  <si>
    <t>WS2008WT</t>
  </si>
  <si>
    <t>WS2008TWD</t>
  </si>
  <si>
    <t>WS2008CAW</t>
  </si>
  <si>
    <t>WS2008WRCUM</t>
  </si>
  <si>
    <t>WS2008RWACUM</t>
  </si>
  <si>
    <t>WS2008RWTCUM</t>
  </si>
  <si>
    <t>WS2008RWSCUM</t>
  </si>
  <si>
    <t>WS2008WTCUM</t>
  </si>
  <si>
    <t>WS2008TWDCUM</t>
  </si>
  <si>
    <t>WS2008CAWCUM</t>
  </si>
  <si>
    <t>4L.16</t>
  </si>
  <si>
    <t>Improvements to river flows</t>
  </si>
  <si>
    <t>W3027WR</t>
  </si>
  <si>
    <t>W3027RWA</t>
  </si>
  <si>
    <t>W3027RWT</t>
  </si>
  <si>
    <t>W3027RWS</t>
  </si>
  <si>
    <t>W3027WT</t>
  </si>
  <si>
    <t>W3027TWD</t>
  </si>
  <si>
    <t>W3027CAW</t>
  </si>
  <si>
    <t>W3027WRCUM</t>
  </si>
  <si>
    <t>W3027RWACUM</t>
  </si>
  <si>
    <t>W3027RWTCUM</t>
  </si>
  <si>
    <t>W3027RWSCUM</t>
  </si>
  <si>
    <t>W3027WTCUM</t>
  </si>
  <si>
    <t>W3027TWDCUM</t>
  </si>
  <si>
    <t>W3027CAWCUM</t>
  </si>
  <si>
    <t>4L.17</t>
  </si>
  <si>
    <t>Metering (excluding cost of providing metering to new service connections) - meters requested by optants</t>
  </si>
  <si>
    <t>W3028OPTWR</t>
  </si>
  <si>
    <t>W3028OPTRWA</t>
  </si>
  <si>
    <t>W3028OPTRWT</t>
  </si>
  <si>
    <t>W3028OPTRWS</t>
  </si>
  <si>
    <t>W3028OPTWT</t>
  </si>
  <si>
    <t>W3028OPTTWD</t>
  </si>
  <si>
    <t>W3028OPTCAW</t>
  </si>
  <si>
    <t>W3028OPTWRCUM</t>
  </si>
  <si>
    <t>W3028OPTRWACUM</t>
  </si>
  <si>
    <t>W3028OPTRWTCUM</t>
  </si>
  <si>
    <t>W3028OPTRWSCUM</t>
  </si>
  <si>
    <t>W3028OPTWTCUM</t>
  </si>
  <si>
    <t>W3028OPTTWDCUM</t>
  </si>
  <si>
    <t>W3028OPTCAWCUM</t>
  </si>
  <si>
    <t>4L.18</t>
  </si>
  <si>
    <t>Metering (excluding cost of providing metering to new service connections)- meters introduced by companies</t>
  </si>
  <si>
    <t>W3028COMWR</t>
  </si>
  <si>
    <t>W3028COMRWA</t>
  </si>
  <si>
    <t>W3028COMRWT</t>
  </si>
  <si>
    <t>W3028COMRWS</t>
  </si>
  <si>
    <t>W3028COMWT</t>
  </si>
  <si>
    <t>W3028COMTWD</t>
  </si>
  <si>
    <t>W3028COMCAW</t>
  </si>
  <si>
    <t>W3028COMWRCUM</t>
  </si>
  <si>
    <t>W3028COMRWACUM</t>
  </si>
  <si>
    <t>W3028COMRWTCUM</t>
  </si>
  <si>
    <t>W3028COMRWSCUM</t>
  </si>
  <si>
    <t>W3028COMWTCUM</t>
  </si>
  <si>
    <t>W3028COMTWDCUM</t>
  </si>
  <si>
    <t>W3028COMCAWCUM</t>
  </si>
  <si>
    <t>4L.19</t>
  </si>
  <si>
    <t>Metering (excluding cost of providing metering to new service connections) - other</t>
  </si>
  <si>
    <t>W3028NHOWR</t>
  </si>
  <si>
    <t>W3028NHORWA</t>
  </si>
  <si>
    <t>W3028NHORWT</t>
  </si>
  <si>
    <t>W3028NHORWS</t>
  </si>
  <si>
    <t>W3028NHOWT</t>
  </si>
  <si>
    <t>W3028NHOTWD</t>
  </si>
  <si>
    <t>W3028NHOCAW</t>
  </si>
  <si>
    <t>W3028NHOWRCUM</t>
  </si>
  <si>
    <t>W3028NHORWACUM</t>
  </si>
  <si>
    <t>W3028NHORWTCUM</t>
  </si>
  <si>
    <t>W3028NHORWSCUM</t>
  </si>
  <si>
    <t>W3028NHOWTCUM</t>
  </si>
  <si>
    <t>W3028NHOTWDCUM</t>
  </si>
  <si>
    <t>W3028NHOCAWCUM</t>
  </si>
  <si>
    <t>4L.20</t>
  </si>
  <si>
    <t>NEP - Flow monitoring at water treatment works</t>
  </si>
  <si>
    <t>W3A00001WR</t>
  </si>
  <si>
    <t>W3A00001RWA</t>
  </si>
  <si>
    <t>W3A00001RWT</t>
  </si>
  <si>
    <t>W3A00001RWS</t>
  </si>
  <si>
    <t>W3A00001WT</t>
  </si>
  <si>
    <t>W3A00001TWD</t>
  </si>
  <si>
    <t>W3A00001CAW</t>
  </si>
  <si>
    <t>W3A00001WRCUM</t>
  </si>
  <si>
    <t>W3A00001RWACUM</t>
  </si>
  <si>
    <t>W3A00001RWTCUM</t>
  </si>
  <si>
    <t>W3A00001RWSCUM</t>
  </si>
  <si>
    <t>W3A00001WTCUM</t>
  </si>
  <si>
    <t>W3A00001TWDCUM</t>
  </si>
  <si>
    <t>W3A00001CAWCUM</t>
  </si>
  <si>
    <t>4L.21</t>
  </si>
  <si>
    <t>Capital expenditure purpose - WATER additional line 2 [Other categories]</t>
  </si>
  <si>
    <t>W3A00002WR</t>
  </si>
  <si>
    <t>W3A00002RWA</t>
  </si>
  <si>
    <t>W3A00002RWT</t>
  </si>
  <si>
    <t>W3A00002RWS</t>
  </si>
  <si>
    <t>W3A00002WT</t>
  </si>
  <si>
    <t>W3A00002TWD</t>
  </si>
  <si>
    <t>W3A00002CAW</t>
  </si>
  <si>
    <t>W3A00002WRCUM</t>
  </si>
  <si>
    <t>W3A00002RWACUM</t>
  </si>
  <si>
    <t>W3A00002RWTCUM</t>
  </si>
  <si>
    <t>W3A00002RWSCUM</t>
  </si>
  <si>
    <t>W3A00002WTCUM</t>
  </si>
  <si>
    <t>W3A00002TWDCUM</t>
  </si>
  <si>
    <t>W3A00002CAWCUM</t>
  </si>
  <si>
    <t>4L.22</t>
  </si>
  <si>
    <t>Capital expenditure purpose - WATER additional line 3 [Other categories]</t>
  </si>
  <si>
    <t>W3A00003WR</t>
  </si>
  <si>
    <t>W3A00003RWA</t>
  </si>
  <si>
    <t>W3A00003RWT</t>
  </si>
  <si>
    <t>W3A00003RWS</t>
  </si>
  <si>
    <t>W3A00003WT</t>
  </si>
  <si>
    <t>W3A00003TWD</t>
  </si>
  <si>
    <t>W3A00003CAW</t>
  </si>
  <si>
    <t>W3A00003WRCUM</t>
  </si>
  <si>
    <t>W3A00003RWACUM</t>
  </si>
  <si>
    <t>W3A00003RWTCUM</t>
  </si>
  <si>
    <t>W3A00003RWSCUM</t>
  </si>
  <si>
    <t>W3A00003WTCUM</t>
  </si>
  <si>
    <t>W3A00003TWDCUM</t>
  </si>
  <si>
    <t>W3A00003CAWCUM</t>
  </si>
  <si>
    <t>4L.23</t>
  </si>
  <si>
    <t>Capital expenditure purpose - WATER additional line 4 [Other categories]</t>
  </si>
  <si>
    <t>W3A00004WR</t>
  </si>
  <si>
    <t>W3A00004RWA</t>
  </si>
  <si>
    <t>W3A00004RWT</t>
  </si>
  <si>
    <t>W3A00004RWS</t>
  </si>
  <si>
    <t>W3A00004WT</t>
  </si>
  <si>
    <t>W3A00004TWD</t>
  </si>
  <si>
    <t>W3A00004CAW</t>
  </si>
  <si>
    <t>W3A00004WRCUM</t>
  </si>
  <si>
    <t>W3A00004RWACUM</t>
  </si>
  <si>
    <t>W3A00004RWTCUM</t>
  </si>
  <si>
    <t>W3A00004RWSCUM</t>
  </si>
  <si>
    <t>W3A00004WTCUM</t>
  </si>
  <si>
    <t>W3A00004TWDCUM</t>
  </si>
  <si>
    <t>W3A00004CAWCUM</t>
  </si>
  <si>
    <t>4L.24</t>
  </si>
  <si>
    <t>Capital expenditure purpose - WATER additional line 5 [Other categories]</t>
  </si>
  <si>
    <t>W3A00005WR</t>
  </si>
  <si>
    <t>W3A00005RWA</t>
  </si>
  <si>
    <t>W3A00005RWT</t>
  </si>
  <si>
    <t>W3A00005RWS</t>
  </si>
  <si>
    <t>W3A00005WT</t>
  </si>
  <si>
    <t>W3A00005TWD</t>
  </si>
  <si>
    <t>W3A00005CAW</t>
  </si>
  <si>
    <t>W3A00005WRCUM</t>
  </si>
  <si>
    <t>W3A00005RWACUM</t>
  </si>
  <si>
    <t>W3A00005RWTCUM</t>
  </si>
  <si>
    <t>W3A00005RWSCUM</t>
  </si>
  <si>
    <t>W3A00005WTCUM</t>
  </si>
  <si>
    <t>W3A00005TWDCUM</t>
  </si>
  <si>
    <t>W3A00005CAWCUM</t>
  </si>
  <si>
    <t>4L.25</t>
  </si>
  <si>
    <t>Capital expenditure purpose - WATER additional line 6 [Other categories]</t>
  </si>
  <si>
    <t>W3A00006WR</t>
  </si>
  <si>
    <t>W3A00006RWA</t>
  </si>
  <si>
    <t>W3A00006RWT</t>
  </si>
  <si>
    <t>W3A00006RWS</t>
  </si>
  <si>
    <t>W3A00006WT</t>
  </si>
  <si>
    <t>W3A00006TWD</t>
  </si>
  <si>
    <t>W3A00006CAW</t>
  </si>
  <si>
    <t>W3A00006WRCUM</t>
  </si>
  <si>
    <t>W3A00006RWACUM</t>
  </si>
  <si>
    <t>W3A00006RWTCUM</t>
  </si>
  <si>
    <t>W3A00006RWSCUM</t>
  </si>
  <si>
    <t>W3A00006WTCUM</t>
  </si>
  <si>
    <t>W3A00006TWDCUM</t>
  </si>
  <si>
    <t>W3A00006CAWCUM</t>
  </si>
  <si>
    <t>4L.26</t>
  </si>
  <si>
    <t>Capital expenditure purpose - WATER additional line 7 [Other categories]</t>
  </si>
  <si>
    <t>W3A00007WR</t>
  </si>
  <si>
    <t>W3A00007RWA</t>
  </si>
  <si>
    <t>W3A00007RWT</t>
  </si>
  <si>
    <t>W3A00007RWS</t>
  </si>
  <si>
    <t>W3A00007WT</t>
  </si>
  <si>
    <t>W3A00007TWD</t>
  </si>
  <si>
    <t>W3A00007CAW</t>
  </si>
  <si>
    <t>W3A00007WRCUM</t>
  </si>
  <si>
    <t>W3A00007RWACUM</t>
  </si>
  <si>
    <t>W3A00007RWTCUM</t>
  </si>
  <si>
    <t>W3A00007RWSCUM</t>
  </si>
  <si>
    <t>W3A00007WTCUM</t>
  </si>
  <si>
    <t>W3A00007TWDCUM</t>
  </si>
  <si>
    <t>W3A00007CAWCUM</t>
  </si>
  <si>
    <t>4L.27</t>
  </si>
  <si>
    <t>Capital expenditure purpose - WATER additional line 8 [Other categories]</t>
  </si>
  <si>
    <t>W3A00008WR</t>
  </si>
  <si>
    <t>W3A00008RWA</t>
  </si>
  <si>
    <t>W3A00008RWT</t>
  </si>
  <si>
    <t>W3A00008RWS</t>
  </si>
  <si>
    <t>W3A00008WT</t>
  </si>
  <si>
    <t>W3A00008TWD</t>
  </si>
  <si>
    <t>W3A00008CAW</t>
  </si>
  <si>
    <t>W3A00008WRCUM</t>
  </si>
  <si>
    <t>W3A00008RWACUM</t>
  </si>
  <si>
    <t>W3A00008RWTCUM</t>
  </si>
  <si>
    <t>W3A00008RWSCUM</t>
  </si>
  <si>
    <t>W3A00008WTCUM</t>
  </si>
  <si>
    <t>W3A00008TWDCUM</t>
  </si>
  <si>
    <t>W3A00008CAWCUM</t>
  </si>
  <si>
    <t>4L.28</t>
  </si>
  <si>
    <t>Capital expenditure purpose - WATER additional line 9 [Other categories]</t>
  </si>
  <si>
    <t>W3A00009WR</t>
  </si>
  <si>
    <t>W3A00009RWA</t>
  </si>
  <si>
    <t>W3A00009RWT</t>
  </si>
  <si>
    <t>W3A00009RWS</t>
  </si>
  <si>
    <t>W3A00009WT</t>
  </si>
  <si>
    <t>W3A00009TWD</t>
  </si>
  <si>
    <t>W3A00009CAW</t>
  </si>
  <si>
    <t>W3A00009WRCUM</t>
  </si>
  <si>
    <t>W3A00009RWACUM</t>
  </si>
  <si>
    <t>W3A00009RWTCUM</t>
  </si>
  <si>
    <t>W3A00009RWSCUM</t>
  </si>
  <si>
    <t>W3A00009WTCUM</t>
  </si>
  <si>
    <t>W3A00009TWDCUM</t>
  </si>
  <si>
    <t>W3A00009CAWCUM</t>
  </si>
  <si>
    <t>4L.29</t>
  </si>
  <si>
    <t>Capital expenditure purpose - WATER additional line 10 [Other categories]</t>
  </si>
  <si>
    <t>W3A00010WR</t>
  </si>
  <si>
    <t>W3A00010RWA</t>
  </si>
  <si>
    <t>W3A00010RWT</t>
  </si>
  <si>
    <t>W3A00010RWS</t>
  </si>
  <si>
    <t>W3A00010WT</t>
  </si>
  <si>
    <t>W3A00010TWD</t>
  </si>
  <si>
    <t>W3A00010CAW</t>
  </si>
  <si>
    <t>W3A00010WRCUM</t>
  </si>
  <si>
    <t>W3A00010RWACUM</t>
  </si>
  <si>
    <t>W3A00010RWTCUM</t>
  </si>
  <si>
    <t>W3A00010RWSCUM</t>
  </si>
  <si>
    <t>W3A00010WTCUM</t>
  </si>
  <si>
    <t>W3A00010TWDCUM</t>
  </si>
  <si>
    <t>W3A00010CAWCUM</t>
  </si>
  <si>
    <t>4L.30</t>
  </si>
  <si>
    <t>Capital expenditure purpose - WATER additional line 11 [Other categories]</t>
  </si>
  <si>
    <t>W3A00011WR</t>
  </si>
  <si>
    <t>W3A00011RWA</t>
  </si>
  <si>
    <t>W3A00011RWT</t>
  </si>
  <si>
    <t>W3A00011RWS</t>
  </si>
  <si>
    <t>W3A00011WT</t>
  </si>
  <si>
    <t>W3A00011TWD</t>
  </si>
  <si>
    <t>W3A00011CAW</t>
  </si>
  <si>
    <t>W3A00011WRCUM</t>
  </si>
  <si>
    <t>W3A00011RWACUM</t>
  </si>
  <si>
    <t>W3A00011RWTCUM</t>
  </si>
  <si>
    <t>W3A00011RWSCUM</t>
  </si>
  <si>
    <t>W3A00011WTCUM</t>
  </si>
  <si>
    <t>W3A00011TWDCUM</t>
  </si>
  <si>
    <t>W3A00011CAWCUM</t>
  </si>
  <si>
    <t>4L.31</t>
  </si>
  <si>
    <t>Capital expenditure purpose - WATER additional line 12 [Other categories]</t>
  </si>
  <si>
    <t>W3A00012WR</t>
  </si>
  <si>
    <t>W3A00012RWA</t>
  </si>
  <si>
    <t>W3A00012RWT</t>
  </si>
  <si>
    <t>W3A00012RWS</t>
  </si>
  <si>
    <t>W3A00012WT</t>
  </si>
  <si>
    <t>W3A00012TWD</t>
  </si>
  <si>
    <t>W3A00012CAW</t>
  </si>
  <si>
    <t>W3A00012WRCUM</t>
  </si>
  <si>
    <t>W3A00012RWACUM</t>
  </si>
  <si>
    <t>W3A00012RWTCUM</t>
  </si>
  <si>
    <t>W3A00012RWSCUM</t>
  </si>
  <si>
    <t>W3A00012WTCUM</t>
  </si>
  <si>
    <t>W3A00012TWDCUM</t>
  </si>
  <si>
    <t>W3A00012CAWCUM</t>
  </si>
  <si>
    <t>4L.32</t>
  </si>
  <si>
    <t>Capital expenditure purpose - WATER additional line 13 [Other categories]</t>
  </si>
  <si>
    <t>W3A00013WR</t>
  </si>
  <si>
    <t>W3A00013RWA</t>
  </si>
  <si>
    <t>W3A00013RWT</t>
  </si>
  <si>
    <t>W3A00013RWS</t>
  </si>
  <si>
    <t>W3A00013WT</t>
  </si>
  <si>
    <t>W3A00013TWD</t>
  </si>
  <si>
    <t>W3A00013CAW</t>
  </si>
  <si>
    <t>W3A00013WRCUM</t>
  </si>
  <si>
    <t>W3A00013RWACUM</t>
  </si>
  <si>
    <t>W3A00013RWTCUM</t>
  </si>
  <si>
    <t>W3A00013RWSCUM</t>
  </si>
  <si>
    <t>W3A00013WTCUM</t>
  </si>
  <si>
    <t>W3A00013TWDCUM</t>
  </si>
  <si>
    <t>W3A00013CAWCUM</t>
  </si>
  <si>
    <t>4L.33</t>
  </si>
  <si>
    <t>Capital expenditure purpose - WATER additional line 14 [Other categories]</t>
  </si>
  <si>
    <t>W3A00014WR</t>
  </si>
  <si>
    <t>W3A00014RWA</t>
  </si>
  <si>
    <t>W3A00014RWT</t>
  </si>
  <si>
    <t>W3A00014RWS</t>
  </si>
  <si>
    <t>W3A00014WT</t>
  </si>
  <si>
    <t>W3A00014TWD</t>
  </si>
  <si>
    <t>W3A00014CAW</t>
  </si>
  <si>
    <t>W3A00014WRCUM</t>
  </si>
  <si>
    <t>W3A00014RWACUM</t>
  </si>
  <si>
    <t>W3A00014RWTCUM</t>
  </si>
  <si>
    <t>W3A00014RWSCUM</t>
  </si>
  <si>
    <t>W3A00014WTCUM</t>
  </si>
  <si>
    <t>W3A00014TWDCUM</t>
  </si>
  <si>
    <t>W3A00014CAWCUM</t>
  </si>
  <si>
    <t>4L.34</t>
  </si>
  <si>
    <t>Capital expenditure purpose - WATER additional line 15 [Other categories]</t>
  </si>
  <si>
    <t>W3A00015WR</t>
  </si>
  <si>
    <t>W3A00015RWA</t>
  </si>
  <si>
    <t>W3A00015RWT</t>
  </si>
  <si>
    <t>W3A00015RWS</t>
  </si>
  <si>
    <t>W3A00015WT</t>
  </si>
  <si>
    <t>W3A00015TWD</t>
  </si>
  <si>
    <t>W3A00015CAW</t>
  </si>
  <si>
    <t>W3A00015WRCUM</t>
  </si>
  <si>
    <t>W3A00015RWACUM</t>
  </si>
  <si>
    <t>W3A00015RWTCUM</t>
  </si>
  <si>
    <t>W3A00015RWSCUM</t>
  </si>
  <si>
    <t>W3A00015WTCUM</t>
  </si>
  <si>
    <t>W3A00015TWDCUM</t>
  </si>
  <si>
    <t>W3A00015CAWCUM</t>
  </si>
  <si>
    <t>4L.35</t>
  </si>
  <si>
    <t xml:space="preserve">Total enhancement capital expenditure </t>
  </si>
  <si>
    <t>Table 4L does not equal table 4D, please provide reasoning and reconciliation in your commentary</t>
  </si>
  <si>
    <t>BA2070WR</t>
  </si>
  <si>
    <t>BA2070RWA</t>
  </si>
  <si>
    <t>BA2070RWT</t>
  </si>
  <si>
    <t>BA2070RWS</t>
  </si>
  <si>
    <t>BA2070WT</t>
  </si>
  <si>
    <t>BA2070TWD</t>
  </si>
  <si>
    <t>BA2070CAW</t>
  </si>
  <si>
    <t>BA2070WRCUM</t>
  </si>
  <si>
    <t>BA2070RWACUM</t>
  </si>
  <si>
    <t>BA2070RWTCUM</t>
  </si>
  <si>
    <t>BA2070RWSCUM</t>
  </si>
  <si>
    <t>BA2070WTCUM</t>
  </si>
  <si>
    <t>BA2070TWDCUM</t>
  </si>
  <si>
    <t>BA2070CAWCUM</t>
  </si>
  <si>
    <t>Table 4L does not equal table 4J, please provide reasoning and reconciliation in your commentary</t>
  </si>
  <si>
    <t>Additional Guidance</t>
  </si>
  <si>
    <t>Where a quality enhancement scheme (or the proportionally allocated component of a quality enhancement scheme) has more than one cost driver, companies should allocate the expenditure attributable to the primary driver to the relevant line 1 to 24.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</si>
  <si>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</si>
  <si>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</si>
  <si>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</si>
  <si>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</si>
  <si>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</si>
  <si>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</si>
  <si>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</si>
  <si>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</si>
  <si>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</si>
  <si>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</si>
  <si>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</si>
  <si>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</si>
  <si>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</si>
  <si>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</si>
  <si>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</si>
  <si>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</si>
  <si>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</si>
  <si>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</si>
  <si>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</si>
  <si>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</si>
  <si>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</si>
  <si>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</si>
  <si>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</si>
  <si>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</si>
  <si>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</si>
  <si>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</si>
  <si>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</si>
  <si>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</si>
  <si>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</si>
  <si>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</si>
  <si>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</si>
  <si>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</si>
  <si>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</si>
  <si>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</si>
  <si>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</si>
  <si>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</si>
  <si>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</si>
  <si>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</si>
  <si>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</si>
  <si>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</si>
  <si>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</si>
  <si>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</si>
  <si>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</si>
  <si>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</si>
  <si>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</si>
  <si>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</si>
  <si>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</si>
  <si>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</si>
  <si>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</si>
  <si>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</si>
  <si>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</si>
  <si>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</si>
  <si>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</si>
  <si>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</si>
  <si>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</si>
  <si>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</si>
  <si>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</si>
  <si>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</si>
  <si>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</si>
  <si>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</si>
  <si>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</si>
  <si>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</si>
  <si>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</si>
  <si>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</si>
  <si>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</si>
  <si>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</si>
  <si>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</si>
  <si>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</si>
  <si>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</si>
  <si>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</si>
  <si>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</si>
  <si>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</si>
  <si>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</si>
  <si>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</si>
  <si>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</si>
  <si>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</si>
  <si>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</si>
  <si>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</si>
  <si>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</si>
  <si>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</si>
  <si>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</si>
  <si>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</si>
  <si>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</si>
  <si>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</si>
  <si>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</si>
  <si>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</si>
  <si>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</si>
  <si>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</si>
  <si>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</si>
  <si>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</si>
  <si>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</si>
  <si>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</si>
  <si>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</si>
  <si>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</si>
  <si>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</si>
  <si>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</si>
  <si>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</si>
  <si>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</si>
  <si>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</si>
  <si>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</si>
  <si>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</si>
  <si>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</si>
  <si>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</si>
  <si>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</si>
  <si>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</si>
  <si>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</si>
  <si>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</si>
  <si>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</si>
  <si>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</si>
  <si>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</si>
  <si>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</si>
  <si>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</si>
  <si>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</si>
  <si>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</si>
  <si>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</si>
  <si>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</si>
  <si>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</si>
  <si>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</si>
  <si>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</si>
  <si>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</si>
  <si>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</si>
  <si>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</si>
  <si>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</si>
  <si>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</si>
  <si>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</si>
  <si>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</si>
  <si>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</si>
  <si>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</si>
  <si>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</si>
  <si>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</si>
  <si>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</si>
  <si>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</si>
  <si>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</si>
  <si>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</si>
  <si>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</si>
  <si>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</si>
  <si>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</si>
  <si>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</si>
  <si>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</si>
  <si>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</si>
  <si>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</si>
  <si>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</si>
  <si>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</si>
  <si>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</si>
  <si>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</si>
  <si>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</si>
  <si>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</si>
  <si>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</si>
  <si>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</si>
  <si>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</si>
  <si>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</si>
  <si>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</si>
  <si>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</si>
  <si>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</si>
  <si>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</si>
  <si>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</si>
  <si>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</si>
  <si>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</si>
  <si>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</si>
  <si>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</si>
  <si>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</si>
  <si>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</si>
  <si>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</si>
  <si>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</si>
  <si>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</si>
  <si>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</si>
  <si>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</si>
  <si>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</si>
  <si>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</si>
  <si>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</si>
  <si>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</si>
  <si>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</si>
  <si>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</si>
  <si>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</si>
  <si>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</si>
  <si>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</si>
  <si>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</si>
  <si>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</si>
  <si>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</si>
  <si>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</si>
  <si>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</si>
  <si>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</si>
  <si>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</si>
  <si>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</si>
  <si>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</si>
  <si>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</si>
  <si>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</si>
  <si>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</si>
  <si>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</si>
  <si>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</si>
  <si>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</si>
  <si>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</si>
  <si>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</si>
  <si>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</si>
  <si>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</si>
  <si>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</si>
  <si>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</si>
  <si>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</si>
  <si>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</si>
  <si>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</si>
  <si>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</si>
  <si>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</si>
  <si>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</si>
  <si>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</si>
  <si>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</si>
  <si>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</si>
  <si>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</si>
  <si>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</si>
  <si>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</si>
  <si>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</si>
  <si>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</si>
  <si>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</si>
  <si>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</si>
  <si>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</si>
  <si>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</si>
  <si>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</si>
  <si>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</si>
  <si>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</si>
  <si>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</si>
  <si>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</si>
  <si>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</si>
  <si>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</si>
  <si>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</si>
  <si>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</si>
  <si>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</si>
  <si>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</si>
  <si>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</si>
  <si>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</si>
  <si>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</si>
  <si>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</si>
  <si>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</si>
  <si>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</si>
  <si>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</si>
  <si>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</si>
  <si>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</si>
  <si>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</si>
  <si>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</si>
  <si>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</si>
  <si>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</si>
  <si>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</si>
  <si>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</si>
  <si>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</si>
  <si>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</si>
  <si>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</si>
  <si>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</si>
  <si>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</si>
  <si>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</si>
  <si>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</si>
  <si>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</si>
  <si>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</si>
  <si>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</si>
  <si>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</si>
  <si>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</si>
  <si>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</si>
  <si>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</si>
  <si>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</si>
  <si>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</si>
  <si>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</si>
  <si>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</si>
  <si>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</si>
  <si>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</si>
  <si>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</si>
  <si>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</si>
  <si>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</si>
  <si>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</si>
  <si>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</si>
  <si>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</si>
  <si>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</si>
  <si>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</si>
  <si>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</si>
  <si>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</si>
  <si>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</si>
  <si>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</si>
  <si>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</si>
  <si>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</si>
  <si>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</si>
  <si>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</si>
  <si>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</si>
  <si>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</si>
  <si>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</si>
  <si>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</si>
  <si>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</si>
  <si>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</si>
  <si>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</si>
  <si>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</si>
  <si>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</si>
  <si>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</si>
  <si>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</si>
  <si>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</si>
  <si>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</si>
  <si>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</si>
  <si>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</si>
  <si>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</si>
  <si>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</si>
  <si>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</si>
  <si>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</si>
  <si>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</si>
  <si>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</si>
  <si>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</si>
  <si>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</si>
  <si>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</si>
  <si>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</si>
  <si>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</si>
  <si>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</si>
  <si>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</si>
  <si>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</si>
  <si>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</si>
  <si>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</si>
  <si>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</si>
  <si>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</si>
  <si>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</si>
  <si>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</si>
  <si>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</si>
  <si>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</si>
  <si>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</si>
  <si>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</si>
  <si>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</si>
  <si>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</si>
  <si>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</si>
  <si>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</si>
  <si>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</si>
  <si>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</si>
  <si>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</si>
  <si>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</si>
  <si>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</si>
  <si>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</si>
  <si>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</si>
  <si>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</si>
  <si>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</si>
  <si>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</si>
  <si>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</si>
  <si>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</si>
  <si>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</si>
  <si>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</si>
  <si>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</si>
  <si>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</si>
  <si>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</si>
  <si>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</si>
  <si>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</si>
  <si>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</si>
  <si>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</si>
  <si>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</si>
  <si>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</si>
  <si>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</si>
  <si>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</si>
  <si>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</si>
  <si>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</si>
  <si>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</si>
  <si>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</si>
  <si>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</si>
  <si>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</si>
  <si>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</si>
  <si>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</si>
  <si>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</si>
  <si>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</si>
  <si>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</si>
  <si>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</si>
  <si>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</si>
  <si>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</si>
  <si>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</si>
  <si>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</si>
  <si>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</si>
  <si>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</si>
  <si>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</si>
  <si>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</si>
  <si>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</si>
  <si>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</si>
  <si>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</si>
  <si>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</si>
  <si>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</si>
  <si>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</si>
  <si>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</si>
  <si>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</si>
  <si>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</si>
  <si>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</si>
  <si>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</si>
  <si>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</si>
  <si>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</si>
  <si>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</si>
  <si>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</si>
  <si>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</si>
  <si>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</si>
  <si>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</si>
  <si>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</si>
  <si>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</si>
  <si>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</si>
  <si>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</si>
  <si>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</si>
  <si>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</si>
  <si>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</si>
  <si>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</si>
  <si>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</si>
  <si>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</si>
  <si>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</si>
  <si>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</si>
  <si>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</si>
  <si>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</si>
  <si>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</si>
  <si>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</si>
  <si>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</si>
  <si>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</si>
  <si>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</si>
  <si>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</si>
  <si>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</si>
  <si>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</si>
  <si>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</si>
  <si>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</si>
  <si>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</si>
  <si>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</si>
  <si>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</si>
  <si>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</si>
  <si>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</si>
  <si>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</si>
  <si>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</si>
  <si>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</si>
  <si>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</si>
  <si>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</si>
  <si>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</si>
  <si>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</si>
  <si>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</si>
  <si>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</si>
  <si>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</si>
  <si>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</si>
  <si>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</si>
  <si>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</si>
  <si>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</si>
  <si>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</si>
  <si>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</si>
  <si>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</si>
  <si>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</si>
  <si>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</si>
  <si>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</si>
  <si>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</si>
  <si>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</si>
  <si>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</si>
  <si>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</si>
  <si>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</si>
  <si>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</si>
  <si>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</si>
  <si>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</si>
  <si>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</si>
  <si>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</si>
  <si>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</si>
  <si>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</si>
  <si>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</si>
  <si>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</si>
  <si>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</si>
  <si>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</si>
  <si>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</si>
  <si>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</si>
  <si>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</si>
  <si>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</si>
  <si>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</si>
  <si>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</si>
  <si>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</si>
  <si>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</si>
  <si>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</si>
  <si>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</si>
  <si>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</si>
  <si>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</si>
  <si>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</si>
  <si>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</si>
  <si>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</si>
  <si>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</si>
  <si>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</si>
  <si>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</si>
  <si>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</si>
  <si>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</si>
  <si>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</si>
  <si>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</si>
  <si>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</si>
  <si>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</si>
  <si>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</si>
  <si>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</si>
  <si>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</si>
  <si>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</si>
  <si>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</si>
  <si>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</si>
  <si>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</si>
  <si>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</si>
  <si>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</si>
  <si>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</si>
  <si>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</si>
  <si>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</si>
  <si>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</si>
  <si>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</si>
  <si>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</si>
  <si>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</si>
  <si>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</si>
  <si>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</si>
  <si>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</si>
  <si>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</si>
  <si>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</si>
  <si>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</si>
  <si>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</si>
  <si>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</si>
  <si>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</si>
  <si>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</si>
  <si>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</si>
  <si>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</si>
  <si>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</si>
  <si>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</si>
  <si>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</si>
  <si>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</si>
  <si>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</si>
  <si>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</si>
  <si>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</si>
  <si>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</si>
  <si>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</si>
  <si>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</si>
  <si>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</si>
  <si>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</si>
  <si>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</si>
  <si>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</si>
  <si>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</si>
  <si>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</si>
  <si>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</si>
  <si>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</si>
  <si>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</si>
  <si>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</si>
  <si>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</si>
  <si>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</si>
  <si>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</si>
  <si>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</si>
  <si>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</si>
  <si>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</si>
  <si>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</si>
  <si>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</si>
  <si>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</si>
  <si>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</si>
  <si>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</si>
  <si>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</si>
  <si>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</si>
  <si>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</si>
  <si>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</si>
  <si>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</si>
  <si>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</si>
  <si>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</si>
  <si>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</si>
  <si>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</si>
  <si>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</si>
  <si>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</si>
  <si>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</si>
  <si>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</si>
  <si>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</si>
  <si>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</si>
  <si>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</si>
  <si>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</si>
  <si>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</si>
  <si>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</si>
  <si>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</si>
  <si>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</si>
  <si>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</si>
  <si>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</si>
  <si>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</si>
  <si>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</si>
  <si>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</si>
  <si>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</si>
  <si>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</si>
  <si>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</si>
  <si>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</si>
  <si>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</si>
  <si>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Quality spend at CSOs and quality allocation to Deephams inlet works</t>
  </si>
  <si>
    <t>S3A00001SC</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</si>
  <si>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</si>
  <si>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</si>
  <si>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</si>
  <si>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</si>
  <si>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</si>
  <si>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</si>
  <si>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</si>
  <si>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</si>
  <si>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</si>
  <si>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</si>
  <si>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</si>
  <si>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</si>
  <si>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</si>
  <si>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</si>
  <si>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</si>
  <si>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</si>
  <si>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</si>
  <si>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</si>
  <si>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4M.30</t>
  </si>
  <si>
    <t>Tideway quality (NEP). Excludes Lee Tunnel and sludge.</t>
  </si>
  <si>
    <t>S3A00002SC</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</si>
  <si>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</si>
  <si>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</si>
  <si>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</si>
  <si>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</si>
  <si>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</si>
  <si>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</si>
  <si>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</si>
  <si>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</si>
  <si>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</si>
  <si>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</si>
  <si>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</si>
  <si>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</si>
  <si>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</si>
  <si>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</si>
  <si>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</si>
  <si>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</si>
  <si>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</si>
  <si>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</si>
  <si>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4M.31</t>
  </si>
  <si>
    <t>Lee Tunnel</t>
  </si>
  <si>
    <t>S3A00003SC</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</si>
  <si>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</si>
  <si>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</si>
  <si>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</si>
  <si>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</si>
  <si>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</si>
  <si>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</si>
  <si>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</si>
  <si>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</si>
  <si>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</si>
  <si>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</si>
  <si>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</si>
  <si>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</si>
  <si>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</si>
  <si>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</si>
  <si>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</si>
  <si>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</si>
  <si>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</si>
  <si>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</si>
  <si>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4M.32</t>
  </si>
  <si>
    <r>
      <t xml:space="preserve">Non-SEMD related security enhancement </t>
    </r>
    <r>
      <rPr>
        <b/>
        <sz val="10"/>
        <color rgb="FFFF0000"/>
        <rFont val="Arial"/>
        <family val="2"/>
      </rPr>
      <t>(revised Ofwat guidance 6 July 2018)</t>
    </r>
  </si>
  <si>
    <t>S3A00004SC</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</si>
  <si>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</si>
  <si>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</si>
  <si>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</si>
  <si>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</si>
  <si>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</si>
  <si>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</si>
  <si>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</si>
  <si>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</si>
  <si>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</si>
  <si>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</si>
  <si>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</si>
  <si>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</si>
  <si>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</si>
  <si>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</si>
  <si>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</si>
  <si>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</si>
  <si>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</si>
  <si>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</si>
  <si>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4M.33</t>
  </si>
  <si>
    <t>Capital expenditure purpose - WASTEWATER additional line 5 [Other categories]</t>
  </si>
  <si>
    <t>S3A00005SC</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</si>
  <si>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</si>
  <si>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</si>
  <si>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</si>
  <si>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</si>
  <si>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</si>
  <si>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</si>
  <si>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</si>
  <si>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</si>
  <si>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</si>
  <si>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</si>
  <si>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</si>
  <si>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</si>
  <si>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</si>
  <si>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</si>
  <si>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</si>
  <si>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</si>
  <si>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</si>
  <si>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</si>
  <si>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4M.34</t>
  </si>
  <si>
    <t>Capital expenditure purpose - WASTEWATER additional line 6 [Other categories]</t>
  </si>
  <si>
    <t>S3A00006SC</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</si>
  <si>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</si>
  <si>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</si>
  <si>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</si>
  <si>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</si>
  <si>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</si>
  <si>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</si>
  <si>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</si>
  <si>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</si>
  <si>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</si>
  <si>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</si>
  <si>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</si>
  <si>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</si>
  <si>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</si>
  <si>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</si>
  <si>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</si>
  <si>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</si>
  <si>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</si>
  <si>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</si>
  <si>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4M.35</t>
  </si>
  <si>
    <t>Capital expenditure purpose - WASTEWATER additional line 7 [Other categories]</t>
  </si>
  <si>
    <t>S3A00007SC</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</si>
  <si>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</si>
  <si>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</si>
  <si>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</si>
  <si>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</si>
  <si>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</si>
  <si>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</si>
  <si>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</si>
  <si>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</si>
  <si>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</si>
  <si>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</si>
  <si>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</si>
  <si>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</si>
  <si>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</si>
  <si>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</si>
  <si>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</si>
  <si>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</si>
  <si>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</si>
  <si>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</si>
  <si>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4M.36</t>
  </si>
  <si>
    <t>Capital expenditure purpose - WASTEWATER additional line 8 [Other categories]</t>
  </si>
  <si>
    <t>S3A00008SC</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</si>
  <si>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</si>
  <si>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</si>
  <si>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</si>
  <si>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</si>
  <si>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</si>
  <si>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</si>
  <si>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</si>
  <si>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</si>
  <si>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</si>
  <si>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</si>
  <si>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</si>
  <si>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</si>
  <si>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</si>
  <si>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</si>
  <si>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</si>
  <si>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</si>
  <si>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</si>
  <si>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</si>
  <si>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4M.37</t>
  </si>
  <si>
    <t>Capital expenditure purpose - WASTEWATER additional line 9 [Other categories]</t>
  </si>
  <si>
    <t>S3A00009SC</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</si>
  <si>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</si>
  <si>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</si>
  <si>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</si>
  <si>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</si>
  <si>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</si>
  <si>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</si>
  <si>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</si>
  <si>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</si>
  <si>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</si>
  <si>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</si>
  <si>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</si>
  <si>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</si>
  <si>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</si>
  <si>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</si>
  <si>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</si>
  <si>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</si>
  <si>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</si>
  <si>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</si>
  <si>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4M.38</t>
  </si>
  <si>
    <t>Capital expenditure purpose - WASTEWATER additional line 10 [Other categories]</t>
  </si>
  <si>
    <t>S3A00010SC</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</si>
  <si>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</si>
  <si>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</si>
  <si>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</si>
  <si>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</si>
  <si>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</si>
  <si>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</si>
  <si>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</si>
  <si>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</si>
  <si>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</si>
  <si>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</si>
  <si>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</si>
  <si>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</si>
  <si>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</si>
  <si>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</si>
  <si>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</si>
  <si>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</si>
  <si>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</si>
  <si>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</si>
  <si>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4M.39</t>
  </si>
  <si>
    <t>Capital expenditure purpose - WASTEWATER additional line 11 [Other categories]</t>
  </si>
  <si>
    <t>S3A00011SC</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</si>
  <si>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</si>
  <si>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</si>
  <si>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</si>
  <si>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</si>
  <si>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</si>
  <si>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</si>
  <si>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</si>
  <si>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</si>
  <si>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</si>
  <si>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</si>
  <si>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</si>
  <si>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</si>
  <si>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</si>
  <si>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</si>
  <si>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</si>
  <si>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</si>
  <si>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</si>
  <si>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</si>
  <si>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4M.40</t>
  </si>
  <si>
    <t>Capital expenditure purpose - WASTEWATER additional line 12 [Other categories]</t>
  </si>
  <si>
    <t>S3A00012SC</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</si>
  <si>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</si>
  <si>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</si>
  <si>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</si>
  <si>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</si>
  <si>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</si>
  <si>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</si>
  <si>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</si>
  <si>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</si>
  <si>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</si>
  <si>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</si>
  <si>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</si>
  <si>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</si>
  <si>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</si>
  <si>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</si>
  <si>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</si>
  <si>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</si>
  <si>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</si>
  <si>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</si>
  <si>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4M.41</t>
  </si>
  <si>
    <t>Capital expenditure purpose - WASTEWATER additional line 13 [Other categories]</t>
  </si>
  <si>
    <t>S3A00013SC</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</si>
  <si>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</si>
  <si>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</si>
  <si>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</si>
  <si>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</si>
  <si>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</si>
  <si>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</si>
  <si>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</si>
  <si>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</si>
  <si>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</si>
  <si>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</si>
  <si>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</si>
  <si>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</si>
  <si>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</si>
  <si>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</si>
  <si>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</si>
  <si>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</si>
  <si>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</si>
  <si>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</si>
  <si>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4M.42</t>
  </si>
  <si>
    <t>Capital expenditure purpose - WASTEWATER additional line 14 [Other categories]</t>
  </si>
  <si>
    <t>S3A00014SC</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</si>
  <si>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</si>
  <si>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</si>
  <si>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</si>
  <si>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</si>
  <si>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</si>
  <si>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</si>
  <si>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</si>
  <si>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</si>
  <si>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</si>
  <si>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</si>
  <si>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</si>
  <si>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</si>
  <si>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</si>
  <si>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</si>
  <si>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</si>
  <si>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</si>
  <si>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</si>
  <si>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</si>
  <si>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4M.43</t>
  </si>
  <si>
    <t>Capital expenditure purpose - WASTEWATER additional line 15 [Other categories]</t>
  </si>
  <si>
    <t>S3A00015SC</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</si>
  <si>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</si>
  <si>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</si>
  <si>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</si>
  <si>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</si>
  <si>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</si>
  <si>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</si>
  <si>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</si>
  <si>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</si>
  <si>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</si>
  <si>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</si>
  <si>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</si>
  <si>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</si>
  <si>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</si>
  <si>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</si>
  <si>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</si>
  <si>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</si>
  <si>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</si>
  <si>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</si>
  <si>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4M.44</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</si>
  <si>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</si>
  <si>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</si>
  <si>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</si>
  <si>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</si>
  <si>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</si>
  <si>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</si>
  <si>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</si>
  <si>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</si>
  <si>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</si>
  <si>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</si>
  <si>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</si>
  <si>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</si>
  <si>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</si>
  <si>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</si>
  <si>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</si>
  <si>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</si>
  <si>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</si>
  <si>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</si>
  <si>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</si>
  <si>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</si>
  <si>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4N - Operating expenditure - Sewage treatment - Wholesale wastewater</t>
  </si>
  <si>
    <t>Please complete cell in column G</t>
  </si>
  <si>
    <t>Please DO NOT complete column H</t>
  </si>
  <si>
    <t>4N.1</t>
  </si>
  <si>
    <t>Direct costs of STWs in size band 1</t>
  </si>
  <si>
    <t>STWF011</t>
  </si>
  <si>
    <t>STWF011NP</t>
  </si>
  <si>
    <t>STWF011SL</t>
  </si>
  <si>
    <t>4N.2</t>
  </si>
  <si>
    <t>Direct costs of STWs in size band 2</t>
  </si>
  <si>
    <t>STWF025</t>
  </si>
  <si>
    <t>STWF025NP</t>
  </si>
  <si>
    <t>STWF025SL</t>
  </si>
  <si>
    <t>4N.3</t>
  </si>
  <si>
    <t>Direct costs of STWs in size band 3</t>
  </si>
  <si>
    <t>STWF039</t>
  </si>
  <si>
    <t>STWF039NP</t>
  </si>
  <si>
    <t>STWF039SL</t>
  </si>
  <si>
    <t>4N.4</t>
  </si>
  <si>
    <t>Direct costs of STWs in size band 4</t>
  </si>
  <si>
    <t>STWF053</t>
  </si>
  <si>
    <t>STWF053NP</t>
  </si>
  <si>
    <t>STWF053SL</t>
  </si>
  <si>
    <t>4N.5</t>
  </si>
  <si>
    <t>Direct costs of STWs in size band 5</t>
  </si>
  <si>
    <t>STWF067</t>
  </si>
  <si>
    <t>STWF067NP</t>
  </si>
  <si>
    <t>STWF067SL</t>
  </si>
  <si>
    <t>4N.6</t>
  </si>
  <si>
    <t>General &amp; support costs of STWs in size bands 1 to 5</t>
  </si>
  <si>
    <t>S3026</t>
  </si>
  <si>
    <t>S3026NP</t>
  </si>
  <si>
    <t>S3026SL</t>
  </si>
  <si>
    <t>4N.7</t>
  </si>
  <si>
    <t>Direct costs of STWs in size band 6</t>
  </si>
  <si>
    <t>STWB033TOT</t>
  </si>
  <si>
    <t>STWB033TOTNP</t>
  </si>
  <si>
    <t>STWB033TOTSL</t>
  </si>
  <si>
    <t>4N.8</t>
  </si>
  <si>
    <t>General &amp; support costs of STWs in size band 6</t>
  </si>
  <si>
    <t>STWB036TOT</t>
  </si>
  <si>
    <t>STWB036TOTNP</t>
  </si>
  <si>
    <t>STWB036TOTSL</t>
  </si>
  <si>
    <t>4N.9</t>
  </si>
  <si>
    <t>Service charges for STWs in size band 6</t>
  </si>
  <si>
    <t>STWB040TOT</t>
  </si>
  <si>
    <t>STWB040TOTNP</t>
  </si>
  <si>
    <t>STWB040TOTSL</t>
  </si>
  <si>
    <t>4N.10</t>
  </si>
  <si>
    <t>Estimated terminal pumping costs size band 6 works</t>
  </si>
  <si>
    <t>STWB038TOT</t>
  </si>
  <si>
    <t>STWB038TOTNP</t>
  </si>
  <si>
    <t>STWB038TOTSL</t>
  </si>
  <si>
    <t>4N.11</t>
  </si>
  <si>
    <t>Estimated sludge costs size band 6 works</t>
  </si>
  <si>
    <t>STWB039TOT</t>
  </si>
  <si>
    <t>STWB039TOTNP</t>
  </si>
  <si>
    <t>STWB039TOTSL</t>
  </si>
  <si>
    <t>4N.12</t>
  </si>
  <si>
    <t>Total operating expenditure (excluding 3rd party services)</t>
  </si>
  <si>
    <t>STWT0001</t>
  </si>
  <si>
    <t>STWT0001NP</t>
  </si>
  <si>
    <t>STWT0001SL</t>
  </si>
  <si>
    <t>input cell</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</si>
  <si>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</si>
  <si>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</si>
  <si>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</si>
  <si>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</si>
  <si>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</si>
  <si>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</si>
  <si>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</si>
  <si>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</si>
  <si>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</si>
  <si>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</si>
  <si>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</si>
  <si>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</si>
  <si>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</si>
  <si>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</si>
  <si>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</si>
  <si>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</si>
  <si>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</si>
  <si>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</si>
  <si>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</si>
  <si>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</si>
  <si>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</si>
  <si>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</si>
  <si>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</si>
  <si>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</si>
  <si>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</si>
  <si>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</si>
  <si>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</si>
  <si>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</si>
  <si>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</si>
  <si>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</si>
  <si>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</si>
  <si>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</si>
  <si>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</si>
  <si>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</si>
  <si>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</si>
  <si>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</si>
  <si>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</si>
  <si>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</si>
  <si>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</si>
  <si>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</si>
  <si>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</si>
  <si>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</si>
  <si>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</si>
  <si>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</si>
  <si>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</si>
  <si>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</si>
  <si>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</si>
  <si>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</si>
  <si>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</si>
  <si>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</si>
  <si>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</si>
  <si>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</si>
  <si>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</si>
  <si>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</si>
  <si>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</si>
  <si>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</si>
  <si>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</si>
  <si>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</si>
  <si>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</si>
  <si>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</si>
  <si>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</si>
  <si>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</si>
  <si>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</si>
  <si>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</si>
  <si>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</si>
  <si>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</si>
  <si>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</si>
  <si>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</si>
  <si>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</si>
  <si>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</si>
  <si>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</si>
  <si>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</si>
  <si>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</si>
  <si>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</si>
  <si>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</si>
  <si>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</si>
  <si>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</si>
  <si>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</si>
  <si>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</si>
  <si>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</si>
  <si>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</si>
  <si>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</si>
  <si>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</si>
  <si>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</si>
  <si>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Ofwat query TMS_CE_015</t>
  </si>
  <si>
    <t>4O.1</t>
  </si>
  <si>
    <t>Works name</t>
  </si>
  <si>
    <t>STWNAMExy</t>
  </si>
  <si>
    <t>text</t>
  </si>
  <si>
    <t>4O.2</t>
  </si>
  <si>
    <t>Classification of treatment works</t>
  </si>
  <si>
    <t>STWB045</t>
  </si>
  <si>
    <t>3B2</t>
  </si>
  <si>
    <t>3A2</t>
  </si>
  <si>
    <t>2A</t>
  </si>
  <si>
    <t>3B1</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</si>
  <si>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</si>
  <si>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</si>
  <si>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</si>
  <si>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</si>
  <si>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</si>
  <si>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</si>
  <si>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</si>
  <si>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</si>
  <si>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</si>
  <si>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</si>
  <si>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</si>
  <si>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</si>
  <si>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</si>
  <si>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</si>
  <si>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</si>
  <si>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</si>
  <si>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</si>
  <si>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None</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</si>
  <si>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</si>
  <si>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</si>
  <si>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</si>
  <si>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</si>
  <si>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</si>
  <si>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</si>
  <si>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</si>
  <si>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</si>
  <si>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</si>
  <si>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</si>
  <si>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</si>
  <si>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</si>
  <si>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Operating expenditure</t>
  </si>
  <si>
    <t>4O.11</t>
  </si>
  <si>
    <t>Direct expenditure</t>
  </si>
  <si>
    <t>STWB033</t>
  </si>
  <si>
    <t>4O.12</t>
  </si>
  <si>
    <t>General and support expenditure</t>
  </si>
  <si>
    <t>STWB036</t>
  </si>
  <si>
    <t>4O.13</t>
  </si>
  <si>
    <t>Functional expenditure</t>
  </si>
  <si>
    <t>STWB037</t>
  </si>
  <si>
    <t>4O.14</t>
  </si>
  <si>
    <t>Service charges</t>
  </si>
  <si>
    <t>STWB040</t>
  </si>
  <si>
    <t>4O.15</t>
  </si>
  <si>
    <t>Estimated terminal pumping expenditure</t>
  </si>
  <si>
    <t>STWB038</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</si>
  <si>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</si>
  <si>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4.06 (Appendix 1), tankered waste is not part of the appointed business and should therefore be excluded from consideration when completing line 3.</t>
  </si>
  <si>
    <r>
      <rPr>
        <b/>
        <sz val="10"/>
        <rFont val="Arial"/>
        <family val="2"/>
      </rPr>
      <t>Direct costs</t>
    </r>
    <r>
      <rPr>
        <sz val="10"/>
        <rFont val="Arial"/>
        <family val="2"/>
      </rPr>
      <t xml:space="preserve"> - Direct costs are the costs directly attributable to each of the individually identified service</t>
    </r>
  </si>
  <si>
    <r>
      <rPr>
        <b/>
        <sz val="10"/>
        <rFont val="Arial"/>
        <family val="2"/>
      </rPr>
      <t>General and Support expenditure</t>
    </r>
    <r>
      <rPr>
        <sz val="10"/>
        <rFont val="Arial"/>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</si>
  <si>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</si>
  <si>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</si>
  <si>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</si>
  <si>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10"/>
        <color indexed="8"/>
        <rFont val="Arial"/>
        <family val="2"/>
      </rPr>
      <t>      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</si>
  <si>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</si>
  <si>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</si>
  <si>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</si>
  <si>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</si>
  <si>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</si>
  <si>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</si>
  <si>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</si>
  <si>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</si>
  <si>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</si>
  <si>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10"/>
        <color indexed="8"/>
        <rFont val="Arial"/>
        <family val="2"/>
      </rPr>
      <t>      Analysis of staff time determined by hierarchy detailed above under employment costs
2.      Headcount of employees</t>
    </r>
  </si>
  <si>
    <t xml:space="preserve">IT and data processing </t>
  </si>
  <si>
    <r>
      <t>1.</t>
    </r>
    <r>
      <rPr>
        <sz val="10"/>
        <color indexed="8"/>
        <rFont val="Arial"/>
        <family val="2"/>
      </rPr>
      <t>        Usage of mainframe by system type
2.        Number of computers
3.        Number of full time equivalents (FTEs)</t>
    </r>
  </si>
  <si>
    <t xml:space="preserve">Vehicles and plant </t>
  </si>
  <si>
    <r>
      <t>1.</t>
    </r>
    <r>
      <rPr>
        <sz val="10"/>
        <color indexed="8"/>
        <rFont val="Arial"/>
        <family val="2"/>
      </rPr>
      <t>      Pro rata to direct allocation of vehicles and plant</t>
    </r>
  </si>
  <si>
    <t xml:space="preserve">Electrical and mechanical maintenance </t>
  </si>
  <si>
    <r>
      <t>1.</t>
    </r>
    <r>
      <rPr>
        <sz val="10"/>
        <color indexed="8"/>
        <rFont val="Arial"/>
        <family val="2"/>
      </rPr>
      <t>      Pro rata to direct allocation of electrical and mechanical maintenance</t>
    </r>
  </si>
  <si>
    <t xml:space="preserve">Land and property maintenance </t>
  </si>
  <si>
    <r>
      <t>1.</t>
    </r>
    <r>
      <rPr>
        <sz val="10"/>
        <color indexed="8"/>
        <rFont val="Arial"/>
        <family val="2"/>
      </rPr>
      <t>      Pro rata to direct allocation of land and property maintenance
2.      Analysis of staff time determined by hierarchy detailed above under employment costs</t>
    </r>
  </si>
  <si>
    <t>Materials storage</t>
  </si>
  <si>
    <t>1. Pro rata to direct allocation of materials and consumables</t>
  </si>
  <si>
    <r>
      <rPr>
        <b/>
        <sz val="10"/>
        <rFont val="Arial"/>
        <family val="2"/>
      </rPr>
      <t>Sludge costs</t>
    </r>
    <r>
      <rPr>
        <sz val="10"/>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</si>
  <si>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</si>
  <si>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</si>
  <si>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</si>
  <si>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</si>
  <si>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</si>
  <si>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1 Impounding reservoir, using abstraction returns data</t>
  </si>
  <si>
    <t>4P.2</t>
  </si>
  <si>
    <t>Proportion of distribution input derived from pumped storage reservoirs</t>
  </si>
  <si>
    <t>BN4834</t>
  </si>
  <si>
    <t>Multiple pumped storage reservoirs are fed by both surface and groundwater sources.</t>
  </si>
  <si>
    <t>4P.3</t>
  </si>
  <si>
    <t>Proportion of distribution input derived from river abstractions</t>
  </si>
  <si>
    <t>BN4838</t>
  </si>
  <si>
    <t>Surface water sources that are treated without entering a pumped reservoir.</t>
  </si>
  <si>
    <t>4P.4</t>
  </si>
  <si>
    <t>Proportion of distribution input derived from groundwater works,excluding managed aquifer recharge (MAR) water supply schemes</t>
  </si>
  <si>
    <t>BN4848</t>
  </si>
  <si>
    <t>Groundwater sources that do not feed into pumped reservoirs, excluding the North London Artificial Recharge Scheme.</t>
  </si>
  <si>
    <t>4P.5</t>
  </si>
  <si>
    <t>Proportion of distribution input derived from artificial recharge (AR) water supply schemes</t>
  </si>
  <si>
    <t>BN4846</t>
  </si>
  <si>
    <t>Additional boreholes brought into supply from the North London Artificial Recharge Scheme</t>
  </si>
  <si>
    <t>4P.6</t>
  </si>
  <si>
    <t>Proportion of distribution input derived from aquifer storage and recovery (ASR) water supply schemes</t>
  </si>
  <si>
    <t>BN4847</t>
  </si>
  <si>
    <t xml:space="preserve">We do not have any of these assets. </t>
  </si>
  <si>
    <t>Total of lines 4P.1 to 4P.6 do not equal 1.</t>
  </si>
  <si>
    <t>4P.7</t>
  </si>
  <si>
    <t>Number of impounding reservoirs</t>
  </si>
  <si>
    <t>BN4830</t>
  </si>
  <si>
    <t>4P.8</t>
  </si>
  <si>
    <t>Number of pumped storage reservoirs</t>
  </si>
  <si>
    <t>BN4849</t>
  </si>
  <si>
    <t>4P.9</t>
  </si>
  <si>
    <t>Number of river abstractions</t>
  </si>
  <si>
    <t>BN4835</t>
  </si>
  <si>
    <t>The change is related to a surface water intake on the Thames, Surbiton, that was in use this year as it was a predominantly dry year.</t>
  </si>
  <si>
    <t>4P.10</t>
  </si>
  <si>
    <t>Number of groundwater works excluding managed aquifer recharge (MAR) water supply schemes</t>
  </si>
  <si>
    <t>BN4851</t>
  </si>
  <si>
    <t>Increased requirement to use groundwater sources in AR18 (increase of 3)</t>
  </si>
  <si>
    <t>4P.11</t>
  </si>
  <si>
    <t>Number of artificial recharge (AR) water supply schemes</t>
  </si>
  <si>
    <t>BN4852</t>
  </si>
  <si>
    <t>Slightly increased need to operate AR sources in AR18 (increase of 1)</t>
  </si>
  <si>
    <t>4P.12</t>
  </si>
  <si>
    <t>Number of aquifer storage and recovery (ASR) water supply schemes</t>
  </si>
  <si>
    <t>BN4853</t>
  </si>
  <si>
    <t>4P.13</t>
  </si>
  <si>
    <t>Total number of sources</t>
  </si>
  <si>
    <t>BN4843</t>
  </si>
  <si>
    <t>4P.14</t>
  </si>
  <si>
    <t>Total number of water reservoirs</t>
  </si>
  <si>
    <t>BN10190</t>
  </si>
  <si>
    <t>4P.15</t>
  </si>
  <si>
    <t>Total capacity of water reservoirs</t>
  </si>
  <si>
    <t>BN10191</t>
  </si>
  <si>
    <t>4P.16</t>
  </si>
  <si>
    <t>Total number of intake and source pumping stations</t>
  </si>
  <si>
    <t>W5003</t>
  </si>
  <si>
    <t>4P.17</t>
  </si>
  <si>
    <t>Total number of raw water transfer stations</t>
  </si>
  <si>
    <t>WR001</t>
  </si>
  <si>
    <t>New line for 2017/18</t>
  </si>
  <si>
    <t>4P.18</t>
  </si>
  <si>
    <t>Total capacity of intake and source pumping stations</t>
  </si>
  <si>
    <t>W5003CAP</t>
  </si>
  <si>
    <t>kW</t>
  </si>
  <si>
    <t>Large variation (&gt;10%) from previous year for two reasons.  
1) significant amount moved into line 4P.19
2) more accurate data on pumps available.</t>
  </si>
  <si>
    <t>4P.19</t>
  </si>
  <si>
    <t>Total capacity of raw water transfer pumping stations</t>
  </si>
  <si>
    <t>WR002</t>
  </si>
  <si>
    <t>4P.20</t>
  </si>
  <si>
    <t>Total length of raw water mains and conveyors</t>
  </si>
  <si>
    <t>BN10290</t>
  </si>
  <si>
    <t>km</t>
  </si>
  <si>
    <t>4P.21</t>
  </si>
  <si>
    <t>Average pumping head – resources</t>
  </si>
  <si>
    <t>BN4861</t>
  </si>
  <si>
    <t>m.hd</t>
  </si>
  <si>
    <t>Ofwat query CE-016</t>
  </si>
  <si>
    <t>4P.22</t>
  </si>
  <si>
    <t>Average pumping head – raw water transport</t>
  </si>
  <si>
    <t>BN4862</t>
  </si>
  <si>
    <r>
      <rPr>
        <sz val="10"/>
        <color rgb="FFFF0000"/>
        <rFont val="Arial"/>
        <family val="2"/>
      </rPr>
      <t>Ofwat query CE-016 - revised back to reflect original guidance.</t>
    </r>
    <r>
      <rPr>
        <sz val="10"/>
        <rFont val="Arial"/>
        <family val="2"/>
      </rPr>
      <t xml:space="preserve">
In line with additional guidance provided for the resubmission of APH in November 2017, we have combined the Resources and Raw water transport into line 21 (resources).</t>
    </r>
  </si>
  <si>
    <t>4P.23</t>
  </si>
  <si>
    <t>Total water treated at all SW simple disinfection works</t>
  </si>
  <si>
    <t>CPMW0098</t>
  </si>
  <si>
    <t>4P.24</t>
  </si>
  <si>
    <t>Total water treated at all SW1 works</t>
  </si>
  <si>
    <t>CPMW0104</t>
  </si>
  <si>
    <t>4P.25</t>
  </si>
  <si>
    <t>Total water treated at all SW2 works</t>
  </si>
  <si>
    <t>CPMW0110</t>
  </si>
  <si>
    <t>4P.26</t>
  </si>
  <si>
    <t>Total water treated at all SW3 works</t>
  </si>
  <si>
    <t>CPMW0116</t>
  </si>
  <si>
    <t>4P.27</t>
  </si>
  <si>
    <t>Total water treated at all SW4 works</t>
  </si>
  <si>
    <t>CPMW0165</t>
  </si>
  <si>
    <t>4P.28</t>
  </si>
  <si>
    <t>Total water treated at all SW5 works</t>
  </si>
  <si>
    <t>CPMW0166</t>
  </si>
  <si>
    <t>4P.29</t>
  </si>
  <si>
    <t>Total water treated at all SW6 works</t>
  </si>
  <si>
    <t>CPMW0167</t>
  </si>
  <si>
    <t>4P.30</t>
  </si>
  <si>
    <t>Total water treated at all GW simple disinfection works</t>
  </si>
  <si>
    <t>CPMW0027</t>
  </si>
  <si>
    <t>4P.31</t>
  </si>
  <si>
    <t>Total water treated at all GW1 works</t>
  </si>
  <si>
    <t>CPMW0033</t>
  </si>
  <si>
    <t>4P.32</t>
  </si>
  <si>
    <t>Total water treated at all GW2 works</t>
  </si>
  <si>
    <t>CPMW0039</t>
  </si>
  <si>
    <t>4P.33</t>
  </si>
  <si>
    <t>Total water treated at all GW3 works</t>
  </si>
  <si>
    <t>CPMW0045</t>
  </si>
  <si>
    <t>4P.34</t>
  </si>
  <si>
    <t>Total water treated at all GW4 works</t>
  </si>
  <si>
    <t>CPMW0185</t>
  </si>
  <si>
    <t>4P.35</t>
  </si>
  <si>
    <t>Total water treated at all GW5 works</t>
  </si>
  <si>
    <t>CPMW0197</t>
  </si>
  <si>
    <t>4P.36</t>
  </si>
  <si>
    <t>Total water treated at all GW6 works</t>
  </si>
  <si>
    <t>CPMW0198</t>
  </si>
  <si>
    <t>4P.37</t>
  </si>
  <si>
    <t>Total water treated at more than one type of works</t>
  </si>
  <si>
    <t>CPMW001A</t>
  </si>
  <si>
    <t>4P.38</t>
  </si>
  <si>
    <t>Total number of SW simple disinfection works</t>
  </si>
  <si>
    <t>CPMW0015</t>
  </si>
  <si>
    <t>4P.39</t>
  </si>
  <si>
    <t>Total number of SW1 works</t>
  </si>
  <si>
    <t>BN10491</t>
  </si>
  <si>
    <t>4P.40</t>
  </si>
  <si>
    <t>Total number of SW2 works</t>
  </si>
  <si>
    <t>BN10490</t>
  </si>
  <si>
    <t>4P.41</t>
  </si>
  <si>
    <t>Total number of SW3 works</t>
  </si>
  <si>
    <t>BN10590</t>
  </si>
  <si>
    <t>4P.42</t>
  </si>
  <si>
    <t>Total number of SW4 works</t>
  </si>
  <si>
    <t>BN10597</t>
  </si>
  <si>
    <t>4P.43</t>
  </si>
  <si>
    <t>Total number of SW5 works</t>
  </si>
  <si>
    <t>BN10598</t>
  </si>
  <si>
    <t>2017/18: 2 works out of service.  Grimsbury AWTW has been decomissioned and is no longer in the reported number.</t>
  </si>
  <si>
    <t>4P.44</t>
  </si>
  <si>
    <t>Total number of SW6 works</t>
  </si>
  <si>
    <t>BN10599</t>
  </si>
  <si>
    <t>4P.45</t>
  </si>
  <si>
    <t>Total number of GW simple disinfection works</t>
  </si>
  <si>
    <t>CPMW0021</t>
  </si>
  <si>
    <t>4P.46</t>
  </si>
  <si>
    <t>Total number of GW1 works</t>
  </si>
  <si>
    <t>BN10791</t>
  </si>
  <si>
    <t>4P.47</t>
  </si>
  <si>
    <t>Total number of GW2 works</t>
  </si>
  <si>
    <t>BN10790</t>
  </si>
  <si>
    <t>2017/18: 3 works out of service.</t>
  </si>
  <si>
    <t>4P.48</t>
  </si>
  <si>
    <t>Total number of GW3 works</t>
  </si>
  <si>
    <t>BN10890</t>
  </si>
  <si>
    <t>2017/18: 1 works out of service.</t>
  </si>
  <si>
    <t>4P.49</t>
  </si>
  <si>
    <t>Total number of GW4 works</t>
  </si>
  <si>
    <t>BN10897</t>
  </si>
  <si>
    <t>2017/18: 5 works out of service.</t>
  </si>
  <si>
    <t>4P.50</t>
  </si>
  <si>
    <t>Total number of GW5 works</t>
  </si>
  <si>
    <t>BN10898</t>
  </si>
  <si>
    <t>4P.51</t>
  </si>
  <si>
    <t>Total number of GW6 works</t>
  </si>
  <si>
    <t>BN10899</t>
  </si>
  <si>
    <t>4P.52</t>
  </si>
  <si>
    <t>Number of treatment works requiring remedial action because of raw water deterioration</t>
  </si>
  <si>
    <t>W4005</t>
  </si>
  <si>
    <t>The improvement programme completion date that is given to the DWI is the date used for Ofwat reporting</t>
  </si>
  <si>
    <t>4P.53</t>
  </si>
  <si>
    <t>Zonal population receiving water treated with orthophosphate</t>
  </si>
  <si>
    <t>BN10901</t>
  </si>
  <si>
    <t>Data is reported on a calendar year basis in line with DWI requirements.</t>
  </si>
  <si>
    <t>4P.54</t>
  </si>
  <si>
    <t>Average pumping head – treatment</t>
  </si>
  <si>
    <t>BN10902</t>
  </si>
  <si>
    <t>Water distribution</t>
  </si>
  <si>
    <t>4P.55</t>
  </si>
  <si>
    <t>Total length of potable mains as at 31 March</t>
  </si>
  <si>
    <t>BN1100</t>
  </si>
  <si>
    <t>4P.56</t>
  </si>
  <si>
    <t>Total length of mains relined</t>
  </si>
  <si>
    <t>BN1204</t>
  </si>
  <si>
    <t>4P.57</t>
  </si>
  <si>
    <t>Total length of mains renewed</t>
  </si>
  <si>
    <t>BN1200</t>
  </si>
  <si>
    <t>4P.58</t>
  </si>
  <si>
    <t>Total length of new mains</t>
  </si>
  <si>
    <t>BN1208</t>
  </si>
  <si>
    <t>4P.59</t>
  </si>
  <si>
    <t>Potable water mains (&lt;320mm)</t>
  </si>
  <si>
    <t>BN14990</t>
  </si>
  <si>
    <t>4P.60</t>
  </si>
  <si>
    <t>Potable water mains 320mm - 450mm</t>
  </si>
  <si>
    <t>BN14890</t>
  </si>
  <si>
    <t>4P.61</t>
  </si>
  <si>
    <t>Potable water mains 450mm - 610mm</t>
  </si>
  <si>
    <t>BN14790</t>
  </si>
  <si>
    <t>4P.62</t>
  </si>
  <si>
    <t>Potable water mains  &gt; 610mm</t>
  </si>
  <si>
    <t>BN14690</t>
  </si>
  <si>
    <t>4P.63</t>
  </si>
  <si>
    <t>Total length of non-potable and partially treated main for supplying customers</t>
  </si>
  <si>
    <t>BN11590</t>
  </si>
  <si>
    <t>4P.64</t>
  </si>
  <si>
    <t>Total length of non-potable and partially treated main for treatment</t>
  </si>
  <si>
    <t>WN2001</t>
  </si>
  <si>
    <t>There are zero kilometers I the GIS database of non-potable and partially treated main for treatment. This is because in line with procdures to digitise asset mapping at an appropriate scale, mains transporting partially tretaed water withhin treatment sites are not mapped as they are too small. We also do not support a main content of partially treated water.</t>
  </si>
  <si>
    <t>4P.65</t>
  </si>
  <si>
    <t>Capacity of booster pumping stations</t>
  </si>
  <si>
    <t>BN11300CAP</t>
  </si>
  <si>
    <t>4P.66</t>
  </si>
  <si>
    <t>Capacity of service reservoirs</t>
  </si>
  <si>
    <t>BN10900CAP</t>
  </si>
  <si>
    <t>4P.67</t>
  </si>
  <si>
    <t>Capacity of water towers</t>
  </si>
  <si>
    <t>BN11030CAP</t>
  </si>
  <si>
    <t>4P.68</t>
  </si>
  <si>
    <t>4P.69</t>
  </si>
  <si>
    <t>Water delivered (non-potable)</t>
  </si>
  <si>
    <t>BN2350</t>
  </si>
  <si>
    <t>4P.70</t>
  </si>
  <si>
    <t>Water delivered (potable)</t>
  </si>
  <si>
    <t>BN2330</t>
  </si>
  <si>
    <t>4P.71</t>
  </si>
  <si>
    <t>Water delivered (billed measured residential)</t>
  </si>
  <si>
    <t>BN2000</t>
  </si>
  <si>
    <t>4P.72</t>
  </si>
  <si>
    <t>Water delivered (billed measured business)</t>
  </si>
  <si>
    <t>BN2010</t>
  </si>
  <si>
    <t>4P.73</t>
  </si>
  <si>
    <t>Total leakage</t>
  </si>
  <si>
    <t>BN2345</t>
  </si>
  <si>
    <t>4P.74</t>
  </si>
  <si>
    <t>Distribution losses</t>
  </si>
  <si>
    <t>BN2340</t>
  </si>
  <si>
    <t>4P.75</t>
  </si>
  <si>
    <t>Water taken unbilled</t>
  </si>
  <si>
    <t>BN2327</t>
  </si>
  <si>
    <t>4P.76</t>
  </si>
  <si>
    <t>Number of lead communication pipes</t>
  </si>
  <si>
    <t>BN11600</t>
  </si>
  <si>
    <t>4P.77</t>
  </si>
  <si>
    <t>Number of galvanised iron communication pipes</t>
  </si>
  <si>
    <t>BN11610</t>
  </si>
  <si>
    <t>4P.78</t>
  </si>
  <si>
    <t>Number of other communication pipes</t>
  </si>
  <si>
    <t>BN11620</t>
  </si>
  <si>
    <t>4P.79</t>
  </si>
  <si>
    <t>Number of booster pumping stations</t>
  </si>
  <si>
    <t>BN11390</t>
  </si>
  <si>
    <t>4P.80</t>
  </si>
  <si>
    <t>Total number of service reservoirs</t>
  </si>
  <si>
    <t>BN10990</t>
  </si>
  <si>
    <t>4P.81</t>
  </si>
  <si>
    <t>Number of water towers</t>
  </si>
  <si>
    <t>BN11090</t>
  </si>
  <si>
    <t>4P.82</t>
  </si>
  <si>
    <t>Total length of mains laid or structurally refurbished pre-1880</t>
  </si>
  <si>
    <t>BB13000</t>
  </si>
  <si>
    <t>4P.83</t>
  </si>
  <si>
    <t>Total length of mains laid or structurally refurbished between 1881 and 1900</t>
  </si>
  <si>
    <t>BB13010</t>
  </si>
  <si>
    <t>4P.84</t>
  </si>
  <si>
    <t>Total length of mains laid or structurally refurbished between 1901 and 1920</t>
  </si>
  <si>
    <t>BB13020</t>
  </si>
  <si>
    <t>4P.85</t>
  </si>
  <si>
    <t>Total length of mains laid or structurally refurbished between 1921 and 1940</t>
  </si>
  <si>
    <t>BB13030</t>
  </si>
  <si>
    <t>4P.86</t>
  </si>
  <si>
    <t>Total length of mains laid or structurally refurbished between 1941 and 1960</t>
  </si>
  <si>
    <t>BB13040</t>
  </si>
  <si>
    <t>4P.87</t>
  </si>
  <si>
    <t>Total length of mains laid or structurally refurbished between 1961 and 1980</t>
  </si>
  <si>
    <t>BB13050</t>
  </si>
  <si>
    <t>4P.88</t>
  </si>
  <si>
    <t>Total length of mains laid or structurally refurbished between 1981 and 2000</t>
  </si>
  <si>
    <t>BB13060</t>
  </si>
  <si>
    <t>4P.89</t>
  </si>
  <si>
    <t>Total length of mains laid or structurally refurbished post 2001</t>
  </si>
  <si>
    <t>BB13070</t>
  </si>
  <si>
    <t>4P.90</t>
  </si>
  <si>
    <t>Average pumping head – distribution</t>
  </si>
  <si>
    <t>BN4870</t>
  </si>
  <si>
    <t>Band Disclosure (nr)</t>
  </si>
  <si>
    <t>4P.91</t>
  </si>
  <si>
    <t>WTWs in size band 1</t>
  </si>
  <si>
    <t>WTW001NR</t>
  </si>
  <si>
    <t>Nr</t>
  </si>
  <si>
    <t>4P.92</t>
  </si>
  <si>
    <t>WTWs in size band 2</t>
  </si>
  <si>
    <t>WTW002NR</t>
  </si>
  <si>
    <t>4P.93</t>
  </si>
  <si>
    <t>WTWs in size band 3</t>
  </si>
  <si>
    <t>WTW003NR</t>
  </si>
  <si>
    <t>4P.94</t>
  </si>
  <si>
    <t>WTWs in size band 4</t>
  </si>
  <si>
    <t>WTW004NR</t>
  </si>
  <si>
    <t>4P.95</t>
  </si>
  <si>
    <t>WTWs in size band 5</t>
  </si>
  <si>
    <t>WTW005NR</t>
  </si>
  <si>
    <t>4P.96</t>
  </si>
  <si>
    <t>WTWs in size band 6</t>
  </si>
  <si>
    <t>WTW006NR</t>
  </si>
  <si>
    <t>4P.97</t>
  </si>
  <si>
    <t>WTWs in size band 7</t>
  </si>
  <si>
    <t>WTW007NR</t>
  </si>
  <si>
    <t>4P.98</t>
  </si>
  <si>
    <t>WTWs in size band 8</t>
  </si>
  <si>
    <t>WTW008NR</t>
  </si>
  <si>
    <t>Band Disclosure (%)</t>
  </si>
  <si>
    <t>4P.99</t>
  </si>
  <si>
    <t>Proportion of Total DI band 1</t>
  </si>
  <si>
    <t>WTW001PN</t>
  </si>
  <si>
    <t>4P.100</t>
  </si>
  <si>
    <t>Proportion of Total DI band 2</t>
  </si>
  <si>
    <t>WTW002PN</t>
  </si>
  <si>
    <t>4P.101</t>
  </si>
  <si>
    <t>Proportion of Total DI band 3</t>
  </si>
  <si>
    <t>WTW003PN</t>
  </si>
  <si>
    <t>4P.102</t>
  </si>
  <si>
    <t>Proportion of Total DI band 4</t>
  </si>
  <si>
    <t>WTW004PN</t>
  </si>
  <si>
    <t>4P.103</t>
  </si>
  <si>
    <t>Proportion of Total DI band 5</t>
  </si>
  <si>
    <t>WTW005PN</t>
  </si>
  <si>
    <t>4P.104</t>
  </si>
  <si>
    <t>Proportion of Total DI band 6</t>
  </si>
  <si>
    <t>WTW006PN</t>
  </si>
  <si>
    <t>4P.105</t>
  </si>
  <si>
    <t>Proportion of Total DI band 7</t>
  </si>
  <si>
    <t>WTW007PN</t>
  </si>
  <si>
    <t>4P.106</t>
  </si>
  <si>
    <t>Proportion of Total DI band 8</t>
  </si>
  <si>
    <t>WTW008PN</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</si>
  <si>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</si>
  <si>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</si>
  <si>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</si>
  <si>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</si>
  <si>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38-53 water treatment works that have not been used in the year but have not been decommissioned and state in their commentary any instances where this is the case.</t>
  </si>
  <si>
    <t>The categories of treatment types are:</t>
  </si>
  <si>
    <t>Examples</t>
  </si>
  <si>
    <t>SD: Works providing simple disinfection only;</t>
  </si>
  <si>
    <r>
      <rPr>
        <sz val="9"/>
        <color indexed="8"/>
        <rFont val="Arial"/>
        <family val="2"/>
      </rPr>
      <t>·   Marginal chlorination
·   Pre-aeration</t>
    </r>
  </si>
  <si>
    <t xml:space="preserve">W1:  Simple disinfection plus simple physical treatment only;   </t>
  </si>
  <si>
    <r>
      <rPr>
        <sz val="9"/>
        <color indexed="8"/>
        <rFont val="Arial"/>
        <family val="2"/>
      </rPr>
      <t>·   Rapid gravity filtration
·   Slow sand filtration
·   Pressure filtration</t>
    </r>
  </si>
  <si>
    <t>W2: Single stage complex physical or chemical treatment;
W3: More than one stage of complex treatment; but excluding processes in W4, W5 or W6.</t>
  </si>
  <si>
    <r>
      <rPr>
        <sz val="9"/>
        <color indexed="8"/>
        <rFont val="Arial"/>
        <family val="2"/>
      </rPr>
      <t>·   Super chlorination
·   Coagulation
·   Flocculation
·   Biofiltration
·   pH correction
·   Softening</t>
    </r>
  </si>
  <si>
    <t>W4: Single stage complex physical or chemical treatment with significantly higher operating costs than in W2/W3;
W5: More than one stage of complex, high cost treatment;</t>
  </si>
  <si>
    <r>
      <rPr>
        <sz val="9"/>
        <color indexed="8"/>
        <rFont val="Arial"/>
        <family val="2"/>
      </rPr>
      <t>·   Membrane filtration (excluding desalination)
·   Ozone addition
·   Activated carbon / pesticide removal
·   UV treatment
·   Arsenic removal
·   Nitrate removal</t>
    </r>
  </si>
  <si>
    <t>W6: Works with one or more very high cost processes;</t>
  </si>
  <si>
    <r>
      <rPr>
        <sz val="9"/>
        <color indexed="8"/>
        <rFont val="Arial"/>
        <family val="2"/>
      </rPr>
      <t>·   Desalination 
·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</si>
  <si>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</si>
  <si>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</si>
  <si>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</si>
  <si>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</si>
  <si>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</si>
  <si>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</si>
  <si>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</si>
  <si>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</si>
  <si>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</si>
  <si>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</si>
  <si>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</si>
  <si>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</si>
  <si>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</si>
  <si>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</si>
  <si>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</si>
  <si>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</si>
  <si>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</si>
  <si>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</si>
  <si>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</si>
  <si>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</si>
  <si>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</si>
  <si>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</si>
  <si>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</si>
  <si>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</si>
  <si>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</si>
  <si>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</si>
  <si>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</si>
  <si>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Ofwat query TMS_APR_CE_003</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</si>
  <si>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</si>
  <si>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</si>
  <si>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</si>
  <si>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</si>
  <si>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</si>
  <si>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</si>
  <si>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</si>
  <si>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</si>
  <si>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</si>
  <si>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</si>
  <si>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</si>
  <si>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</si>
  <si>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</si>
  <si>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</si>
  <si>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</si>
  <si>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</si>
  <si>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</si>
  <si>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</si>
  <si>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</si>
  <si>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</si>
  <si>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</si>
  <si>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 xml:space="preserve">The number of meters renewed is made up of reactive requests from customers and meter readers. The delivery of the proactive programme was delayed following an optimisation of the metering programmes workstreams until later in the AMP. </t>
  </si>
  <si>
    <t>4Q.10</t>
  </si>
  <si>
    <t>Number of business meters renewed</t>
  </si>
  <si>
    <t>BN1767</t>
  </si>
  <si>
    <t xml:space="preserve">The volume of replacements is significantly less than the previous year and is driven by less work being raised by Retailers in the first year of competition. </t>
  </si>
  <si>
    <t>4Q.11</t>
  </si>
  <si>
    <t>Number of meters installed at request of optants</t>
  </si>
  <si>
    <t>BN1715</t>
  </si>
  <si>
    <t xml:space="preserve">There have been fewer Optant meters installed against forecast in the year which can be partially attributed to the wider increase in meter penetration as a result of the selective metering programme in London and because our customers on the selective journey are switching during annual billing process reducing Optant applications. </t>
  </si>
  <si>
    <t>4Q.12</t>
  </si>
  <si>
    <t>Number of selective meters installed</t>
  </si>
  <si>
    <t>BN1711</t>
  </si>
  <si>
    <t>The Selective (Progressive) Metering programme continues apace across London with more than 243,000 installs now complete. Following an optimisation of the metering programmes workstreams delivery for the remainder of the AMP, a revised programme of 300,000 installs has been agreed.</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</si>
  <si>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</si>
  <si>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</si>
  <si>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</si>
  <si>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</si>
  <si>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</si>
  <si>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</si>
  <si>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</si>
  <si>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</si>
  <si>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</si>
  <si>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</si>
  <si>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</si>
  <si>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</si>
  <si>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The business population has decreased due to large amount of movement whilst cleansing properties to correct categories for C17.</t>
  </si>
  <si>
    <t>4Q.17</t>
  </si>
  <si>
    <t>Number of residential meters (billed properties)</t>
  </si>
  <si>
    <t>BN11640</t>
  </si>
  <si>
    <t>See separate commentary file: 
The methodology for reporting the number of household meters (billed properties) follows the same process used in last year’s Cost Assessment. No substantive changes to the methodology have been made to derive the figures for the 2017/18 return. The increase in the number of household meters (billed properties) is in line with previous years’ reporting.</t>
  </si>
  <si>
    <t>4Q.18</t>
  </si>
  <si>
    <t>Company area</t>
  </si>
  <si>
    <t>SYS03</t>
  </si>
  <si>
    <t>km2</t>
  </si>
  <si>
    <t>4Q.19</t>
  </si>
  <si>
    <t>Number of lead communication pipes replaced for water quality</t>
  </si>
  <si>
    <t>BN1231</t>
  </si>
  <si>
    <t xml:space="preserve">A review of how the programme was delivered was carried out in July 17 and a revised profile was agreed with the DWI. This has resulted in the highest number of outputs in the AMP to date. </t>
  </si>
  <si>
    <t>4Q.20</t>
  </si>
  <si>
    <t>Total supply side enhancements to the supply demand balance (dry year critical / peak conditions)</t>
  </si>
  <si>
    <t>W3007SO</t>
  </si>
  <si>
    <t>No schemes were planned or delivered this year.</t>
  </si>
  <si>
    <t>4Q.21</t>
  </si>
  <si>
    <t>Total supply side enhancements to the supply demand balance (dry year annual average conditions)</t>
  </si>
  <si>
    <t>W3008SO</t>
  </si>
  <si>
    <t>4Q.22</t>
  </si>
  <si>
    <t>Total demand side enhancements to the supply demand balance (dry year critical / peak conditions)</t>
  </si>
  <si>
    <t>W3007DO</t>
  </si>
  <si>
    <t xml:space="preserve">The benefits for demand side schemes have been split between annual average and critical period according to the cost allocation.  The Ml/d increase in 2017/18 is due to the increase in water efficiency activity through Smarter Home Visits.
We have followed the RAG4 guidance in completing table 4Q (lines 20-23) and table 4L (lines 6-9).  The savings reported in table 4Q do not fully correlate with costs in table 4L as investment spend is not aligned with benefits delivered, i.e. benefit comes at the end of scheme delivery.  There is a separate line for metering costs (line 18) although the savings associated with metering are reported in table 4Q, lines 22 &amp; 23.  Seventy-six percent of the total cost in line 8 is for the Angelinos trunk main (an enhancement to our distribution network) but no demand savings are associated with this scheme. </t>
  </si>
  <si>
    <t>4Q.23</t>
  </si>
  <si>
    <t>Total demand side enhancements to the supply demand balance (dry year annual average conditions)</t>
  </si>
  <si>
    <t>W3008DO</t>
  </si>
  <si>
    <t>Commentary for line 22 applies</t>
  </si>
  <si>
    <t>4Q.24</t>
  </si>
  <si>
    <t>Energy consumption - network plus</t>
  </si>
  <si>
    <t>BM902ECWW</t>
  </si>
  <si>
    <t>MWh</t>
  </si>
  <si>
    <t>4Q.25</t>
  </si>
  <si>
    <t>Energy consumption - water resources</t>
  </si>
  <si>
    <t>BM902ECNP</t>
  </si>
  <si>
    <t>4Q.26</t>
  </si>
  <si>
    <t>Energy consumption - wholesale</t>
  </si>
  <si>
    <t>BM102ECWR</t>
  </si>
  <si>
    <t>4Q.27</t>
  </si>
  <si>
    <t>Peak factor</t>
  </si>
  <si>
    <t>BN4850W</t>
  </si>
  <si>
    <t>4Q.28</t>
  </si>
  <si>
    <t>Mean Zonal Compliance</t>
  </si>
  <si>
    <t>QEBW0180</t>
  </si>
  <si>
    <t>4Q.29</t>
  </si>
  <si>
    <t>Volume of Leakage above or below the sustainable economic Level</t>
  </si>
  <si>
    <t>BN2341</t>
  </si>
  <si>
    <t>Performance is above the SELL</t>
  </si>
  <si>
    <t>Additional guidance</t>
  </si>
  <si>
    <t>Lines 22 and 23 should exclude any costs incurred by the retail business unit. All demand management savings delivered in the reporting year should be included (whether funded as enhancement or maintenance).</t>
  </si>
  <si>
    <t>Lines 4Q.24, 4Q.25 and 4Q.26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4Q.25 and 4Q.26 in a way that is consistent with the accounting separation units, i.e. 'network +' includes raw water distribution, water treatment and treated water distribution (in line with Ofwat's Water 2020 decisions document (May 2016)).</t>
  </si>
  <si>
    <t xml:space="preserve">Based on UKWIR report 06/WR/01/7 (“Peak water demand forecasting methodology”), which says that the calculation of peaking factors will depend on circumstances such as a company's asset base and the specific drivers of peak demand, we will allow companies to use an alternative formula that is appropriate to them and explain their formula in the commentary. 
We will change the definition as follows: Peaking factor is the ratio of maximum to average consumption.  Average consumption need to be representative and need not be confined to the average consumption in the year. The duration over which maximum daily consumption is measured will be at least one week and unlikely to be more than a month.  </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</si>
  <si>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</si>
  <si>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</si>
  <si>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</si>
  <si>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</si>
  <si>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</si>
  <si>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</si>
  <si>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</si>
  <si>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</si>
  <si>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</si>
  <si>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</si>
  <si>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</si>
  <si>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This reported figure does not include off-line storage return pumps.</t>
  </si>
  <si>
    <t>4R.4</t>
  </si>
  <si>
    <t>Number of network pumping stations</t>
  </si>
  <si>
    <t>S6019</t>
  </si>
  <si>
    <t>4R.5</t>
  </si>
  <si>
    <t>Total number of sewer blockages</t>
  </si>
  <si>
    <t>BN13522</t>
  </si>
  <si>
    <t>Sewer blockages have decreased by 4% from 80,747 in 2016/17 to 77,402 in 2017/18, which is due to an increased length of planned cleaning delivered, ongoing customer education, and continued improvements in the targeting efficiency of planned programmes.</t>
  </si>
  <si>
    <t>4R.6</t>
  </si>
  <si>
    <t>Total number of gravity sewer collapses</t>
  </si>
  <si>
    <t>BN13521</t>
  </si>
  <si>
    <t>There has been a 57% decrease in the number of gravity sewer collapses from 2016/17 to 2017/18.  In addition we have improved our collapse verification processes and have increased data controls.</t>
  </si>
  <si>
    <t>4R.7</t>
  </si>
  <si>
    <t>Total number of sewer rising main bursts / collapses</t>
  </si>
  <si>
    <t>BN13520</t>
  </si>
  <si>
    <t>Rising main burst numbers have increased by 12 from 2016/17 to 2017/18.  This increase is partly due to this year being the first full regulatory year including private SPSs and their associated rising mains</t>
  </si>
  <si>
    <t>4R.8</t>
  </si>
  <si>
    <t>Number of combined sewer overflows</t>
  </si>
  <si>
    <t>CPMS2005</t>
  </si>
  <si>
    <t>363 consented + 60 unconsented</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</si>
  <si>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</si>
  <si>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</si>
  <si>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</si>
  <si>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</si>
  <si>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</si>
  <si>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</si>
  <si>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</si>
  <si>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</si>
  <si>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</si>
  <si>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</si>
  <si>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</si>
  <si>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</si>
  <si>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</si>
  <si>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See commentary file. The figure reported is Ml/yr as per confirmation in the query response received from Ofwat on the 8th May 2018.</t>
  </si>
  <si>
    <t>4R.13</t>
  </si>
  <si>
    <t>Volume of wastewater receiving treatment at sewage treatment works</t>
  </si>
  <si>
    <t>CPMS2015</t>
  </si>
  <si>
    <t>4R.14</t>
  </si>
  <si>
    <t>Length of gravity sewers rehabilitated</t>
  </si>
  <si>
    <t>BN13519</t>
  </si>
  <si>
    <t>The length of gravity sewers rehabilitated has increased since 2016/17 as a result of the identification of a new data source from our end to end process review (accounting for 20% of this years reported figure) in addition numbers have increased due to increased focus on sewer rehabilitation and first time fixes.</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</si>
  <si>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</si>
  <si>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</si>
  <si>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</si>
  <si>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</si>
  <si>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</si>
  <si>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</si>
  <si>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</si>
  <si>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</si>
  <si>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</si>
  <si>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</si>
  <si>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</si>
  <si>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</si>
  <si>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</si>
  <si>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</si>
  <si>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</si>
  <si>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</si>
  <si>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</si>
  <si>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</si>
  <si>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</si>
  <si>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</si>
  <si>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</si>
  <si>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</si>
  <si>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</si>
  <si>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</si>
  <si>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</si>
  <si>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</si>
  <si>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</si>
  <si>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</si>
  <si>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</si>
  <si>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</si>
  <si>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</si>
  <si>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</si>
  <si>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</si>
  <si>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</si>
  <si>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</si>
  <si>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</si>
  <si>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Percentage of sludge produced and treated at a site of STW and STC co-location</t>
  </si>
  <si>
    <t>MP05615</t>
  </si>
  <si>
    <t>4R.27</t>
  </si>
  <si>
    <t>Total sewage sludge disposed by incumbents</t>
  </si>
  <si>
    <t>BN1623</t>
  </si>
  <si>
    <t>4R.28</t>
  </si>
  <si>
    <t>Total sewage sludge disposed by 3rd party sludge service provider</t>
  </si>
  <si>
    <t>BN1622</t>
  </si>
  <si>
    <t>4R.29</t>
  </si>
  <si>
    <t>Total sewage sludge disposed</t>
  </si>
  <si>
    <t>BN1621</t>
  </si>
  <si>
    <t>4R.30</t>
  </si>
  <si>
    <t>Total measure of intersiting 'work' done by pipeline</t>
  </si>
  <si>
    <t>BN1640</t>
  </si>
  <si>
    <t>ttds*km/year</t>
  </si>
  <si>
    <t>Only Beckton STW to Riverside STC included. Less sludge transferred as lower volume collected at Beckton and more treated through co-treated STC</t>
  </si>
  <si>
    <t>4R.31</t>
  </si>
  <si>
    <t>Total measure of intersiting 'work' done by tanker</t>
  </si>
  <si>
    <t>BN1641</t>
  </si>
  <si>
    <t>Reduction due to greater management control over intersite actvities (closed loops) to ensure sludge only moves shortest possible distance</t>
  </si>
  <si>
    <t>4R.32</t>
  </si>
  <si>
    <t>Total measure of intersiting 'work' done by truck</t>
  </si>
  <si>
    <t>BN1642</t>
  </si>
  <si>
    <t>4R.33</t>
  </si>
  <si>
    <t>Total measure of intersiting 'work' done (all forms of transportation)</t>
  </si>
  <si>
    <t>BN1643</t>
  </si>
  <si>
    <t>4R.34</t>
  </si>
  <si>
    <t>Total measure of intersiting 'work' done by tanker (by volume transported)</t>
  </si>
  <si>
    <t>BN1644</t>
  </si>
  <si>
    <t>m3*km/year</t>
  </si>
  <si>
    <t xml:space="preserve">OFWAT clarification - only include sludge that has gone directly into STC blending tank and not sludge that has gone into STW inlet works. Therefore centrate, sludge liquors and thin sludges excluded. </t>
  </si>
  <si>
    <t>4R.35</t>
  </si>
  <si>
    <t>Total measure of 'work' done in sludge disposal operations by pipeline</t>
  </si>
  <si>
    <t>BN1648</t>
  </si>
  <si>
    <t>no pipelines used for sludge disposal</t>
  </si>
  <si>
    <t>4R.36</t>
  </si>
  <si>
    <t>Total measure of 'work' done in sludge disposal operations by tanker</t>
  </si>
  <si>
    <t>BN1645</t>
  </si>
  <si>
    <t>No liquid disposal activities have been undertaken this year</t>
  </si>
  <si>
    <t>4R.37</t>
  </si>
  <si>
    <t>Total measure of 'work' done in sludge disposal operations by truck</t>
  </si>
  <si>
    <t>BN1646</t>
  </si>
  <si>
    <t>Reduction in overall volume and haulage distances lower</t>
  </si>
  <si>
    <t>4R.38</t>
  </si>
  <si>
    <t>Total measure of 'work' done in sludge disposal operations (all forms of transportation)</t>
  </si>
  <si>
    <t>BN1647</t>
  </si>
  <si>
    <t>4R.39</t>
  </si>
  <si>
    <t>Total measure of 'work' done by tanker in sludge disposal operations (by volume transported)</t>
  </si>
  <si>
    <t>BN1649</t>
  </si>
  <si>
    <t>4R.40</t>
  </si>
  <si>
    <t>Chemical P sludge as percentage of sludge produced at STWs</t>
  </si>
  <si>
    <t>MP05616</t>
  </si>
  <si>
    <t>Based on latest clarification, this is the total percentage of sludge that has some form of chamical addition. The total amount of inert chemical sludge is 4%.</t>
  </si>
  <si>
    <t>For the purposes of reporting quantities of sludge produced (lines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line 23 or line 24, not both. Where this situation occurs the company should report on the quantity involved and the line to which it has been allocated in the commentary. 
For the purposes of reporting against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</si>
  <si>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</si>
  <si>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</si>
  <si>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</si>
  <si>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</si>
  <si>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</si>
  <si>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</si>
  <si>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</si>
  <si>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</si>
  <si>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</si>
  <si>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</si>
  <si>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</si>
  <si>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</si>
  <si>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</si>
  <si>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</si>
  <si>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</si>
  <si>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</si>
  <si>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</si>
  <si>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</si>
  <si>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</si>
  <si>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</si>
  <si>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</si>
  <si>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</si>
  <si>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</si>
  <si>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</si>
  <si>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</si>
  <si>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</si>
  <si>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</si>
  <si>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</si>
  <si>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4S.1</t>
  </si>
  <si>
    <t>Load received by STWs in size band 1</t>
  </si>
  <si>
    <r>
      <t>kg BOD</t>
    </r>
    <r>
      <rPr>
        <vertAlign val="subscript"/>
        <sz val="10"/>
        <color indexed="8"/>
        <rFont val="Gill Sans MT"/>
        <family val="2"/>
      </rPr>
      <t>5</t>
    </r>
    <r>
      <rPr>
        <sz val="10"/>
        <color indexed="8"/>
        <rFont val="Gill Sans MT"/>
        <family val="2"/>
      </rPr>
      <t>/day</t>
    </r>
  </si>
  <si>
    <t xml:space="preserve">Consent data used does not take into account consents that came into effect on the 30/03/18
</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</si>
  <si>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</si>
  <si>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</si>
  <si>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</si>
  <si>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</si>
  <si>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</si>
  <si>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</si>
  <si>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</si>
  <si>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</si>
  <si>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</si>
  <si>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</si>
  <si>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</si>
  <si>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</si>
  <si>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</si>
  <si>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</si>
  <si>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</si>
  <si>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</si>
  <si>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</si>
  <si>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</si>
  <si>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</si>
  <si>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</si>
  <si>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</si>
  <si>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</si>
  <si>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</si>
  <si>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</si>
  <si>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</si>
  <si>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</si>
  <si>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</si>
  <si>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</si>
  <si>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</si>
  <si>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</si>
  <si>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</si>
  <si>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</si>
  <si>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</si>
  <si>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</si>
  <si>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</si>
  <si>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</si>
  <si>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</si>
  <si>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</si>
  <si>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</si>
  <si>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</si>
  <si>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</si>
  <si>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</si>
  <si>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</si>
  <si>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</si>
  <si>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</si>
  <si>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</si>
  <si>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</si>
  <si>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</si>
  <si>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</si>
  <si>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</si>
  <si>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</si>
  <si>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</si>
  <si>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</si>
  <si>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</si>
  <si>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</si>
  <si>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</si>
  <si>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</si>
  <si>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</si>
  <si>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</si>
  <si>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</si>
  <si>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</si>
  <si>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</si>
  <si>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</si>
  <si>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</si>
  <si>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</si>
  <si>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</si>
  <si>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</si>
  <si>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</si>
  <si>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</si>
  <si>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</si>
  <si>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</si>
  <si>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</si>
  <si>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</si>
  <si>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</si>
  <si>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</si>
  <si>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</si>
  <si>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</si>
  <si>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</si>
  <si>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</si>
  <si>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</si>
  <si>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</si>
  <si>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</si>
  <si>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</si>
  <si>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</si>
  <si>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</si>
  <si>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</si>
  <si>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</si>
  <si>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</si>
  <si>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</si>
  <si>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</si>
  <si>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</si>
  <si>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</si>
  <si>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</si>
  <si>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</si>
  <si>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</si>
  <si>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</si>
  <si>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</si>
  <si>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</si>
  <si>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</si>
  <si>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</si>
  <si>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</si>
  <si>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</si>
  <si>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</si>
  <si>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</si>
  <si>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</si>
  <si>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</si>
  <si>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</si>
  <si>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</si>
  <si>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</si>
  <si>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</si>
  <si>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</si>
  <si>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</si>
  <si>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</si>
  <si>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</si>
  <si>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</si>
  <si>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</si>
  <si>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</si>
  <si>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</si>
  <si>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</si>
  <si>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</si>
  <si>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</si>
  <si>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</si>
  <si>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</si>
  <si>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</si>
  <si>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</si>
  <si>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</si>
  <si>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</si>
  <si>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</si>
  <si>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</si>
  <si>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</si>
  <si>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</si>
  <si>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</si>
  <si>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</si>
  <si>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</si>
  <si>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</si>
  <si>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</si>
  <si>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</si>
  <si>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</si>
  <si>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</si>
  <si>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</si>
  <si>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</si>
  <si>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</si>
  <si>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</si>
  <si>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</si>
  <si>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</si>
  <si>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</si>
  <si>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</si>
  <si>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</si>
  <si>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</si>
  <si>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</si>
  <si>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</si>
  <si>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</si>
  <si>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</si>
  <si>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</si>
  <si>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</si>
  <si>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</si>
  <si>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</si>
  <si>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</si>
  <si>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</si>
  <si>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</si>
  <si>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</si>
  <si>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</si>
  <si>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</si>
  <si>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</si>
  <si>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</si>
  <si>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</si>
  <si>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</si>
  <si>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</si>
  <si>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</si>
  <si>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</si>
  <si>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</si>
  <si>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</si>
  <si>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</si>
  <si>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</si>
  <si>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</si>
  <si>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</si>
  <si>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</si>
  <si>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</si>
  <si>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</si>
  <si>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</si>
  <si>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</si>
  <si>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</si>
  <si>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</si>
  <si>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</si>
  <si>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</si>
  <si>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</si>
  <si>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</si>
  <si>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</si>
  <si>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</si>
  <si>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</si>
  <si>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2018</t>
  </si>
  <si>
    <t>4S.9</t>
  </si>
  <si>
    <t>STWs in size band 1</t>
  </si>
  <si>
    <t xml:space="preserve">Consent data used does not take into account consents that came into effect on the 30/03/18
There are 351 STW's but as two (Abingdon and Little Marlow) have two discharge consents with differnet values there are 353 consents
</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</si>
  <si>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</si>
  <si>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</si>
  <si>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</si>
  <si>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</si>
  <si>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</si>
  <si>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</si>
  <si>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</si>
  <si>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</si>
  <si>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</si>
  <si>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</si>
  <si>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</si>
  <si>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</si>
  <si>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</si>
  <si>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</si>
  <si>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</si>
  <si>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</si>
  <si>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</si>
  <si>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</si>
  <si>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</si>
  <si>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</si>
  <si>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</si>
  <si>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</si>
  <si>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</si>
  <si>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</si>
  <si>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</si>
  <si>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</si>
  <si>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</si>
  <si>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</si>
  <si>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</si>
  <si>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</si>
  <si>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</si>
  <si>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</si>
  <si>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</si>
  <si>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</si>
  <si>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</si>
  <si>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</si>
  <si>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</si>
  <si>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</si>
  <si>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</si>
  <si>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</si>
  <si>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</si>
  <si>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</si>
  <si>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</si>
  <si>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</si>
  <si>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</si>
  <si>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</si>
  <si>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</si>
  <si>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</si>
  <si>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</si>
  <si>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</si>
  <si>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</si>
  <si>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</si>
  <si>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</si>
  <si>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</si>
  <si>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</si>
  <si>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</si>
  <si>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</si>
  <si>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</si>
  <si>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</si>
  <si>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</si>
  <si>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</si>
  <si>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</si>
  <si>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</si>
  <si>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</si>
  <si>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</si>
  <si>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</si>
  <si>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</si>
  <si>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</si>
  <si>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</si>
  <si>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</si>
  <si>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</si>
  <si>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</si>
  <si>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</si>
  <si>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</si>
  <si>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</si>
  <si>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</si>
  <si>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</si>
  <si>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</si>
  <si>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</si>
  <si>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</si>
  <si>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</si>
  <si>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</si>
  <si>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</si>
  <si>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</si>
  <si>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</si>
  <si>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</si>
  <si>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</si>
  <si>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</si>
  <si>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</si>
  <si>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</si>
  <si>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</si>
  <si>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</si>
  <si>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</si>
  <si>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</si>
  <si>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</si>
  <si>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</si>
  <si>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</si>
  <si>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</si>
  <si>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</si>
  <si>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</si>
  <si>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</si>
  <si>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</si>
  <si>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</si>
  <si>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</si>
  <si>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</si>
  <si>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</si>
  <si>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</si>
  <si>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</si>
  <si>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</si>
  <si>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</si>
  <si>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</si>
  <si>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</si>
  <si>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</si>
  <si>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</si>
  <si>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</si>
  <si>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</si>
  <si>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</si>
  <si>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</si>
  <si>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</si>
  <si>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</si>
  <si>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</si>
  <si>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</si>
  <si>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</si>
  <si>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</si>
  <si>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</si>
  <si>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</si>
  <si>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</si>
  <si>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</si>
  <si>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</si>
  <si>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</si>
  <si>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</si>
  <si>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</si>
  <si>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</si>
  <si>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</si>
  <si>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</si>
  <si>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</si>
  <si>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</si>
  <si>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</si>
  <si>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</si>
  <si>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</si>
  <si>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</si>
  <si>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</si>
  <si>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</si>
  <si>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</si>
  <si>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</si>
  <si>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</si>
  <si>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</si>
  <si>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</si>
  <si>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</si>
  <si>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</si>
  <si>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</si>
  <si>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</si>
  <si>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</si>
  <si>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</si>
  <si>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</si>
  <si>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</si>
  <si>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</si>
  <si>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</si>
  <si>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</si>
  <si>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</si>
  <si>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</si>
  <si>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</si>
  <si>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</si>
  <si>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</si>
  <si>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</si>
  <si>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</si>
  <si>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</si>
  <si>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</si>
  <si>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</si>
  <si>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</si>
  <si>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</si>
  <si>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</si>
  <si>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</si>
  <si>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</si>
  <si>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</si>
  <si>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</si>
  <si>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</si>
  <si>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</si>
  <si>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</si>
  <si>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</si>
  <si>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</si>
  <si>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</si>
  <si>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</si>
  <si>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</si>
  <si>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</si>
  <si>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</si>
  <si>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</si>
  <si>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</si>
  <si>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</si>
  <si>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</si>
  <si>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</si>
  <si>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Schemes delivered at any time during the period 01/04/17 - 31/03/18 are included</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</si>
  <si>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</si>
  <si>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</si>
  <si>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</si>
  <si>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</si>
  <si>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</si>
  <si>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</si>
  <si>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</si>
  <si>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</si>
  <si>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</si>
  <si>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</si>
  <si>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</si>
  <si>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</si>
  <si>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</si>
  <si>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</si>
  <si>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</si>
  <si>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</si>
  <si>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</si>
  <si>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</si>
  <si>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</si>
  <si>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</si>
  <si>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</si>
  <si>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</si>
  <si>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</si>
  <si>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</si>
  <si>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</si>
  <si>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</si>
  <si>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</si>
  <si>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</si>
  <si>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</si>
  <si>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</si>
  <si>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</si>
  <si>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</si>
  <si>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</si>
  <si>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</si>
  <si>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</si>
  <si>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</si>
  <si>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</si>
  <si>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</si>
  <si>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</si>
  <si>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</si>
  <si>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</si>
  <si>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</si>
  <si>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</si>
  <si>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</si>
  <si>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</si>
  <si>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</si>
  <si>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</si>
  <si>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</si>
  <si>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</si>
  <si>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</si>
  <si>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</si>
  <si>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</si>
  <si>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</si>
  <si>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</si>
  <si>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</si>
  <si>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</si>
  <si>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</si>
  <si>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</si>
  <si>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</si>
  <si>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</si>
  <si>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</si>
  <si>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</si>
  <si>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</si>
  <si>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</si>
  <si>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</si>
  <si>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</si>
  <si>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</si>
  <si>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</si>
  <si>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</si>
  <si>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</si>
  <si>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</si>
  <si>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</si>
  <si>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</si>
  <si>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</si>
  <si>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</si>
  <si>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</si>
  <si>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</si>
  <si>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</si>
  <si>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</si>
  <si>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</si>
  <si>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</si>
  <si>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</si>
  <si>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</si>
  <si>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</si>
  <si>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</si>
  <si>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</si>
  <si>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</si>
  <si>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</si>
  <si>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</si>
  <si>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</si>
  <si>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</si>
  <si>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</si>
  <si>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</si>
  <si>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</si>
  <si>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</si>
  <si>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</si>
  <si>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</si>
  <si>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</si>
  <si>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</si>
  <si>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</si>
  <si>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 xml:space="preserve">The quantity of sludge produced to which the percentages reported in lines 1 to 9 (inclusive) relate should be that reported in Table 4R, line 31. </t>
  </si>
  <si>
    <t>4U - Non-financial data - Properties, population and other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</si>
  <si>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</si>
  <si>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</si>
  <si>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</si>
  <si>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</si>
  <si>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</si>
  <si>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</si>
  <si>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</si>
  <si>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</si>
  <si>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</si>
  <si>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</si>
  <si>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</si>
  <si>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</si>
  <si>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</si>
  <si>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</si>
  <si>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</si>
  <si>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</si>
  <si>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</si>
  <si>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</si>
  <si>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</si>
  <si>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</si>
  <si>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</si>
  <si>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</si>
  <si>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</si>
  <si>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</si>
  <si>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</si>
  <si>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</si>
  <si>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</si>
  <si>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</si>
  <si>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</si>
  <si>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</si>
  <si>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</si>
  <si>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</si>
  <si>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</si>
  <si>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</si>
  <si>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</si>
  <si>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</si>
  <si>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</si>
  <si>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</si>
  <si>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</si>
  <si>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</si>
  <si>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</si>
  <si>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</si>
  <si>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</si>
  <si>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</si>
  <si>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</si>
  <si>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</si>
  <si>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</si>
  <si>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</si>
  <si>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</si>
  <si>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</si>
  <si>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</si>
  <si>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</si>
  <si>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There are no bathing waters in our operational area which our assets discharge into.</t>
  </si>
  <si>
    <t>4U.19</t>
  </si>
  <si>
    <t>Number of intermittent discharge sites with event duration monitoring</t>
  </si>
  <si>
    <t>S4016</t>
  </si>
  <si>
    <t>4U.20</t>
  </si>
  <si>
    <t>Number of monitors for flow monitoring at STWs</t>
  </si>
  <si>
    <t>STWM001</t>
  </si>
  <si>
    <t>The flow monitors are programmed for delivery in Year 5</t>
  </si>
  <si>
    <t>4U.21</t>
  </si>
  <si>
    <t>Number of odour related complaints</t>
  </si>
  <si>
    <t>S4017</t>
  </si>
  <si>
    <t>4U.22</t>
  </si>
  <si>
    <t>Volume of storage provided at CSOs, storm tanks, etc to meet spill frequency objectives</t>
  </si>
  <si>
    <t>S4026</t>
  </si>
  <si>
    <t>Thames Water do not have any spill frequency requirements as there are no bathing waters in our operational area</t>
  </si>
  <si>
    <t>4U.23</t>
  </si>
  <si>
    <t xml:space="preserve">Total volume of network storage </t>
  </si>
  <si>
    <t>CPMS2016</t>
  </si>
  <si>
    <t>The Lee Tunnel has not yet been taken over by Thames and its volume is therefore not included</t>
  </si>
  <si>
    <t>Non-resident population (Line 12)</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</si>
  <si>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</si>
  <si>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</si>
  <si>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</si>
  <si>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</si>
  <si>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</si>
  <si>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</si>
  <si>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</si>
  <si>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</si>
  <si>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</si>
  <si>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</si>
  <si>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</si>
  <si>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WRTOT</t>
  </si>
  <si>
    <t>Opex analysis</t>
  </si>
  <si>
    <t>4V.1</t>
  </si>
  <si>
    <t>BM102</t>
  </si>
  <si>
    <t>4V.2</t>
  </si>
  <si>
    <t>Income Treated as negative expenditure</t>
  </si>
  <si>
    <t>BM836</t>
  </si>
  <si>
    <t>4V.3</t>
  </si>
  <si>
    <t>BM817</t>
  </si>
  <si>
    <t>4V.4</t>
  </si>
  <si>
    <t>Other direct operating expenditure</t>
  </si>
  <si>
    <t>BM108</t>
  </si>
  <si>
    <t>4V.5</t>
  </si>
  <si>
    <t>Other indirect operating expenditure</t>
  </si>
  <si>
    <t>BM110</t>
  </si>
  <si>
    <t>4V.6</t>
  </si>
  <si>
    <t>Total operating expenditure (excluding 3rd party)</t>
  </si>
  <si>
    <t>BM316</t>
  </si>
  <si>
    <t>4V.7</t>
  </si>
  <si>
    <t>FT00865</t>
  </si>
  <si>
    <t>4V.8</t>
  </si>
  <si>
    <t>Total operating costs (excluding 3rd party)</t>
  </si>
  <si>
    <t>BM319</t>
  </si>
  <si>
    <t>Line 4V.8 does not equal line 4D.9 for water resources, please provide reasoning and reconciliation in your commentary</t>
  </si>
  <si>
    <t>BON code</t>
  </si>
  <si>
    <t>Raw water distribution</t>
  </si>
  <si>
    <t>WR</t>
  </si>
  <si>
    <t>RWD</t>
  </si>
  <si>
    <t>WT</t>
  </si>
  <si>
    <t>TWD</t>
  </si>
  <si>
    <t>CAW</t>
  </si>
  <si>
    <t>Other expenditure - wholesale water</t>
  </si>
  <si>
    <t>4V.9</t>
  </si>
  <si>
    <t>Employment costs - directly allocated</t>
  </si>
  <si>
    <t>BM3010</t>
  </si>
  <si>
    <t>4V.10</t>
  </si>
  <si>
    <t>Employment costs - indirectly allocated</t>
  </si>
  <si>
    <t>BM3011</t>
  </si>
  <si>
    <t>4V.11</t>
  </si>
  <si>
    <t>Number FTEs consistent with 4V.9 above</t>
  </si>
  <si>
    <t>W3030</t>
  </si>
  <si>
    <t>4V.12</t>
  </si>
  <si>
    <t>Number FTEs consistent with 4V.10 above</t>
  </si>
  <si>
    <t>W3031</t>
  </si>
  <si>
    <t>4V.13</t>
  </si>
  <si>
    <t>Costs associated with Traffic Management Act</t>
  </si>
  <si>
    <t>W3032</t>
  </si>
  <si>
    <t>4V.14</t>
  </si>
  <si>
    <t>Canal &amp; River Trust service charges and discharge consents</t>
  </si>
  <si>
    <t>W3033</t>
  </si>
  <si>
    <t>4V.15</t>
  </si>
  <si>
    <t>Environment Agency service charges/ discharge consents</t>
  </si>
  <si>
    <t>W3034</t>
  </si>
  <si>
    <t>4V.16</t>
  </si>
  <si>
    <t>Other service charges / permits</t>
  </si>
  <si>
    <t>W3035</t>
  </si>
  <si>
    <t>Lines 4V.14 to 4V.16 do not equal Table 4D.3 please provide reasoning and reconciliation in your commentary</t>
  </si>
  <si>
    <t>4V.17</t>
  </si>
  <si>
    <t>Statutory water softening</t>
  </si>
  <si>
    <t>W3036</t>
  </si>
  <si>
    <t>4W - Operating cost analysis - sludge treatment</t>
  </si>
  <si>
    <t>Untreated sludge</t>
  </si>
  <si>
    <t>Raw sludge liming</t>
  </si>
  <si>
    <t>Conventional AD</t>
  </si>
  <si>
    <t>Advanced AD</t>
  </si>
  <si>
    <t>Incineration of raw sludge</t>
  </si>
  <si>
    <t>Incineration of digested Sludge</t>
  </si>
  <si>
    <t>Photo-conditioning / composting</t>
  </si>
  <si>
    <t>Sludge treatment opex by treatment type</t>
  </si>
  <si>
    <t>Sludge treatment type</t>
  </si>
  <si>
    <t>4W.1</t>
  </si>
  <si>
    <t>BM402STUTS</t>
  </si>
  <si>
    <t>BM402STRSL</t>
  </si>
  <si>
    <t>BM402STCAD</t>
  </si>
  <si>
    <t>BM402STAD</t>
  </si>
  <si>
    <t>BM402STIRS</t>
  </si>
  <si>
    <t>BM402STIDS</t>
  </si>
  <si>
    <t>BM402STPCC</t>
  </si>
  <si>
    <t>BM402STSLOT</t>
  </si>
  <si>
    <t>BM402STTOT</t>
  </si>
  <si>
    <t>4W.2</t>
  </si>
  <si>
    <t>BM836STUTS</t>
  </si>
  <si>
    <t>BM836STRSL</t>
  </si>
  <si>
    <t>BM836STCAD</t>
  </si>
  <si>
    <t>BM836STAD</t>
  </si>
  <si>
    <t>BM836STIRS</t>
  </si>
  <si>
    <t>BM836STIDS</t>
  </si>
  <si>
    <t>BM836STPCC</t>
  </si>
  <si>
    <t>BM836STSLOT</t>
  </si>
  <si>
    <t>BM836STTOT</t>
  </si>
  <si>
    <t>4W.3</t>
  </si>
  <si>
    <t>BM817STUTS</t>
  </si>
  <si>
    <t>BM817STRSL</t>
  </si>
  <si>
    <t>BM817STCAD</t>
  </si>
  <si>
    <t>BM817STAD</t>
  </si>
  <si>
    <t>BM817STIRS</t>
  </si>
  <si>
    <t>BM817STIDS</t>
  </si>
  <si>
    <t>BM817STPCC</t>
  </si>
  <si>
    <t>BM817STSLOT</t>
  </si>
  <si>
    <t>BM817STTOT</t>
  </si>
  <si>
    <t>4W.4</t>
  </si>
  <si>
    <t>BM408STUTS</t>
  </si>
  <si>
    <t>BM408STRSL</t>
  </si>
  <si>
    <t>BM408STCAD</t>
  </si>
  <si>
    <t>BM408STAD</t>
  </si>
  <si>
    <t>BM408STIRS</t>
  </si>
  <si>
    <t>BM408STIDS</t>
  </si>
  <si>
    <t>BM408STPCC</t>
  </si>
  <si>
    <t>BM408STSLOT</t>
  </si>
  <si>
    <t>BM408STTOT</t>
  </si>
  <si>
    <t>4W.5</t>
  </si>
  <si>
    <t>BM410STUTS</t>
  </si>
  <si>
    <t>BM410STRSL</t>
  </si>
  <si>
    <t>BM410STCAD</t>
  </si>
  <si>
    <t>BM410STAD</t>
  </si>
  <si>
    <t>BM410STIRS</t>
  </si>
  <si>
    <t>BM410STIDS</t>
  </si>
  <si>
    <t>BM410STPCC</t>
  </si>
  <si>
    <t>BM410STSLOT</t>
  </si>
  <si>
    <t>BM410STTOT</t>
  </si>
  <si>
    <t>4W.6</t>
  </si>
  <si>
    <t>BM8390STUTS</t>
  </si>
  <si>
    <t>BM8390STRSL</t>
  </si>
  <si>
    <t>BM8390STCAD</t>
  </si>
  <si>
    <t>BM8390STAD</t>
  </si>
  <si>
    <t>BM8390STIRS</t>
  </si>
  <si>
    <t>BM8390STIDS</t>
  </si>
  <si>
    <t>BM8390STPCC</t>
  </si>
  <si>
    <t>BM8390STSLOT</t>
  </si>
  <si>
    <t>BM8390STTOT</t>
  </si>
  <si>
    <t>4W.7</t>
  </si>
  <si>
    <t>FT00865STUTS</t>
  </si>
  <si>
    <t>FT00865STRSL</t>
  </si>
  <si>
    <t>FT00865STCAD</t>
  </si>
  <si>
    <t>FT00865STAD</t>
  </si>
  <si>
    <t>FT00865STIRS</t>
  </si>
  <si>
    <t>FT00865STIDS</t>
  </si>
  <si>
    <t>FT00865STPCC</t>
  </si>
  <si>
    <t>FT00865STSLOT</t>
  </si>
  <si>
    <t>FT00865STTOT</t>
  </si>
  <si>
    <t>4W.8</t>
  </si>
  <si>
    <t>Line 4W.8 does not equal line 4E.9 for sludge treatment, please provide reasoning and reconciliation in your commentary</t>
  </si>
  <si>
    <t>BM319STUTS</t>
  </si>
  <si>
    <t>BM319STRSL</t>
  </si>
  <si>
    <t>BM319STCAD</t>
  </si>
  <si>
    <t>BM319STAD</t>
  </si>
  <si>
    <t>BM319STIRS</t>
  </si>
  <si>
    <t>BM319STIDS</t>
  </si>
  <si>
    <t>BM319STPCC</t>
  </si>
  <si>
    <t>BM319STSLOT</t>
  </si>
  <si>
    <t>BM319STTOT</t>
  </si>
  <si>
    <t>Sludge disposal route</t>
  </si>
  <si>
    <t>4W.9</t>
  </si>
  <si>
    <t>BM402SDUTS</t>
  </si>
  <si>
    <t>BM402SDRSL</t>
  </si>
  <si>
    <t>BM402SDCAD</t>
  </si>
  <si>
    <t>BM402SDAD</t>
  </si>
  <si>
    <t>BM402SDIRS</t>
  </si>
  <si>
    <t>BM402SDIDS</t>
  </si>
  <si>
    <t>BM402SDPCC</t>
  </si>
  <si>
    <t>BM402SDSLOT</t>
  </si>
  <si>
    <t>BM402SDTOT</t>
  </si>
  <si>
    <t>4W.10</t>
  </si>
  <si>
    <t>BM836SDUTS</t>
  </si>
  <si>
    <t>BM836SDRSL</t>
  </si>
  <si>
    <t>BM836SDCAD</t>
  </si>
  <si>
    <t>BM836SDAD</t>
  </si>
  <si>
    <t>BM836SDIRS</t>
  </si>
  <si>
    <t>BM836SDIDS</t>
  </si>
  <si>
    <t>BM836SDPCC</t>
  </si>
  <si>
    <t>BM836SDSLOT</t>
  </si>
  <si>
    <t>BM836SDTOT</t>
  </si>
  <si>
    <t>4W.11</t>
  </si>
  <si>
    <t>BM817SDUTS</t>
  </si>
  <si>
    <t>BM817SDRSL</t>
  </si>
  <si>
    <t>BM817SDCAD</t>
  </si>
  <si>
    <t>BM817SDAD</t>
  </si>
  <si>
    <t>BM817SDIRS</t>
  </si>
  <si>
    <t>BM817SDIDS</t>
  </si>
  <si>
    <t>BM817SDPCC</t>
  </si>
  <si>
    <t>BM817SDSLOT</t>
  </si>
  <si>
    <t>BM817SDTOT</t>
  </si>
  <si>
    <t>4W.12</t>
  </si>
  <si>
    <t>BM408SDUTS</t>
  </si>
  <si>
    <t>BM408SDRSL</t>
  </si>
  <si>
    <t>BM408SDCAD</t>
  </si>
  <si>
    <t>BM408SDAD</t>
  </si>
  <si>
    <t>BM408SDIRS</t>
  </si>
  <si>
    <t>BM408SDIDS</t>
  </si>
  <si>
    <t>BM408SDPCC</t>
  </si>
  <si>
    <t>BM408SDSLOT</t>
  </si>
  <si>
    <t>BM408SDTOT</t>
  </si>
  <si>
    <t>4W.13</t>
  </si>
  <si>
    <t>BM410SDUTS</t>
  </si>
  <si>
    <t>BM410SDRSL</t>
  </si>
  <si>
    <t>BM410SDCAD</t>
  </si>
  <si>
    <t>BM410SDAD</t>
  </si>
  <si>
    <t>BM410SDIRS</t>
  </si>
  <si>
    <t>BM410SDIDS</t>
  </si>
  <si>
    <t>BM410SDPCC</t>
  </si>
  <si>
    <t>BM410SDSLOT</t>
  </si>
  <si>
    <t>BM410SDTOT</t>
  </si>
  <si>
    <t>4W.14</t>
  </si>
  <si>
    <t>BM8390SDUTS</t>
  </si>
  <si>
    <t>BM8390SDRSL</t>
  </si>
  <si>
    <t>BM8390SDCAD</t>
  </si>
  <si>
    <t>BM8390SDAD</t>
  </si>
  <si>
    <t>BM8390SDIRS</t>
  </si>
  <si>
    <t>BM8390SDIDS</t>
  </si>
  <si>
    <t>BM8390SDPCC</t>
  </si>
  <si>
    <t>BM8390SDSLOT</t>
  </si>
  <si>
    <t>BM8390SDTOT</t>
  </si>
  <si>
    <t>4W.15</t>
  </si>
  <si>
    <t>FT00865SDUTS</t>
  </si>
  <si>
    <t>FT00865SDRSL</t>
  </si>
  <si>
    <t>FT00865SDCAD</t>
  </si>
  <si>
    <t>FT00865SDAD</t>
  </si>
  <si>
    <t>FT00865SDIRS</t>
  </si>
  <si>
    <t>FT00865SDIDS</t>
  </si>
  <si>
    <t>FT00865SDPCC</t>
  </si>
  <si>
    <t>FT00865SDSLOT</t>
  </si>
  <si>
    <t>FT00865SDTOT</t>
  </si>
  <si>
    <t>4W.16</t>
  </si>
  <si>
    <t>Line 4W.16 does not equal line 4E.9 for sludge disposal, please provide reasoning and reconciliation in your commentary</t>
  </si>
  <si>
    <t>BM319SDUTS</t>
  </si>
  <si>
    <t>BM319SDRSL</t>
  </si>
  <si>
    <t>BM319SDCAD</t>
  </si>
  <si>
    <t>BM319SDAD</t>
  </si>
  <si>
    <t>BM319SDIRS</t>
  </si>
  <si>
    <t>BM319SDIDS</t>
  </si>
  <si>
    <t>BM319SDPCC</t>
  </si>
  <si>
    <t>BM319SDSLOT</t>
  </si>
  <si>
    <t>BM319SDTOT</t>
  </si>
  <si>
    <t>Other expenditure - Wholesale wastewater</t>
  </si>
  <si>
    <t>Network plus  sewage collection</t>
  </si>
  <si>
    <t>Network plus  sewage treatment</t>
  </si>
  <si>
    <t>4W.17</t>
  </si>
  <si>
    <t>BM3010NPSC</t>
  </si>
  <si>
    <t>BM3010NPST</t>
  </si>
  <si>
    <t>BM3010SL</t>
  </si>
  <si>
    <t>BM3010OTHTOT</t>
  </si>
  <si>
    <t>4W.18</t>
  </si>
  <si>
    <t>BM3011NPSC</t>
  </si>
  <si>
    <t>BM3011NPST</t>
  </si>
  <si>
    <t>BM3011SL</t>
  </si>
  <si>
    <t>BM3011OTHTOT</t>
  </si>
  <si>
    <t>4W.19</t>
  </si>
  <si>
    <t>Number FTEs consistent with line 4W.17</t>
  </si>
  <si>
    <t>W3030NPSC</t>
  </si>
  <si>
    <t>W3030NPST</t>
  </si>
  <si>
    <t>W3030SL</t>
  </si>
  <si>
    <t>W3030OTHTOT</t>
  </si>
  <si>
    <t>4W.20</t>
  </si>
  <si>
    <t>Number FTEs consistent with line 4W.18 above</t>
  </si>
  <si>
    <t>W3031NPSC</t>
  </si>
  <si>
    <t>W3031NPST</t>
  </si>
  <si>
    <t>W3031SL</t>
  </si>
  <si>
    <t>W3031OTHTOT</t>
  </si>
  <si>
    <t>4W.21</t>
  </si>
  <si>
    <t>Costs asscociated with Traffic Management Act</t>
  </si>
  <si>
    <t>W3032NPSC</t>
  </si>
  <si>
    <t>W3032NPST</t>
  </si>
  <si>
    <t>W3032SL</t>
  </si>
  <si>
    <t>W3032OTHTOT</t>
  </si>
  <si>
    <t>4W.22</t>
  </si>
  <si>
    <t>Costs associated with Industrial Emissions Directive</t>
  </si>
  <si>
    <t>W3036NPSC</t>
  </si>
  <si>
    <t>W3036NPST</t>
  </si>
  <si>
    <t>W3036SL</t>
  </si>
  <si>
    <t>W3036OTHTOT</t>
  </si>
  <si>
    <t>4W.23</t>
  </si>
  <si>
    <t>W3033NPSC</t>
  </si>
  <si>
    <t>W3033NPST</t>
  </si>
  <si>
    <t>W3033SL</t>
  </si>
  <si>
    <t>W3033OTHTOT</t>
  </si>
  <si>
    <t>4W.24</t>
  </si>
  <si>
    <t>Environment Agency service charges / discharge consents</t>
  </si>
  <si>
    <t>W3034NPSC</t>
  </si>
  <si>
    <t>W3034NPST</t>
  </si>
  <si>
    <t>W3034SL</t>
  </si>
  <si>
    <t>W3034OTHTOT</t>
  </si>
  <si>
    <t>4W.25</t>
  </si>
  <si>
    <t>Lines 4W.23 to 4W.25 do not equal line 4E.3 please provide reasoning and reconciliation in your commentary</t>
  </si>
  <si>
    <t>W3035NPSC</t>
  </si>
  <si>
    <t>W3035NPST</t>
  </si>
  <si>
    <t>W3035SL</t>
  </si>
  <si>
    <t>W3035OTHTOT</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</si>
  <si>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</si>
  <si>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</si>
  <si>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</si>
  <si>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</si>
  <si>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</si>
  <si>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</si>
  <si>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</si>
  <si>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</si>
  <si>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</si>
  <si>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</si>
  <si>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</si>
  <si>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</si>
  <si>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</si>
  <si>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</si>
  <si>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</si>
  <si>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</si>
  <si>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</si>
  <si>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</si>
  <si>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</si>
  <si>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</si>
  <si>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</si>
  <si>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</si>
  <si>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</si>
  <si>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</si>
  <si>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</si>
  <si>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</si>
  <si>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</si>
  <si>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</si>
  <si>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</si>
  <si>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</si>
  <si>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</si>
  <si>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</si>
  <si>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</si>
  <si>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</si>
  <si>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</si>
  <si>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</si>
  <si>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</si>
  <si>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</si>
  <si>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</si>
  <si>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</si>
  <si>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</si>
  <si>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</si>
  <si>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</si>
  <si>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</si>
  <si>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</si>
  <si>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</si>
  <si>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</si>
  <si>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</si>
  <si>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</si>
  <si>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</si>
  <si>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</si>
  <si>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</si>
  <si>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</si>
  <si>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</si>
  <si>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</si>
  <si>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</si>
  <si>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</si>
  <si>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</si>
  <si>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</si>
  <si>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</si>
  <si>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</si>
  <si>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</si>
  <si>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</si>
  <si>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</si>
  <si>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</si>
  <si>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</si>
  <si>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</si>
  <si>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</si>
  <si>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</si>
  <si>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</si>
  <si>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</si>
  <si>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</si>
  <si>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</si>
  <si>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</si>
  <si>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</si>
  <si>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</si>
  <si>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</si>
  <si>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</si>
  <si>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</si>
  <si>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</si>
  <si>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</si>
  <si>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</si>
  <si>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</si>
  <si>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</si>
  <si>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</si>
  <si>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</si>
  <si>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</si>
  <si>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</si>
  <si>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</si>
  <si>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</si>
  <si>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</si>
  <si>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</si>
  <si>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</si>
  <si>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</si>
  <si>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</si>
  <si>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</si>
  <si>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</si>
  <si>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</si>
  <si>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</si>
  <si>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</si>
  <si>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</si>
  <si>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</si>
  <si>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</si>
  <si>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</si>
  <si>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</si>
  <si>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</si>
  <si>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</si>
  <si>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</si>
  <si>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</si>
  <si>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</si>
  <si>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</si>
  <si>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</si>
  <si>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</si>
  <si>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</si>
  <si>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</si>
  <si>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</si>
  <si>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</si>
  <si>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</si>
  <si>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</si>
  <si>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</si>
  <si>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</si>
  <si>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</si>
  <si>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</si>
  <si>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</si>
  <si>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</si>
  <si>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</si>
  <si>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</si>
  <si>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</si>
  <si>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</si>
  <si>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</si>
  <si>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</si>
  <si>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</si>
  <si>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</si>
  <si>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</si>
  <si>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</si>
  <si>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</si>
  <si>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</si>
  <si>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</si>
  <si>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TMS</t>
  </si>
  <si>
    <t>United Utilities Water Plc</t>
  </si>
  <si>
    <t>United Utilities</t>
  </si>
  <si>
    <t>NWT</t>
  </si>
  <si>
    <t>Wessex Water Services Ltd</t>
  </si>
  <si>
    <t>Wessex Water</t>
  </si>
  <si>
    <t>WSX</t>
  </si>
  <si>
    <t>Yorkshire Water Services Ltd</t>
  </si>
  <si>
    <t>Yorkshire Water</t>
  </si>
  <si>
    <t>YKY</t>
  </si>
  <si>
    <t>Affinity Water</t>
  </si>
  <si>
    <t>afw</t>
  </si>
  <si>
    <t>WoC</t>
  </si>
  <si>
    <t>Bristol Water plc</t>
  </si>
  <si>
    <t>Bristol Water</t>
  </si>
  <si>
    <t>brl</t>
  </si>
  <si>
    <t>Dee Valley Water Plc</t>
  </si>
  <si>
    <t>Dee Valley Water</t>
  </si>
  <si>
    <t>dvw</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</si>
  <si>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</si>
  <si>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</si>
  <si>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</si>
  <si>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</si>
  <si>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</si>
  <si>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</si>
  <si>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</si>
  <si>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</si>
  <si>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</si>
  <si>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</si>
  <si>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</si>
  <si>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</si>
  <si>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</si>
  <si>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</si>
  <si>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</si>
  <si>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</si>
  <si>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</si>
  <si>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See the 'PC categories' worksheet
for totals by company</t>
  </si>
  <si>
    <t>&lt;-----------   AMP6 performance commitment levels   -------------&gt;</t>
  </si>
  <si>
    <t>&lt;-----------  PR14 comparative assessments  -----------&gt;</t>
  </si>
  <si>
    <t>Financial ODI/milestone may accrue or apply</t>
  </si>
  <si>
    <t>Underperformance penalty collar</t>
  </si>
  <si>
    <t>Outperformance payment cap</t>
  </si>
  <si>
    <t>Underperformance penalty 1</t>
  </si>
  <si>
    <t>Underperformance penalty 2</t>
  </si>
  <si>
    <t>Underperformance penalty 3</t>
  </si>
  <si>
    <t>Underperformance penalty 4</t>
  </si>
  <si>
    <t>Outperformance payment 1</t>
  </si>
  <si>
    <t>Outperformance payment 2</t>
  </si>
  <si>
    <t xml:space="preserve">       2016 APR submission data (monetary amounts in 2012-13 prices)</t>
  </si>
  <si>
    <t>2017 APR submission data (monetary amounts in 2012-13 prices)</t>
  </si>
  <si>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</si>
  <si>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</si>
  <si>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</si>
  <si>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</si>
  <si>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</si>
  <si>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</si>
  <si>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</si>
  <si>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</si>
  <si>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</si>
  <si>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</si>
  <si>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</si>
  <si>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</si>
  <si>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</si>
  <si>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</si>
  <si>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</si>
  <si>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</si>
  <si>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</si>
  <si>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</si>
  <si>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</si>
  <si>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</si>
  <si>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</si>
  <si>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</si>
  <si>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</si>
  <si>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</si>
  <si>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</si>
  <si>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</si>
  <si>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</si>
  <si>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</si>
  <si>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</si>
  <si>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</si>
  <si>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</si>
  <si>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</si>
  <si>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</si>
  <si>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</si>
  <si>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</si>
  <si>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</si>
  <si>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</si>
  <si>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</si>
  <si>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</si>
  <si>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</si>
  <si>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</si>
  <si>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</si>
  <si>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</si>
  <si>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</si>
  <si>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</si>
  <si>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</si>
  <si>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</si>
  <si>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</si>
  <si>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</si>
  <si>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</si>
  <si>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</si>
  <si>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</si>
  <si>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</si>
  <si>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</si>
  <si>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</si>
  <si>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</si>
  <si>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</si>
  <si>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</si>
  <si>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</si>
  <si>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</si>
  <si>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</si>
  <si>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</si>
  <si>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</si>
  <si>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</si>
  <si>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</si>
  <si>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</si>
  <si>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</si>
  <si>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</si>
  <si>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</si>
  <si>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</si>
  <si>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</si>
  <si>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</si>
  <si>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</si>
  <si>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</si>
  <si>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</si>
  <si>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</si>
  <si>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</si>
  <si>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</si>
  <si>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</si>
  <si>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</si>
  <si>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</si>
  <si>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</si>
  <si>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</si>
  <si>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</si>
  <si>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</si>
  <si>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</si>
  <si>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</si>
  <si>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</si>
  <si>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</si>
  <si>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</si>
  <si>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</si>
  <si>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</si>
  <si>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</si>
  <si>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</si>
  <si>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</si>
  <si>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</si>
  <si>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</si>
  <si>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</si>
  <si>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</si>
  <si>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</si>
  <si>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</si>
  <si>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</si>
  <si>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</si>
  <si>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</si>
  <si>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</si>
  <si>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</si>
  <si>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</si>
  <si>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</si>
  <si>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</si>
  <si>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</si>
  <si>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</si>
  <si>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</si>
  <si>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</si>
  <si>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</si>
  <si>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</si>
  <si>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</si>
  <si>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</si>
  <si>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</si>
  <si>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</si>
  <si>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</si>
  <si>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</si>
  <si>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</si>
  <si>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</si>
  <si>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</si>
  <si>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</si>
  <si>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</si>
  <si>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</si>
  <si>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</si>
  <si>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</si>
  <si>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</si>
  <si>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</si>
  <si>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</si>
  <si>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</si>
  <si>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</si>
  <si>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</si>
  <si>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</si>
  <si>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</si>
  <si>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</si>
  <si>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</si>
  <si>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</si>
  <si>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</si>
  <si>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</si>
  <si>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</si>
  <si>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</si>
  <si>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</si>
  <si>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</si>
  <si>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</si>
  <si>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</si>
  <si>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</si>
  <si>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</si>
  <si>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</si>
  <si>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</si>
  <si>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</si>
  <si>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</si>
  <si>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</si>
  <si>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</si>
  <si>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</si>
  <si>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</si>
  <si>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</si>
  <si>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</si>
  <si>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</si>
  <si>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</si>
  <si>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</si>
  <si>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</si>
  <si>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</si>
  <si>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</si>
  <si>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</si>
  <si>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</si>
  <si>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</si>
  <si>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</si>
  <si>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</si>
  <si>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</si>
  <si>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</si>
  <si>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</si>
  <si>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</si>
  <si>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</si>
  <si>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</si>
  <si>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</si>
  <si>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</si>
  <si>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</si>
  <si>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</si>
  <si>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</si>
  <si>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</si>
  <si>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</si>
  <si>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</si>
  <si>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</si>
  <si>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</si>
  <si>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</si>
  <si>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</si>
  <si>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</si>
  <si>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</si>
  <si>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</si>
  <si>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</si>
  <si>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</si>
  <si>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</si>
  <si>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</si>
  <si>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</si>
  <si>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</si>
  <si>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</si>
  <si>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</si>
  <si>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</si>
  <si>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</si>
  <si>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</si>
  <si>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</si>
  <si>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</si>
  <si>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</si>
  <si>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</si>
  <si>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</si>
  <si>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</si>
  <si>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</si>
  <si>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</si>
  <si>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</si>
  <si>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</si>
  <si>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</si>
  <si>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</si>
  <si>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</si>
  <si>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</si>
  <si>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</si>
  <si>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</si>
  <si>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</si>
  <si>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</si>
  <si>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</si>
  <si>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</si>
  <si>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</si>
  <si>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</si>
  <si>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</si>
  <si>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</si>
  <si>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</si>
  <si>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</si>
  <si>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</si>
  <si>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</si>
  <si>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</si>
  <si>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</si>
  <si>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</si>
  <si>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</si>
  <si>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</si>
  <si>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</si>
  <si>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</si>
  <si>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</si>
  <si>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</si>
  <si>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</si>
  <si>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</si>
  <si>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</si>
  <si>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ANH  W-G1: Survey of community perception</t>
  </si>
  <si>
    <t>PR14ANHWSW_W-H1</t>
  </si>
  <si>
    <t>Investing for tomorrow</t>
  </si>
  <si>
    <t>W-H1</t>
  </si>
  <si>
    <t>ANH-16</t>
  </si>
  <si>
    <t>W-H1: Water infrastructure</t>
  </si>
  <si>
    <t>category</t>
  </si>
  <si>
    <t>Asset health indicator (RAG)</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</si>
  <si>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</si>
  <si>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</si>
  <si>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</si>
  <si>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</si>
  <si>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</si>
  <si>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</si>
  <si>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</si>
  <si>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</si>
  <si>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</si>
  <si>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</si>
  <si>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</si>
  <si>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</si>
  <si>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</si>
  <si>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</si>
  <si>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</si>
  <si>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</si>
  <si>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</si>
  <si>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</si>
  <si>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</si>
  <si>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</si>
  <si>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</si>
  <si>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</si>
  <si>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</si>
  <si>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</si>
  <si>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</si>
  <si>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</si>
  <si>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</si>
  <si>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</si>
  <si>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</si>
  <si>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</si>
  <si>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</si>
  <si>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</si>
  <si>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</si>
  <si>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</si>
  <si>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</si>
  <si>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</si>
  <si>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</si>
  <si>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</si>
  <si>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</si>
  <si>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</si>
  <si>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</si>
  <si>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</si>
  <si>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</si>
  <si>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</si>
  <si>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</si>
  <si>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</si>
  <si>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</si>
  <si>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</si>
  <si>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</si>
  <si>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</si>
  <si>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</si>
  <si>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</si>
  <si>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</si>
  <si>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</si>
  <si>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</si>
  <si>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</si>
  <si>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</si>
  <si>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</si>
  <si>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</si>
  <si>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</si>
  <si>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</si>
  <si>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</si>
  <si>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</si>
  <si>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</si>
  <si>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</si>
  <si>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</si>
  <si>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</si>
  <si>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</si>
  <si>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</si>
  <si>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</si>
  <si>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</si>
  <si>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</si>
  <si>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</si>
  <si>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</si>
  <si>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</si>
  <si>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</si>
  <si>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</si>
  <si>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</si>
  <si>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</si>
  <si>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</si>
  <si>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</si>
  <si>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</si>
  <si>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</si>
  <si>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</si>
  <si>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</si>
  <si>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</si>
  <si>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</si>
  <si>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</si>
  <si>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</si>
  <si>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</si>
  <si>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Service incentive mechanism (SIM) score ranking (WaSCs)</t>
  </si>
  <si>
    <t>3rd+</t>
  </si>
  <si>
    <t>3rd among the 10 WaSCs</t>
  </si>
  <si>
    <t>6th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</si>
  <si>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</si>
  <si>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</si>
  <si>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</si>
  <si>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</si>
  <si>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</si>
  <si>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</si>
  <si>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</si>
  <si>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</si>
  <si>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</si>
  <si>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</si>
  <si>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</si>
  <si>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</si>
  <si>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</si>
  <si>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</si>
  <si>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</si>
  <si>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</si>
  <si>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</si>
  <si>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</si>
  <si>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</si>
  <si>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</si>
  <si>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</si>
  <si>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</si>
  <si>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</si>
  <si>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</si>
  <si>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</si>
  <si>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</si>
  <si>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</si>
  <si>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</si>
  <si>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</si>
  <si>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</si>
  <si>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</si>
  <si>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</si>
  <si>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</si>
  <si>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</si>
  <si>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</si>
  <si>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</si>
  <si>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</si>
  <si>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</si>
  <si>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</si>
  <si>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</si>
  <si>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</si>
  <si>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</si>
  <si>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</si>
  <si>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</si>
  <si>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</si>
  <si>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</si>
  <si>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</si>
  <si>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</si>
  <si>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</si>
  <si>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</si>
  <si>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</si>
  <si>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</si>
  <si>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</si>
  <si>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</si>
  <si>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</si>
  <si>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</si>
  <si>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</si>
  <si>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</si>
  <si>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</si>
  <si>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</si>
  <si>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</si>
  <si>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</si>
  <si>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</si>
  <si>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</si>
  <si>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</si>
  <si>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</si>
  <si>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</si>
  <si>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</si>
  <si>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</si>
  <si>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</si>
  <si>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</si>
  <si>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</si>
  <si>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</si>
  <si>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</si>
  <si>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</si>
  <si>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</si>
  <si>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</si>
  <si>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</si>
  <si>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</si>
  <si>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</si>
  <si>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</si>
  <si>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</si>
  <si>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</si>
  <si>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</si>
  <si>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</si>
  <si>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</si>
  <si>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</si>
  <si>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</si>
  <si>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</si>
  <si>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</si>
  <si>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</si>
  <si>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</si>
  <si>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</si>
  <si>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</si>
  <si>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</si>
  <si>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</si>
  <si>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</si>
  <si>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</si>
  <si>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</si>
  <si>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</si>
  <si>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</si>
  <si>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</si>
  <si>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</si>
  <si>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</si>
  <si>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</si>
  <si>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</si>
  <si>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</si>
  <si>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</si>
  <si>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</si>
  <si>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</si>
  <si>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</si>
  <si>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</si>
  <si>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</si>
  <si>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</si>
  <si>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</si>
  <si>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</si>
  <si>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</si>
  <si>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</si>
  <si>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</si>
  <si>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</si>
  <si>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</si>
  <si>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</si>
  <si>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</si>
  <si>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</si>
  <si>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</si>
  <si>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</si>
  <si>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</si>
  <si>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</si>
  <si>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</si>
  <si>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</si>
  <si>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</si>
  <si>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</si>
  <si>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</si>
  <si>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</si>
  <si>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</si>
  <si>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</si>
  <si>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</si>
  <si>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</si>
  <si>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</si>
  <si>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</si>
  <si>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</si>
  <si>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</si>
  <si>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</si>
  <si>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</si>
  <si>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</si>
  <si>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</si>
  <si>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</si>
  <si>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</si>
  <si>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</si>
  <si>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</si>
  <si>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</si>
  <si>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</si>
  <si>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</si>
  <si>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</si>
  <si>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</si>
  <si>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</si>
  <si>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</si>
  <si>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</si>
  <si>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</si>
  <si>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</si>
  <si>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</si>
  <si>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</si>
  <si>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</si>
  <si>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</si>
  <si>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</si>
  <si>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</si>
  <si>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</si>
  <si>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</si>
  <si>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</si>
  <si>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</si>
  <si>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</si>
  <si>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</si>
  <si>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</si>
  <si>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</si>
  <si>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</si>
  <si>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</si>
  <si>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</si>
  <si>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</si>
  <si>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</si>
  <si>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</si>
  <si>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</si>
  <si>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</si>
  <si>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</si>
  <si>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</si>
  <si>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</si>
  <si>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</si>
  <si>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</si>
  <si>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N/A</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</si>
  <si>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</si>
  <si>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</si>
  <si>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</si>
  <si>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</si>
  <si>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</si>
  <si>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</si>
  <si>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</si>
  <si>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</si>
  <si>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</si>
  <si>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</si>
  <si>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</si>
  <si>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</si>
  <si>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</si>
  <si>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</si>
  <si>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</si>
  <si>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</si>
  <si>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</si>
  <si>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</si>
  <si>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</si>
  <si>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</si>
  <si>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</si>
  <si>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</si>
  <si>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</si>
  <si>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</si>
  <si>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</si>
  <si>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</si>
  <si>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</si>
  <si>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</si>
  <si>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</si>
  <si>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</si>
  <si>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</si>
  <si>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</si>
  <si>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</si>
  <si>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</si>
  <si>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</si>
  <si>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</si>
  <si>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</si>
  <si>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</si>
  <si>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</si>
  <si>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</si>
  <si>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</si>
  <si>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</si>
  <si>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</si>
  <si>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</si>
  <si>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</si>
  <si>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</si>
  <si>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</si>
  <si>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</si>
  <si>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</si>
  <si>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</si>
  <si>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</si>
  <si>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</si>
  <si>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</si>
  <si>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</si>
  <si>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</si>
  <si>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</si>
  <si>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</si>
  <si>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</si>
  <si>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</si>
  <si>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</si>
  <si>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</si>
  <si>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</si>
  <si>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</si>
  <si>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</si>
  <si>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</si>
  <si>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</si>
  <si>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</si>
  <si>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</si>
  <si>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</si>
  <si>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</si>
  <si>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</si>
  <si>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</si>
  <si>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</si>
  <si>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</si>
  <si>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</si>
  <si>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</si>
  <si>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</si>
  <si>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</si>
  <si>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</si>
  <si>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</si>
  <si>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</si>
  <si>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</si>
  <si>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</si>
  <si>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</si>
  <si>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</si>
  <si>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</si>
  <si>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</si>
  <si>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</si>
  <si>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</si>
  <si>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</si>
  <si>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</si>
  <si>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</si>
  <si>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</si>
  <si>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</si>
  <si>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</si>
  <si>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</si>
  <si>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</si>
  <si>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</si>
  <si>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</si>
  <si>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</si>
  <si>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</si>
  <si>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</si>
  <si>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</si>
  <si>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</si>
  <si>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</si>
  <si>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</si>
  <si>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</si>
  <si>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</si>
  <si>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</si>
  <si>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</si>
  <si>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</si>
  <si>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</si>
  <si>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</si>
  <si>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</si>
  <si>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</si>
  <si>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</si>
  <si>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</si>
  <si>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</si>
  <si>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</si>
  <si>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</si>
  <si>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</si>
  <si>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</si>
  <si>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</si>
  <si>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</si>
  <si>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</si>
  <si>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</si>
  <si>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</si>
  <si>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</si>
  <si>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</si>
  <si>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</si>
  <si>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</si>
  <si>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</si>
  <si>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</si>
  <si>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</si>
  <si>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</si>
  <si>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</si>
  <si>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</si>
  <si>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</si>
  <si>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</si>
  <si>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</si>
  <si>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</si>
  <si>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</si>
  <si>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</si>
  <si>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</si>
  <si>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</si>
  <si>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</si>
  <si>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</si>
  <si>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</si>
  <si>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</si>
  <si>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</si>
  <si>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</si>
  <si>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</si>
  <si>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</si>
  <si>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</si>
  <si>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</si>
  <si>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</si>
  <si>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</si>
  <si>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</si>
  <si>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</si>
  <si>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</si>
  <si>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</si>
  <si>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</si>
  <si>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</si>
  <si>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</si>
  <si>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</si>
  <si>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</si>
  <si>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</si>
  <si>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</si>
  <si>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</si>
  <si>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</si>
  <si>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</si>
  <si>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</si>
  <si>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</si>
  <si>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</si>
  <si>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</si>
  <si>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</si>
  <si>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</si>
  <si>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</si>
  <si>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</si>
  <si>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</si>
  <si>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</si>
  <si>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</si>
  <si>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</si>
  <si>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</si>
  <si>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</si>
  <si>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</si>
  <si>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</si>
  <si>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</si>
  <si>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</si>
  <si>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</si>
  <si>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</si>
  <si>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</si>
  <si>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</si>
  <si>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</si>
  <si>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</si>
  <si>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</si>
  <si>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</si>
  <si>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</si>
  <si>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</si>
  <si>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</si>
  <si>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</si>
  <si>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</si>
  <si>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</si>
  <si>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</si>
  <si>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</si>
  <si>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</si>
  <si>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</si>
  <si>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</si>
  <si>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</si>
  <si>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</si>
  <si>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</si>
  <si>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</si>
  <si>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</si>
  <si>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</si>
  <si>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</si>
  <si>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</si>
  <si>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</si>
  <si>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</si>
  <si>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</si>
  <si>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</si>
  <si>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</si>
  <si>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</si>
  <si>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</si>
  <si>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</si>
  <si>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</si>
  <si>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</si>
  <si>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</si>
  <si>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</si>
  <si>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</si>
  <si>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</si>
  <si>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</si>
  <si>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</si>
  <si>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</si>
  <si>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</si>
  <si>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</si>
  <si>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</si>
  <si>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</si>
  <si>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</si>
  <si>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</si>
  <si>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</si>
  <si>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</si>
  <si>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</si>
  <si>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</si>
  <si>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</si>
  <si>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</si>
  <si>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</si>
  <si>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</si>
  <si>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</si>
  <si>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</si>
  <si>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</si>
  <si>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</si>
  <si>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</si>
  <si>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</si>
  <si>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</si>
  <si>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</si>
  <si>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</si>
  <si>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</si>
  <si>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</si>
  <si>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</si>
  <si>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</si>
  <si>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</si>
  <si>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</si>
  <si>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</si>
  <si>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</si>
  <si>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</si>
  <si>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</si>
  <si>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</si>
  <si>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</si>
  <si>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</si>
  <si>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</si>
  <si>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</si>
  <si>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</si>
  <si>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</si>
  <si>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</si>
  <si>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</si>
  <si>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</si>
  <si>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</si>
  <si>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</si>
  <si>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</si>
  <si>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</si>
  <si>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</si>
  <si>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</si>
  <si>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</si>
  <si>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</si>
  <si>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</si>
  <si>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</si>
  <si>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</si>
  <si>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</si>
  <si>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</si>
  <si>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</si>
  <si>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</si>
  <si>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</si>
  <si>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</si>
  <si>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</si>
  <si>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</si>
  <si>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</si>
  <si>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</si>
  <si>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</si>
  <si>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</si>
  <si>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</si>
  <si>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</si>
  <si>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</si>
  <si>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</si>
  <si>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</si>
  <si>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</si>
  <si>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</si>
  <si>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</si>
  <si>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</si>
  <si>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</si>
  <si>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</si>
  <si>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</si>
  <si>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</si>
  <si>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</si>
  <si>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</si>
  <si>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</si>
  <si>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</si>
  <si>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</si>
  <si>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</si>
  <si>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</si>
  <si>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</si>
  <si>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</si>
  <si>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</si>
  <si>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</si>
  <si>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</si>
  <si>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</si>
  <si>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</si>
  <si>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</si>
  <si>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</si>
  <si>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</si>
  <si>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</si>
  <si>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</si>
  <si>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</si>
  <si>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</si>
  <si>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</si>
  <si>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</si>
  <si>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</si>
  <si>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</si>
  <si>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</si>
  <si>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</si>
  <si>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</si>
  <si>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</si>
  <si>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</si>
  <si>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</si>
  <si>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</si>
  <si>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</si>
  <si>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</si>
  <si>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</si>
  <si>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</si>
  <si>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</si>
  <si>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</si>
  <si>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</si>
  <si>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</si>
  <si>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</si>
  <si>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</si>
  <si>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</si>
  <si>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</si>
  <si>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</si>
  <si>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</si>
  <si>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</si>
  <si>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</si>
  <si>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</si>
  <si>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</si>
  <si>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</si>
  <si>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</si>
  <si>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</si>
  <si>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</si>
  <si>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</si>
  <si>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</si>
  <si>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</si>
  <si>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</si>
  <si>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</si>
  <si>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</si>
  <si>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</si>
  <si>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</si>
  <si>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</si>
  <si>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</si>
  <si>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</si>
  <si>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</si>
  <si>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</si>
  <si>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</si>
  <si>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</si>
  <si>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</si>
  <si>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</si>
  <si>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</si>
  <si>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</si>
  <si>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</si>
  <si>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</si>
  <si>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</si>
  <si>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</si>
  <si>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</si>
  <si>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</si>
  <si>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</si>
  <si>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</si>
  <si>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</si>
  <si>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</si>
  <si>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</si>
  <si>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</si>
  <si>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</si>
  <si>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</si>
  <si>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</si>
  <si>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</si>
  <si>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</si>
  <si>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</si>
  <si>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</si>
  <si>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</si>
  <si>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</si>
  <si>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</si>
  <si>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</si>
  <si>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</si>
  <si>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PRT  C1: Interruptions to supply</t>
  </si>
  <si>
    <t>PR14PRTWSW_D1</t>
  </si>
  <si>
    <t>An improved environment supporting biodiversity</t>
  </si>
  <si>
    <t>PRT-07</t>
  </si>
  <si>
    <t>D1: Biodiversity</t>
  </si>
  <si>
    <t>% (completion of agreed actions)</t>
  </si>
  <si>
    <t>10%</t>
  </si>
  <si>
    <t>Not applicable</t>
  </si>
  <si>
    <t>PRT  D1: Biodiversity</t>
  </si>
  <si>
    <t>PR14PRTWSW_D2</t>
  </si>
  <si>
    <t>PRT-08</t>
  </si>
  <si>
    <t>D2: Water Framework Directive (WFD)</t>
  </si>
  <si>
    <t>Programme completion</t>
  </si>
  <si>
    <t>Target date</t>
  </si>
  <si>
    <t>Delivered</t>
  </si>
  <si>
    <t>Progress as planned</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</si>
  <si>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</si>
  <si>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</si>
  <si>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</si>
  <si>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</si>
  <si>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</si>
  <si>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</si>
  <si>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</si>
  <si>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</si>
  <si>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</si>
  <si>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</si>
  <si>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</si>
  <si>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</si>
  <si>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</si>
  <si>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</si>
  <si>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</si>
  <si>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</si>
  <si>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</si>
  <si>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</si>
  <si>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</si>
  <si>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</si>
  <si>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</si>
  <si>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</si>
  <si>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</si>
  <si>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</si>
  <si>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</si>
  <si>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</si>
  <si>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</si>
  <si>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</si>
  <si>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</si>
  <si>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</si>
  <si>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</si>
  <si>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</si>
  <si>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</si>
  <si>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</si>
  <si>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</si>
  <si>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</si>
  <si>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</si>
  <si>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</si>
  <si>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</si>
  <si>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</si>
  <si>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</si>
  <si>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</si>
  <si>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</si>
  <si>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</si>
  <si>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</si>
  <si>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</si>
  <si>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</si>
  <si>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</si>
  <si>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</si>
  <si>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</si>
  <si>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</si>
  <si>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</si>
  <si>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</si>
  <si>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</si>
  <si>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</si>
  <si>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</si>
  <si>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</si>
  <si>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</si>
  <si>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</si>
  <si>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</si>
  <si>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</si>
  <si>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</si>
  <si>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</si>
  <si>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</si>
  <si>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</si>
  <si>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</si>
  <si>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</si>
  <si>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</si>
  <si>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136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</si>
  <si>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</si>
  <si>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</si>
  <si>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</si>
  <si>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</si>
  <si>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</si>
  <si>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</si>
  <si>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</si>
  <si>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</si>
  <si>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</si>
  <si>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</si>
  <si>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</si>
  <si>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</si>
  <si>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</si>
  <si>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</si>
  <si>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</si>
  <si>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</si>
  <si>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</si>
  <si>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</si>
  <si>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</si>
  <si>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</si>
  <si>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</si>
  <si>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</si>
  <si>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</si>
  <si>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</si>
  <si>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</si>
  <si>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</si>
  <si>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</si>
  <si>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</si>
  <si>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</si>
  <si>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</si>
  <si>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</si>
  <si>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</si>
  <si>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</si>
  <si>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</si>
  <si>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</si>
  <si>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</si>
  <si>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</si>
  <si>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</si>
  <si>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</si>
  <si>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</si>
  <si>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</si>
  <si>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</si>
  <si>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</si>
  <si>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</si>
  <si>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</si>
  <si>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</si>
  <si>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</si>
  <si>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</si>
  <si>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</si>
  <si>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</si>
  <si>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</si>
  <si>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</si>
  <si>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</si>
  <si>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</si>
  <si>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</si>
  <si>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</si>
  <si>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</si>
  <si>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</si>
  <si>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</si>
  <si>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</si>
  <si>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</si>
  <si>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</si>
  <si>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</si>
  <si>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</si>
  <si>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</si>
  <si>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</si>
  <si>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</si>
  <si>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</si>
  <si>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</si>
  <si>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</si>
  <si>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</si>
  <si>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</si>
  <si>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</si>
  <si>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</si>
  <si>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</si>
  <si>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</si>
  <si>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</si>
  <si>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</si>
  <si>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</si>
  <si>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</si>
  <si>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</si>
  <si>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</si>
  <si>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</si>
  <si>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</si>
  <si>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</si>
  <si>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</si>
  <si>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</si>
  <si>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</si>
  <si>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</si>
  <si>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</si>
  <si>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</si>
  <si>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</si>
  <si>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</si>
  <si>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</si>
  <si>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</si>
  <si>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</si>
  <si>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</si>
  <si>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</si>
  <si>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</si>
  <si>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</si>
  <si>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</si>
  <si>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</si>
  <si>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</si>
  <si>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</si>
  <si>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</si>
  <si>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</si>
  <si>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</si>
  <si>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</si>
  <si>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</si>
  <si>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</si>
  <si>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</si>
  <si>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</si>
  <si>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</si>
  <si>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</si>
  <si>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</si>
  <si>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</si>
  <si>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</si>
  <si>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</si>
  <si>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</si>
  <si>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</si>
  <si>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</si>
  <si>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</si>
  <si>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</si>
  <si>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</si>
  <si>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</si>
  <si>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</si>
  <si>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</si>
  <si>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</si>
  <si>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</si>
  <si>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</si>
  <si>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</si>
  <si>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</si>
  <si>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</si>
  <si>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</si>
  <si>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</si>
  <si>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</si>
  <si>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</si>
  <si>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</si>
  <si>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</si>
  <si>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</si>
  <si>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</si>
  <si>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</si>
  <si>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</si>
  <si>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</si>
  <si>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</si>
  <si>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</si>
  <si>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</si>
  <si>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</si>
  <si>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</si>
  <si>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</si>
  <si>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</si>
  <si>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</si>
  <si>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</si>
  <si>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</si>
  <si>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</si>
  <si>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</si>
  <si>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</si>
  <si>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</si>
  <si>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</si>
  <si>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</si>
  <si>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</si>
  <si>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</si>
  <si>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</si>
  <si>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</si>
  <si>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</si>
  <si>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</si>
  <si>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</si>
  <si>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</si>
  <si>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</si>
  <si>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</si>
  <si>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</si>
  <si>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</si>
  <si>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</si>
  <si>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</si>
  <si>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</si>
  <si>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</si>
  <si>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</si>
  <si>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</si>
  <si>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</si>
  <si>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</si>
  <si>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</si>
  <si>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</si>
  <si>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</si>
  <si>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</si>
  <si>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</si>
  <si>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</si>
  <si>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</si>
  <si>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</si>
  <si>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</si>
  <si>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</si>
  <si>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</si>
  <si>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</si>
  <si>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</si>
  <si>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</si>
  <si>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</si>
  <si>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</si>
  <si>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</si>
  <si>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</si>
  <si>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</si>
  <si>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</si>
  <si>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</si>
  <si>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</si>
  <si>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</si>
  <si>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</si>
  <si>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</si>
  <si>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</si>
  <si>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</si>
  <si>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</si>
  <si>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</si>
  <si>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</si>
  <si>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</si>
  <si>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</si>
  <si>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</si>
  <si>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</si>
  <si>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</si>
  <si>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</si>
  <si>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</si>
  <si>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</si>
  <si>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</si>
  <si>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</si>
  <si>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</si>
  <si>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</si>
  <si>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</si>
  <si>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</si>
  <si>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</si>
  <si>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</si>
  <si>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</si>
  <si>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</si>
  <si>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</si>
  <si>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</si>
  <si>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</si>
  <si>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</si>
  <si>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</si>
  <si>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</si>
  <si>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</si>
  <si>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</si>
  <si>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</si>
  <si>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</si>
  <si>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</si>
  <si>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</si>
  <si>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</si>
  <si>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</si>
  <si>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</si>
  <si>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</si>
  <si>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</si>
  <si>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</si>
  <si>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</si>
  <si>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</si>
  <si>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</si>
  <si>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</si>
  <si>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</si>
  <si>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</si>
  <si>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</si>
  <si>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N1</t>
  </si>
  <si>
    <t>SEW-20</t>
  </si>
  <si>
    <t>N1: Discolouration contacts</t>
  </si>
  <si>
    <t>SEW  N1: Discolouration contacts</t>
  </si>
  <si>
    <t>PR14SEWWSW_N2</t>
  </si>
  <si>
    <t>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</si>
  <si>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</si>
  <si>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</si>
  <si>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</si>
  <si>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</si>
  <si>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</si>
  <si>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</si>
  <si>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</si>
  <si>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</si>
  <si>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</si>
  <si>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</si>
  <si>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</si>
  <si>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</si>
  <si>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</si>
  <si>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</si>
  <si>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</si>
  <si>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</si>
  <si>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</si>
  <si>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</si>
  <si>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</si>
  <si>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</si>
  <si>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</si>
  <si>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</si>
  <si>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</si>
  <si>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</si>
  <si>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</si>
  <si>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</si>
  <si>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</si>
  <si>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</si>
  <si>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</si>
  <si>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</si>
  <si>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</si>
  <si>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</si>
  <si>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</si>
  <si>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</si>
  <si>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</si>
  <si>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</si>
  <si>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</si>
  <si>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</si>
  <si>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</si>
  <si>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</si>
  <si>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</si>
  <si>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</si>
  <si>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</si>
  <si>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</si>
  <si>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</si>
  <si>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</si>
  <si>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</si>
  <si>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</si>
  <si>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</si>
  <si>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</si>
  <si>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</si>
  <si>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</si>
  <si>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</si>
  <si>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</si>
  <si>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</si>
  <si>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</si>
  <si>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</si>
  <si>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</si>
  <si>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</si>
  <si>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</si>
  <si>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</si>
  <si>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</si>
  <si>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</si>
  <si>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</si>
  <si>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</si>
  <si>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</si>
  <si>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</si>
  <si>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</si>
  <si>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</si>
  <si>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</si>
  <si>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</si>
  <si>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</si>
  <si>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</si>
  <si>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</si>
  <si>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</si>
  <si>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</si>
  <si>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</si>
  <si>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</si>
  <si>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</si>
  <si>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</si>
  <si>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</si>
  <si>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</si>
  <si>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</si>
  <si>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</si>
  <si>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</si>
  <si>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</si>
  <si>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</si>
  <si>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</si>
  <si>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</si>
  <si>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</si>
  <si>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</si>
  <si>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</si>
  <si>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</si>
  <si>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</si>
  <si>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</si>
  <si>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</si>
  <si>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</si>
  <si>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</si>
  <si>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</si>
  <si>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</si>
  <si>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</si>
  <si>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</si>
  <si>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</si>
  <si>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</si>
  <si>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</si>
  <si>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</si>
  <si>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</si>
  <si>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</si>
  <si>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</si>
  <si>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</si>
  <si>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</si>
  <si>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</si>
  <si>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</si>
  <si>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</si>
  <si>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</si>
  <si>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</si>
  <si>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</si>
  <si>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</si>
  <si>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</si>
  <si>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</si>
  <si>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</si>
  <si>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</si>
  <si>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</si>
  <si>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</si>
  <si>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</si>
  <si>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</si>
  <si>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</si>
  <si>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</si>
  <si>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</si>
  <si>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</si>
  <si>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</si>
  <si>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</si>
  <si>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</si>
  <si>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</si>
  <si>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</si>
  <si>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</si>
  <si>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</si>
  <si>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</si>
  <si>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</si>
  <si>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</si>
  <si>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</si>
  <si>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</si>
  <si>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</si>
  <si>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</si>
  <si>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</si>
  <si>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</si>
  <si>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</si>
  <si>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</si>
  <si>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</si>
  <si>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</si>
  <si>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</si>
  <si>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</si>
  <si>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</si>
  <si>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</si>
  <si>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</si>
  <si>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</si>
  <si>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</si>
  <si>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</si>
  <si>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</si>
  <si>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</si>
  <si>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</si>
  <si>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</si>
  <si>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</si>
  <si>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</si>
  <si>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</si>
  <si>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</si>
  <si>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</si>
  <si>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</si>
  <si>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</si>
  <si>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</si>
  <si>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</si>
  <si>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</si>
  <si>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</si>
  <si>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</si>
  <si>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</si>
  <si>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</si>
  <si>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</si>
  <si>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</si>
  <si>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</si>
  <si>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</si>
  <si>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</si>
  <si>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</si>
  <si>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</si>
  <si>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</si>
  <si>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</si>
  <si>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</si>
  <si>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</si>
  <si>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</si>
  <si>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</si>
  <si>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</si>
  <si>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</si>
  <si>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</si>
  <si>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</si>
  <si>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</si>
  <si>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</si>
  <si>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</si>
  <si>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</si>
  <si>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</si>
  <si>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</si>
  <si>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</si>
  <si>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</si>
  <si>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</si>
  <si>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</si>
  <si>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</si>
  <si>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</si>
  <si>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</si>
  <si>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</si>
  <si>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</si>
  <si>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</si>
  <si>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</si>
  <si>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</si>
  <si>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</si>
  <si>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</si>
  <si>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</si>
  <si>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</si>
  <si>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</si>
  <si>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</si>
  <si>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</si>
  <si>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</si>
  <si>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</si>
  <si>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</si>
  <si>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</si>
  <si>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</si>
  <si>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</si>
  <si>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</si>
  <si>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</si>
  <si>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</si>
  <si>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</si>
  <si>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</si>
  <si>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</si>
  <si>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</si>
  <si>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</si>
  <si>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</si>
  <si>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</si>
  <si>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</si>
  <si>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</si>
  <si>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</si>
  <si>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</si>
  <si>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</si>
  <si>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</si>
  <si>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</si>
  <si>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</si>
  <si>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</si>
  <si>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</si>
  <si>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</si>
  <si>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</si>
  <si>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</si>
  <si>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</si>
  <si>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</si>
  <si>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</si>
  <si>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</si>
  <si>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</si>
  <si>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</si>
  <si>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</si>
  <si>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</si>
  <si>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</si>
  <si>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</si>
  <si>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</si>
  <si>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</si>
  <si>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</si>
  <si>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</si>
  <si>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</si>
  <si>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</si>
  <si>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</si>
  <si>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</si>
  <si>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</si>
  <si>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</si>
  <si>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</si>
  <si>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</si>
  <si>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</si>
  <si>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</si>
  <si>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</si>
  <si>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</si>
  <si>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</si>
  <si>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</si>
  <si>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</si>
  <si>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</si>
  <si>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</si>
  <si>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</si>
  <si>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</si>
  <si>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</si>
  <si>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</si>
  <si>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</si>
  <si>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</si>
  <si>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</si>
  <si>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</si>
  <si>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</si>
  <si>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</si>
  <si>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</si>
  <si>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</si>
  <si>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</si>
  <si>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</si>
  <si>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</si>
  <si>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</si>
  <si>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</si>
  <si>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</si>
  <si>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</si>
  <si>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</si>
  <si>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</si>
  <si>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</si>
  <si>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</si>
  <si>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</si>
  <si>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</si>
  <si>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</si>
  <si>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</si>
  <si>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</si>
  <si>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</si>
  <si>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</si>
  <si>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</si>
  <si>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</si>
  <si>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</si>
  <si>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</si>
  <si>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</si>
  <si>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</si>
  <si>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</si>
  <si>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</si>
  <si>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</si>
  <si>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</si>
  <si>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</si>
  <si>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</si>
  <si>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</si>
  <si>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</si>
  <si>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</si>
  <si>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</si>
  <si>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</si>
  <si>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</si>
  <si>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</si>
  <si>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</si>
  <si>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</si>
  <si>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</si>
  <si>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</si>
  <si>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</si>
  <si>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</si>
  <si>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</si>
  <si>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</si>
  <si>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</si>
  <si>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</si>
  <si>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</si>
  <si>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</si>
  <si>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</si>
  <si>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</si>
  <si>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</si>
  <si>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</si>
  <si>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</si>
  <si>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</si>
  <si>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</si>
  <si>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</si>
  <si>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</si>
  <si>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</si>
  <si>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</si>
  <si>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</si>
  <si>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</si>
  <si>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</si>
  <si>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</si>
  <si>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</si>
  <si>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</si>
  <si>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</si>
  <si>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</si>
  <si>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</si>
  <si>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</si>
  <si>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</si>
  <si>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</si>
  <si>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</si>
  <si>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</si>
  <si>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</si>
  <si>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</si>
  <si>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</si>
  <si>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</si>
  <si>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</si>
  <si>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</si>
  <si>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</si>
  <si>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</si>
  <si>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</si>
  <si>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</si>
  <si>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</si>
  <si>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</si>
  <si>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</si>
  <si>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</si>
  <si>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</si>
  <si>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</si>
  <si>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</si>
  <si>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</si>
  <si>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</si>
  <si>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</si>
  <si>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</si>
  <si>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</si>
  <si>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</si>
  <si>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</si>
  <si>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</si>
  <si>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</si>
  <si>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</si>
  <si>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</si>
  <si>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</si>
  <si>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</si>
  <si>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</si>
  <si>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</si>
  <si>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</si>
  <si>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</si>
  <si>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</si>
  <si>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</si>
  <si>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</si>
  <si>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</si>
  <si>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</si>
  <si>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</si>
  <si>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</si>
  <si>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</si>
  <si>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</si>
  <si>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</si>
  <si>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</si>
  <si>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</si>
  <si>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</si>
  <si>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</si>
  <si>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</si>
  <si>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</si>
  <si>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</si>
  <si>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</si>
  <si>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</si>
  <si>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</si>
  <si>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</si>
  <si>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</si>
  <si>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</si>
  <si>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</si>
  <si>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</si>
  <si>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</si>
  <si>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</si>
  <si>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</si>
  <si>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</si>
  <si>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</si>
  <si>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</si>
  <si>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</si>
  <si>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</si>
  <si>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</si>
  <si>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</si>
  <si>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</si>
  <si>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</si>
  <si>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</si>
  <si>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</si>
  <si>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</si>
  <si>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</si>
  <si>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</si>
  <si>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</si>
  <si>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</si>
  <si>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</si>
  <si>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</si>
  <si>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</si>
  <si>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</si>
  <si>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</si>
  <si>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</si>
  <si>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</si>
  <si>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</si>
  <si>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</si>
  <si>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</si>
  <si>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</si>
  <si>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</si>
  <si>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</si>
  <si>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</si>
  <si>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</si>
  <si>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</si>
  <si>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</si>
  <si>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</si>
  <si>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</si>
  <si>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</si>
  <si>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</si>
  <si>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</si>
  <si>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</si>
  <si>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</si>
  <si>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</si>
  <si>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</si>
  <si>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</si>
  <si>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</si>
  <si>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</si>
  <si>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</si>
  <si>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</si>
  <si>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</si>
  <si>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</si>
  <si>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</si>
  <si>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</si>
  <si>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</si>
  <si>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</si>
  <si>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</si>
  <si>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</si>
  <si>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</si>
  <si>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</si>
  <si>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</si>
  <si>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</si>
  <si>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</si>
  <si>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</si>
  <si>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</si>
  <si>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</si>
  <si>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</si>
  <si>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</si>
  <si>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</si>
  <si>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</si>
  <si>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</si>
  <si>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</si>
  <si>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</si>
  <si>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</si>
  <si>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</si>
  <si>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</si>
  <si>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</si>
  <si>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</si>
  <si>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</si>
  <si>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</si>
  <si>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</si>
  <si>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</si>
  <si>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</si>
  <si>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</si>
  <si>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</si>
  <si>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</si>
  <si>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</si>
  <si>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</si>
  <si>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</si>
  <si>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</si>
  <si>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</si>
  <si>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</si>
  <si>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</si>
  <si>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</si>
  <si>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</si>
  <si>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</si>
  <si>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</si>
  <si>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</si>
  <si>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</si>
  <si>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</si>
  <si>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</si>
  <si>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</si>
  <si>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</si>
  <si>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</si>
  <si>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</si>
  <si>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</si>
  <si>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</si>
  <si>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</si>
  <si>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</si>
  <si>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</si>
  <si>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</si>
  <si>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</si>
  <si>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</si>
  <si>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</si>
  <si>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</si>
  <si>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</si>
  <si>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</si>
  <si>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</si>
  <si>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</si>
  <si>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</si>
  <si>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</si>
  <si>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</si>
  <si>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</si>
  <si>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</si>
  <si>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</si>
  <si>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</si>
  <si>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</si>
  <si>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</si>
  <si>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</si>
  <si>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</si>
  <si>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</si>
  <si>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</si>
  <si>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</si>
  <si>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</si>
  <si>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</si>
  <si>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</si>
  <si>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</si>
  <si>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</si>
  <si>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</si>
  <si>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</si>
  <si>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</si>
  <si>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</si>
  <si>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</si>
  <si>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</si>
  <si>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</si>
  <si>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</si>
  <si>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</si>
  <si>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</si>
  <si>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</si>
  <si>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</si>
  <si>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</si>
  <si>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</si>
  <si>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</si>
  <si>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</si>
  <si>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</si>
  <si>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</si>
  <si>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</si>
  <si>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</si>
  <si>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</si>
  <si>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</si>
  <si>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</si>
  <si>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</si>
  <si>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</si>
  <si>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</si>
  <si>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</si>
  <si>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</si>
  <si>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</si>
  <si>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</si>
  <si>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</si>
  <si>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</si>
  <si>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</si>
  <si>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</si>
  <si>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</si>
  <si>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</si>
  <si>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</si>
  <si>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</si>
  <si>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</si>
  <si>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</si>
  <si>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</si>
  <si>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</si>
  <si>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</si>
  <si>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</si>
  <si>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</si>
  <si>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</si>
  <si>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</si>
  <si>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</si>
  <si>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</si>
  <si>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</si>
  <si>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</si>
  <si>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</si>
  <si>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</si>
  <si>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</si>
  <si>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</si>
  <si>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</si>
  <si>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</si>
  <si>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</si>
  <si>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</si>
  <si>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</si>
  <si>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</si>
  <si>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</si>
  <si>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</si>
  <si>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</si>
  <si>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</si>
  <si>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</si>
  <si>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</si>
  <si>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</si>
  <si>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</si>
  <si>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</si>
  <si>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</si>
  <si>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</si>
  <si>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</si>
  <si>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</si>
  <si>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</si>
  <si>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</si>
  <si>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</si>
  <si>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</si>
  <si>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</si>
  <si>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</si>
  <si>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</si>
  <si>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</si>
  <si>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</si>
  <si>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</si>
  <si>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</si>
  <si>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</si>
  <si>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</si>
  <si>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</si>
  <si>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</si>
  <si>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</si>
  <si>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</si>
  <si>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</si>
  <si>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</si>
  <si>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</si>
  <si>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</si>
  <si>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</si>
  <si>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</si>
  <si>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</si>
  <si>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</si>
  <si>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</si>
  <si>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</si>
  <si>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</si>
  <si>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</si>
  <si>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</si>
  <si>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</si>
  <si>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</si>
  <si>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</si>
  <si>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</si>
  <si>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</si>
  <si>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</si>
  <si>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</si>
  <si>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</si>
  <si>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</si>
  <si>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</si>
  <si>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</si>
  <si>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</si>
  <si>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</si>
  <si>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</si>
  <si>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</si>
  <si>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</si>
  <si>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</si>
  <si>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</si>
  <si>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</si>
  <si>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</si>
  <si>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</si>
  <si>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</si>
  <si>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</si>
  <si>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</si>
  <si>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</si>
  <si>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</si>
  <si>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</si>
  <si>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</si>
  <si>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</si>
  <si>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</si>
  <si>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</si>
  <si>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</si>
  <si>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</si>
  <si>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</si>
  <si>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</si>
  <si>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</si>
  <si>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</si>
  <si>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</si>
  <si>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</si>
  <si>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</si>
  <si>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</si>
  <si>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</si>
  <si>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</si>
  <si>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</si>
  <si>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</si>
  <si>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</si>
  <si>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</si>
  <si>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</si>
  <si>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</si>
  <si>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</si>
  <si>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</si>
  <si>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</si>
  <si>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</si>
  <si>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</si>
  <si>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</si>
  <si>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</si>
  <si>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</si>
  <si>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</si>
  <si>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</si>
  <si>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</si>
  <si>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</si>
  <si>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</si>
  <si>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</si>
  <si>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</si>
  <si>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</si>
  <si>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</si>
  <si>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</si>
  <si>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</si>
  <si>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</si>
  <si>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</si>
  <si>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</si>
  <si>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</si>
  <si>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</si>
  <si>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</si>
  <si>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</si>
  <si>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</si>
  <si>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</si>
  <si>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</si>
  <si>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</si>
  <si>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</si>
  <si>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</si>
  <si>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</si>
  <si>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</si>
  <si>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</si>
  <si>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</si>
  <si>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</si>
  <si>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</si>
  <si>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</si>
  <si>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</si>
  <si>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</si>
  <si>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</si>
  <si>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</si>
  <si>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</si>
  <si>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</si>
  <si>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</si>
  <si>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</si>
  <si>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</si>
  <si>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</si>
  <si>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</si>
  <si>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</si>
  <si>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</si>
  <si>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</si>
  <si>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</si>
  <si>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</si>
  <si>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</si>
  <si>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</si>
  <si>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</si>
  <si>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</si>
  <si>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</si>
  <si>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</si>
  <si>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</si>
  <si>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</si>
  <si>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</si>
  <si>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</si>
  <si>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</si>
  <si>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</si>
  <si>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</si>
  <si>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</si>
  <si>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</si>
  <si>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</si>
  <si>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</si>
  <si>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</si>
  <si>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</si>
  <si>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</si>
  <si>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</si>
  <si>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</si>
  <si>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</si>
  <si>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</si>
  <si>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</si>
  <si>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</si>
  <si>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</si>
  <si>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</si>
  <si>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</si>
  <si>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</si>
  <si>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</si>
  <si>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</si>
  <si>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</si>
  <si>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</si>
  <si>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</si>
  <si>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</si>
  <si>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</si>
  <si>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</si>
  <si>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</si>
  <si>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</si>
  <si>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</si>
  <si>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</si>
  <si>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</si>
  <si>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</si>
  <si>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</si>
  <si>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</si>
  <si>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</si>
  <si>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</si>
  <si>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</si>
  <si>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</si>
  <si>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</si>
  <si>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</si>
  <si>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</si>
  <si>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</si>
  <si>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</si>
  <si>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</si>
  <si>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</si>
  <si>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</si>
  <si>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</si>
  <si>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</si>
  <si>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</si>
  <si>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</si>
  <si>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</si>
  <si>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</si>
  <si>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</si>
  <si>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</si>
  <si>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</si>
  <si>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</si>
  <si>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</si>
  <si>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</si>
  <si>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</si>
  <si>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</si>
  <si>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</si>
  <si>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</si>
  <si>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</si>
  <si>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</si>
  <si>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</si>
  <si>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</si>
  <si>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</si>
  <si>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</si>
  <si>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</si>
  <si>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</si>
  <si>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</si>
  <si>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</si>
  <si>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</si>
  <si>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</si>
  <si>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</si>
  <si>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</si>
  <si>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</si>
  <si>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</si>
  <si>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</si>
  <si>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</si>
  <si>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</si>
  <si>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</si>
  <si>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</si>
  <si>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</si>
  <si>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</si>
  <si>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</si>
  <si>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</si>
  <si>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</si>
  <si>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</si>
  <si>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</si>
  <si>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</si>
  <si>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</si>
  <si>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</si>
  <si>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</si>
  <si>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</si>
  <si>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</si>
  <si>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</si>
  <si>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</si>
  <si>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</si>
  <si>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</si>
  <si>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</si>
  <si>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</si>
  <si>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</si>
  <si>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</si>
  <si>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</si>
  <si>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</si>
  <si>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</si>
  <si>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</si>
  <si>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</si>
  <si>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</si>
  <si>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</si>
  <si>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</si>
  <si>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</si>
  <si>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</si>
  <si>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</si>
  <si>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</si>
  <si>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</si>
  <si>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</si>
  <si>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</si>
  <si>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</si>
  <si>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</si>
  <si>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</si>
  <si>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</si>
  <si>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</si>
  <si>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</si>
  <si>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</si>
  <si>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</si>
  <si>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</si>
  <si>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</si>
  <si>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</si>
  <si>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</si>
  <si>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</si>
  <si>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</si>
  <si>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</si>
  <si>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</si>
  <si>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</si>
  <si>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</si>
  <si>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</si>
  <si>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</si>
  <si>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TMS  SB8: Lee Tunnel including Shaft G</t>
  </si>
  <si>
    <t>PR14TMSWSWW_SB9</t>
  </si>
  <si>
    <t>SB9</t>
  </si>
  <si>
    <t>TMS-31</t>
  </si>
  <si>
    <t>SB9: Deephams Wastewater Treatment Works</t>
  </si>
  <si>
    <t>Performance commitment delivered</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</si>
  <si>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</si>
  <si>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</si>
  <si>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</si>
  <si>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</si>
  <si>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</si>
  <si>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</si>
  <si>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</si>
  <si>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</si>
  <si>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</si>
  <si>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</si>
  <si>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</si>
  <si>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</si>
  <si>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</si>
  <si>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</si>
  <si>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</si>
  <si>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</si>
  <si>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</si>
  <si>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</si>
  <si>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</si>
  <si>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</si>
  <si>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</si>
  <si>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</si>
  <si>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</si>
  <si>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</si>
  <si>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</si>
  <si>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</si>
  <si>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</si>
  <si>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</si>
  <si>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</si>
  <si>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</si>
  <si>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</si>
  <si>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</si>
  <si>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</si>
  <si>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</si>
  <si>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</si>
  <si>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</si>
  <si>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</si>
  <si>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</si>
  <si>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</si>
  <si>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</si>
  <si>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</si>
  <si>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</si>
  <si>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</si>
  <si>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</si>
  <si>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</si>
  <si>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</si>
  <si>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</si>
  <si>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</si>
  <si>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</si>
  <si>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</si>
  <si>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</si>
  <si>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</si>
  <si>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</si>
  <si>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</si>
  <si>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</si>
  <si>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</si>
  <si>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</si>
  <si>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</si>
  <si>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</si>
  <si>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</si>
  <si>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</si>
  <si>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</si>
  <si>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</si>
  <si>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</si>
  <si>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</si>
  <si>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</si>
  <si>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</si>
  <si>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</si>
  <si>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</si>
  <si>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</si>
  <si>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</si>
  <si>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</si>
  <si>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</si>
  <si>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</si>
  <si>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</si>
  <si>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</si>
  <si>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</si>
  <si>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</si>
  <si>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</si>
  <si>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</si>
  <si>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</si>
  <si>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</si>
  <si>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</si>
  <si>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</si>
  <si>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</si>
  <si>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</si>
  <si>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</si>
  <si>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</si>
  <si>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</si>
  <si>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</si>
  <si>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</si>
  <si>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</si>
  <si>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</si>
  <si>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</si>
  <si>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</si>
  <si>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</si>
  <si>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</si>
  <si>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</si>
  <si>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</si>
  <si>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</si>
  <si>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</si>
  <si>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</si>
  <si>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</si>
  <si>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</si>
  <si>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</si>
  <si>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</si>
  <si>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</si>
  <si>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</si>
  <si>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</si>
  <si>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</si>
  <si>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</si>
  <si>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</si>
  <si>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</si>
  <si>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</si>
  <si>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</si>
  <si>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</si>
  <si>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</si>
  <si>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</si>
  <si>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</si>
  <si>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</si>
  <si>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</si>
  <si>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</si>
  <si>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</si>
  <si>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</si>
  <si>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</si>
  <si>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</si>
  <si>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</si>
  <si>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</si>
  <si>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</si>
  <si>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</si>
  <si>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</si>
  <si>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</si>
  <si>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</si>
  <si>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</si>
  <si>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</si>
  <si>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</si>
  <si>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</si>
  <si>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</si>
  <si>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</si>
  <si>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</si>
  <si>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</si>
  <si>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</si>
  <si>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</si>
  <si>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</si>
  <si>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</si>
  <si>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</si>
  <si>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</si>
  <si>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</si>
  <si>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</si>
  <si>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</si>
  <si>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</si>
  <si>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</si>
  <si>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</si>
  <si>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</si>
  <si>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</si>
  <si>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</si>
  <si>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</si>
  <si>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</si>
  <si>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</si>
  <si>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</si>
  <si>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</si>
  <si>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</si>
  <si>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</si>
  <si>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</si>
  <si>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</si>
  <si>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</si>
  <si>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</si>
  <si>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</si>
  <si>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</si>
  <si>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</si>
  <si>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</si>
  <si>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</si>
  <si>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</si>
  <si>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</si>
  <si>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</si>
  <si>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</si>
  <si>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</si>
  <si>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</si>
  <si>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</si>
  <si>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</si>
  <si>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</si>
  <si>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</si>
  <si>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</si>
  <si>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</si>
  <si>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</si>
  <si>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</si>
  <si>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</si>
  <si>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</si>
  <si>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</si>
  <si>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</si>
  <si>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</si>
  <si>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</si>
  <si>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</si>
  <si>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</si>
  <si>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</si>
  <si>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</si>
  <si>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</si>
  <si>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</si>
  <si>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</si>
  <si>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</si>
  <si>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</si>
  <si>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</si>
  <si>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</si>
  <si>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</si>
  <si>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</si>
  <si>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</si>
  <si>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</si>
  <si>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</si>
  <si>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</si>
  <si>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</si>
  <si>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</si>
  <si>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</si>
  <si>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</si>
  <si>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</si>
  <si>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</si>
  <si>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</si>
  <si>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</si>
  <si>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</si>
  <si>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</si>
  <si>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</si>
  <si>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</si>
  <si>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</si>
  <si>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</si>
  <si>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</si>
  <si>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</si>
  <si>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</si>
  <si>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</si>
  <si>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</si>
  <si>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</si>
  <si>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</si>
  <si>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</si>
  <si>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</si>
  <si>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</si>
  <si>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</si>
  <si>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</si>
  <si>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</si>
  <si>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</si>
  <si>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</si>
  <si>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</si>
  <si>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</si>
  <si>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</si>
  <si>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</si>
  <si>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</si>
  <si>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</si>
  <si>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</si>
  <si>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</si>
  <si>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</si>
  <si>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</si>
  <si>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</si>
  <si>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</si>
  <si>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</si>
  <si>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</si>
  <si>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</si>
  <si>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</si>
  <si>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</si>
  <si>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</si>
  <si>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</si>
  <si>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</si>
  <si>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</si>
  <si>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</si>
  <si>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</si>
  <si>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</si>
  <si>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</si>
  <si>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</si>
  <si>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</si>
  <si>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</si>
  <si>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</si>
  <si>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</si>
  <si>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</si>
  <si>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</si>
  <si>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</si>
  <si>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</si>
  <si>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</si>
  <si>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</si>
  <si>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</si>
  <si>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</si>
  <si>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</si>
  <si>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</si>
  <si>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</si>
  <si>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</si>
  <si>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</si>
  <si>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</si>
  <si>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</si>
  <si>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Upper quartile</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</si>
  <si>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</si>
  <si>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</si>
  <si>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</si>
  <si>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</si>
  <si>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</si>
  <si>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</si>
  <si>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</si>
  <si>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</si>
  <si>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</si>
  <si>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</si>
  <si>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</si>
  <si>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</si>
  <si>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</si>
  <si>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</si>
  <si>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</si>
  <si>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</si>
  <si>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</si>
  <si>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</si>
  <si>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</si>
  <si>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</si>
  <si>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</si>
  <si>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</si>
  <si>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</si>
  <si>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</si>
  <si>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</si>
  <si>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</si>
  <si>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</si>
  <si>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</si>
  <si>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</si>
  <si>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</si>
  <si>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</si>
  <si>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</si>
  <si>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</si>
  <si>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</si>
  <si>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</si>
  <si>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</si>
  <si>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</si>
  <si>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</si>
  <si>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</si>
  <si>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</si>
  <si>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</si>
  <si>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</si>
  <si>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</si>
  <si>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</si>
  <si>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</si>
  <si>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</si>
  <si>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</si>
  <si>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</si>
  <si>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</si>
  <si>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</si>
  <si>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</si>
  <si>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</si>
  <si>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</si>
  <si>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</si>
  <si>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</si>
  <si>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</si>
  <si>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</si>
  <si>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</si>
  <si>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</si>
  <si>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</si>
  <si>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</si>
  <si>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</si>
  <si>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</si>
  <si>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</si>
  <si>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</si>
  <si>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</si>
  <si>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</si>
  <si>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</si>
  <si>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</si>
  <si>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</si>
  <si>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</si>
  <si>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</si>
  <si>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</si>
  <si>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</si>
  <si>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</si>
  <si>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</si>
  <si>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</si>
  <si>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</si>
  <si>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</si>
  <si>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</si>
  <si>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</si>
  <si>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</si>
  <si>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</si>
  <si>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</si>
  <si>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</si>
  <si>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</si>
  <si>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</si>
  <si>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</si>
  <si>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</si>
  <si>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</si>
  <si>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</si>
  <si>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</si>
  <si>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</si>
  <si>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</si>
  <si>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</si>
  <si>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</si>
  <si>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</si>
  <si>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</si>
  <si>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</si>
  <si>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</si>
  <si>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</si>
  <si>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</si>
  <si>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</si>
  <si>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</si>
  <si>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</si>
  <si>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</si>
  <si>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</si>
  <si>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</si>
  <si>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</si>
  <si>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</si>
  <si>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</si>
  <si>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</si>
  <si>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</si>
  <si>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</si>
  <si>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</si>
  <si>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</si>
  <si>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</si>
  <si>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</si>
  <si>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</si>
  <si>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</si>
  <si>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</si>
  <si>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</si>
  <si>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</si>
  <si>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</si>
  <si>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</si>
  <si>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</si>
  <si>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</si>
  <si>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</si>
  <si>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</si>
  <si>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</si>
  <si>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</si>
  <si>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</si>
  <si>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</si>
  <si>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</si>
  <si>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</si>
  <si>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</si>
  <si>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</si>
  <si>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</si>
  <si>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</si>
  <si>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</si>
  <si>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</si>
  <si>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</si>
  <si>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</si>
  <si>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</si>
  <si>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</si>
  <si>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</si>
  <si>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</si>
  <si>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</si>
  <si>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</si>
  <si>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</si>
  <si>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</si>
  <si>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</si>
  <si>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</si>
  <si>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</si>
  <si>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</si>
  <si>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</si>
  <si>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</si>
  <si>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</si>
  <si>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</si>
  <si>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</si>
  <si>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</si>
  <si>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</si>
  <si>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</si>
  <si>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</si>
  <si>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</si>
  <si>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</si>
  <si>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</si>
  <si>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</si>
  <si>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</si>
  <si>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</si>
  <si>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</si>
  <si>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</si>
  <si>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</si>
  <si>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</si>
  <si>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</si>
  <si>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</si>
  <si>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</si>
  <si>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</si>
  <si>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</si>
  <si>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</si>
  <si>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</si>
  <si>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</si>
  <si>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</si>
  <si>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</si>
  <si>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</si>
  <si>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</si>
  <si>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</si>
  <si>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</si>
  <si>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</si>
  <si>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</si>
  <si>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</si>
  <si>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</si>
  <si>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</si>
  <si>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</si>
  <si>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</si>
  <si>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</si>
  <si>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</si>
  <si>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</si>
  <si>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</si>
  <si>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</si>
  <si>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</si>
  <si>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</si>
  <si>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</si>
  <si>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</si>
  <si>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</si>
  <si>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</si>
  <si>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</si>
  <si>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</si>
  <si>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</si>
  <si>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</si>
  <si>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</si>
  <si>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</si>
  <si>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</si>
  <si>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</si>
  <si>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</si>
  <si>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</si>
  <si>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</si>
  <si>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</si>
  <si>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</si>
  <si>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</si>
  <si>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</si>
  <si>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</si>
  <si>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</si>
  <si>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</si>
  <si>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</si>
  <si>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</si>
  <si>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</si>
  <si>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</si>
  <si>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</si>
  <si>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</si>
  <si>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</si>
  <si>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</si>
  <si>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</si>
  <si>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</si>
  <si>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</si>
  <si>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</si>
  <si>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</si>
  <si>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</si>
  <si>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</si>
  <si>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</si>
  <si>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</si>
  <si>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</si>
  <si>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</si>
  <si>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</si>
  <si>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</si>
  <si>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</si>
  <si>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</si>
  <si>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</si>
  <si>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</si>
  <si>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</si>
  <si>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</si>
  <si>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</si>
  <si>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</si>
  <si>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</si>
  <si>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</si>
  <si>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</si>
  <si>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</si>
  <si>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</si>
  <si>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</si>
  <si>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</si>
  <si>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</si>
  <si>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</si>
  <si>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</si>
  <si>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</si>
  <si>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</si>
  <si>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</si>
  <si>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</si>
  <si>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</si>
  <si>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</si>
  <si>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</si>
  <si>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</si>
  <si>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</si>
  <si>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</si>
  <si>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</si>
  <si>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</si>
  <si>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</si>
  <si>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</si>
  <si>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</si>
  <si>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</si>
  <si>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</si>
  <si>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</si>
  <si>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</si>
  <si>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</si>
  <si>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</si>
  <si>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</si>
  <si>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</si>
  <si>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</si>
  <si>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</si>
  <si>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</si>
  <si>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</si>
  <si>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</si>
  <si>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</si>
  <si>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</si>
  <si>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</si>
  <si>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</si>
  <si>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</si>
  <si>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</si>
  <si>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</si>
  <si>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</si>
  <si>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</si>
  <si>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</si>
  <si>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</si>
  <si>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</si>
  <si>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</si>
  <si>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</si>
  <si>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</si>
  <si>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</si>
  <si>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</si>
  <si>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</si>
  <si>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</si>
  <si>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</si>
  <si>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</si>
  <si>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</si>
  <si>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</si>
  <si>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</si>
  <si>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</si>
  <si>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</si>
  <si>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</si>
  <si>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</si>
  <si>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</si>
  <si>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</si>
  <si>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</si>
  <si>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</si>
  <si>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</si>
  <si>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</si>
  <si>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</si>
  <si>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</si>
  <si>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</si>
  <si>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</si>
  <si>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</si>
  <si>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</si>
  <si>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</si>
  <si>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</si>
  <si>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</si>
  <si>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</si>
  <si>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</si>
  <si>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</si>
  <si>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</si>
  <si>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</si>
  <si>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</si>
  <si>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</si>
  <si>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</si>
  <si>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</si>
  <si>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</si>
  <si>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</si>
  <si>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</si>
  <si>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</si>
  <si>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</si>
  <si>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</si>
  <si>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</si>
  <si>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</si>
  <si>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</si>
  <si>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</si>
  <si>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</si>
  <si>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</si>
  <si>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</si>
  <si>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</si>
  <si>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</si>
  <si>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</si>
  <si>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</si>
  <si>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</si>
  <si>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</si>
  <si>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</si>
  <si>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</si>
  <si>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</si>
  <si>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</si>
  <si>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</si>
  <si>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</si>
  <si>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</si>
  <si>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</si>
  <si>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</si>
  <si>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</si>
  <si>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</si>
  <si>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</si>
  <si>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</si>
  <si>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</si>
  <si>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</si>
  <si>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</si>
  <si>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</si>
  <si>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</si>
  <si>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</si>
  <si>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</si>
  <si>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</si>
  <si>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</si>
  <si>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</si>
  <si>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</si>
  <si>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</si>
  <si>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</si>
  <si>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</si>
  <si>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</si>
  <si>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</si>
  <si>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</si>
  <si>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</si>
  <si>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</si>
  <si>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</si>
  <si>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</si>
  <si>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</si>
  <si>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</si>
  <si>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</si>
  <si>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</si>
  <si>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</si>
  <si>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</si>
  <si>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</si>
  <si>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</si>
  <si>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</si>
  <si>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</si>
  <si>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</si>
  <si>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</si>
  <si>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</si>
  <si>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</si>
  <si>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</si>
  <si>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</si>
  <si>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</si>
  <si>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</si>
  <si>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</si>
  <si>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</si>
  <si>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</si>
  <si>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</si>
  <si>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</si>
  <si>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</si>
  <si>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</si>
  <si>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</si>
  <si>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</si>
  <si>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</si>
  <si>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</si>
  <si>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</si>
  <si>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</si>
  <si>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</si>
  <si>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</si>
  <si>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</si>
  <si>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</si>
  <si>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</si>
  <si>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</si>
  <si>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</si>
  <si>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</si>
  <si>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</si>
  <si>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</si>
  <si>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</si>
  <si>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</si>
  <si>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</si>
  <si>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</si>
  <si>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</si>
  <si>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</si>
  <si>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</si>
  <si>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</si>
  <si>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</si>
  <si>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</si>
  <si>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</si>
  <si>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</si>
  <si>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</si>
  <si>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</si>
  <si>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</si>
  <si>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</si>
  <si>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</si>
  <si>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</si>
  <si>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</si>
  <si>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</si>
  <si>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</si>
  <si>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</si>
  <si>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</si>
  <si>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</si>
  <si>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</si>
  <si>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</si>
  <si>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</si>
  <si>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</si>
  <si>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</si>
  <si>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</si>
  <si>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</si>
  <si>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</si>
  <si>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</si>
  <si>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</si>
  <si>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</si>
  <si>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</si>
  <si>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</si>
  <si>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</si>
  <si>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</si>
  <si>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</si>
  <si>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</si>
  <si>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</si>
  <si>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</si>
  <si>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</si>
  <si>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</si>
  <si>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</si>
  <si>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</si>
  <si>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</si>
  <si>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</si>
  <si>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</si>
  <si>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</si>
  <si>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</si>
  <si>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</si>
  <si>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</si>
  <si>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</si>
  <si>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</si>
  <si>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</si>
  <si>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</si>
  <si>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</si>
  <si>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</si>
  <si>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</si>
  <si>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</si>
  <si>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AFWDP</t>
  </si>
  <si>
    <t>ANHDP</t>
  </si>
  <si>
    <t>BRLDP</t>
  </si>
  <si>
    <t>DVWDP</t>
  </si>
  <si>
    <t>NESDP</t>
  </si>
  <si>
    <t>PRTDP</t>
  </si>
  <si>
    <t>SBWDP</t>
  </si>
  <si>
    <t>SESDP</t>
  </si>
  <si>
    <t>SEWDP</t>
  </si>
  <si>
    <t>SRNDP</t>
  </si>
  <si>
    <t>SVTDP</t>
  </si>
  <si>
    <t>SWTDP</t>
  </si>
  <si>
    <t>TMSDP</t>
  </si>
  <si>
    <t>NWTDP</t>
  </si>
  <si>
    <t>WSHDP</t>
  </si>
  <si>
    <t>WSXPC</t>
  </si>
  <si>
    <t>WSXDP</t>
  </si>
  <si>
    <t>YKYDP</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</si>
  <si>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</si>
  <si>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</si>
  <si>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</si>
  <si>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</si>
  <si>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</si>
  <si>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</si>
  <si>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</si>
  <si>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</si>
  <si>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</si>
  <si>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</si>
  <si>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</si>
  <si>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</si>
  <si>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</si>
  <si>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</si>
  <si>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</si>
  <si>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</si>
  <si>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</si>
  <si>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</si>
  <si>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</si>
  <si>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</si>
  <si>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</si>
  <si>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</si>
  <si>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</si>
  <si>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</si>
  <si>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</si>
  <si>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</si>
  <si>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</si>
  <si>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</si>
  <si>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</si>
  <si>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</si>
  <si>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</si>
  <si>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</si>
  <si>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</si>
  <si>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</si>
  <si>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</si>
  <si>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</si>
  <si>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</si>
  <si>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</si>
  <si>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</si>
  <si>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</si>
  <si>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</si>
  <si>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</si>
  <si>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</si>
  <si>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</si>
  <si>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</si>
  <si>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</si>
  <si>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</si>
  <si>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</si>
  <si>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</si>
  <si>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</si>
  <si>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</si>
  <si>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</si>
  <si>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</si>
  <si>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</si>
  <si>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</si>
  <si>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</si>
  <si>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</si>
  <si>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</si>
  <si>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</si>
  <si>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</si>
  <si>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</si>
  <si>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</si>
  <si>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</si>
  <si>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</si>
  <si>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</si>
  <si>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</si>
  <si>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</si>
  <si>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</si>
  <si>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</si>
  <si>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</si>
  <si>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</si>
  <si>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</si>
  <si>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</si>
  <si>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</si>
  <si>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</si>
  <si>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</si>
  <si>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</si>
  <si>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</si>
  <si>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</si>
  <si>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</si>
  <si>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</si>
  <si>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</si>
  <si>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</si>
  <si>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</si>
  <si>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</si>
  <si>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</si>
  <si>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</si>
  <si>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</si>
  <si>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</si>
  <si>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</si>
  <si>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</si>
  <si>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</si>
  <si>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</si>
  <si>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</si>
  <si>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</si>
  <si>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</si>
  <si>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</si>
  <si>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</si>
  <si>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</si>
  <si>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</si>
  <si>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</si>
  <si>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</si>
  <si>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</si>
  <si>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</si>
  <si>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</si>
  <si>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</si>
  <si>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</si>
  <si>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</si>
  <si>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</si>
  <si>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</si>
  <si>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</si>
  <si>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</si>
  <si>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</si>
  <si>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</si>
  <si>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</si>
  <si>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</si>
  <si>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</si>
  <si>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</si>
  <si>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</si>
  <si>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</si>
  <si>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</si>
  <si>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</si>
  <si>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</si>
  <si>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</si>
  <si>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</si>
  <si>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</si>
  <si>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</si>
  <si>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</si>
  <si>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</si>
  <si>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</si>
  <si>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</si>
  <si>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</si>
  <si>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</si>
  <si>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</si>
  <si>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</si>
  <si>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</si>
  <si>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</si>
  <si>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</si>
  <si>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</si>
  <si>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</si>
  <si>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</si>
  <si>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</si>
  <si>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</si>
  <si>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</si>
  <si>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</si>
  <si>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</si>
  <si>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</si>
  <si>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</si>
  <si>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</si>
  <si>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</si>
  <si>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</si>
  <si>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</si>
  <si>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</si>
  <si>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</si>
  <si>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</si>
  <si>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</si>
  <si>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</si>
  <si>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</si>
  <si>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</si>
  <si>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</si>
  <si>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</si>
  <si>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</si>
  <si>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</si>
  <si>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</si>
  <si>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</si>
  <si>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</si>
  <si>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</si>
  <si>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</si>
  <si>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</si>
  <si>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</si>
  <si>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</si>
  <si>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</si>
  <si>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</si>
  <si>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</si>
  <si>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</si>
  <si>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</si>
  <si>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</si>
  <si>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</si>
  <si>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</si>
  <si>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</si>
  <si>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</si>
  <si>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</si>
  <si>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</si>
  <si>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</si>
  <si>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</si>
  <si>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</si>
  <si>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</si>
  <si>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</si>
  <si>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</si>
  <si>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</si>
  <si>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</si>
  <si>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</si>
  <si>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</si>
  <si>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</si>
  <si>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</si>
  <si>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</si>
  <si>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</si>
  <si>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</si>
  <si>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</si>
  <si>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</si>
  <si>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</si>
  <si>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</si>
  <si>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</si>
  <si>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</si>
  <si>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</si>
  <si>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</si>
  <si>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</si>
  <si>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</si>
  <si>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</si>
  <si>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</si>
  <si>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</si>
  <si>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</si>
  <si>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</si>
  <si>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</si>
  <si>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</si>
  <si>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</si>
  <si>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</si>
  <si>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</si>
  <si>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</si>
  <si>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</si>
  <si>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</si>
  <si>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</si>
  <si>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</si>
  <si>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</si>
  <si>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</si>
  <si>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</si>
  <si>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</si>
  <si>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</si>
  <si>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</si>
  <si>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</si>
  <si>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</si>
  <si>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</si>
  <si>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</si>
  <si>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</si>
  <si>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</si>
  <si>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</si>
  <si>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</si>
  <si>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</si>
  <si>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</si>
  <si>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</si>
  <si>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</si>
  <si>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</si>
  <si>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</si>
  <si>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</si>
  <si>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</si>
  <si>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</si>
  <si>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</si>
  <si>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</si>
  <si>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</si>
  <si>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</si>
  <si>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</si>
  <si>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</si>
  <si>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</si>
  <si>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</si>
  <si>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</si>
  <si>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</si>
  <si>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</si>
  <si>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</si>
  <si>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</si>
  <si>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</si>
  <si>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</si>
  <si>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</si>
  <si>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</si>
  <si>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</si>
  <si>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</si>
  <si>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</si>
  <si>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</si>
  <si>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</si>
  <si>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</si>
  <si>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</si>
  <si>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</si>
  <si>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</si>
  <si>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</si>
  <si>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</si>
  <si>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</si>
  <si>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</si>
  <si>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</si>
  <si>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</si>
  <si>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</si>
  <si>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</si>
  <si>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</si>
  <si>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</si>
  <si>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</si>
  <si>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</si>
  <si>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</si>
  <si>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</si>
  <si>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</si>
  <si>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</si>
  <si>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</si>
  <si>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</si>
  <si>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</si>
  <si>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</si>
  <si>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</si>
  <si>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</si>
  <si>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</si>
  <si>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</si>
  <si>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</si>
  <si>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</si>
  <si>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</si>
  <si>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</si>
  <si>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</si>
  <si>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</si>
  <si>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</si>
  <si>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</si>
  <si>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</si>
  <si>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</si>
  <si>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</si>
  <si>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</si>
  <si>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</si>
  <si>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</si>
  <si>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</si>
  <si>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</si>
  <si>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</si>
  <si>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</si>
  <si>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</si>
  <si>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</si>
  <si>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</si>
  <si>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</si>
  <si>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</si>
  <si>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</si>
  <si>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</si>
  <si>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</si>
  <si>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</si>
  <si>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</si>
  <si>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</si>
  <si>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</si>
  <si>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</si>
  <si>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</si>
  <si>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</si>
  <si>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</si>
  <si>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</si>
  <si>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</si>
  <si>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</si>
  <si>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</si>
  <si>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</si>
  <si>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</si>
  <si>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</si>
  <si>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</si>
  <si>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</si>
  <si>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</si>
  <si>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</si>
  <si>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</si>
  <si>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</si>
  <si>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</si>
  <si>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</si>
  <si>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</si>
  <si>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</si>
  <si>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</si>
  <si>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</si>
  <si>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</si>
  <si>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</si>
  <si>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</si>
  <si>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</si>
  <si>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</si>
  <si>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</si>
  <si>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</si>
  <si>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</si>
  <si>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</si>
  <si>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</si>
  <si>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</si>
  <si>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</si>
  <si>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</si>
  <si>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</si>
  <si>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</si>
  <si>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</si>
  <si>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</si>
  <si>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</si>
  <si>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</si>
  <si>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</si>
  <si>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</si>
  <si>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</si>
  <si>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</si>
  <si>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</si>
  <si>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</si>
  <si>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</si>
  <si>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</si>
  <si>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</si>
  <si>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</si>
  <si>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</si>
  <si>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</si>
  <si>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</si>
  <si>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</si>
  <si>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</si>
  <si>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</si>
  <si>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</si>
  <si>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</si>
  <si>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</si>
  <si>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</si>
  <si>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</si>
  <si>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</si>
  <si>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</si>
  <si>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</si>
  <si>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</si>
  <si>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</si>
  <si>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</si>
  <si>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</si>
  <si>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</si>
  <si>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</si>
  <si>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</si>
  <si>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</si>
  <si>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</si>
  <si>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</si>
  <si>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</si>
  <si>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</si>
  <si>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</si>
  <si>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</si>
  <si>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</si>
  <si>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</si>
  <si>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</si>
  <si>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</si>
  <si>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</si>
  <si>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</si>
  <si>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</si>
  <si>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</si>
  <si>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</si>
  <si>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</si>
  <si>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</si>
  <si>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</si>
  <si>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</si>
  <si>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</si>
  <si>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AFWID</t>
  </si>
  <si>
    <t>ANHID</t>
  </si>
  <si>
    <t>BRLID</t>
  </si>
  <si>
    <t>DVWID</t>
  </si>
  <si>
    <t>NESID</t>
  </si>
  <si>
    <t>PRTID</t>
  </si>
  <si>
    <t>SBWID</t>
  </si>
  <si>
    <t>SESID</t>
  </si>
  <si>
    <t>SEWID</t>
  </si>
  <si>
    <t>SRNID</t>
  </si>
  <si>
    <t>SSCID</t>
  </si>
  <si>
    <t>SSCDP</t>
  </si>
  <si>
    <t>SVTID</t>
  </si>
  <si>
    <t>SWTID</t>
  </si>
  <si>
    <t>TMSID</t>
  </si>
  <si>
    <t>NWTID</t>
  </si>
  <si>
    <t>WSHID</t>
  </si>
  <si>
    <t>WSXID</t>
  </si>
  <si>
    <t>YKYID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</si>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</sst>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14">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10"/>
      <color indexed="8"/>
      <name val="Arial"/>
      <family val="2"/>
    </font>
    <font>
      <sz val="8"/>
      <color indexed="8"/>
      <name val="Arial"/>
      <family val="2"/>
    </font>
    <font>
      <sz val="9"/>
      <color indexed="8"/>
      <name val="Arial"/>
      <family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1"/>
      <name val="Franklin Gothic Demi"/>
      <family val="2"/>
    </font>
    <font>
      <vertAlign val="superscript"/>
      <sz val="8"/>
      <name val="Arial"/>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vertAlign val="subscript"/>
      <sz val="10"/>
      <color indexed="8"/>
      <name val="Arial"/>
      <family val="2"/>
    </font>
    <font>
      <vertAlign val="superscript"/>
      <sz val="9"/>
      <color theme="1"/>
      <name val="Arial"/>
      <family val="2"/>
    </font>
  </fonts>
  <fills count="32">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FFC000"/>
        <bgColor indexed="64"/>
      </patternFill>
    </fill>
    <fill>
      <patternFill patternType="solid">
        <fgColor rgb="FFFFFF00"/>
        <bgColor rgb="FF000000"/>
      </patternFill>
    </fill>
  </fills>
  <borders count="306">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rgb="FF857362"/>
      </left>
      <right style="thin">
        <color rgb="FF857362"/>
      </right>
      <top style="thin">
        <color indexed="64"/>
      </top>
      <bottom style="medium">
        <color rgb="FF857362"/>
      </bottom>
      <diagonal/>
    </border>
    <border>
      <left style="thin">
        <color rgb="FF857362"/>
      </left>
      <right/>
      <top style="thin">
        <color indexed="64"/>
      </top>
      <bottom style="medium">
        <color rgb="FF857362"/>
      </bottom>
      <diagonal/>
    </border>
    <border>
      <left style="medium">
        <color rgb="FF857362"/>
      </left>
      <right style="thin">
        <color rgb="FF857362"/>
      </right>
      <top/>
      <bottom/>
      <diagonal/>
    </border>
    <border>
      <left/>
      <right/>
      <top style="thin">
        <color indexed="64"/>
      </top>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right/>
      <top style="thin">
        <color theme="7" tint="-0.499984740745262"/>
      </top>
      <bottom/>
      <diagonal/>
    </border>
    <border>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thin">
        <color rgb="FF857362"/>
      </left>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style="thin">
        <color theme="7" tint="-0.499984740745262"/>
      </left>
      <right style="thin">
        <color theme="7" tint="-0.499984740745262"/>
      </right>
      <top style="thin">
        <color rgb="FF857362"/>
      </top>
      <bottom style="medium">
        <color rgb="FF857362"/>
      </bottom>
      <diagonal/>
    </border>
    <border>
      <left style="thin">
        <color theme="7" tint="-0.499984740745262"/>
      </left>
      <right style="medium">
        <color rgb="FF857362"/>
      </right>
      <top style="thin">
        <color rgb="FF857362"/>
      </top>
      <bottom style="medium">
        <color rgb="FF857362"/>
      </bottom>
      <diagonal/>
    </border>
    <border>
      <left style="medium">
        <color indexed="64"/>
      </left>
      <right style="medium">
        <color indexed="64"/>
      </right>
      <top style="thin">
        <color indexed="64"/>
      </top>
      <bottom style="thin">
        <color indexed="64"/>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s>
  <cellStyleXfs count="3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3" fillId="8" borderId="0" applyBorder="0"/>
    <xf numFmtId="0" fontId="1" fillId="0" borderId="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8" fillId="0" borderId="0"/>
    <xf numFmtId="0" fontId="1" fillId="0" borderId="0"/>
    <xf numFmtId="0" fontId="49" fillId="0" borderId="0"/>
    <xf numFmtId="0" fontId="1" fillId="0" borderId="0"/>
    <xf numFmtId="9" fontId="49" fillId="0" borderId="0" applyFont="0" applyFill="0" applyBorder="0" applyAlignment="0" applyProtection="0"/>
    <xf numFmtId="0" fontId="1" fillId="0" borderId="0"/>
    <xf numFmtId="0" fontId="50" fillId="0" borderId="0"/>
    <xf numFmtId="0" fontId="49" fillId="0" borderId="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cellStyleXfs>
  <cellXfs count="2588">
    <xf numFmtId="0" fontId="0" fillId="0" borderId="0" xfId="0"/>
    <xf numFmtId="0" fontId="4" fillId="2" borderId="0" xfId="3" applyNumberFormat="1" applyAlignment="1"/>
    <xf numFmtId="0" fontId="5" fillId="0" borderId="0" xfId="0" applyFont="1"/>
    <xf numFmtId="0" fontId="6" fillId="0" borderId="0" xfId="0" applyFont="1"/>
    <xf numFmtId="0" fontId="8" fillId="0" borderId="0" xfId="0" applyFont="1"/>
    <xf numFmtId="0" fontId="12" fillId="0" borderId="0" xfId="0" applyFont="1"/>
    <xf numFmtId="0" fontId="13" fillId="0" borderId="0" xfId="0" applyFont="1"/>
    <xf numFmtId="0" fontId="15" fillId="0" borderId="0" xfId="0" applyFont="1"/>
    <xf numFmtId="0" fontId="16" fillId="0" borderId="0" xfId="0" applyFont="1"/>
    <xf numFmtId="0" fontId="17" fillId="0" borderId="0" xfId="0" applyFont="1"/>
    <xf numFmtId="0" fontId="4" fillId="2" borderId="0" xfId="0" applyFont="1" applyFill="1" applyAlignment="1">
      <alignment horizontal="right" vertical="center"/>
    </xf>
    <xf numFmtId="0" fontId="20" fillId="0" borderId="0" xfId="0" applyFont="1" applyAlignment="1">
      <alignment horizontal="left" vertical="center"/>
    </xf>
    <xf numFmtId="0" fontId="0" fillId="0" borderId="0" xfId="0" applyAlignment="1">
      <alignment vertical="center"/>
    </xf>
    <xf numFmtId="0" fontId="21" fillId="3" borderId="2" xfId="4" applyFont="1" applyBorder="1" applyAlignment="1">
      <alignment vertical="center"/>
    </xf>
    <xf numFmtId="0" fontId="7" fillId="3" borderId="3" xfId="4" applyBorder="1" applyAlignment="1">
      <alignment horizontal="center" wrapText="1"/>
    </xf>
    <xf numFmtId="0" fontId="7" fillId="3" borderId="3" xfId="4" applyBorder="1" applyAlignment="1">
      <alignment horizontal="center" vertical="center" wrapText="1"/>
    </xf>
    <xf numFmtId="0" fontId="7" fillId="3" borderId="4" xfId="4" applyBorder="1" applyAlignment="1">
      <alignment horizontal="center" vertical="center" wrapText="1"/>
    </xf>
    <xf numFmtId="0" fontId="22" fillId="5" borderId="6" xfId="0" applyFont="1" applyFill="1" applyBorder="1" applyAlignment="1">
      <alignment horizontal="center" vertical="center" wrapText="1"/>
    </xf>
    <xf numFmtId="0" fontId="23" fillId="0" borderId="0" xfId="0" applyFont="1" applyAlignment="1">
      <alignment vertical="center"/>
    </xf>
    <xf numFmtId="0" fontId="22" fillId="5" borderId="9"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3" fillId="0" borderId="0" xfId="0" applyFont="1" applyAlignment="1">
      <alignment vertical="center" wrapText="1"/>
    </xf>
    <xf numFmtId="0" fontId="0" fillId="0" borderId="0" xfId="0" applyAlignment="1">
      <alignment vertical="center" wrapText="1"/>
    </xf>
    <xf numFmtId="0" fontId="21" fillId="3" borderId="2" xfId="4" applyFont="1" applyBorder="1" applyAlignment="1">
      <alignment vertical="center" wrapText="1"/>
    </xf>
    <xf numFmtId="0" fontId="23" fillId="0" borderId="0" xfId="0" applyFont="1"/>
    <xf numFmtId="0" fontId="25" fillId="8" borderId="25" xfId="7" applyFont="1" applyBorder="1" applyAlignment="1">
      <alignment horizontal="center" vertical="center"/>
    </xf>
    <xf numFmtId="0" fontId="26" fillId="4" borderId="9" xfId="9" applyFont="1" applyFill="1" applyBorder="1" applyProtection="1">
      <protection locked="0"/>
    </xf>
    <xf numFmtId="0" fontId="7" fillId="3" borderId="4" xfId="9" applyFont="1" applyFill="1" applyBorder="1" applyAlignment="1">
      <alignment vertical="center"/>
    </xf>
    <xf numFmtId="0" fontId="18" fillId="0" borderId="3" xfId="9" applyBorder="1" applyAlignment="1">
      <alignment vertical="center"/>
    </xf>
    <xf numFmtId="0" fontId="18" fillId="0" borderId="6" xfId="9" applyBorder="1" applyAlignment="1">
      <alignment vertical="center"/>
    </xf>
    <xf numFmtId="0" fontId="18" fillId="0" borderId="9" xfId="9" applyBorder="1" applyAlignment="1">
      <alignment vertical="center"/>
    </xf>
    <xf numFmtId="0" fontId="18" fillId="0" borderId="12" xfId="9" applyBorder="1" applyAlignment="1">
      <alignment vertical="center"/>
    </xf>
    <xf numFmtId="0" fontId="18" fillId="0" borderId="7" xfId="9" applyBorder="1" applyAlignment="1">
      <alignment vertical="center"/>
    </xf>
    <xf numFmtId="0" fontId="18" fillId="0" borderId="10" xfId="9" applyBorder="1" applyAlignment="1">
      <alignment vertical="center"/>
    </xf>
    <xf numFmtId="165" fontId="26" fillId="4" borderId="5" xfId="9" applyNumberFormat="1" applyFont="1" applyFill="1" applyBorder="1" applyProtection="1">
      <protection locked="0"/>
    </xf>
    <xf numFmtId="165" fontId="26" fillId="4" borderId="6" xfId="9" applyNumberFormat="1" applyFont="1" applyFill="1" applyBorder="1" applyProtection="1">
      <protection locked="0"/>
    </xf>
    <xf numFmtId="165" fontId="26" fillId="4" borderId="7" xfId="9" applyNumberFormat="1" applyFont="1" applyFill="1" applyBorder="1" applyProtection="1">
      <protection locked="0"/>
    </xf>
    <xf numFmtId="165" fontId="26" fillId="4" borderId="54" xfId="9" applyNumberFormat="1" applyFont="1" applyFill="1" applyBorder="1" applyProtection="1">
      <protection locked="0"/>
    </xf>
    <xf numFmtId="165" fontId="26" fillId="4" borderId="8" xfId="9" applyNumberFormat="1" applyFont="1" applyFill="1" applyBorder="1" applyProtection="1">
      <protection locked="0"/>
    </xf>
    <xf numFmtId="165" fontId="26" fillId="4" borderId="9" xfId="9" applyNumberFormat="1" applyFont="1" applyFill="1" applyBorder="1" applyProtection="1">
      <protection locked="0"/>
    </xf>
    <xf numFmtId="165" fontId="26" fillId="4" borderId="10" xfId="9" applyNumberFormat="1" applyFont="1" applyFill="1" applyBorder="1" applyProtection="1">
      <protection locked="0"/>
    </xf>
    <xf numFmtId="165" fontId="26" fillId="4" borderId="56" xfId="9" applyNumberFormat="1" applyFont="1" applyFill="1" applyBorder="1" applyProtection="1">
      <protection locked="0"/>
    </xf>
    <xf numFmtId="165" fontId="26" fillId="4" borderId="31" xfId="9" applyNumberFormat="1" applyFont="1" applyFill="1" applyBorder="1" applyProtection="1">
      <protection locked="0"/>
    </xf>
    <xf numFmtId="165" fontId="26" fillId="4" borderId="32" xfId="9" applyNumberFormat="1" applyFont="1" applyFill="1" applyBorder="1" applyProtection="1">
      <protection locked="0"/>
    </xf>
    <xf numFmtId="165" fontId="26" fillId="4" borderId="28" xfId="9" applyNumberFormat="1" applyFont="1" applyFill="1" applyBorder="1" applyProtection="1">
      <protection locked="0"/>
    </xf>
    <xf numFmtId="165" fontId="26" fillId="4" borderId="29" xfId="9" applyNumberFormat="1" applyFont="1" applyFill="1" applyBorder="1" applyProtection="1">
      <protection locked="0"/>
    </xf>
    <xf numFmtId="165" fontId="26" fillId="4" borderId="10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42" fillId="11" borderId="0" xfId="0" applyFont="1" applyFill="1" applyAlignment="1">
      <alignment horizontal="left" vertical="top" wrapText="1"/>
    </xf>
    <xf numFmtId="0" fontId="42" fillId="0" borderId="0" xfId="0" applyFont="1"/>
    <xf numFmtId="0" fontId="9" fillId="0" borderId="0" xfId="0" applyFont="1" applyAlignment="1">
      <alignment horizontal="left" vertical="top" wrapText="1"/>
    </xf>
    <xf numFmtId="0" fontId="9" fillId="0" borderId="0" xfId="0" quotePrefix="1" applyFont="1" applyAlignment="1">
      <alignment horizontal="left" vertical="top" wrapText="1"/>
    </xf>
    <xf numFmtId="0" fontId="18" fillId="0" borderId="0" xfId="0" applyFont="1" applyAlignment="1">
      <alignment horizontal="left" vertical="top" wrapText="1"/>
    </xf>
    <xf numFmtId="0" fontId="3" fillId="0" borderId="0" xfId="0" applyFont="1"/>
    <xf numFmtId="0" fontId="43" fillId="12" borderId="101" xfId="0" applyFont="1" applyFill="1" applyBorder="1" applyAlignment="1">
      <alignment vertical="center" wrapText="1"/>
    </xf>
    <xf numFmtId="0" fontId="44" fillId="13" borderId="102" xfId="0" applyFont="1" applyFill="1" applyBorder="1" applyAlignment="1">
      <alignment vertical="center" wrapText="1"/>
    </xf>
    <xf numFmtId="0" fontId="45" fillId="0" borderId="0" xfId="0" applyFont="1" applyAlignment="1">
      <alignment vertical="center"/>
    </xf>
    <xf numFmtId="0" fontId="44" fillId="0" borderId="0" xfId="0" applyFont="1" applyAlignment="1">
      <alignment vertical="center"/>
    </xf>
    <xf numFmtId="0" fontId="46" fillId="0" borderId="0" xfId="0" applyFont="1" applyAlignment="1">
      <alignment vertical="center"/>
    </xf>
    <xf numFmtId="0" fontId="4" fillId="2" borderId="0" xfId="6" applyFont="1" applyFill="1" applyAlignment="1">
      <alignment vertical="center"/>
    </xf>
    <xf numFmtId="0" fontId="4" fillId="2" borderId="0" xfId="6" applyFont="1" applyFill="1" applyAlignment="1">
      <alignment horizontal="left" vertical="center"/>
    </xf>
    <xf numFmtId="0" fontId="4" fillId="2" borderId="0" xfId="6" applyFont="1" applyFill="1" applyAlignment="1">
      <alignment horizontal="right" vertical="center"/>
    </xf>
    <xf numFmtId="0" fontId="24" fillId="2" borderId="0" xfId="6" applyFont="1" applyFill="1" applyAlignment="1">
      <alignment horizontal="left" vertical="center"/>
    </xf>
    <xf numFmtId="0" fontId="1" fillId="0" borderId="0" xfId="6" applyAlignment="1">
      <alignment vertical="center"/>
    </xf>
    <xf numFmtId="0" fontId="1" fillId="3" borderId="0" xfId="6" applyFill="1" applyAlignment="1">
      <alignment vertical="center"/>
    </xf>
    <xf numFmtId="0" fontId="18" fillId="0" borderId="0" xfId="0" applyFont="1" applyAlignment="1">
      <alignment vertical="center"/>
    </xf>
    <xf numFmtId="0" fontId="9" fillId="0" borderId="0" xfId="6" applyFont="1" applyAlignment="1">
      <alignment vertical="center"/>
    </xf>
    <xf numFmtId="0" fontId="18" fillId="0" borderId="0" xfId="9" applyAlignment="1">
      <alignment vertical="center"/>
    </xf>
    <xf numFmtId="0" fontId="18" fillId="9" borderId="0" xfId="9" applyFill="1" applyAlignment="1">
      <alignment vertical="center"/>
    </xf>
    <xf numFmtId="0" fontId="23" fillId="6" borderId="0" xfId="6" applyFont="1" applyFill="1" applyAlignment="1">
      <alignment horizontal="left" vertical="center"/>
    </xf>
    <xf numFmtId="0" fontId="1" fillId="6" borderId="0" xfId="6" applyFill="1" applyAlignment="1">
      <alignment vertical="center"/>
    </xf>
    <xf numFmtId="0" fontId="7" fillId="3" borderId="12" xfId="6" applyFont="1" applyFill="1" applyBorder="1" applyAlignment="1">
      <alignment horizontal="center" vertical="center" wrapText="1"/>
    </xf>
    <xf numFmtId="0" fontId="23" fillId="0" borderId="0" xfId="6" applyFont="1" applyAlignment="1">
      <alignment vertical="center"/>
    </xf>
    <xf numFmtId="0" fontId="7" fillId="3" borderId="1" xfId="6" applyFont="1" applyFill="1" applyBorder="1" applyAlignment="1">
      <alignment vertical="center"/>
    </xf>
    <xf numFmtId="0" fontId="0" fillId="3" borderId="35" xfId="0" applyFill="1" applyBorder="1"/>
    <xf numFmtId="0" fontId="7" fillId="3" borderId="4" xfId="6" applyFont="1" applyFill="1" applyBorder="1" applyAlignment="1">
      <alignment vertical="center"/>
    </xf>
    <xf numFmtId="0" fontId="25" fillId="0" borderId="0" xfId="6" applyFont="1" applyAlignment="1">
      <alignment vertical="center"/>
    </xf>
    <xf numFmtId="0" fontId="23" fillId="0" borderId="5" xfId="6" applyFont="1" applyBorder="1" applyAlignment="1">
      <alignment horizontal="center" vertical="center"/>
    </xf>
    <xf numFmtId="0" fontId="9" fillId="0" borderId="9" xfId="6" applyFont="1" applyBorder="1" applyAlignment="1">
      <alignment vertical="center"/>
    </xf>
    <xf numFmtId="0" fontId="25" fillId="0" borderId="6" xfId="6" applyFont="1" applyBorder="1" applyAlignment="1">
      <alignment horizontal="center" vertical="center"/>
    </xf>
    <xf numFmtId="0" fontId="25" fillId="0" borderId="7" xfId="6" applyFont="1" applyBorder="1" applyAlignment="1">
      <alignment horizontal="center" vertical="center"/>
    </xf>
    <xf numFmtId="165" fontId="26" fillId="7" borderId="5" xfId="9" applyNumberFormat="1" applyFont="1" applyFill="1" applyBorder="1"/>
    <xf numFmtId="0" fontId="25" fillId="0" borderId="5" xfId="6" applyFont="1" applyBorder="1" applyAlignment="1">
      <alignment horizontal="center" vertical="center"/>
    </xf>
    <xf numFmtId="1" fontId="18" fillId="0" borderId="0" xfId="9" applyNumberFormat="1"/>
    <xf numFmtId="0" fontId="23" fillId="6" borderId="0" xfId="6" applyFont="1" applyFill="1" applyAlignment="1">
      <alignment horizontal="center" vertical="center"/>
    </xf>
    <xf numFmtId="0" fontId="23" fillId="0" borderId="8" xfId="6" applyFont="1" applyBorder="1" applyAlignment="1">
      <alignment horizontal="center" vertical="center"/>
    </xf>
    <xf numFmtId="0" fontId="25" fillId="0" borderId="9" xfId="6" applyFont="1" applyBorder="1" applyAlignment="1">
      <alignment horizontal="center" vertical="center"/>
    </xf>
    <xf numFmtId="0" fontId="25" fillId="0" borderId="10" xfId="6" applyFont="1" applyBorder="1" applyAlignment="1">
      <alignment horizontal="center" vertical="center"/>
    </xf>
    <xf numFmtId="165" fontId="26" fillId="7" borderId="8" xfId="9" applyNumberFormat="1" applyFont="1" applyFill="1" applyBorder="1"/>
    <xf numFmtId="0" fontId="25" fillId="0" borderId="8" xfId="6" applyFont="1" applyBorder="1" applyAlignment="1">
      <alignment horizontal="center" vertical="center"/>
    </xf>
    <xf numFmtId="0" fontId="25" fillId="0" borderId="11" xfId="6" applyFont="1" applyBorder="1" applyAlignment="1">
      <alignment horizontal="center" vertical="center"/>
    </xf>
    <xf numFmtId="0" fontId="25" fillId="0" borderId="13" xfId="6" applyFont="1" applyBorder="1" applyAlignment="1">
      <alignment horizontal="center" vertical="center"/>
    </xf>
    <xf numFmtId="0" fontId="23" fillId="0" borderId="11" xfId="6" applyFont="1" applyBorder="1" applyAlignment="1">
      <alignment horizontal="center" vertical="center"/>
    </xf>
    <xf numFmtId="0" fontId="9" fillId="0" borderId="12" xfId="6" applyFont="1" applyBorder="1" applyAlignment="1">
      <alignment vertical="center"/>
    </xf>
    <xf numFmtId="0" fontId="25" fillId="0" borderId="12" xfId="6" applyFont="1" applyBorder="1" applyAlignment="1">
      <alignment horizontal="center" vertical="center"/>
    </xf>
    <xf numFmtId="165" fontId="26" fillId="7" borderId="11" xfId="9" applyNumberFormat="1" applyFont="1" applyFill="1" applyBorder="1"/>
    <xf numFmtId="165" fontId="26" fillId="7" borderId="12" xfId="9" applyNumberFormat="1" applyFont="1" applyFill="1" applyBorder="1"/>
    <xf numFmtId="165" fontId="26" fillId="7" borderId="13" xfId="9" applyNumberFormat="1" applyFont="1" applyFill="1" applyBorder="1"/>
    <xf numFmtId="165" fontId="26" fillId="7" borderId="30" xfId="9" applyNumberFormat="1" applyFont="1" applyFill="1" applyBorder="1"/>
    <xf numFmtId="2" fontId="0" fillId="0" borderId="0" xfId="0" applyNumberFormat="1"/>
    <xf numFmtId="0" fontId="1" fillId="0" borderId="25" xfId="8" applyBorder="1" applyAlignment="1">
      <alignment horizontal="center" vertical="center"/>
    </xf>
    <xf numFmtId="0" fontId="1" fillId="0" borderId="0" xfId="8" applyAlignment="1">
      <alignment vertical="center"/>
    </xf>
    <xf numFmtId="165" fontId="1" fillId="0" borderId="0" xfId="8" applyNumberFormat="1" applyAlignment="1">
      <alignment vertical="center"/>
    </xf>
    <xf numFmtId="165" fontId="0" fillId="0" borderId="0" xfId="0" applyNumberFormat="1"/>
    <xf numFmtId="0" fontId="7" fillId="3" borderId="55" xfId="6" applyFont="1" applyFill="1" applyBorder="1" applyAlignment="1">
      <alignment horizontal="center" vertical="center"/>
    </xf>
    <xf numFmtId="0" fontId="7" fillId="3" borderId="16" xfId="6" applyFont="1" applyFill="1" applyBorder="1" applyAlignment="1">
      <alignment vertical="center"/>
    </xf>
    <xf numFmtId="0" fontId="25" fillId="0" borderId="0" xfId="6" applyFont="1" applyAlignment="1">
      <alignment horizontal="center" vertical="center"/>
    </xf>
    <xf numFmtId="0" fontId="9" fillId="0" borderId="6" xfId="6" applyFont="1" applyBorder="1" applyAlignment="1">
      <alignment vertical="center"/>
    </xf>
    <xf numFmtId="0" fontId="25" fillId="0" borderId="0" xfId="8" applyFont="1" applyAlignment="1">
      <alignment horizontal="center" vertical="center"/>
    </xf>
    <xf numFmtId="0" fontId="23" fillId="3" borderId="0" xfId="8" applyFont="1" applyFill="1" applyAlignment="1">
      <alignment horizontal="center" vertical="center"/>
    </xf>
    <xf numFmtId="0" fontId="1" fillId="0" borderId="0" xfId="8" applyAlignment="1">
      <alignment horizontal="center" vertical="center"/>
    </xf>
    <xf numFmtId="0" fontId="23" fillId="0" borderId="0" xfId="6" applyFont="1" applyAlignment="1">
      <alignment horizontal="center" vertical="center"/>
    </xf>
    <xf numFmtId="0" fontId="25" fillId="3" borderId="0" xfId="8" applyFont="1" applyFill="1" applyAlignment="1">
      <alignment horizontal="center" vertical="center"/>
    </xf>
    <xf numFmtId="165" fontId="26" fillId="7" borderId="35" xfId="9" applyNumberFormat="1" applyFont="1" applyFill="1" applyBorder="1"/>
    <xf numFmtId="0" fontId="23" fillId="0" borderId="0" xfId="8" applyFont="1" applyAlignment="1">
      <alignment horizontal="center" vertical="center"/>
    </xf>
    <xf numFmtId="165" fontId="26" fillId="7" borderId="27" xfId="9" applyNumberFormat="1" applyFont="1" applyFill="1" applyBorder="1"/>
    <xf numFmtId="0" fontId="9" fillId="0" borderId="0" xfId="8" applyFont="1" applyAlignment="1">
      <alignment horizontal="center" vertical="center"/>
    </xf>
    <xf numFmtId="0" fontId="23" fillId="0" borderId="2" xfId="6" applyFont="1" applyBorder="1" applyAlignment="1">
      <alignment horizontal="center" vertical="center"/>
    </xf>
    <xf numFmtId="0" fontId="9" fillId="0" borderId="3" xfId="6" applyFont="1" applyBorder="1" applyAlignment="1">
      <alignment vertical="center"/>
    </xf>
    <xf numFmtId="0" fontId="25" fillId="0" borderId="3" xfId="6" applyFont="1" applyBorder="1" applyAlignment="1">
      <alignment horizontal="center" vertical="center"/>
    </xf>
    <xf numFmtId="0" fontId="25" fillId="0" borderId="4" xfId="6" applyFont="1" applyBorder="1" applyAlignment="1">
      <alignment horizontal="center" vertical="center"/>
    </xf>
    <xf numFmtId="165" fontId="26" fillId="7" borderId="2" xfId="9" applyNumberFormat="1" applyFont="1" applyFill="1" applyBorder="1"/>
    <xf numFmtId="165" fontId="26" fillId="7" borderId="3" xfId="9" applyNumberFormat="1" applyFont="1" applyFill="1" applyBorder="1"/>
    <xf numFmtId="165" fontId="26" fillId="7" borderId="4" xfId="9" applyNumberFormat="1" applyFont="1" applyFill="1" applyBorder="1"/>
    <xf numFmtId="165" fontId="26" fillId="7" borderId="1" xfId="9" applyNumberFormat="1" applyFont="1" applyFill="1" applyBorder="1"/>
    <xf numFmtId="0" fontId="26" fillId="0" borderId="0" xfId="9" applyFont="1" applyAlignment="1">
      <alignment vertical="center"/>
    </xf>
    <xf numFmtId="0" fontId="26" fillId="0" borderId="0" xfId="9" applyFont="1" applyAlignment="1">
      <alignment horizontal="left" vertical="center"/>
    </xf>
    <xf numFmtId="0" fontId="26" fillId="0" borderId="0" xfId="9" applyFont="1" applyAlignment="1">
      <alignment horizontal="left"/>
    </xf>
    <xf numFmtId="0" fontId="26" fillId="7" borderId="9" xfId="9" applyFont="1" applyFill="1" applyBorder="1"/>
    <xf numFmtId="0" fontId="26" fillId="0" borderId="0" xfId="9" applyFont="1"/>
    <xf numFmtId="0" fontId="27" fillId="3" borderId="33" xfId="9" applyFont="1" applyFill="1" applyBorder="1" applyAlignment="1">
      <alignment vertical="center"/>
    </xf>
    <xf numFmtId="0" fontId="28" fillId="3" borderId="34" xfId="9" applyFont="1" applyFill="1" applyBorder="1" applyAlignment="1">
      <alignment horizontal="left" vertical="center"/>
    </xf>
    <xf numFmtId="0" fontId="28" fillId="3" borderId="34" xfId="9" applyFont="1" applyFill="1" applyBorder="1" applyAlignment="1">
      <alignment vertical="center"/>
    </xf>
    <xf numFmtId="0" fontId="29" fillId="3" borderId="35" xfId="9" applyFont="1" applyFill="1" applyBorder="1" applyAlignment="1">
      <alignment vertical="center"/>
    </xf>
    <xf numFmtId="0" fontId="18" fillId="0" borderId="0" xfId="9"/>
    <xf numFmtId="0" fontId="18" fillId="0" borderId="0" xfId="9" applyAlignment="1">
      <alignment horizontal="left"/>
    </xf>
    <xf numFmtId="0" fontId="1" fillId="0" borderId="0" xfId="8" applyAlignment="1">
      <alignment horizontal="left" vertical="center"/>
    </xf>
    <xf numFmtId="0" fontId="41" fillId="0" borderId="0" xfId="8" applyFont="1" applyAlignment="1">
      <alignment vertical="center"/>
    </xf>
    <xf numFmtId="0" fontId="29" fillId="3" borderId="35" xfId="9" applyFont="1" applyFill="1" applyBorder="1" applyAlignment="1">
      <alignment horizontal="right" vertical="center"/>
    </xf>
    <xf numFmtId="0" fontId="18" fillId="0" borderId="0" xfId="9" applyAlignment="1">
      <alignment horizontal="left" vertical="center"/>
    </xf>
    <xf numFmtId="0" fontId="23" fillId="0" borderId="0" xfId="8" applyFont="1" applyAlignment="1">
      <alignment vertical="center"/>
    </xf>
    <xf numFmtId="165" fontId="23" fillId="0" borderId="0" xfId="6" applyNumberFormat="1" applyFont="1" applyAlignment="1">
      <alignment vertical="center"/>
    </xf>
    <xf numFmtId="0" fontId="18" fillId="0" borderId="0" xfId="9" applyAlignment="1">
      <alignment vertical="center" wrapText="1"/>
    </xf>
    <xf numFmtId="0" fontId="25" fillId="0" borderId="47" xfId="6" applyFont="1" applyBorder="1" applyAlignment="1">
      <alignment horizontal="center" vertical="center"/>
    </xf>
    <xf numFmtId="0" fontId="25" fillId="0" borderId="50" xfId="6" applyFont="1" applyBorder="1" applyAlignment="1">
      <alignment horizontal="center" vertical="center"/>
    </xf>
    <xf numFmtId="0" fontId="0" fillId="0" borderId="0" xfId="6" applyFont="1" applyAlignment="1">
      <alignment vertical="center"/>
    </xf>
    <xf numFmtId="0" fontId="23" fillId="0" borderId="46" xfId="6" applyFont="1" applyBorder="1" applyAlignment="1">
      <alignment horizontal="center" vertical="center"/>
    </xf>
    <xf numFmtId="0" fontId="9" fillId="0" borderId="47" xfId="6" applyFont="1" applyBorder="1" applyAlignment="1">
      <alignment vertical="center"/>
    </xf>
    <xf numFmtId="0" fontId="9" fillId="0" borderId="47" xfId="6" applyFont="1" applyBorder="1" applyAlignment="1">
      <alignment vertical="center" wrapText="1"/>
    </xf>
    <xf numFmtId="0" fontId="9" fillId="0" borderId="9" xfId="6" applyFont="1" applyBorder="1" applyAlignment="1">
      <alignment vertical="center" wrapText="1"/>
    </xf>
    <xf numFmtId="0" fontId="23" fillId="0" borderId="19" xfId="6" applyFont="1" applyBorder="1" applyAlignment="1">
      <alignment horizontal="center" vertical="center"/>
    </xf>
    <xf numFmtId="0" fontId="25" fillId="0" borderId="20" xfId="6" applyFont="1" applyBorder="1" applyAlignment="1">
      <alignment horizontal="center" vertical="center"/>
    </xf>
    <xf numFmtId="0" fontId="25" fillId="0" borderId="21" xfId="6" applyFont="1" applyBorder="1" applyAlignment="1">
      <alignment horizontal="center" vertical="center"/>
    </xf>
    <xf numFmtId="0" fontId="9" fillId="0" borderId="0" xfId="8" applyFont="1" applyAlignment="1">
      <alignment vertical="center"/>
    </xf>
    <xf numFmtId="0" fontId="9" fillId="0" borderId="0" xfId="8" applyFont="1" applyAlignment="1">
      <alignment horizontal="left" vertical="center"/>
    </xf>
    <xf numFmtId="0" fontId="31" fillId="0" borderId="0" xfId="6" applyFont="1" applyAlignment="1">
      <alignment horizontal="center" vertical="top" wrapText="1"/>
    </xf>
    <xf numFmtId="0" fontId="7" fillId="3" borderId="3" xfId="6" applyFont="1" applyFill="1" applyBorder="1" applyAlignment="1">
      <alignment horizontal="center" vertical="center"/>
    </xf>
    <xf numFmtId="0" fontId="7" fillId="3" borderId="4" xfId="6" applyFont="1" applyFill="1" applyBorder="1" applyAlignment="1">
      <alignment horizontal="center" vertical="center"/>
    </xf>
    <xf numFmtId="0" fontId="7" fillId="3" borderId="2" xfId="6" applyFont="1" applyFill="1" applyBorder="1" applyAlignment="1">
      <alignment horizontal="center" vertical="center" wrapText="1"/>
    </xf>
    <xf numFmtId="0" fontId="7" fillId="3" borderId="4" xfId="6" applyFont="1" applyFill="1" applyBorder="1" applyAlignment="1">
      <alignment horizontal="center" vertical="center" wrapText="1"/>
    </xf>
    <xf numFmtId="0" fontId="7" fillId="3" borderId="1" xfId="6" applyFont="1" applyFill="1" applyBorder="1" applyAlignment="1">
      <alignment horizontal="center" vertical="center" wrapText="1"/>
    </xf>
    <xf numFmtId="165" fontId="23" fillId="7" borderId="5" xfId="6" applyNumberFormat="1" applyFont="1" applyFill="1" applyBorder="1" applyAlignment="1">
      <alignment vertical="center"/>
    </xf>
    <xf numFmtId="165" fontId="23" fillId="7" borderId="6" xfId="6" applyNumberFormat="1" applyFont="1" applyFill="1" applyBorder="1" applyAlignment="1">
      <alignment vertical="center"/>
    </xf>
    <xf numFmtId="165" fontId="23" fillId="7" borderId="7" xfId="6" applyNumberFormat="1" applyFont="1" applyFill="1" applyBorder="1" applyAlignment="1">
      <alignment vertical="center"/>
    </xf>
    <xf numFmtId="165" fontId="23" fillId="7" borderId="10" xfId="6" applyNumberFormat="1" applyFont="1" applyFill="1" applyBorder="1" applyAlignment="1">
      <alignment vertical="center"/>
    </xf>
    <xf numFmtId="165" fontId="23" fillId="7" borderId="11" xfId="6" applyNumberFormat="1" applyFont="1" applyFill="1" applyBorder="1" applyAlignment="1">
      <alignment vertical="center"/>
    </xf>
    <xf numFmtId="165" fontId="23" fillId="7" borderId="12" xfId="6" applyNumberFormat="1" applyFont="1" applyFill="1" applyBorder="1" applyAlignment="1">
      <alignment vertical="center"/>
    </xf>
    <xf numFmtId="165" fontId="23" fillId="7" borderId="13" xfId="6" applyNumberFormat="1" applyFont="1" applyFill="1" applyBorder="1" applyAlignment="1">
      <alignment vertical="center"/>
    </xf>
    <xf numFmtId="165" fontId="23" fillId="7" borderId="24" xfId="6" applyNumberFormat="1" applyFont="1" applyFill="1" applyBorder="1" applyAlignment="1">
      <alignment vertical="center"/>
    </xf>
    <xf numFmtId="165" fontId="23" fillId="7" borderId="26" xfId="6" applyNumberFormat="1" applyFont="1" applyFill="1" applyBorder="1" applyAlignment="1">
      <alignment vertical="center"/>
    </xf>
    <xf numFmtId="165" fontId="23" fillId="7" borderId="27" xfId="6" applyNumberFormat="1" applyFont="1" applyFill="1" applyBorder="1" applyAlignment="1">
      <alignment vertical="center"/>
    </xf>
    <xf numFmtId="165" fontId="23" fillId="7" borderId="31" xfId="6" applyNumberFormat="1" applyFont="1" applyFill="1" applyBorder="1" applyAlignment="1">
      <alignment vertical="center"/>
    </xf>
    <xf numFmtId="165" fontId="23" fillId="7" borderId="30" xfId="6" applyNumberFormat="1" applyFont="1" applyFill="1" applyBorder="1" applyAlignment="1">
      <alignment vertical="center"/>
    </xf>
    <xf numFmtId="0" fontId="23" fillId="0" borderId="25" xfId="8" applyFont="1" applyBorder="1" applyAlignment="1">
      <alignment horizontal="center" vertical="center"/>
    </xf>
    <xf numFmtId="0" fontId="31" fillId="0" borderId="0" xfId="6" applyFont="1" applyAlignment="1">
      <alignment horizontal="center" vertical="center" wrapText="1"/>
    </xf>
    <xf numFmtId="0" fontId="23" fillId="0" borderId="0" xfId="8" applyFont="1"/>
    <xf numFmtId="0" fontId="1" fillId="0" borderId="79" xfId="6" applyBorder="1" applyAlignment="1">
      <alignment vertical="center"/>
    </xf>
    <xf numFmtId="0" fontId="1" fillId="0" borderId="80" xfId="6" applyBorder="1" applyAlignment="1">
      <alignment vertical="center"/>
    </xf>
    <xf numFmtId="0" fontId="1" fillId="0" borderId="81" xfId="6" applyBorder="1" applyAlignment="1">
      <alignment vertical="center"/>
    </xf>
    <xf numFmtId="0" fontId="7" fillId="3" borderId="69" xfId="6" applyFont="1" applyFill="1" applyBorder="1" applyAlignment="1">
      <alignment horizontal="center" vertical="center" wrapText="1"/>
    </xf>
    <xf numFmtId="0" fontId="7" fillId="3" borderId="70" xfId="6" applyFont="1" applyFill="1" applyBorder="1" applyAlignment="1">
      <alignment horizontal="center" vertical="center" wrapText="1"/>
    </xf>
    <xf numFmtId="0" fontId="7" fillId="3" borderId="72" xfId="6" applyFont="1" applyFill="1" applyBorder="1" applyAlignment="1">
      <alignment horizontal="center" vertical="center" wrapText="1"/>
    </xf>
    <xf numFmtId="0" fontId="7" fillId="3" borderId="71" xfId="6" applyFont="1" applyFill="1" applyBorder="1" applyAlignment="1">
      <alignment horizontal="center" vertical="center" wrapText="1"/>
    </xf>
    <xf numFmtId="0" fontId="25" fillId="0" borderId="36" xfId="6" applyFont="1" applyBorder="1" applyAlignment="1">
      <alignment horizontal="center" vertical="center"/>
    </xf>
    <xf numFmtId="165" fontId="23" fillId="7" borderId="68" xfId="6" applyNumberFormat="1" applyFont="1" applyFill="1" applyBorder="1" applyAlignment="1">
      <alignment vertical="center"/>
    </xf>
    <xf numFmtId="0" fontId="25" fillId="0" borderId="38" xfId="6" applyFont="1" applyBorder="1" applyAlignment="1">
      <alignment horizontal="center" vertical="center"/>
    </xf>
    <xf numFmtId="165" fontId="23" fillId="7" borderId="85" xfId="6" applyNumberFormat="1" applyFont="1" applyFill="1" applyBorder="1" applyAlignment="1">
      <alignment vertical="center"/>
    </xf>
    <xf numFmtId="0" fontId="9" fillId="0" borderId="44" xfId="6" applyFont="1" applyBorder="1" applyAlignment="1">
      <alignment vertical="center"/>
    </xf>
    <xf numFmtId="165" fontId="23" fillId="10" borderId="86" xfId="6" applyNumberFormat="1" applyFont="1" applyFill="1" applyBorder="1" applyAlignment="1">
      <alignment vertical="center"/>
    </xf>
    <xf numFmtId="165" fontId="23" fillId="10" borderId="0" xfId="6" applyNumberFormat="1" applyFont="1" applyFill="1" applyAlignment="1">
      <alignment vertical="center"/>
    </xf>
    <xf numFmtId="165" fontId="23" fillId="7" borderId="87" xfId="6" applyNumberFormat="1" applyFont="1" applyFill="1" applyBorder="1" applyAlignment="1">
      <alignment vertical="center"/>
    </xf>
    <xf numFmtId="0" fontId="1" fillId="0" borderId="25" xfId="6" applyBorder="1" applyAlignment="1">
      <alignment vertical="center"/>
    </xf>
    <xf numFmtId="0" fontId="25" fillId="0" borderId="40" xfId="6" applyFont="1" applyBorder="1" applyAlignment="1">
      <alignment horizontal="center" vertical="center"/>
    </xf>
    <xf numFmtId="165" fontId="23" fillId="7" borderId="73" xfId="6" applyNumberFormat="1" applyFont="1" applyFill="1" applyBorder="1" applyAlignment="1">
      <alignment vertical="center"/>
    </xf>
    <xf numFmtId="0" fontId="23" fillId="0" borderId="91" xfId="6" applyFont="1" applyBorder="1" applyAlignment="1">
      <alignment horizontal="center" vertical="center"/>
    </xf>
    <xf numFmtId="0" fontId="9" fillId="0" borderId="92" xfId="6" applyFont="1" applyBorder="1" applyAlignment="1">
      <alignment vertical="center"/>
    </xf>
    <xf numFmtId="0" fontId="25" fillId="0" borderId="92" xfId="6" applyFont="1" applyBorder="1" applyAlignment="1">
      <alignment horizontal="center" vertical="center"/>
    </xf>
    <xf numFmtId="0" fontId="25" fillId="0" borderId="93" xfId="6" applyFont="1" applyBorder="1" applyAlignment="1">
      <alignment horizontal="center" vertical="center"/>
    </xf>
    <xf numFmtId="0" fontId="23" fillId="0" borderId="94" xfId="6" applyFont="1" applyBorder="1" applyAlignment="1">
      <alignment horizontal="center" vertical="center"/>
    </xf>
    <xf numFmtId="0" fontId="25" fillId="0" borderId="95" xfId="6" applyFont="1" applyBorder="1" applyAlignment="1">
      <alignment horizontal="center" vertical="center"/>
    </xf>
    <xf numFmtId="0" fontId="23" fillId="0" borderId="96" xfId="6" applyFont="1" applyBorder="1" applyAlignment="1">
      <alignment horizontal="center" vertical="center"/>
    </xf>
    <xf numFmtId="0" fontId="9" fillId="0" borderId="97" xfId="6" applyFont="1" applyBorder="1" applyAlignment="1">
      <alignment vertical="center"/>
    </xf>
    <xf numFmtId="0" fontId="25" fillId="0" borderId="97" xfId="6" applyFont="1" applyBorder="1" applyAlignment="1">
      <alignment horizontal="center" vertical="center"/>
    </xf>
    <xf numFmtId="0" fontId="25" fillId="0" borderId="98" xfId="6" applyFont="1" applyBorder="1" applyAlignment="1">
      <alignment horizontal="center" vertical="center"/>
    </xf>
    <xf numFmtId="165" fontId="23" fillId="7" borderId="32" xfId="6" applyNumberFormat="1" applyFont="1" applyFill="1" applyBorder="1" applyAlignment="1">
      <alignment vertical="center"/>
    </xf>
    <xf numFmtId="165" fontId="23" fillId="7" borderId="41" xfId="6" applyNumberFormat="1" applyFont="1" applyFill="1" applyBorder="1" applyAlignment="1">
      <alignment vertical="center"/>
    </xf>
    <xf numFmtId="165" fontId="23" fillId="7" borderId="39" xfId="6" applyNumberFormat="1" applyFont="1" applyFill="1" applyBorder="1" applyAlignment="1">
      <alignment vertical="center"/>
    </xf>
    <xf numFmtId="165" fontId="23" fillId="7" borderId="9" xfId="6" applyNumberFormat="1" applyFont="1" applyFill="1" applyBorder="1" applyAlignment="1">
      <alignment vertical="center"/>
    </xf>
    <xf numFmtId="165" fontId="23" fillId="7" borderId="8" xfId="6" applyNumberFormat="1" applyFont="1" applyFill="1" applyBorder="1" applyAlignment="1">
      <alignment vertical="center"/>
    </xf>
    <xf numFmtId="0" fontId="23" fillId="0" borderId="0" xfId="6" applyFont="1" applyAlignment="1">
      <alignment horizontal="center" vertical="center" wrapText="1"/>
    </xf>
    <xf numFmtId="165" fontId="23" fillId="7" borderId="4" xfId="6" applyNumberFormat="1" applyFont="1" applyFill="1" applyBorder="1" applyAlignment="1">
      <alignment vertical="center"/>
    </xf>
    <xf numFmtId="165" fontId="23" fillId="7" borderId="74" xfId="6" applyNumberFormat="1" applyFont="1" applyFill="1" applyBorder="1" applyAlignment="1">
      <alignment vertical="center"/>
    </xf>
    <xf numFmtId="165" fontId="23" fillId="7" borderId="75" xfId="6" applyNumberFormat="1" applyFont="1" applyFill="1" applyBorder="1" applyAlignment="1">
      <alignment vertical="center"/>
    </xf>
    <xf numFmtId="165" fontId="23" fillId="7" borderId="21" xfId="6" applyNumberFormat="1" applyFont="1" applyFill="1" applyBorder="1" applyAlignment="1">
      <alignment vertical="center"/>
    </xf>
    <xf numFmtId="0" fontId="28" fillId="3" borderId="35" xfId="9" applyFont="1" applyFill="1" applyBorder="1" applyAlignment="1">
      <alignment vertical="center"/>
    </xf>
    <xf numFmtId="0" fontId="1" fillId="0" borderId="63" xfId="6" applyBorder="1" applyAlignment="1">
      <alignment vertical="center"/>
    </xf>
    <xf numFmtId="0" fontId="31" fillId="0" borderId="0" xfId="8" applyFont="1"/>
    <xf numFmtId="0" fontId="13" fillId="0" borderId="0" xfId="9" applyFont="1" applyAlignment="1">
      <alignment vertical="center"/>
    </xf>
    <xf numFmtId="0" fontId="18" fillId="0" borderId="0" xfId="11"/>
    <xf numFmtId="0" fontId="7" fillId="3" borderId="11" xfId="9" applyFont="1" applyFill="1" applyBorder="1" applyAlignment="1">
      <alignment horizontal="center" vertical="center" wrapText="1"/>
    </xf>
    <xf numFmtId="0" fontId="7" fillId="3" borderId="13" xfId="9" applyFont="1" applyFill="1" applyBorder="1" applyAlignment="1">
      <alignment horizontal="center" vertical="center" wrapText="1"/>
    </xf>
    <xf numFmtId="0" fontId="7" fillId="3" borderId="2" xfId="9" applyFont="1" applyFill="1" applyBorder="1" applyAlignment="1">
      <alignment horizontal="center" vertical="center"/>
    </xf>
    <xf numFmtId="0" fontId="18" fillId="0" borderId="2" xfId="9" applyBorder="1" applyAlignment="1">
      <alignment horizontal="center" vertical="center"/>
    </xf>
    <xf numFmtId="0" fontId="18" fillId="0" borderId="3" xfId="9" applyBorder="1" applyAlignment="1">
      <alignment horizontal="left" vertical="center"/>
    </xf>
    <xf numFmtId="0" fontId="15" fillId="0" borderId="3" xfId="9" quotePrefix="1" applyFont="1" applyBorder="1" applyAlignment="1">
      <alignment horizontal="center" vertical="center"/>
    </xf>
    <xf numFmtId="0" fontId="15" fillId="0" borderId="4" xfId="9" applyFont="1" applyBorder="1" applyAlignment="1">
      <alignment horizontal="center" vertical="center"/>
    </xf>
    <xf numFmtId="0" fontId="15" fillId="0" borderId="0" xfId="9" quotePrefix="1" applyFont="1" applyAlignment="1">
      <alignment horizontal="center" vertical="center"/>
    </xf>
    <xf numFmtId="0" fontId="15" fillId="0" borderId="0" xfId="9" applyFont="1" applyAlignment="1">
      <alignment horizontal="center" vertical="center"/>
    </xf>
    <xf numFmtId="0" fontId="26" fillId="0" borderId="0" xfId="9" applyFont="1" applyAlignment="1">
      <alignment horizontal="center" vertical="center"/>
    </xf>
    <xf numFmtId="0" fontId="15" fillId="0" borderId="0" xfId="9" applyFont="1" applyAlignment="1">
      <alignment vertical="center"/>
    </xf>
    <xf numFmtId="0" fontId="18" fillId="0" borderId="5" xfId="9" applyBorder="1" applyAlignment="1">
      <alignment horizontal="center" vertical="center"/>
    </xf>
    <xf numFmtId="0" fontId="18" fillId="0" borderId="6" xfId="9" applyBorder="1" applyAlignment="1">
      <alignment horizontal="left" vertical="center"/>
    </xf>
    <xf numFmtId="0" fontId="15" fillId="0" borderId="6" xfId="9" quotePrefix="1" applyFont="1" applyBorder="1" applyAlignment="1">
      <alignment horizontal="center" vertical="center"/>
    </xf>
    <xf numFmtId="0" fontId="15" fillId="0" borderId="7" xfId="9" applyFont="1" applyBorder="1" applyAlignment="1">
      <alignment horizontal="center" vertical="center"/>
    </xf>
    <xf numFmtId="0" fontId="18" fillId="0" borderId="8" xfId="9" applyBorder="1" applyAlignment="1">
      <alignment horizontal="center" vertical="center"/>
    </xf>
    <xf numFmtId="0" fontId="18" fillId="0" borderId="9" xfId="9" applyBorder="1" applyAlignment="1">
      <alignment horizontal="left" vertical="center"/>
    </xf>
    <xf numFmtId="0" fontId="15" fillId="0" borderId="9" xfId="9" quotePrefix="1" applyFont="1" applyBorder="1" applyAlignment="1">
      <alignment horizontal="center" vertical="center"/>
    </xf>
    <xf numFmtId="0" fontId="15" fillId="0" borderId="10" xfId="9" applyFont="1" applyBorder="1" applyAlignment="1">
      <alignment horizontal="center" vertical="center"/>
    </xf>
    <xf numFmtId="0" fontId="1" fillId="0" borderId="0" xfId="8"/>
    <xf numFmtId="0" fontId="18" fillId="0" borderId="11" xfId="9" applyBorder="1" applyAlignment="1">
      <alignment horizontal="center" vertical="center"/>
    </xf>
    <xf numFmtId="0" fontId="18" fillId="0" borderId="12" xfId="9" applyBorder="1" applyAlignment="1">
      <alignment horizontal="left" vertical="center"/>
    </xf>
    <xf numFmtId="0" fontId="15" fillId="0" borderId="12" xfId="9" applyFont="1" applyBorder="1" applyAlignment="1">
      <alignment horizontal="center" vertical="center"/>
    </xf>
    <xf numFmtId="0" fontId="15" fillId="0" borderId="13" xfId="9" applyFont="1" applyBorder="1" applyAlignment="1">
      <alignment horizontal="center" vertical="center"/>
    </xf>
    <xf numFmtId="0" fontId="26" fillId="0" borderId="5" xfId="9" applyFont="1" applyBorder="1" applyAlignment="1">
      <alignment horizontal="center" vertical="center"/>
    </xf>
    <xf numFmtId="0" fontId="26" fillId="0" borderId="8" xfId="9" applyFont="1" applyBorder="1" applyAlignment="1">
      <alignment horizontal="center" vertical="center"/>
    </xf>
    <xf numFmtId="0" fontId="26" fillId="0" borderId="11" xfId="9" applyFont="1" applyBorder="1" applyAlignment="1">
      <alignment horizontal="center" vertical="center"/>
    </xf>
    <xf numFmtId="0" fontId="7" fillId="3" borderId="54" xfId="9" applyFont="1" applyFill="1" applyBorder="1" applyAlignment="1">
      <alignment horizontal="left" vertical="center"/>
    </xf>
    <xf numFmtId="0" fontId="7" fillId="3" borderId="24" xfId="9" applyFont="1" applyFill="1" applyBorder="1" applyAlignment="1">
      <alignment vertical="center"/>
    </xf>
    <xf numFmtId="0" fontId="33" fillId="0" borderId="0" xfId="9" applyFont="1" applyAlignment="1">
      <alignment horizontal="center" vertical="center"/>
    </xf>
    <xf numFmtId="0" fontId="18" fillId="0" borderId="0" xfId="9" applyAlignment="1">
      <alignment horizontal="center" vertical="center"/>
    </xf>
    <xf numFmtId="0" fontId="7" fillId="3" borderId="2" xfId="9" applyFont="1" applyFill="1" applyBorder="1" applyAlignment="1">
      <alignment horizontal="center" vertical="center" wrapText="1"/>
    </xf>
    <xf numFmtId="0" fontId="7" fillId="3" borderId="4" xfId="9" applyFont="1" applyFill="1" applyBorder="1" applyAlignment="1">
      <alignment horizontal="center" vertical="center" wrapText="1"/>
    </xf>
    <xf numFmtId="0" fontId="7" fillId="3" borderId="16" xfId="9" applyFont="1" applyFill="1" applyBorder="1" applyAlignment="1">
      <alignment vertical="center"/>
    </xf>
    <xf numFmtId="0" fontId="15" fillId="0" borderId="6" xfId="9" applyFont="1" applyBorder="1" applyAlignment="1">
      <alignment horizontal="center" vertical="center"/>
    </xf>
    <xf numFmtId="0" fontId="15" fillId="0" borderId="9" xfId="9" applyFont="1" applyBorder="1" applyAlignment="1">
      <alignment horizontal="center" vertical="center"/>
    </xf>
    <xf numFmtId="0" fontId="9" fillId="0" borderId="0" xfId="8" applyFont="1"/>
    <xf numFmtId="0" fontId="2" fillId="0" borderId="0" xfId="6" applyFont="1" applyAlignment="1">
      <alignment vertical="center"/>
    </xf>
    <xf numFmtId="0" fontId="32" fillId="0" borderId="0" xfId="9" applyFont="1" applyAlignment="1">
      <alignment vertical="center"/>
    </xf>
    <xf numFmtId="0" fontId="7" fillId="3" borderId="61" xfId="9" applyFont="1" applyFill="1" applyBorder="1" applyAlignment="1">
      <alignment horizontal="left" vertical="center" wrapText="1"/>
    </xf>
    <xf numFmtId="0" fontId="7" fillId="3" borderId="61" xfId="9" applyFont="1" applyFill="1" applyBorder="1" applyAlignment="1">
      <alignment horizontal="center" vertical="center" wrapText="1"/>
    </xf>
    <xf numFmtId="0" fontId="7" fillId="3" borderId="3" xfId="9" applyFont="1" applyFill="1" applyBorder="1" applyAlignment="1">
      <alignment horizontal="center" vertical="center" wrapText="1"/>
    </xf>
    <xf numFmtId="0" fontId="39" fillId="9" borderId="0" xfId="9" applyFont="1" applyFill="1" applyAlignment="1">
      <alignment horizontal="center" vertical="center"/>
    </xf>
    <xf numFmtId="0" fontId="40" fillId="0" borderId="0" xfId="6" applyFont="1" applyAlignment="1">
      <alignment horizontal="center" vertical="center"/>
    </xf>
    <xf numFmtId="0" fontId="26" fillId="0" borderId="6" xfId="9" applyFont="1" applyBorder="1" applyAlignment="1">
      <alignment vertical="center"/>
    </xf>
    <xf numFmtId="0" fontId="26" fillId="0" borderId="6" xfId="9" applyFont="1" applyBorder="1" applyAlignment="1">
      <alignment vertical="center" wrapText="1"/>
    </xf>
    <xf numFmtId="0" fontId="26" fillId="0" borderId="6" xfId="9" applyFont="1" applyBorder="1" applyAlignment="1">
      <alignment horizontal="center" vertical="center" wrapText="1"/>
    </xf>
    <xf numFmtId="0" fontId="26" fillId="0" borderId="9" xfId="9" applyFont="1" applyBorder="1" applyAlignment="1">
      <alignment horizontal="center" vertical="center" wrapText="1"/>
    </xf>
    <xf numFmtId="0" fontId="26" fillId="0" borderId="12" xfId="9" applyFont="1" applyBorder="1" applyAlignment="1">
      <alignment horizontal="center" vertical="center" wrapText="1"/>
    </xf>
    <xf numFmtId="0" fontId="30" fillId="0" borderId="0" xfId="6" applyFont="1" applyAlignment="1">
      <alignment vertical="center" wrapText="1"/>
    </xf>
    <xf numFmtId="0" fontId="30" fillId="0" borderId="0" xfId="6" applyFont="1" applyAlignment="1">
      <alignment vertical="center"/>
    </xf>
    <xf numFmtId="0" fontId="36" fillId="3" borderId="2" xfId="9" applyFont="1" applyFill="1" applyBorder="1" applyAlignment="1">
      <alignment horizontal="center" vertical="center" wrapText="1"/>
    </xf>
    <xf numFmtId="0" fontId="36" fillId="3" borderId="3" xfId="9" applyFont="1" applyFill="1" applyBorder="1" applyAlignment="1">
      <alignment horizontal="center" vertical="center" wrapText="1"/>
    </xf>
    <xf numFmtId="0" fontId="33" fillId="0" borderId="0" xfId="9" applyFont="1"/>
    <xf numFmtId="165" fontId="26" fillId="7" borderId="7" xfId="9" applyNumberFormat="1" applyFont="1" applyFill="1" applyBorder="1" applyAlignment="1">
      <alignment vertical="center"/>
    </xf>
    <xf numFmtId="165" fontId="26" fillId="7" borderId="10" xfId="9" applyNumberFormat="1" applyFont="1" applyFill="1" applyBorder="1" applyAlignment="1">
      <alignment vertical="center"/>
    </xf>
    <xf numFmtId="165" fontId="26" fillId="7" borderId="11" xfId="9" applyNumberFormat="1" applyFont="1" applyFill="1" applyBorder="1" applyAlignment="1">
      <alignment vertical="center"/>
    </xf>
    <xf numFmtId="165" fontId="26" fillId="7" borderId="12" xfId="9" applyNumberFormat="1" applyFont="1" applyFill="1" applyBorder="1" applyAlignment="1">
      <alignment vertical="center"/>
    </xf>
    <xf numFmtId="165" fontId="26" fillId="7" borderId="13" xfId="9" applyNumberFormat="1" applyFont="1" applyFill="1" applyBorder="1" applyAlignment="1">
      <alignment vertical="center"/>
    </xf>
    <xf numFmtId="0" fontId="37" fillId="0" borderId="0" xfId="9" applyFont="1" applyAlignment="1">
      <alignment horizontal="center" vertical="center"/>
    </xf>
    <xf numFmtId="0" fontId="26" fillId="0" borderId="0" xfId="11" applyFont="1" applyAlignment="1">
      <alignment vertical="center"/>
    </xf>
    <xf numFmtId="0" fontId="26" fillId="0" borderId="2" xfId="9" applyFont="1" applyBorder="1" applyAlignment="1">
      <alignment horizontal="center" vertical="center"/>
    </xf>
    <xf numFmtId="0" fontId="15" fillId="0" borderId="3" xfId="9" applyFont="1" applyBorder="1" applyAlignment="1">
      <alignment horizontal="center" vertical="center"/>
    </xf>
    <xf numFmtId="165" fontId="26" fillId="7" borderId="2" xfId="9" applyNumberFormat="1" applyFont="1" applyFill="1" applyBorder="1" applyAlignment="1">
      <alignment vertical="center"/>
    </xf>
    <xf numFmtId="165" fontId="26" fillId="7" borderId="3" xfId="9" applyNumberFormat="1" applyFont="1" applyFill="1" applyBorder="1" applyAlignment="1">
      <alignment vertical="center"/>
    </xf>
    <xf numFmtId="165" fontId="26" fillId="7" borderId="4" xfId="9" applyNumberFormat="1" applyFont="1" applyFill="1" applyBorder="1" applyAlignment="1">
      <alignment vertical="center"/>
    </xf>
    <xf numFmtId="165" fontId="26" fillId="7" borderId="30" xfId="9" applyNumberFormat="1" applyFont="1" applyFill="1" applyBorder="1" applyAlignment="1">
      <alignment vertical="center"/>
    </xf>
    <xf numFmtId="0" fontId="36" fillId="3" borderId="4" xfId="9" applyFont="1" applyFill="1" applyBorder="1" applyAlignment="1">
      <alignment horizontal="center" vertical="center" wrapText="1"/>
    </xf>
    <xf numFmtId="0" fontId="22" fillId="0" borderId="0" xfId="8" applyFont="1" applyAlignment="1">
      <alignment horizontal="center" vertical="center"/>
    </xf>
    <xf numFmtId="165" fontId="26" fillId="7" borderId="8" xfId="9" applyNumberFormat="1" applyFont="1" applyFill="1" applyBorder="1" applyAlignment="1">
      <alignment vertical="center"/>
    </xf>
    <xf numFmtId="0" fontId="30" fillId="0" borderId="0" xfId="8" applyFont="1" applyAlignment="1">
      <alignment horizontal="center" vertical="center" wrapText="1"/>
    </xf>
    <xf numFmtId="0" fontId="30" fillId="0" borderId="0" xfId="8" applyFont="1" applyAlignment="1">
      <alignment horizontal="center" vertical="center"/>
    </xf>
    <xf numFmtId="0" fontId="7" fillId="3" borderId="1" xfId="9" applyFont="1" applyFill="1" applyBorder="1" applyAlignment="1">
      <alignment horizontal="center" vertical="center" wrapText="1"/>
    </xf>
    <xf numFmtId="0" fontId="20" fillId="0" borderId="0" xfId="6" applyFont="1" applyAlignment="1">
      <alignment vertical="center"/>
    </xf>
    <xf numFmtId="0" fontId="34" fillId="0" borderId="0" xfId="9" applyFont="1"/>
    <xf numFmtId="0" fontId="26" fillId="9" borderId="2" xfId="9" applyFont="1" applyFill="1" applyBorder="1" applyAlignment="1">
      <alignment horizontal="center" vertical="center"/>
    </xf>
    <xf numFmtId="0" fontId="26" fillId="9" borderId="5" xfId="9" applyFont="1" applyFill="1" applyBorder="1" applyAlignment="1">
      <alignment horizontal="center" vertical="center"/>
    </xf>
    <xf numFmtId="0" fontId="26" fillId="9" borderId="8" xfId="9" applyFont="1" applyFill="1" applyBorder="1" applyAlignment="1">
      <alignment horizontal="center" vertical="center"/>
    </xf>
    <xf numFmtId="0" fontId="26" fillId="9" borderId="11" xfId="9" applyFont="1" applyFill="1" applyBorder="1" applyAlignment="1">
      <alignment horizontal="center" vertical="center"/>
    </xf>
    <xf numFmtId="0" fontId="34" fillId="0" borderId="0" xfId="9" applyFont="1" applyAlignment="1">
      <alignment vertical="center"/>
    </xf>
    <xf numFmtId="0" fontId="7" fillId="3" borderId="3" xfId="6" applyFont="1" applyFill="1" applyBorder="1" applyAlignment="1">
      <alignment horizontal="center" vertical="center" wrapText="1"/>
    </xf>
    <xf numFmtId="0" fontId="9" fillId="0" borderId="7" xfId="6" applyFont="1" applyBorder="1" applyAlignment="1">
      <alignment vertical="center"/>
    </xf>
    <xf numFmtId="0" fontId="9" fillId="0" borderId="10" xfId="6" applyFont="1" applyBorder="1" applyAlignment="1">
      <alignment vertical="center"/>
    </xf>
    <xf numFmtId="0" fontId="9" fillId="0" borderId="13" xfId="6" applyFont="1" applyBorder="1" applyAlignment="1">
      <alignment vertical="center"/>
    </xf>
    <xf numFmtId="165" fontId="23" fillId="7" borderId="40" xfId="6" applyNumberFormat="1" applyFont="1" applyFill="1" applyBorder="1" applyAlignment="1">
      <alignment vertical="center"/>
    </xf>
    <xf numFmtId="0" fontId="23" fillId="0" borderId="43" xfId="6" applyFont="1" applyBorder="1" applyAlignment="1">
      <alignment horizontal="center" vertical="center"/>
    </xf>
    <xf numFmtId="0" fontId="27" fillId="0" borderId="0" xfId="6" applyFont="1" applyAlignment="1">
      <alignment vertical="center"/>
    </xf>
    <xf numFmtId="0" fontId="7" fillId="3" borderId="21" xfId="6" applyFont="1" applyFill="1" applyBorder="1" applyAlignment="1">
      <alignment horizontal="center" vertical="center" wrapText="1"/>
    </xf>
    <xf numFmtId="0" fontId="7" fillId="3" borderId="41" xfId="6" applyFont="1" applyFill="1" applyBorder="1" applyAlignment="1">
      <alignment horizontal="center" vertical="center" wrapText="1"/>
    </xf>
    <xf numFmtId="0" fontId="7" fillId="3" borderId="3" xfId="9" applyFont="1" applyFill="1" applyBorder="1" applyAlignment="1">
      <alignment horizontal="center" vertical="center"/>
    </xf>
    <xf numFmtId="0" fontId="7" fillId="3" borderId="4" xfId="9" applyFont="1" applyFill="1" applyBorder="1" applyAlignment="1">
      <alignment horizontal="center" vertical="center"/>
    </xf>
    <xf numFmtId="0" fontId="7" fillId="3" borderId="1" xfId="9" applyFont="1" applyFill="1" applyBorder="1" applyAlignment="1">
      <alignment horizontal="center" vertical="center"/>
    </xf>
    <xf numFmtId="165" fontId="26" fillId="7" borderId="31" xfId="9" applyNumberFormat="1" applyFont="1" applyFill="1" applyBorder="1" applyAlignment="1">
      <alignment vertical="center"/>
    </xf>
    <xf numFmtId="165" fontId="26" fillId="7" borderId="32" xfId="9" applyNumberFormat="1" applyFont="1" applyFill="1" applyBorder="1" applyAlignment="1">
      <alignment vertical="center"/>
    </xf>
    <xf numFmtId="0" fontId="18" fillId="0" borderId="9" xfId="9" applyBorder="1" applyAlignment="1">
      <alignment horizontal="left" vertical="center" wrapText="1"/>
    </xf>
    <xf numFmtId="0" fontId="26" fillId="0" borderId="0" xfId="0" applyFont="1"/>
    <xf numFmtId="165" fontId="26" fillId="0" borderId="0" xfId="1" applyNumberFormat="1" applyFont="1" applyFill="1" applyBorder="1" applyAlignment="1" applyProtection="1">
      <alignment vertical="center"/>
    </xf>
    <xf numFmtId="165" fontId="26" fillId="7" borderId="39" xfId="9" applyNumberFormat="1" applyFont="1" applyFill="1" applyBorder="1" applyAlignment="1">
      <alignment vertical="center"/>
    </xf>
    <xf numFmtId="165" fontId="26" fillId="7" borderId="41" xfId="9" applyNumberFormat="1" applyFont="1" applyFill="1" applyBorder="1" applyAlignment="1">
      <alignment vertical="center"/>
    </xf>
    <xf numFmtId="165" fontId="26" fillId="0" borderId="0" xfId="9" applyNumberFormat="1" applyFont="1" applyAlignment="1">
      <alignment vertical="center"/>
    </xf>
    <xf numFmtId="0" fontId="9" fillId="0" borderId="20" xfId="6" applyFont="1" applyBorder="1" applyAlignment="1">
      <alignment vertical="center"/>
    </xf>
    <xf numFmtId="0" fontId="25" fillId="0" borderId="51" xfId="6" applyFont="1" applyBorder="1" applyAlignment="1">
      <alignment horizontal="center" vertical="center"/>
    </xf>
    <xf numFmtId="165" fontId="23" fillId="7" borderId="45" xfId="6" applyNumberFormat="1" applyFont="1" applyFill="1" applyBorder="1" applyAlignment="1">
      <alignment vertical="center"/>
    </xf>
    <xf numFmtId="165" fontId="23" fillId="7" borderId="19" xfId="6" applyNumberFormat="1" applyFont="1" applyFill="1" applyBorder="1" applyAlignment="1">
      <alignment vertical="center"/>
    </xf>
    <xf numFmtId="165" fontId="23" fillId="7" borderId="20" xfId="6" applyNumberFormat="1" applyFont="1" applyFill="1" applyBorder="1" applyAlignment="1">
      <alignment vertical="center"/>
    </xf>
    <xf numFmtId="0" fontId="25" fillId="0" borderId="48" xfId="6" applyFont="1" applyBorder="1" applyAlignment="1">
      <alignment horizontal="center" vertical="center"/>
    </xf>
    <xf numFmtId="165" fontId="23" fillId="7" borderId="50" xfId="6" applyNumberFormat="1" applyFont="1" applyFill="1" applyBorder="1" applyAlignment="1">
      <alignment vertical="center"/>
    </xf>
    <xf numFmtId="165" fontId="23" fillId="7" borderId="49" xfId="6" applyNumberFormat="1" applyFont="1" applyFill="1" applyBorder="1" applyAlignment="1">
      <alignment vertical="center"/>
    </xf>
    <xf numFmtId="165" fontId="23" fillId="7" borderId="23" xfId="6" applyNumberFormat="1" applyFont="1" applyFill="1" applyBorder="1" applyAlignment="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xf numFmtId="0" fontId="9" fillId="0" borderId="0" xfId="0" applyFont="1" applyAlignment="1">
      <alignment vertical="top" wrapText="1"/>
    </xf>
    <xf numFmtId="0" fontId="14" fillId="0" borderId="0" xfId="5" applyFont="1" applyFill="1" applyAlignment="1" applyProtection="1">
      <alignment wrapText="1"/>
    </xf>
    <xf numFmtId="0" fontId="18" fillId="0" borderId="0" xfId="0" applyFont="1"/>
    <xf numFmtId="0" fontId="19" fillId="0" borderId="0" xfId="5" applyFont="1" applyFill="1" applyProtection="1"/>
    <xf numFmtId="2" fontId="23" fillId="4" borderId="32" xfId="6"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65" xfId="6" applyNumberFormat="1" applyFont="1" applyFill="1" applyBorder="1" applyAlignment="1" applyProtection="1">
      <alignment vertical="center"/>
      <protection locked="0"/>
    </xf>
    <xf numFmtId="165" fontId="23" fillId="4" borderId="67" xfId="6" applyNumberFormat="1" applyFont="1" applyFill="1" applyBorder="1" applyAlignment="1" applyProtection="1">
      <alignment vertical="center"/>
      <protection locked="0"/>
    </xf>
    <xf numFmtId="165" fontId="23" fillId="4" borderId="83" xfId="6" applyNumberFormat="1" applyFont="1" applyFill="1" applyBorder="1" applyAlignment="1" applyProtection="1">
      <alignment vertical="center"/>
      <protection locked="0"/>
    </xf>
    <xf numFmtId="165" fontId="23" fillId="4" borderId="84" xfId="6" applyNumberFormat="1" applyFont="1" applyFill="1" applyBorder="1" applyAlignment="1" applyProtection="1">
      <alignment vertical="center"/>
      <protection locked="0"/>
    </xf>
    <xf numFmtId="165" fontId="23" fillId="4" borderId="70" xfId="6" applyNumberFormat="1" applyFont="1" applyFill="1" applyBorder="1" applyAlignment="1" applyProtection="1">
      <alignment vertical="center"/>
      <protection locked="0"/>
    </xf>
    <xf numFmtId="165" fontId="23" fillId="4" borderId="89" xfId="6" applyNumberFormat="1" applyFont="1" applyFill="1" applyBorder="1" applyAlignment="1" applyProtection="1">
      <alignment vertical="center"/>
      <protection locked="0"/>
    </xf>
    <xf numFmtId="165" fontId="23" fillId="4" borderId="90"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1"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18" fillId="4" borderId="5" xfId="9" applyNumberFormat="1" applyFill="1" applyBorder="1" applyProtection="1">
      <protection locked="0"/>
    </xf>
    <xf numFmtId="165" fontId="18" fillId="4" borderId="7" xfId="9" applyNumberFormat="1" applyFill="1" applyBorder="1" applyProtection="1">
      <protection locked="0"/>
    </xf>
    <xf numFmtId="167" fontId="18" fillId="4" borderId="5" xfId="9" applyNumberFormat="1" applyFill="1" applyBorder="1" applyProtection="1">
      <protection locked="0"/>
    </xf>
    <xf numFmtId="167" fontId="18" fillId="4" borderId="7" xfId="9" applyNumberFormat="1" applyFill="1" applyBorder="1" applyProtection="1">
      <protection locked="0"/>
    </xf>
    <xf numFmtId="167" fontId="18" fillId="4" borderId="43" xfId="9" applyNumberFormat="1" applyFill="1" applyBorder="1" applyProtection="1">
      <protection locked="0"/>
    </xf>
    <xf numFmtId="167" fontId="18" fillId="4" borderId="13" xfId="9" applyNumberFormat="1" applyFill="1" applyBorder="1" applyProtection="1">
      <protection locked="0"/>
    </xf>
    <xf numFmtId="167" fontId="18" fillId="4" borderId="30" xfId="9" applyNumberFormat="1" applyFill="1" applyBorder="1" applyProtection="1">
      <protection locked="0"/>
    </xf>
    <xf numFmtId="165" fontId="26" fillId="4" borderId="6" xfId="11" applyNumberFormat="1" applyFont="1" applyFill="1" applyBorder="1" applyAlignment="1" applyProtection="1">
      <alignment vertical="center"/>
      <protection locked="0"/>
    </xf>
    <xf numFmtId="165" fontId="26" fillId="4" borderId="9" xfId="11" applyNumberFormat="1" applyFont="1" applyFill="1" applyBorder="1" applyAlignment="1" applyProtection="1">
      <alignment vertical="center"/>
      <protection locked="0"/>
    </xf>
    <xf numFmtId="165" fontId="26" fillId="4" borderId="5" xfId="9" applyNumberFormat="1" applyFont="1" applyFill="1" applyBorder="1" applyAlignment="1" applyProtection="1">
      <alignment vertical="center"/>
      <protection locked="0"/>
    </xf>
    <xf numFmtId="165" fontId="26" fillId="4" borderId="6" xfId="9" applyNumberFormat="1" applyFont="1" applyFill="1" applyBorder="1" applyAlignment="1" applyProtection="1">
      <alignment vertical="center"/>
      <protection locked="0"/>
    </xf>
    <xf numFmtId="165" fontId="26" fillId="4" borderId="8" xfId="9" applyNumberFormat="1" applyFont="1" applyFill="1" applyBorder="1" applyAlignment="1" applyProtection="1">
      <alignment vertical="center"/>
      <protection locked="0"/>
    </xf>
    <xf numFmtId="165" fontId="26" fillId="4" borderId="9" xfId="9" applyNumberFormat="1" applyFont="1" applyFill="1" applyBorder="1" applyAlignment="1" applyProtection="1">
      <alignment vertical="center"/>
      <protection locked="0"/>
    </xf>
    <xf numFmtId="165" fontId="26" fillId="4" borderId="31" xfId="9" applyNumberFormat="1" applyFont="1" applyFill="1" applyBorder="1" applyAlignment="1" applyProtection="1">
      <alignment vertical="center"/>
      <protection locked="0"/>
    </xf>
    <xf numFmtId="165" fontId="26" fillId="4" borderId="32" xfId="9" applyNumberFormat="1" applyFont="1" applyFill="1" applyBorder="1" applyAlignment="1" applyProtection="1">
      <alignment vertical="center"/>
      <protection locked="0"/>
    </xf>
    <xf numFmtId="165" fontId="26" fillId="4" borderId="2" xfId="11" applyNumberFormat="1" applyFont="1" applyFill="1" applyBorder="1" applyAlignment="1" applyProtection="1">
      <alignment vertical="center"/>
      <protection locked="0"/>
    </xf>
    <xf numFmtId="165" fontId="26" fillId="4" borderId="3" xfId="11" applyNumberFormat="1" applyFont="1" applyFill="1" applyBorder="1" applyAlignment="1" applyProtection="1">
      <alignment vertical="center"/>
      <protection locked="0"/>
    </xf>
    <xf numFmtId="165" fontId="26" fillId="4" borderId="5" xfId="11" applyNumberFormat="1" applyFont="1" applyFill="1" applyBorder="1" applyAlignment="1" applyProtection="1">
      <alignment vertical="center"/>
      <protection locked="0"/>
    </xf>
    <xf numFmtId="165" fontId="26" fillId="4" borderId="8" xfId="11" applyNumberFormat="1" applyFont="1" applyFill="1" applyBorder="1" applyAlignment="1" applyProtection="1">
      <alignment vertical="center"/>
      <protection locked="0"/>
    </xf>
    <xf numFmtId="165" fontId="26" fillId="4" borderId="43" xfId="11" applyNumberFormat="1" applyFont="1" applyFill="1" applyBorder="1" applyAlignment="1" applyProtection="1">
      <alignment vertical="center"/>
      <protection locked="0"/>
    </xf>
    <xf numFmtId="165" fontId="26" fillId="4" borderId="44" xfId="11"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34" xfId="6" applyNumberFormat="1" applyFont="1" applyFill="1" applyBorder="1" applyAlignment="1" applyProtection="1">
      <alignment vertical="center"/>
      <protection locked="0"/>
    </xf>
    <xf numFmtId="165" fontId="26" fillId="4" borderId="7" xfId="10" applyNumberFormat="1" applyFont="1" applyFill="1" applyBorder="1" applyAlignment="1" applyProtection="1">
      <alignment vertical="center"/>
      <protection locked="0"/>
    </xf>
    <xf numFmtId="165" fontId="26" fillId="4" borderId="10" xfId="10" applyNumberFormat="1" applyFont="1" applyFill="1" applyBorder="1" applyAlignment="1" applyProtection="1">
      <alignment vertical="center"/>
      <protection locked="0"/>
    </xf>
    <xf numFmtId="165" fontId="26" fillId="4" borderId="13" xfId="10" applyNumberFormat="1" applyFont="1" applyFill="1" applyBorder="1" applyAlignment="1" applyProtection="1">
      <alignment vertical="center"/>
      <protection locked="0"/>
    </xf>
    <xf numFmtId="165" fontId="26" fillId="4" borderId="5" xfId="2" applyNumberFormat="1" applyFont="1" applyFill="1" applyBorder="1" applyAlignment="1" applyProtection="1">
      <alignment vertical="center"/>
      <protection locked="0"/>
    </xf>
    <xf numFmtId="165" fontId="26" fillId="4" borderId="37" xfId="10" applyNumberFormat="1" applyFont="1" applyFill="1" applyBorder="1" applyAlignment="1" applyProtection="1">
      <alignment vertical="center"/>
      <protection locked="0"/>
    </xf>
    <xf numFmtId="165" fontId="26" fillId="4" borderId="39" xfId="10" applyNumberFormat="1" applyFont="1" applyFill="1" applyBorder="1" applyAlignment="1" applyProtection="1">
      <alignment vertical="center"/>
      <protection locked="0"/>
    </xf>
    <xf numFmtId="165" fontId="23" fillId="4" borderId="3" xfId="6" applyNumberFormat="1" applyFont="1" applyFill="1" applyBorder="1" applyAlignment="1" applyProtection="1">
      <alignment vertical="center"/>
      <protection locked="0"/>
    </xf>
    <xf numFmtId="165" fontId="23" fillId="4" borderId="11" xfId="6"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28"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lignment vertical="center"/>
    </xf>
    <xf numFmtId="2" fontId="18" fillId="4" borderId="11" xfId="9" applyNumberFormat="1" applyFill="1" applyBorder="1" applyProtection="1">
      <protection locked="0"/>
    </xf>
    <xf numFmtId="2" fontId="18" fillId="4" borderId="13" xfId="9" applyNumberFormat="1" applyFill="1" applyBorder="1" applyProtection="1">
      <protection locked="0"/>
    </xf>
    <xf numFmtId="165" fontId="23" fillId="4" borderId="71" xfId="6" applyNumberFormat="1" applyFont="1" applyFill="1" applyBorder="1" applyAlignment="1" applyProtection="1">
      <alignment vertical="center"/>
      <protection locked="0"/>
    </xf>
    <xf numFmtId="165" fontId="23" fillId="4" borderId="66" xfId="6" applyNumberFormat="1" applyFont="1" applyFill="1" applyBorder="1" applyAlignment="1" applyProtection="1">
      <alignment vertical="center"/>
      <protection locked="0"/>
    </xf>
    <xf numFmtId="165" fontId="23" fillId="4" borderId="88"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68" xfId="6" applyNumberFormat="1" applyFont="1" applyFill="1" applyBorder="1" applyAlignment="1" applyProtection="1">
      <alignment vertical="center"/>
      <protection locked="0"/>
    </xf>
    <xf numFmtId="165" fontId="23" fillId="4" borderId="85" xfId="6" applyNumberFormat="1" applyFont="1" applyFill="1" applyBorder="1" applyAlignment="1" applyProtection="1">
      <alignment vertical="center"/>
      <protection locked="0"/>
    </xf>
    <xf numFmtId="165" fontId="26" fillId="4" borderId="2" xfId="9" applyNumberFormat="1" applyFont="1" applyFill="1" applyBorder="1" applyProtection="1">
      <protection locked="0"/>
    </xf>
    <xf numFmtId="165" fontId="26" fillId="4" borderId="3" xfId="9" applyNumberFormat="1" applyFont="1" applyFill="1" applyBorder="1" applyProtection="1">
      <protection locked="0"/>
    </xf>
    <xf numFmtId="165" fontId="26" fillId="4" borderId="4" xfId="9" applyNumberFormat="1" applyFont="1" applyFill="1" applyBorder="1" applyProtection="1">
      <protection locked="0"/>
    </xf>
    <xf numFmtId="165" fontId="26" fillId="4" borderId="34" xfId="9" applyNumberFormat="1" applyFont="1" applyFill="1" applyBorder="1" applyProtection="1">
      <protection locked="0"/>
    </xf>
    <xf numFmtId="0" fontId="25" fillId="0" borderId="2" xfId="6" applyFont="1" applyBorder="1" applyAlignment="1">
      <alignment horizontal="center" vertical="center"/>
    </xf>
    <xf numFmtId="165" fontId="23" fillId="7" borderId="1" xfId="6" applyNumberFormat="1" applyFont="1" applyFill="1" applyBorder="1" applyAlignment="1">
      <alignment vertical="center"/>
    </xf>
    <xf numFmtId="165" fontId="23" fillId="7" borderId="16" xfId="6" applyNumberFormat="1" applyFont="1" applyFill="1" applyBorder="1" applyAlignment="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7" fillId="3" borderId="57" xfId="9" applyFont="1" applyFill="1" applyBorder="1" applyAlignment="1">
      <alignment horizontal="center" vertical="center" wrapText="1"/>
    </xf>
    <xf numFmtId="0" fontId="7" fillId="3" borderId="12" xfId="9" applyFont="1" applyFill="1" applyBorder="1" applyAlignment="1">
      <alignment horizontal="center" vertical="center" wrapText="1"/>
    </xf>
    <xf numFmtId="165" fontId="26" fillId="4" borderId="38" xfId="10" applyNumberFormat="1" applyFont="1" applyFill="1" applyBorder="1" applyAlignment="1" applyProtection="1">
      <alignment vertical="center"/>
      <protection locked="0"/>
    </xf>
    <xf numFmtId="165" fontId="26" fillId="4" borderId="32" xfId="10" applyNumberFormat="1" applyFont="1" applyFill="1" applyBorder="1" applyAlignment="1" applyProtection="1">
      <alignment vertical="center"/>
      <protection locked="0"/>
    </xf>
    <xf numFmtId="0" fontId="26" fillId="0" borderId="9" xfId="9" applyFont="1" applyBorder="1" applyAlignment="1">
      <alignment vertical="center" wrapText="1"/>
    </xf>
    <xf numFmtId="0" fontId="26" fillId="0" borderId="9" xfId="9" applyFont="1" applyBorder="1" applyAlignment="1">
      <alignment vertical="center"/>
    </xf>
    <xf numFmtId="166" fontId="26" fillId="4" borderId="6" xfId="11" applyNumberFormat="1" applyFont="1" applyFill="1" applyBorder="1" applyAlignment="1" applyProtection="1">
      <alignment horizontal="right" vertical="center"/>
      <protection locked="0"/>
    </xf>
    <xf numFmtId="168" fontId="26" fillId="4" borderId="6" xfId="11" applyNumberFormat="1" applyFont="1" applyFill="1" applyBorder="1" applyAlignment="1" applyProtection="1">
      <alignment horizontal="right" vertical="center"/>
      <protection locked="0"/>
    </xf>
    <xf numFmtId="168" fontId="26" fillId="4" borderId="7" xfId="11" applyNumberFormat="1" applyFont="1" applyFill="1" applyBorder="1" applyAlignment="1" applyProtection="1">
      <alignment horizontal="right" vertical="center"/>
      <protection locked="0"/>
    </xf>
    <xf numFmtId="166" fontId="26" fillId="4" borderId="9"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68" fontId="26" fillId="4" borderId="10" xfId="11" applyNumberFormat="1" applyFont="1" applyFill="1" applyBorder="1" applyAlignment="1" applyProtection="1">
      <alignment horizontal="right" vertical="center"/>
      <protection locked="0"/>
    </xf>
    <xf numFmtId="166" fontId="26" fillId="4" borderId="12"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168" fontId="26" fillId="4" borderId="13"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8" fillId="6" borderId="0" xfId="9" applyFill="1" applyAlignment="1">
      <alignment vertical="center"/>
    </xf>
    <xf numFmtId="0" fontId="18" fillId="6" borderId="0" xfId="9" applyFill="1" applyAlignment="1">
      <alignment horizontal="center" vertical="center"/>
    </xf>
    <xf numFmtId="0" fontId="18" fillId="14" borderId="0" xfId="9" applyFill="1" applyAlignment="1">
      <alignment vertical="center"/>
    </xf>
    <xf numFmtId="0" fontId="23" fillId="14" borderId="0" xfId="8" applyFont="1" applyFill="1" applyAlignment="1">
      <alignment vertical="center"/>
    </xf>
    <xf numFmtId="0" fontId="9" fillId="14" borderId="0" xfId="8" applyFont="1" applyFill="1" applyAlignment="1">
      <alignment vertical="center"/>
    </xf>
    <xf numFmtId="0" fontId="0" fillId="14" borderId="0" xfId="0" applyFill="1"/>
    <xf numFmtId="0" fontId="1" fillId="14" borderId="0" xfId="8" applyFill="1" applyAlignment="1">
      <alignment vertical="center"/>
    </xf>
    <xf numFmtId="0" fontId="15" fillId="9" borderId="0" xfId="9" applyFont="1" applyFill="1" applyAlignment="1">
      <alignment vertical="center" wrapText="1"/>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9" fillId="0" borderId="0" xfId="6" applyFont="1" applyAlignment="1">
      <alignment horizontal="left" vertical="center"/>
    </xf>
    <xf numFmtId="0" fontId="32" fillId="0" borderId="0" xfId="9" applyFont="1" applyAlignment="1">
      <alignment horizontal="left" vertical="center"/>
    </xf>
    <xf numFmtId="0" fontId="1" fillId="0" borderId="0" xfId="6" applyAlignment="1">
      <alignment horizontal="left" vertical="center"/>
    </xf>
    <xf numFmtId="0" fontId="25" fillId="6" borderId="0" xfId="0" applyFont="1" applyFill="1" applyAlignment="1">
      <alignment horizontal="left" vertical="center"/>
    </xf>
    <xf numFmtId="0" fontId="25" fillId="0" borderId="0" xfId="6" applyFont="1" applyAlignment="1">
      <alignment horizontal="left" vertical="center"/>
    </xf>
    <xf numFmtId="0" fontId="26" fillId="0" borderId="5" xfId="9" applyFont="1" applyBorder="1" applyAlignment="1">
      <alignment horizontal="left" vertical="center"/>
    </xf>
    <xf numFmtId="0" fontId="26" fillId="0" borderId="6" xfId="9" applyFont="1" applyBorder="1" applyAlignment="1">
      <alignment horizontal="left" vertical="center"/>
    </xf>
    <xf numFmtId="0" fontId="23" fillId="8" borderId="25" xfId="7" applyBorder="1" applyAlignment="1">
      <alignment horizontal="left" vertical="center"/>
    </xf>
    <xf numFmtId="0" fontId="26" fillId="0" borderId="8" xfId="9" applyFont="1" applyBorder="1" applyAlignment="1">
      <alignment horizontal="left" vertical="center"/>
    </xf>
    <xf numFmtId="0" fontId="26" fillId="0" borderId="9" xfId="9" applyFont="1" applyBorder="1" applyAlignment="1">
      <alignment horizontal="left" vertical="center"/>
    </xf>
    <xf numFmtId="0" fontId="26" fillId="0" borderId="11" xfId="9" applyFont="1" applyBorder="1" applyAlignment="1">
      <alignment horizontal="left" vertical="center"/>
    </xf>
    <xf numFmtId="0" fontId="26" fillId="0" borderId="12" xfId="9" applyFont="1" applyBorder="1" applyAlignment="1">
      <alignment horizontal="left" vertical="center"/>
    </xf>
    <xf numFmtId="0" fontId="4" fillId="2" borderId="0" xfId="6" applyFont="1" applyFill="1" applyAlignment="1">
      <alignment horizontal="center" vertical="center"/>
    </xf>
    <xf numFmtId="0" fontId="26" fillId="0" borderId="6" xfId="9" applyFont="1" applyBorder="1" applyAlignment="1">
      <alignment horizontal="center" vertical="center"/>
    </xf>
    <xf numFmtId="0" fontId="26" fillId="0" borderId="9" xfId="9" applyFont="1" applyBorder="1" applyAlignment="1">
      <alignment horizontal="center" vertical="center"/>
    </xf>
    <xf numFmtId="0" fontId="26" fillId="0" borderId="12" xfId="9" applyFont="1" applyBorder="1" applyAlignment="1">
      <alignment horizontal="center" vertical="center"/>
    </xf>
    <xf numFmtId="0" fontId="0" fillId="0" borderId="0" xfId="0" applyAlignment="1">
      <alignment horizontal="center" vertical="center"/>
    </xf>
    <xf numFmtId="0" fontId="4" fillId="2" borderId="0" xfId="6" applyFont="1" applyFill="1" applyAlignment="1">
      <alignment horizontal="right" vertical="center" wrapText="1"/>
    </xf>
    <xf numFmtId="0" fontId="18" fillId="0" borderId="0" xfId="9" applyAlignment="1">
      <alignment horizontal="right" vertical="center" wrapText="1"/>
    </xf>
    <xf numFmtId="0" fontId="7" fillId="3" borderId="61" xfId="9" applyFont="1" applyFill="1" applyBorder="1" applyAlignment="1">
      <alignment horizontal="right" vertical="center" wrapText="1"/>
    </xf>
    <xf numFmtId="0" fontId="0" fillId="0" borderId="0" xfId="0" applyAlignment="1">
      <alignment horizontal="right" vertical="center" wrapText="1"/>
    </xf>
    <xf numFmtId="0" fontId="18" fillId="0" borderId="0" xfId="9" applyAlignment="1">
      <alignment horizontal="center" vertical="center" wrapText="1"/>
    </xf>
    <xf numFmtId="0" fontId="0" fillId="0" borderId="0" xfId="0" applyAlignment="1">
      <alignment horizontal="center" vertical="center" wrapText="1"/>
    </xf>
    <xf numFmtId="0" fontId="32" fillId="0" borderId="0" xfId="9" applyFont="1" applyAlignment="1">
      <alignment horizontal="center" vertical="center"/>
    </xf>
    <xf numFmtId="0" fontId="26" fillId="4" borderId="6" xfId="11" applyFont="1" applyFill="1" applyBorder="1" applyAlignment="1" applyProtection="1">
      <alignment horizontal="right" vertical="center" wrapText="1"/>
      <protection locked="0"/>
    </xf>
    <xf numFmtId="0" fontId="26" fillId="4" borderId="7" xfId="11" applyFont="1" applyFill="1" applyBorder="1" applyAlignment="1" applyProtection="1">
      <alignment horizontal="center" vertical="center" wrapText="1"/>
      <protection locked="0"/>
    </xf>
    <xf numFmtId="0" fontId="26" fillId="4" borderId="9" xfId="11" applyFont="1" applyFill="1" applyBorder="1" applyAlignment="1" applyProtection="1">
      <alignment horizontal="right" vertical="center" wrapText="1"/>
      <protection locked="0"/>
    </xf>
    <xf numFmtId="0" fontId="26" fillId="4" borderId="10" xfId="11" applyFont="1" applyFill="1" applyBorder="1" applyAlignment="1" applyProtection="1">
      <alignment horizontal="center" vertical="center" wrapText="1"/>
      <protection locked="0"/>
    </xf>
    <xf numFmtId="0" fontId="26" fillId="4" borderId="12" xfId="11" applyFont="1" applyFill="1" applyBorder="1" applyAlignment="1" applyProtection="1">
      <alignment horizontal="right" vertical="center" wrapText="1"/>
      <protection locked="0"/>
    </xf>
    <xf numFmtId="0" fontId="26" fillId="4" borderId="13" xfId="1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7" fillId="3" borderId="16" xfId="9" applyFont="1" applyFill="1" applyBorder="1" applyAlignment="1">
      <alignment horizontal="left" vertical="center" wrapText="1"/>
    </xf>
    <xf numFmtId="0" fontId="26" fillId="0" borderId="54" xfId="9" applyFont="1" applyBorder="1" applyAlignment="1">
      <alignment horizontal="center" vertical="center"/>
    </xf>
    <xf numFmtId="0" fontId="26" fillId="0" borderId="57" xfId="9" applyFont="1" applyBorder="1" applyAlignment="1">
      <alignment horizontal="center" vertical="center"/>
    </xf>
    <xf numFmtId="0" fontId="0" fillId="0" borderId="0" xfId="0" applyAlignment="1">
      <alignment horizontal="center"/>
    </xf>
    <xf numFmtId="0" fontId="25" fillId="6" borderId="0" xfId="6" applyFont="1" applyFill="1" applyAlignment="1">
      <alignment horizontal="left" vertical="center"/>
    </xf>
    <xf numFmtId="0" fontId="25" fillId="14" borderId="0" xfId="6" applyFont="1" applyFill="1" applyAlignment="1">
      <alignment horizontal="center" vertical="center" wrapText="1"/>
    </xf>
    <xf numFmtId="0" fontId="25" fillId="6" borderId="0" xfId="0" applyFont="1" applyFill="1"/>
    <xf numFmtId="0" fontId="25" fillId="0" borderId="0" xfId="0" applyFont="1"/>
    <xf numFmtId="0" fontId="15" fillId="9" borderId="0" xfId="9" applyFont="1" applyFill="1" applyAlignment="1">
      <alignment horizontal="center" vertical="center"/>
    </xf>
    <xf numFmtId="0" fontId="25" fillId="14" borderId="0" xfId="6" applyFont="1" applyFill="1" applyAlignment="1">
      <alignment horizontal="center" vertical="center"/>
    </xf>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7" fillId="3" borderId="14" xfId="9" applyFont="1" applyFill="1" applyBorder="1" applyAlignment="1">
      <alignment horizontal="center" vertical="center" wrapText="1"/>
    </xf>
    <xf numFmtId="0" fontId="0" fillId="0" borderId="0" xfId="0" applyAlignment="1">
      <alignment horizontal="right"/>
    </xf>
    <xf numFmtId="2" fontId="26" fillId="4" borderId="7" xfId="9" applyNumberFormat="1" applyFont="1" applyFill="1" applyBorder="1" applyAlignment="1" applyProtection="1">
      <alignment horizontal="right"/>
      <protection locked="0"/>
    </xf>
    <xf numFmtId="2" fontId="26" fillId="4" borderId="10" xfId="9" applyNumberFormat="1" applyFont="1" applyFill="1" applyBorder="1" applyAlignment="1" applyProtection="1">
      <alignment horizontal="right"/>
      <protection locked="0"/>
    </xf>
    <xf numFmtId="2" fontId="26" fillId="7" borderId="13" xfId="9" applyNumberFormat="1" applyFont="1" applyFill="1" applyBorder="1" applyAlignment="1">
      <alignment horizontal="right"/>
    </xf>
    <xf numFmtId="0" fontId="26" fillId="4" borderId="7" xfId="11" applyFont="1" applyFill="1" applyBorder="1" applyAlignment="1" applyProtection="1">
      <alignment horizontal="right" vertical="center"/>
      <protection locked="0"/>
    </xf>
    <xf numFmtId="0" fontId="26" fillId="4" borderId="10" xfId="11" applyFont="1" applyFill="1" applyBorder="1" applyAlignment="1" applyProtection="1">
      <alignment horizontal="right" vertical="center"/>
      <protection locked="0"/>
    </xf>
    <xf numFmtId="0" fontId="23" fillId="6" borderId="0" xfId="0" applyFont="1" applyFill="1"/>
    <xf numFmtId="0" fontId="23" fillId="0" borderId="0" xfId="0" applyFont="1" applyAlignment="1">
      <alignment horizontal="center" vertical="center"/>
    </xf>
    <xf numFmtId="0" fontId="23" fillId="6" borderId="0" xfId="0" applyFont="1" applyFill="1" applyAlignment="1">
      <alignment horizontal="center" vertical="center"/>
    </xf>
    <xf numFmtId="0" fontId="26" fillId="4" borderId="6" xfId="9" applyFont="1" applyFill="1" applyBorder="1" applyProtection="1">
      <protection locked="0"/>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lignment horizontal="center" vertical="center"/>
    </xf>
    <xf numFmtId="0" fontId="18" fillId="0" borderId="3" xfId="6" applyFont="1" applyBorder="1" applyAlignment="1">
      <alignment vertical="center"/>
    </xf>
    <xf numFmtId="165" fontId="26" fillId="4" borderId="31" xfId="10" applyNumberFormat="1" applyFont="1" applyFill="1" applyBorder="1" applyAlignment="1" applyProtection="1">
      <alignment vertical="center"/>
      <protection locked="0"/>
    </xf>
    <xf numFmtId="165" fontId="26" fillId="4" borderId="57" xfId="10" applyNumberFormat="1" applyFont="1" applyFill="1" applyBorder="1" applyAlignment="1" applyProtection="1">
      <alignment vertical="center"/>
      <protection locked="0"/>
    </xf>
    <xf numFmtId="165" fontId="26" fillId="4" borderId="54" xfId="10" applyNumberFormat="1" applyFont="1" applyFill="1" applyBorder="1" applyAlignment="1" applyProtection="1">
      <alignment vertical="center"/>
      <protection locked="0"/>
    </xf>
    <xf numFmtId="0" fontId="7" fillId="3" borderId="34" xfId="9" applyFont="1" applyFill="1" applyBorder="1" applyAlignment="1">
      <alignment horizontal="center" vertical="center" wrapText="1"/>
    </xf>
    <xf numFmtId="0" fontId="12" fillId="9" borderId="0" xfId="9" applyFont="1" applyFill="1" applyAlignment="1">
      <alignment vertical="center" wrapText="1"/>
    </xf>
    <xf numFmtId="0" fontId="1" fillId="0" borderId="0" xfId="6" applyAlignment="1">
      <alignment vertical="center" wrapText="1"/>
    </xf>
    <xf numFmtId="0" fontId="1" fillId="3" borderId="0" xfId="6" applyFill="1" applyAlignment="1">
      <alignment vertical="center" wrapText="1"/>
    </xf>
    <xf numFmtId="0" fontId="0" fillId="10" borderId="0" xfId="0" applyFill="1" applyAlignment="1">
      <alignment wrapText="1"/>
    </xf>
    <xf numFmtId="165" fontId="23" fillId="7" borderId="106" xfId="6" applyNumberFormat="1" applyFont="1" applyFill="1" applyBorder="1" applyAlignment="1">
      <alignment vertical="center"/>
    </xf>
    <xf numFmtId="165" fontId="23" fillId="4" borderId="107" xfId="6" applyNumberFormat="1" applyFont="1" applyFill="1" applyBorder="1" applyAlignment="1" applyProtection="1">
      <alignment vertical="center"/>
      <protection locked="0"/>
    </xf>
    <xf numFmtId="165" fontId="23" fillId="4" borderId="108" xfId="6" applyNumberFormat="1" applyFont="1" applyFill="1" applyBorder="1" applyAlignment="1" applyProtection="1">
      <alignment vertical="center"/>
      <protection locked="0"/>
    </xf>
    <xf numFmtId="0" fontId="7" fillId="0" borderId="0" xfId="9" applyFont="1" applyAlignment="1">
      <alignment horizontal="center" vertical="center" wrapText="1"/>
    </xf>
    <xf numFmtId="1" fontId="26" fillId="7" borderId="1" xfId="9" applyNumberFormat="1" applyFont="1" applyFill="1" applyBorder="1" applyAlignment="1">
      <alignment vertical="center"/>
    </xf>
    <xf numFmtId="1" fontId="26" fillId="0" borderId="0" xfId="9" applyNumberFormat="1" applyFont="1" applyAlignment="1">
      <alignment vertical="center"/>
    </xf>
    <xf numFmtId="1" fontId="26" fillId="7" borderId="31" xfId="9" applyNumberFormat="1" applyFont="1" applyFill="1" applyBorder="1" applyAlignment="1">
      <alignment vertical="center"/>
    </xf>
    <xf numFmtId="1" fontId="26" fillId="7" borderId="32" xfId="9" applyNumberFormat="1" applyFont="1" applyFill="1" applyBorder="1" applyAlignment="1">
      <alignment vertical="center"/>
    </xf>
    <xf numFmtId="1" fontId="23" fillId="0" borderId="0" xfId="6" applyNumberFormat="1" applyFont="1" applyAlignment="1">
      <alignment vertical="center"/>
    </xf>
    <xf numFmtId="165" fontId="26" fillId="4" borderId="1" xfId="11" applyNumberFormat="1" applyFont="1" applyFill="1" applyBorder="1" applyAlignment="1" applyProtection="1">
      <alignment vertical="center"/>
      <protection locked="0"/>
    </xf>
    <xf numFmtId="165" fontId="26" fillId="4" borderId="31" xfId="11" applyNumberFormat="1" applyFont="1" applyFill="1" applyBorder="1" applyAlignment="1" applyProtection="1">
      <alignment vertical="center"/>
      <protection locked="0"/>
    </xf>
    <xf numFmtId="165" fontId="26" fillId="4" borderId="32" xfId="11" applyNumberFormat="1" applyFont="1" applyFill="1" applyBorder="1" applyAlignment="1" applyProtection="1">
      <alignment vertical="center"/>
      <protection locked="0"/>
    </xf>
    <xf numFmtId="165" fontId="23" fillId="0" borderId="0" xfId="8" applyNumberFormat="1" applyFont="1" applyAlignment="1">
      <alignment horizontal="center" vertical="center"/>
    </xf>
    <xf numFmtId="165" fontId="26" fillId="7" borderId="1" xfId="9" applyNumberFormat="1" applyFont="1" applyFill="1" applyBorder="1" applyAlignment="1">
      <alignment vertical="center"/>
    </xf>
    <xf numFmtId="0" fontId="26" fillId="9" borderId="33" xfId="9" applyFont="1" applyFill="1" applyBorder="1" applyAlignment="1">
      <alignment horizontal="center" vertical="center"/>
    </xf>
    <xf numFmtId="0" fontId="18" fillId="0" borderId="1" xfId="9" applyBorder="1" applyAlignment="1">
      <alignment vertical="center"/>
    </xf>
    <xf numFmtId="0" fontId="26" fillId="9" borderId="0" xfId="9" applyFont="1" applyFill="1" applyAlignment="1">
      <alignment horizontal="center" vertical="center"/>
    </xf>
    <xf numFmtId="165" fontId="26" fillId="0" borderId="0" xfId="11" applyNumberFormat="1" applyFont="1" applyAlignment="1" applyProtection="1">
      <alignment vertical="center"/>
      <protection locked="0"/>
    </xf>
    <xf numFmtId="0" fontId="26" fillId="0" borderId="43" xfId="9" applyFont="1" applyBorder="1" applyAlignment="1">
      <alignment horizontal="center" vertical="center"/>
    </xf>
    <xf numFmtId="0" fontId="18" fillId="0" borderId="44" xfId="9" applyBorder="1" applyAlignment="1">
      <alignment horizontal="left" vertical="center"/>
    </xf>
    <xf numFmtId="165" fontId="26" fillId="4" borderId="30" xfId="9" applyNumberFormat="1" applyFont="1" applyFill="1" applyBorder="1" applyAlignment="1" applyProtection="1">
      <alignment vertical="center"/>
      <protection locked="0"/>
    </xf>
    <xf numFmtId="0" fontId="15" fillId="0" borderId="12" xfId="9" quotePrefix="1" applyFont="1" applyBorder="1" applyAlignment="1">
      <alignment horizontal="center" vertical="center"/>
    </xf>
    <xf numFmtId="0" fontId="15" fillId="0" borderId="36" xfId="9" applyFont="1" applyBorder="1" applyAlignment="1">
      <alignment horizontal="center" vertical="center"/>
    </xf>
    <xf numFmtId="0" fontId="15" fillId="0" borderId="40" xfId="9" applyFont="1" applyBorder="1" applyAlignment="1">
      <alignment horizontal="center" vertical="center"/>
    </xf>
    <xf numFmtId="165" fontId="23" fillId="7" borderId="37" xfId="6" applyNumberFormat="1" applyFont="1" applyFill="1" applyBorder="1" applyAlignment="1">
      <alignment vertical="center"/>
    </xf>
    <xf numFmtId="0" fontId="23" fillId="0" borderId="0" xfId="6" applyFont="1" applyAlignment="1">
      <alignment horizontal="left" vertical="center"/>
    </xf>
    <xf numFmtId="0" fontId="26" fillId="0" borderId="12" xfId="9" applyFont="1" applyBorder="1" applyAlignment="1">
      <alignment vertical="center" wrapText="1"/>
    </xf>
    <xf numFmtId="165" fontId="26" fillId="4" borderId="46" xfId="9" applyNumberFormat="1" applyFont="1" applyFill="1" applyBorder="1" applyProtection="1">
      <protection locked="0"/>
    </xf>
    <xf numFmtId="165" fontId="26" fillId="4" borderId="47" xfId="9" applyNumberFormat="1" applyFont="1" applyFill="1" applyBorder="1" applyProtection="1">
      <protection locked="0"/>
    </xf>
    <xf numFmtId="165" fontId="26" fillId="4" borderId="50" xfId="9" applyNumberFormat="1" applyFont="1" applyFill="1" applyBorder="1" applyProtection="1">
      <protection locked="0"/>
    </xf>
    <xf numFmtId="165" fontId="26" fillId="4" borderId="103" xfId="9" applyNumberFormat="1" applyFont="1" applyFill="1" applyBorder="1" applyProtection="1">
      <protection locked="0"/>
    </xf>
    <xf numFmtId="165" fontId="26" fillId="4" borderId="43" xfId="9" applyNumberFormat="1" applyFont="1" applyFill="1" applyBorder="1" applyProtection="1">
      <protection locked="0"/>
    </xf>
    <xf numFmtId="165" fontId="26" fillId="4" borderId="44" xfId="9" applyNumberFormat="1" applyFont="1" applyFill="1" applyBorder="1" applyProtection="1">
      <protection locked="0"/>
    </xf>
    <xf numFmtId="165" fontId="26" fillId="4" borderId="62" xfId="9" applyNumberFormat="1" applyFont="1" applyFill="1" applyBorder="1" applyProtection="1">
      <protection locked="0"/>
    </xf>
    <xf numFmtId="165" fontId="26" fillId="4" borderId="112" xfId="9" applyNumberFormat="1" applyFont="1" applyFill="1" applyBorder="1" applyProtection="1">
      <protection locked="0"/>
    </xf>
    <xf numFmtId="0" fontId="0" fillId="0" borderId="0" xfId="0" applyAlignment="1">
      <alignment wrapText="1"/>
    </xf>
    <xf numFmtId="0" fontId="26" fillId="0" borderId="12" xfId="9" applyFont="1" applyBorder="1" applyAlignment="1">
      <alignment vertical="center"/>
    </xf>
    <xf numFmtId="165" fontId="26" fillId="4" borderId="29" xfId="10" applyNumberFormat="1" applyFont="1" applyFill="1" applyBorder="1" applyAlignment="1" applyProtection="1">
      <alignment vertical="center"/>
      <protection locked="0"/>
    </xf>
    <xf numFmtId="165" fontId="26" fillId="4" borderId="45" xfId="10" applyNumberFormat="1" applyFont="1" applyFill="1" applyBorder="1" applyAlignment="1" applyProtection="1">
      <alignment vertical="center"/>
      <protection locked="0"/>
    </xf>
    <xf numFmtId="165" fontId="23" fillId="4" borderId="113" xfId="6" applyNumberFormat="1" applyFont="1" applyFill="1" applyBorder="1" applyAlignment="1" applyProtection="1">
      <alignment vertical="center"/>
      <protection locked="0"/>
    </xf>
    <xf numFmtId="165" fontId="23" fillId="7" borderId="114" xfId="6" applyNumberFormat="1" applyFont="1" applyFill="1" applyBorder="1" applyAlignment="1">
      <alignment vertical="center"/>
    </xf>
    <xf numFmtId="165" fontId="23" fillId="0" borderId="76" xfId="6" applyNumberFormat="1" applyFont="1" applyBorder="1" applyAlignment="1">
      <alignment vertical="center"/>
    </xf>
    <xf numFmtId="165" fontId="23" fillId="0" borderId="77" xfId="6" applyNumberFormat="1" applyFont="1" applyBorder="1" applyAlignment="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10" fontId="23" fillId="4" borderId="99" xfId="6" applyNumberFormat="1" applyFont="1" applyFill="1" applyBorder="1" applyAlignment="1" applyProtection="1">
      <alignment vertical="center"/>
      <protection locked="0"/>
    </xf>
    <xf numFmtId="0" fontId="9" fillId="0" borderId="60" xfId="6" applyFont="1" applyBorder="1" applyAlignment="1">
      <alignment vertical="center"/>
    </xf>
    <xf numFmtId="0" fontId="25" fillId="0" borderId="35" xfId="6" applyFont="1" applyBorder="1" applyAlignment="1">
      <alignment horizontal="center" vertical="center"/>
    </xf>
    <xf numFmtId="0" fontId="25" fillId="0" borderId="1" xfId="6" applyFont="1" applyBorder="1" applyAlignment="1">
      <alignment horizontal="center" vertical="center"/>
    </xf>
    <xf numFmtId="165" fontId="26" fillId="4" borderId="26" xfId="10" applyNumberFormat="1" applyFont="1" applyFill="1" applyBorder="1" applyAlignment="1" applyProtection="1">
      <alignment vertical="center"/>
      <protection locked="0"/>
    </xf>
    <xf numFmtId="165" fontId="26" fillId="4" borderId="6" xfId="11" applyNumberFormat="1" applyFont="1" applyFill="1" applyBorder="1" applyAlignment="1" applyProtection="1">
      <alignment horizontal="center" vertical="center"/>
      <protection locked="0"/>
    </xf>
    <xf numFmtId="165" fontId="26" fillId="4" borderId="9" xfId="11" applyNumberFormat="1" applyFont="1" applyFill="1" applyBorder="1" applyAlignment="1" applyProtection="1">
      <alignment horizontal="center" vertical="center"/>
      <protection locked="0"/>
    </xf>
    <xf numFmtId="165" fontId="26" fillId="4" borderId="12" xfId="11" applyNumberFormat="1" applyFont="1" applyFill="1" applyBorder="1" applyAlignment="1" applyProtection="1">
      <alignment horizontal="center" vertical="center"/>
      <protection locked="0"/>
    </xf>
    <xf numFmtId="0" fontId="26" fillId="0" borderId="0" xfId="9" applyFont="1" applyAlignment="1">
      <alignment horizontal="center" vertical="center" wrapText="1"/>
    </xf>
    <xf numFmtId="165" fontId="26" fillId="4" borderId="115" xfId="2" applyNumberFormat="1" applyFont="1" applyFill="1" applyBorder="1" applyAlignment="1" applyProtection="1">
      <alignment vertical="center"/>
      <protection locked="0"/>
    </xf>
    <xf numFmtId="165" fontId="26" fillId="4" borderId="104" xfId="2" applyNumberFormat="1" applyFont="1" applyFill="1" applyBorder="1" applyAlignment="1" applyProtection="1">
      <alignment vertical="center"/>
      <protection locked="0"/>
    </xf>
    <xf numFmtId="165" fontId="23" fillId="4" borderId="116" xfId="6" applyNumberFormat="1" applyFont="1" applyFill="1" applyBorder="1" applyAlignment="1" applyProtection="1">
      <alignment vertical="center"/>
      <protection locked="0"/>
    </xf>
    <xf numFmtId="165" fontId="26" fillId="4" borderId="18" xfId="2" applyNumberFormat="1" applyFont="1" applyFill="1" applyBorder="1" applyAlignment="1" applyProtection="1">
      <alignment vertical="center"/>
      <protection locked="0"/>
    </xf>
    <xf numFmtId="165" fontId="26" fillId="4" borderId="32" xfId="2" applyNumberFormat="1" applyFont="1" applyFill="1" applyBorder="1" applyAlignment="1" applyProtection="1">
      <alignment vertical="center"/>
      <protection locked="0"/>
    </xf>
    <xf numFmtId="165" fontId="26" fillId="4" borderId="24" xfId="2" applyNumberFormat="1" applyFont="1" applyFill="1" applyBorder="1" applyAlignment="1" applyProtection="1">
      <alignment vertical="center"/>
      <protection locked="0"/>
    </xf>
    <xf numFmtId="165" fontId="26" fillId="4" borderId="47" xfId="9" applyNumberFormat="1" applyFont="1" applyFill="1" applyBorder="1" applyAlignment="1" applyProtection="1">
      <alignment vertical="center"/>
      <protection locked="0"/>
    </xf>
    <xf numFmtId="165" fontId="26" fillId="7" borderId="20" xfId="9" applyNumberFormat="1" applyFont="1" applyFill="1" applyBorder="1" applyAlignment="1">
      <alignment vertical="center"/>
    </xf>
    <xf numFmtId="165" fontId="26" fillId="7" borderId="6" xfId="9" applyNumberFormat="1" applyFont="1" applyFill="1" applyBorder="1" applyAlignment="1">
      <alignment vertical="center"/>
    </xf>
    <xf numFmtId="165" fontId="26" fillId="4" borderId="11" xfId="2" applyNumberFormat="1" applyFont="1" applyFill="1" applyBorder="1" applyAlignment="1" applyProtection="1">
      <alignment vertical="center"/>
      <protection locked="0"/>
    </xf>
    <xf numFmtId="165" fontId="26" fillId="4" borderId="27" xfId="2" applyNumberFormat="1" applyFont="1" applyFill="1" applyBorder="1" applyAlignment="1" applyProtection="1">
      <alignment vertical="center"/>
      <protection locked="0"/>
    </xf>
    <xf numFmtId="0" fontId="0" fillId="6" borderId="0" xfId="0" applyFill="1"/>
    <xf numFmtId="0" fontId="18" fillId="0" borderId="0" xfId="0" applyFont="1" applyAlignment="1">
      <alignment vertical="top" wrapText="1"/>
    </xf>
    <xf numFmtId="165" fontId="26" fillId="7" borderId="103" xfId="2" applyNumberFormat="1" applyFont="1" applyFill="1" applyBorder="1" applyAlignment="1" applyProtection="1">
      <alignment vertical="center"/>
    </xf>
    <xf numFmtId="165" fontId="26" fillId="7" borderId="7" xfId="2" applyNumberFormat="1" applyFont="1" applyFill="1" applyBorder="1" applyAlignment="1" applyProtection="1">
      <alignment vertical="center"/>
    </xf>
    <xf numFmtId="165" fontId="26" fillId="7" borderId="18" xfId="2" applyNumberFormat="1" applyFont="1" applyFill="1" applyBorder="1" applyAlignment="1" applyProtection="1">
      <alignment vertical="center"/>
    </xf>
    <xf numFmtId="165" fontId="26" fillId="7" borderId="32" xfId="2" applyNumberFormat="1" applyFont="1" applyFill="1" applyBorder="1" applyAlignment="1" applyProtection="1">
      <alignment vertical="center"/>
    </xf>
    <xf numFmtId="165" fontId="26" fillId="7" borderId="49" xfId="2" applyNumberFormat="1" applyFont="1" applyFill="1" applyBorder="1" applyAlignment="1" applyProtection="1">
      <alignment vertical="center"/>
    </xf>
    <xf numFmtId="165" fontId="26" fillId="7" borderId="30" xfId="2" applyNumberFormat="1" applyFont="1" applyFill="1" applyBorder="1" applyAlignment="1" applyProtection="1">
      <alignment vertical="center"/>
    </xf>
    <xf numFmtId="169" fontId="18" fillId="0" borderId="0" xfId="0" applyNumberFormat="1" applyFont="1" applyAlignment="1">
      <alignment horizontal="right" vertical="top" wrapText="1"/>
    </xf>
    <xf numFmtId="49" fontId="18" fillId="0" borderId="0" xfId="0" applyNumberFormat="1" applyFont="1" applyAlignment="1">
      <alignment horizontal="right" vertical="top" wrapText="1"/>
    </xf>
    <xf numFmtId="0" fontId="18" fillId="0" borderId="0" xfId="0" applyFont="1" applyAlignment="1">
      <alignment horizontal="right" vertical="top" wrapText="1"/>
    </xf>
    <xf numFmtId="3" fontId="18" fillId="0" borderId="0" xfId="0" applyNumberFormat="1" applyFont="1" applyAlignment="1">
      <alignment horizontal="right" vertical="top" wrapText="1"/>
    </xf>
    <xf numFmtId="4" fontId="18" fillId="0" borderId="0" xfId="0" applyNumberFormat="1" applyFont="1" applyAlignment="1">
      <alignment horizontal="right" vertical="top" wrapText="1"/>
    </xf>
    <xf numFmtId="3" fontId="9" fillId="0" borderId="0" xfId="0" applyNumberFormat="1" applyFont="1" applyAlignment="1">
      <alignment horizontal="right" vertical="top" wrapText="1"/>
    </xf>
    <xf numFmtId="4" fontId="9" fillId="0" borderId="0" xfId="0" applyNumberFormat="1" applyFont="1" applyAlignment="1">
      <alignment horizontal="right" vertical="top" wrapText="1"/>
    </xf>
    <xf numFmtId="0" fontId="9" fillId="0" borderId="0" xfId="0" applyFont="1" applyAlignment="1">
      <alignment horizontal="right" vertical="top" wrapText="1"/>
    </xf>
    <xf numFmtId="0" fontId="47" fillId="0" borderId="0" xfId="0" applyFont="1" applyAlignment="1">
      <alignment horizontal="right" vertical="top" wrapText="1"/>
    </xf>
    <xf numFmtId="49" fontId="9" fillId="0" borderId="0" xfId="0" applyNumberFormat="1" applyFont="1" applyAlignment="1">
      <alignment horizontal="right" vertical="top" wrapText="1"/>
    </xf>
    <xf numFmtId="169" fontId="9" fillId="0" borderId="0" xfId="0" applyNumberFormat="1" applyFont="1" applyAlignment="1">
      <alignment horizontal="right" vertical="top" wrapText="1"/>
    </xf>
    <xf numFmtId="0" fontId="25" fillId="0" borderId="0" xfId="0" applyFont="1" applyAlignment="1">
      <alignment horizontal="right" vertical="top" wrapText="1"/>
    </xf>
    <xf numFmtId="20" fontId="18" fillId="0" borderId="0" xfId="0" applyNumberFormat="1" applyFont="1" applyAlignment="1">
      <alignment horizontal="right" vertical="top" wrapText="1"/>
    </xf>
    <xf numFmtId="167" fontId="18" fillId="0" borderId="0" xfId="0" applyNumberFormat="1" applyFont="1" applyAlignment="1">
      <alignment horizontal="right" vertical="top" wrapText="1"/>
    </xf>
    <xf numFmtId="0" fontId="48" fillId="0" borderId="0" xfId="0" applyFont="1" applyAlignment="1">
      <alignment horizontal="right" vertical="top" wrapText="1"/>
    </xf>
    <xf numFmtId="0" fontId="26" fillId="0" borderId="0" xfId="0" applyFont="1" applyAlignment="1">
      <alignment horizontal="right" vertical="top" wrapText="1"/>
    </xf>
    <xf numFmtId="0" fontId="15" fillId="0" borderId="0" xfId="0" applyFont="1" applyAlignment="1">
      <alignment horizontal="right" vertical="top" wrapText="1"/>
    </xf>
    <xf numFmtId="3" fontId="15" fillId="0" borderId="0" xfId="0" applyNumberFormat="1" applyFont="1" applyAlignment="1">
      <alignment horizontal="right" vertical="top" wrapText="1"/>
    </xf>
    <xf numFmtId="3" fontId="26" fillId="0" borderId="0" xfId="0" applyNumberFormat="1" applyFont="1" applyAlignment="1">
      <alignment horizontal="right" vertical="top" wrapText="1"/>
    </xf>
    <xf numFmtId="4" fontId="9" fillId="0" borderId="0" xfId="0" applyNumberFormat="1" applyFont="1" applyAlignment="1">
      <alignment horizontal="left" vertical="top" wrapText="1"/>
    </xf>
    <xf numFmtId="3" fontId="9" fillId="0" borderId="0" xfId="0" applyNumberFormat="1" applyFont="1" applyAlignment="1">
      <alignment horizontal="left" vertical="top" wrapText="1"/>
    </xf>
    <xf numFmtId="0" fontId="4" fillId="2" borderId="0" xfId="6" applyFont="1" applyFill="1" applyAlignment="1">
      <alignment vertical="center" wrapText="1"/>
    </xf>
    <xf numFmtId="0" fontId="23" fillId="0" borderId="0" xfId="8" applyFont="1" applyAlignment="1">
      <alignment vertical="center" wrapText="1"/>
    </xf>
    <xf numFmtId="0" fontId="28" fillId="3" borderId="34" xfId="9" applyFont="1" applyFill="1" applyBorder="1" applyAlignment="1">
      <alignment vertical="center" wrapText="1"/>
    </xf>
    <xf numFmtId="10" fontId="23" fillId="7" borderId="31" xfId="6" applyNumberFormat="1" applyFont="1" applyFill="1" applyBorder="1" applyAlignment="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165" fontId="26" fillId="7" borderId="5" xfId="2" applyNumberFormat="1" applyFont="1" applyFill="1" applyBorder="1" applyAlignment="1" applyProtection="1">
      <alignment vertical="center"/>
    </xf>
    <xf numFmtId="165" fontId="26" fillId="7" borderId="24" xfId="2" applyNumberFormat="1" applyFont="1" applyFill="1" applyBorder="1" applyAlignment="1" applyProtection="1">
      <alignment vertical="center"/>
    </xf>
    <xf numFmtId="165" fontId="26" fillId="7" borderId="8" xfId="2" applyNumberFormat="1" applyFont="1" applyFill="1" applyBorder="1" applyAlignment="1" applyProtection="1">
      <alignment vertical="center"/>
    </xf>
    <xf numFmtId="165" fontId="26" fillId="7" borderId="26" xfId="2" applyNumberFormat="1" applyFont="1" applyFill="1" applyBorder="1" applyAlignment="1" applyProtection="1">
      <alignment vertical="center"/>
    </xf>
    <xf numFmtId="165" fontId="26" fillId="7" borderId="10" xfId="2" applyNumberFormat="1" applyFont="1" applyFill="1" applyBorder="1" applyAlignment="1" applyProtection="1">
      <alignment vertical="center"/>
    </xf>
    <xf numFmtId="165" fontId="26" fillId="7" borderId="37" xfId="1" applyNumberFormat="1" applyFont="1" applyFill="1" applyBorder="1" applyAlignment="1" applyProtection="1">
      <alignment vertical="center"/>
    </xf>
    <xf numFmtId="165" fontId="26" fillId="7" borderId="7" xfId="1" applyNumberFormat="1" applyFont="1" applyFill="1" applyBorder="1" applyAlignment="1" applyProtection="1">
      <alignment vertical="center"/>
    </xf>
    <xf numFmtId="165" fontId="26" fillId="7" borderId="41" xfId="1" applyNumberFormat="1" applyFont="1" applyFill="1" applyBorder="1" applyAlignment="1" applyProtection="1">
      <alignment vertical="center"/>
    </xf>
    <xf numFmtId="165" fontId="26" fillId="7" borderId="13" xfId="1" applyNumberFormat="1" applyFont="1" applyFill="1" applyBorder="1" applyAlignment="1" applyProtection="1">
      <alignment vertical="center"/>
    </xf>
    <xf numFmtId="2" fontId="26" fillId="4" borderId="13" xfId="9" applyNumberFormat="1" applyFont="1" applyFill="1" applyBorder="1" applyAlignment="1" applyProtection="1">
      <alignment horizontal="right"/>
      <protection locked="0"/>
    </xf>
    <xf numFmtId="165" fontId="26" fillId="0" borderId="1" xfId="10" applyNumberFormat="1" applyFont="1" applyFill="1" applyBorder="1" applyAlignment="1" applyProtection="1">
      <alignment vertical="center"/>
    </xf>
    <xf numFmtId="0" fontId="10" fillId="0" borderId="0" xfId="5"/>
    <xf numFmtId="165" fontId="23" fillId="4" borderId="99" xfId="6" applyNumberFormat="1" applyFont="1" applyFill="1" applyBorder="1" applyAlignment="1" applyProtection="1">
      <alignment vertical="center"/>
      <protection locked="0"/>
    </xf>
    <xf numFmtId="165" fontId="23" fillId="7" borderId="35" xfId="6" applyNumberFormat="1" applyFont="1" applyFill="1" applyBorder="1" applyAlignment="1">
      <alignment vertical="center"/>
    </xf>
    <xf numFmtId="165" fontId="23" fillId="7" borderId="2" xfId="6" applyNumberFormat="1" applyFont="1" applyFill="1" applyBorder="1" applyAlignment="1">
      <alignment vertical="center"/>
    </xf>
    <xf numFmtId="165" fontId="23" fillId="7" borderId="3" xfId="6" applyNumberFormat="1" applyFont="1" applyFill="1" applyBorder="1" applyAlignment="1">
      <alignment vertical="center"/>
    </xf>
    <xf numFmtId="165" fontId="26" fillId="7" borderId="37" xfId="9" applyNumberFormat="1" applyFont="1" applyFill="1" applyBorder="1" applyAlignment="1">
      <alignment vertical="center"/>
    </xf>
    <xf numFmtId="165" fontId="26" fillId="7" borderId="5" xfId="9" applyNumberFormat="1" applyFont="1" applyFill="1" applyBorder="1" applyAlignment="1">
      <alignment vertical="center"/>
    </xf>
    <xf numFmtId="0" fontId="0" fillId="0" borderId="0" xfId="0" applyAlignment="1">
      <alignment vertical="top" wrapText="1"/>
    </xf>
    <xf numFmtId="165" fontId="26" fillId="7" borderId="39" xfId="10" applyNumberFormat="1" applyFont="1" applyFill="1" applyBorder="1" applyAlignment="1" applyProtection="1">
      <alignment vertical="center"/>
    </xf>
    <xf numFmtId="165" fontId="26" fillId="7" borderId="10" xfId="10" applyNumberFormat="1" applyFont="1" applyFill="1" applyBorder="1" applyAlignment="1" applyProtection="1">
      <alignment vertical="center"/>
    </xf>
    <xf numFmtId="165" fontId="26" fillId="7" borderId="29" xfId="10" applyNumberFormat="1" applyFont="1" applyFill="1" applyBorder="1" applyAlignment="1" applyProtection="1">
      <alignment vertical="center"/>
    </xf>
    <xf numFmtId="165" fontId="26" fillId="7" borderId="38" xfId="10" applyNumberFormat="1" applyFont="1" applyFill="1" applyBorder="1" applyAlignment="1" applyProtection="1">
      <alignment vertical="center"/>
    </xf>
    <xf numFmtId="165" fontId="26" fillId="7" borderId="56" xfId="2" applyNumberFormat="1" applyFont="1" applyFill="1" applyBorder="1" applyAlignment="1" applyProtection="1">
      <alignment vertical="center"/>
    </xf>
    <xf numFmtId="165" fontId="26" fillId="7" borderId="31" xfId="2" applyNumberFormat="1" applyFont="1" applyFill="1" applyBorder="1" applyAlignment="1" applyProtection="1">
      <alignment vertical="center"/>
    </xf>
    <xf numFmtId="165" fontId="26" fillId="4" borderId="1" xfId="10" applyNumberFormat="1" applyFont="1" applyFill="1" applyBorder="1" applyAlignment="1" applyProtection="1">
      <alignment vertical="center"/>
      <protection locked="0"/>
    </xf>
    <xf numFmtId="165" fontId="26" fillId="7" borderId="1"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protection locked="0"/>
    </xf>
    <xf numFmtId="165" fontId="26" fillId="7" borderId="41" xfId="2" applyNumberFormat="1" applyFont="1" applyFill="1" applyBorder="1" applyAlignment="1" applyProtection="1">
      <alignment vertical="center"/>
    </xf>
    <xf numFmtId="165" fontId="26" fillId="7" borderId="13" xfId="2" applyNumberFormat="1" applyFont="1" applyFill="1" applyBorder="1" applyAlignment="1" applyProtection="1">
      <alignment vertical="center"/>
    </xf>
    <xf numFmtId="165" fontId="26" fillId="7" borderId="2" xfId="2" applyNumberFormat="1" applyFont="1" applyFill="1" applyBorder="1" applyAlignment="1" applyProtection="1">
      <alignment vertical="center"/>
    </xf>
    <xf numFmtId="165" fontId="26" fillId="7" borderId="35" xfId="2" applyNumberFormat="1" applyFont="1" applyFill="1" applyBorder="1" applyAlignment="1" applyProtection="1">
      <alignment vertical="center"/>
    </xf>
    <xf numFmtId="165" fontId="26" fillId="0" borderId="0" xfId="0" applyNumberFormat="1" applyFont="1" applyAlignment="1">
      <alignment vertical="center"/>
    </xf>
    <xf numFmtId="165" fontId="26" fillId="7" borderId="61" xfId="9" applyNumberFormat="1" applyFont="1" applyFill="1" applyBorder="1" applyAlignment="1">
      <alignment vertical="center"/>
    </xf>
    <xf numFmtId="165" fontId="23" fillId="4" borderId="13" xfId="6" applyNumberFormat="1" applyFont="1" applyFill="1" applyBorder="1" applyAlignment="1" applyProtection="1">
      <alignment vertical="center"/>
      <protection locked="0"/>
    </xf>
    <xf numFmtId="165" fontId="23" fillId="4" borderId="41" xfId="6" applyNumberFormat="1" applyFont="1" applyFill="1" applyBorder="1" applyAlignment="1" applyProtection="1">
      <alignment vertical="center"/>
      <protection locked="0"/>
    </xf>
    <xf numFmtId="165" fontId="23" fillId="7" borderId="117" xfId="6" applyNumberFormat="1" applyFont="1" applyFill="1" applyBorder="1" applyAlignment="1">
      <alignment vertical="center"/>
    </xf>
    <xf numFmtId="0" fontId="25" fillId="0" borderId="60" xfId="6" applyFont="1" applyBorder="1" applyAlignment="1">
      <alignment horizontal="center" vertical="center"/>
    </xf>
    <xf numFmtId="165" fontId="23" fillId="4" borderId="4" xfId="6" applyNumberFormat="1" applyFont="1" applyFill="1" applyBorder="1" applyAlignment="1" applyProtection="1">
      <alignment vertical="center"/>
      <protection locked="0"/>
    </xf>
    <xf numFmtId="165" fontId="23" fillId="4" borderId="61" xfId="6" applyNumberFormat="1" applyFont="1" applyFill="1" applyBorder="1" applyAlignment="1" applyProtection="1">
      <alignment vertical="center"/>
      <protection locked="0"/>
    </xf>
    <xf numFmtId="165" fontId="23" fillId="7" borderId="118" xfId="6" applyNumberFormat="1" applyFont="1" applyFill="1" applyBorder="1" applyAlignment="1">
      <alignment vertical="center"/>
    </xf>
    <xf numFmtId="165" fontId="23" fillId="7" borderId="61" xfId="6" applyNumberFormat="1" applyFont="1" applyFill="1" applyBorder="1" applyAlignment="1">
      <alignment vertical="center"/>
    </xf>
    <xf numFmtId="165" fontId="23" fillId="7" borderId="119" xfId="6" applyNumberFormat="1" applyFont="1" applyFill="1" applyBorder="1" applyAlignment="1">
      <alignment vertical="center"/>
    </xf>
    <xf numFmtId="165" fontId="23" fillId="4" borderId="120" xfId="6" applyNumberFormat="1" applyFont="1" applyFill="1" applyBorder="1" applyAlignment="1" applyProtection="1">
      <alignment vertical="center"/>
      <protection locked="0"/>
    </xf>
    <xf numFmtId="165" fontId="23" fillId="4" borderId="20" xfId="6" applyNumberFormat="1" applyFont="1" applyFill="1" applyBorder="1" applyAlignment="1" applyProtection="1">
      <alignment vertical="center"/>
      <protection locked="0"/>
    </xf>
    <xf numFmtId="165" fontId="23" fillId="4" borderId="21" xfId="6" applyNumberFormat="1" applyFont="1" applyFill="1" applyBorder="1" applyAlignment="1" applyProtection="1">
      <alignment vertical="center"/>
      <protection locked="0"/>
    </xf>
    <xf numFmtId="165" fontId="23" fillId="4" borderId="19" xfId="6" applyNumberFormat="1" applyFont="1" applyFill="1" applyBorder="1" applyAlignment="1" applyProtection="1">
      <alignment vertical="center"/>
      <protection locked="0"/>
    </xf>
    <xf numFmtId="0" fontId="1" fillId="0" borderId="100" xfId="6" applyBorder="1" applyAlignment="1">
      <alignment vertical="center"/>
    </xf>
    <xf numFmtId="165" fontId="26" fillId="4" borderId="2" xfId="10" applyNumberFormat="1" applyFont="1" applyFill="1" applyBorder="1" applyAlignment="1" applyProtection="1">
      <alignment vertical="center"/>
      <protection locked="0"/>
    </xf>
    <xf numFmtId="165" fontId="26" fillId="4" borderId="4" xfId="10" applyNumberFormat="1" applyFont="1" applyFill="1" applyBorder="1" applyAlignment="1" applyProtection="1">
      <alignment vertical="center"/>
      <protection locked="0"/>
    </xf>
    <xf numFmtId="165" fontId="26" fillId="7" borderId="5" xfId="10" applyNumberFormat="1" applyFont="1" applyFill="1" applyBorder="1" applyAlignment="1" applyProtection="1">
      <alignment vertical="center"/>
    </xf>
    <xf numFmtId="165" fontId="26" fillId="7" borderId="8" xfId="10" applyNumberFormat="1" applyFont="1" applyFill="1" applyBorder="1" applyAlignment="1" applyProtection="1">
      <alignment vertical="center"/>
    </xf>
    <xf numFmtId="165" fontId="26" fillId="7" borderId="11" xfId="10" applyNumberFormat="1" applyFont="1" applyFill="1" applyBorder="1" applyAlignment="1" applyProtection="1">
      <alignment vertical="center"/>
    </xf>
    <xf numFmtId="165" fontId="26" fillId="4" borderId="1" xfId="9" applyNumberFormat="1" applyFont="1" applyFill="1" applyBorder="1" applyAlignment="1" applyProtection="1">
      <alignment vertical="center"/>
      <protection locked="0"/>
    </xf>
    <xf numFmtId="0" fontId="26" fillId="4" borderId="9" xfId="9" applyFont="1" applyFill="1" applyBorder="1" applyAlignment="1">
      <alignment horizontal="center" vertical="center" wrapText="1"/>
    </xf>
    <xf numFmtId="0" fontId="9" fillId="0" borderId="15" xfId="6" applyFont="1" applyBorder="1" applyAlignment="1">
      <alignment vertical="center"/>
    </xf>
    <xf numFmtId="165" fontId="23" fillId="7" borderId="122" xfId="6" applyNumberFormat="1" applyFont="1" applyFill="1" applyBorder="1" applyAlignment="1">
      <alignment vertical="center"/>
    </xf>
    <xf numFmtId="165" fontId="23" fillId="7" borderId="123" xfId="6" applyNumberFormat="1" applyFont="1" applyFill="1" applyBorder="1" applyAlignment="1">
      <alignment vertical="center"/>
    </xf>
    <xf numFmtId="165" fontId="23" fillId="4" borderId="124" xfId="6" applyNumberFormat="1" applyFont="1" applyFill="1" applyBorder="1" applyAlignment="1" applyProtection="1">
      <alignment vertical="center"/>
      <protection locked="0"/>
    </xf>
    <xf numFmtId="165" fontId="23" fillId="4" borderId="125" xfId="6"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3" fillId="7" borderId="127" xfId="6" applyNumberFormat="1" applyFont="1" applyFill="1" applyBorder="1" applyAlignment="1">
      <alignment vertical="center"/>
    </xf>
    <xf numFmtId="165" fontId="23" fillId="7" borderId="128" xfId="6" applyNumberFormat="1" applyFont="1" applyFill="1" applyBorder="1" applyAlignment="1">
      <alignment vertical="center"/>
    </xf>
    <xf numFmtId="165" fontId="23" fillId="7" borderId="129" xfId="6" applyNumberFormat="1" applyFont="1" applyFill="1" applyBorder="1" applyAlignment="1">
      <alignment vertical="center"/>
    </xf>
    <xf numFmtId="165" fontId="23" fillId="4" borderId="78" xfId="6" applyNumberFormat="1" applyFont="1" applyFill="1" applyBorder="1" applyAlignment="1" applyProtection="1">
      <alignment vertical="center"/>
      <protection locked="0"/>
    </xf>
    <xf numFmtId="165" fontId="23" fillId="4" borderId="130" xfId="6" applyNumberFormat="1" applyFont="1" applyFill="1" applyBorder="1" applyAlignment="1" applyProtection="1">
      <alignment vertical="center"/>
      <protection locked="0"/>
    </xf>
    <xf numFmtId="0" fontId="25" fillId="0" borderId="0" xfId="7" applyFont="1" applyFill="1" applyBorder="1" applyAlignment="1">
      <alignment horizontal="center" vertical="center" wrapText="1"/>
    </xf>
    <xf numFmtId="165" fontId="23" fillId="4" borderId="131" xfId="6" applyNumberFormat="1" applyFont="1" applyFill="1" applyBorder="1" applyAlignment="1" applyProtection="1">
      <alignment vertical="center"/>
      <protection locked="0"/>
    </xf>
    <xf numFmtId="165" fontId="23" fillId="4" borderId="132" xfId="6" applyNumberFormat="1" applyFont="1" applyFill="1" applyBorder="1" applyAlignment="1" applyProtection="1">
      <alignment vertical="center"/>
      <protection locked="0"/>
    </xf>
    <xf numFmtId="165" fontId="23" fillId="4" borderId="133" xfId="6" applyNumberFormat="1" applyFont="1" applyFill="1" applyBorder="1" applyAlignment="1" applyProtection="1">
      <alignment vertical="center"/>
      <protection locked="0"/>
    </xf>
    <xf numFmtId="165" fontId="23" fillId="7" borderId="134" xfId="6" applyNumberFormat="1" applyFont="1" applyFill="1" applyBorder="1" applyAlignment="1">
      <alignment vertical="center"/>
    </xf>
    <xf numFmtId="0" fontId="51" fillId="0" borderId="0" xfId="14" applyFont="1"/>
    <xf numFmtId="0" fontId="54" fillId="0" borderId="0" xfId="14" applyFont="1" applyAlignment="1">
      <alignment horizontal="center" vertical="center" wrapText="1"/>
    </xf>
    <xf numFmtId="0" fontId="33" fillId="0" borderId="0" xfId="14" applyFont="1" applyAlignment="1">
      <alignment horizontal="center" vertical="top" wrapText="1"/>
    </xf>
    <xf numFmtId="0" fontId="55" fillId="0" borderId="0" xfId="14" applyFont="1" applyAlignment="1">
      <alignment horizontal="center" vertical="top" wrapText="1"/>
    </xf>
    <xf numFmtId="0" fontId="7" fillId="3" borderId="6" xfId="9" applyFont="1" applyFill="1" applyBorder="1" applyAlignment="1">
      <alignment horizontal="center" vertical="center" wrapText="1"/>
    </xf>
    <xf numFmtId="0" fontId="7" fillId="3" borderId="36" xfId="9" applyFont="1" applyFill="1" applyBorder="1" applyAlignment="1">
      <alignment horizontal="center" vertical="center" wrapText="1"/>
    </xf>
    <xf numFmtId="0" fontId="7" fillId="3" borderId="7" xfId="9" applyFont="1" applyFill="1" applyBorder="1" applyAlignment="1">
      <alignment horizontal="center" vertical="center" wrapText="1"/>
    </xf>
    <xf numFmtId="0" fontId="18" fillId="0" borderId="12" xfId="14" applyFont="1" applyBorder="1" applyAlignment="1">
      <alignment horizontal="center" vertical="center" wrapText="1"/>
    </xf>
    <xf numFmtId="0" fontId="18" fillId="0" borderId="39" xfId="14" applyFont="1" applyBorder="1" applyAlignment="1">
      <alignment horizontal="center" vertical="center" wrapText="1"/>
    </xf>
    <xf numFmtId="0" fontId="18" fillId="0" borderId="41" xfId="14" applyFont="1" applyBorder="1" applyAlignment="1">
      <alignment horizontal="center" vertical="center" wrapText="1"/>
    </xf>
    <xf numFmtId="0" fontId="18" fillId="0" borderId="38" xfId="14" applyFont="1" applyBorder="1" applyAlignment="1">
      <alignment horizontal="center" vertical="center" wrapText="1"/>
    </xf>
    <xf numFmtId="0" fontId="18" fillId="0" borderId="40" xfId="14" applyFont="1" applyBorder="1" applyAlignment="1">
      <alignment horizontal="center" vertical="center" wrapText="1"/>
    </xf>
    <xf numFmtId="0" fontId="7" fillId="3" borderId="15" xfId="9" applyFont="1" applyFill="1" applyBorder="1" applyAlignment="1">
      <alignment horizontal="center" vertical="center" wrapText="1"/>
    </xf>
    <xf numFmtId="0" fontId="7" fillId="3" borderId="52" xfId="9" applyFont="1" applyFill="1" applyBorder="1" applyAlignment="1">
      <alignment horizontal="center" vertical="center" wrapText="1"/>
    </xf>
    <xf numFmtId="0" fontId="7" fillId="3" borderId="16" xfId="9" applyFont="1" applyFill="1" applyBorder="1" applyAlignment="1">
      <alignment horizontal="center" vertical="center" wrapText="1"/>
    </xf>
    <xf numFmtId="0" fontId="12" fillId="0" borderId="0" xfId="14" applyFont="1"/>
    <xf numFmtId="0" fontId="55" fillId="0" borderId="0" xfId="14" applyFont="1" applyAlignment="1">
      <alignment horizontal="left" vertical="center" wrapText="1"/>
    </xf>
    <xf numFmtId="0" fontId="7" fillId="3" borderId="5" xfId="14" applyFont="1" applyFill="1" applyBorder="1" applyAlignment="1">
      <alignment horizontal="center" vertical="center" wrapText="1"/>
    </xf>
    <xf numFmtId="0" fontId="7" fillId="3" borderId="6" xfId="14" applyFont="1" applyFill="1" applyBorder="1" applyAlignment="1">
      <alignment horizontal="left" vertical="center"/>
    </xf>
    <xf numFmtId="0" fontId="26" fillId="0" borderId="11" xfId="14" applyFont="1" applyBorder="1" applyAlignment="1">
      <alignment horizontal="center" vertical="center" wrapText="1"/>
    </xf>
    <xf numFmtId="0" fontId="18" fillId="0" borderId="12" xfId="14" applyFont="1" applyBorder="1" applyAlignment="1">
      <alignment horizontal="left" vertical="center" wrapText="1"/>
    </xf>
    <xf numFmtId="49" fontId="18" fillId="0" borderId="12" xfId="14" applyNumberFormat="1" applyFont="1" applyBorder="1" applyAlignment="1">
      <alignment horizontal="center" vertical="center" wrapText="1"/>
    </xf>
    <xf numFmtId="0" fontId="12" fillId="0" borderId="0" xfId="14" applyFont="1" applyAlignment="1">
      <alignment horizontal="center" vertical="top" wrapText="1"/>
    </xf>
    <xf numFmtId="0" fontId="12" fillId="0" borderId="0" xfId="14" applyFont="1" applyAlignment="1">
      <alignment horizontal="left" vertical="top" wrapText="1"/>
    </xf>
    <xf numFmtId="0" fontId="26" fillId="0" borderId="8" xfId="14" applyFont="1" applyBorder="1" applyAlignment="1">
      <alignment horizontal="center" vertical="center" wrapText="1"/>
    </xf>
    <xf numFmtId="0" fontId="7" fillId="3" borderId="54" xfId="14" applyFont="1" applyFill="1" applyBorder="1" applyAlignment="1">
      <alignment horizontal="center" vertical="center" wrapText="1"/>
    </xf>
    <xf numFmtId="0" fontId="26" fillId="0" borderId="57" xfId="14" applyFont="1" applyBorder="1" applyAlignment="1">
      <alignment horizontal="center" vertical="center" wrapText="1"/>
    </xf>
    <xf numFmtId="0" fontId="7" fillId="3" borderId="2" xfId="6" applyFont="1" applyFill="1" applyBorder="1" applyAlignment="1">
      <alignment vertical="top"/>
    </xf>
    <xf numFmtId="0" fontId="7" fillId="3" borderId="3" xfId="6" applyFont="1" applyFill="1" applyBorder="1" applyAlignment="1">
      <alignment vertical="top"/>
    </xf>
    <xf numFmtId="0" fontId="7" fillId="3" borderId="5" xfId="6" applyFont="1" applyFill="1" applyBorder="1" applyAlignment="1">
      <alignment horizontal="center" vertical="top"/>
    </xf>
    <xf numFmtId="0" fontId="7" fillId="3" borderId="7" xfId="6" applyFont="1" applyFill="1" applyBorder="1" applyAlignment="1">
      <alignment vertical="top"/>
    </xf>
    <xf numFmtId="0" fontId="33" fillId="0" borderId="0" xfId="14" applyFont="1" applyAlignment="1">
      <alignment horizontal="center" vertical="center" wrapText="1"/>
    </xf>
    <xf numFmtId="0" fontId="23" fillId="0" borderId="0" xfId="6" applyFont="1" applyAlignment="1">
      <alignment horizontal="center"/>
    </xf>
    <xf numFmtId="0" fontId="58" fillId="0" borderId="0" xfId="14" applyFont="1" applyAlignment="1">
      <alignment horizontal="center"/>
    </xf>
    <xf numFmtId="165" fontId="26" fillId="4" borderId="7" xfId="9" applyNumberFormat="1" applyFont="1" applyFill="1" applyBorder="1" applyAlignment="1" applyProtection="1">
      <alignment vertical="center"/>
      <protection locked="0"/>
    </xf>
    <xf numFmtId="165" fontId="26" fillId="4" borderId="10" xfId="9" applyNumberFormat="1" applyFont="1" applyFill="1" applyBorder="1" applyAlignment="1" applyProtection="1">
      <alignment vertical="center"/>
      <protection locked="0"/>
    </xf>
    <xf numFmtId="165" fontId="26" fillId="4" borderId="43" xfId="9" applyNumberFormat="1" applyFont="1" applyFill="1" applyBorder="1" applyAlignment="1" applyProtection="1">
      <alignment vertical="center"/>
      <protection locked="0"/>
    </xf>
    <xf numFmtId="165" fontId="26" fillId="4" borderId="62" xfId="9" applyNumberFormat="1" applyFont="1" applyFill="1" applyBorder="1" applyAlignment="1" applyProtection="1">
      <alignment vertical="center"/>
      <protection locked="0"/>
    </xf>
    <xf numFmtId="0" fontId="11" fillId="0" borderId="11" xfId="5" applyFont="1" applyFill="1" applyBorder="1" applyAlignment="1" applyProtection="1">
      <alignment vertical="center"/>
    </xf>
    <xf numFmtId="0" fontId="22" fillId="5" borderId="20" xfId="0" applyFont="1" applyFill="1" applyBorder="1" applyAlignment="1">
      <alignment horizontal="center" vertical="center" wrapText="1"/>
    </xf>
    <xf numFmtId="0" fontId="26" fillId="0" borderId="4" xfId="9" applyFont="1" applyBorder="1"/>
    <xf numFmtId="2" fontId="26" fillId="7" borderId="4" xfId="9" applyNumberFormat="1" applyFont="1" applyFill="1" applyBorder="1" applyAlignment="1">
      <alignment horizontal="right"/>
    </xf>
    <xf numFmtId="165" fontId="59" fillId="0" borderId="0" xfId="6" applyNumberFormat="1" applyFont="1" applyAlignment="1">
      <alignment vertical="center"/>
    </xf>
    <xf numFmtId="10" fontId="26" fillId="7" borderId="31" xfId="9" applyNumberFormat="1" applyFont="1" applyFill="1" applyBorder="1" applyAlignment="1">
      <alignment vertical="center"/>
    </xf>
    <xf numFmtId="165" fontId="26" fillId="7" borderId="18" xfId="9" applyNumberFormat="1" applyFont="1" applyFill="1" applyBorder="1" applyAlignment="1">
      <alignment vertical="center"/>
    </xf>
    <xf numFmtId="10" fontId="26" fillId="7" borderId="32" xfId="9" applyNumberFormat="1" applyFont="1" applyFill="1" applyBorder="1" applyAlignment="1">
      <alignment vertical="center"/>
    </xf>
    <xf numFmtId="2" fontId="26" fillId="7" borderId="32" xfId="9" applyNumberFormat="1" applyFont="1" applyFill="1" applyBorder="1" applyAlignment="1">
      <alignment vertical="center"/>
    </xf>
    <xf numFmtId="2" fontId="26" fillId="7" borderId="30" xfId="9" applyNumberFormat="1" applyFont="1" applyFill="1" applyBorder="1" applyAlignment="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18" fillId="0" borderId="0" xfId="11" applyAlignment="1">
      <alignment vertical="center"/>
    </xf>
    <xf numFmtId="0" fontId="7" fillId="0" borderId="0" xfId="6" applyFont="1" applyAlignment="1">
      <alignment horizontal="center" vertical="center"/>
    </xf>
    <xf numFmtId="0" fontId="7" fillId="3" borderId="51" xfId="6" applyFont="1" applyFill="1" applyBorder="1" applyAlignment="1">
      <alignment horizontal="center" vertical="center" wrapText="1"/>
    </xf>
    <xf numFmtId="0" fontId="7" fillId="0" borderId="0" xfId="6" applyFont="1" applyAlignment="1">
      <alignment horizontal="left" vertical="center"/>
    </xf>
    <xf numFmtId="0" fontId="7" fillId="0" borderId="0" xfId="6" applyFont="1" applyAlignment="1">
      <alignment horizontal="center" vertical="center" wrapText="1"/>
    </xf>
    <xf numFmtId="0" fontId="60" fillId="0" borderId="0" xfId="18" applyFont="1"/>
    <xf numFmtId="0" fontId="7" fillId="15" borderId="55" xfId="6" applyFont="1" applyFill="1" applyBorder="1" applyAlignment="1">
      <alignment horizontal="center" vertical="center"/>
    </xf>
    <xf numFmtId="0" fontId="7" fillId="15" borderId="16" xfId="6" applyFont="1" applyFill="1" applyBorder="1" applyAlignment="1">
      <alignment vertical="center"/>
    </xf>
    <xf numFmtId="0" fontId="60" fillId="0" borderId="0" xfId="18" applyFont="1" applyAlignment="1">
      <alignment vertical="center"/>
    </xf>
    <xf numFmtId="0" fontId="61" fillId="0" borderId="5" xfId="6" applyFont="1" applyBorder="1" applyAlignment="1">
      <alignment horizontal="center" vertical="center"/>
    </xf>
    <xf numFmtId="0" fontId="62" fillId="0" borderId="6" xfId="6" applyFont="1" applyBorder="1" applyAlignment="1">
      <alignment vertical="center"/>
    </xf>
    <xf numFmtId="0" fontId="63" fillId="0" borderId="6" xfId="6" applyFont="1" applyBorder="1" applyAlignment="1">
      <alignment horizontal="center" vertical="center"/>
    </xf>
    <xf numFmtId="0" fontId="63" fillId="0" borderId="7" xfId="6" applyFont="1" applyBorder="1" applyAlignment="1">
      <alignment horizontal="center" vertical="center"/>
    </xf>
    <xf numFmtId="165" fontId="61" fillId="16" borderId="5" xfId="6" applyNumberFormat="1" applyFont="1" applyFill="1" applyBorder="1" applyAlignment="1" applyProtection="1">
      <alignment vertical="center"/>
      <protection locked="0"/>
    </xf>
    <xf numFmtId="165" fontId="61" fillId="16" borderId="6" xfId="6" applyNumberFormat="1" applyFont="1" applyFill="1" applyBorder="1" applyAlignment="1" applyProtection="1">
      <alignment vertical="center"/>
      <protection locked="0"/>
    </xf>
    <xf numFmtId="165" fontId="61" fillId="17" borderId="31" xfId="6" applyNumberFormat="1" applyFont="1" applyFill="1" applyBorder="1" applyAlignment="1">
      <alignment vertical="center"/>
    </xf>
    <xf numFmtId="0" fontId="18" fillId="16" borderId="31" xfId="19" applyNumberFormat="1" applyFont="1" applyFill="1" applyBorder="1" applyAlignment="1" applyProtection="1">
      <alignment vertical="center" wrapText="1"/>
      <protection locked="0"/>
    </xf>
    <xf numFmtId="0" fontId="15" fillId="0" borderId="0" xfId="0" applyFont="1" applyAlignment="1">
      <alignment horizontal="center" vertical="center"/>
    </xf>
    <xf numFmtId="0" fontId="61" fillId="0" borderId="8" xfId="6" applyFont="1" applyBorder="1" applyAlignment="1">
      <alignment horizontal="center" vertical="center"/>
    </xf>
    <xf numFmtId="0" fontId="62" fillId="0" borderId="9" xfId="6" applyFont="1" applyBorder="1" applyAlignment="1">
      <alignment vertical="center"/>
    </xf>
    <xf numFmtId="0" fontId="63" fillId="0" borderId="9" xfId="6" applyFont="1" applyBorder="1" applyAlignment="1">
      <alignment horizontal="center" vertical="center"/>
    </xf>
    <xf numFmtId="0" fontId="63" fillId="0" borderId="10" xfId="6" applyFont="1" applyBorder="1" applyAlignment="1">
      <alignment horizontal="center" vertical="center"/>
    </xf>
    <xf numFmtId="165" fontId="61" fillId="16" borderId="8" xfId="6" applyNumberFormat="1" applyFont="1" applyFill="1" applyBorder="1" applyAlignment="1" applyProtection="1">
      <alignment vertical="center"/>
      <protection locked="0"/>
    </xf>
    <xf numFmtId="165" fontId="61" fillId="16" borderId="9" xfId="6" applyNumberFormat="1" applyFont="1" applyFill="1" applyBorder="1" applyAlignment="1" applyProtection="1">
      <alignment vertical="center"/>
      <protection locked="0"/>
    </xf>
    <xf numFmtId="165" fontId="61" fillId="17" borderId="32" xfId="6" applyNumberFormat="1" applyFont="1" applyFill="1" applyBorder="1" applyAlignment="1">
      <alignment vertical="center"/>
    </xf>
    <xf numFmtId="0" fontId="18" fillId="16" borderId="32" xfId="19" applyNumberFormat="1" applyFont="1" applyFill="1" applyBorder="1" applyAlignment="1" applyProtection="1">
      <alignment vertical="center" wrapText="1"/>
      <protection locked="0"/>
    </xf>
    <xf numFmtId="0" fontId="64" fillId="0" borderId="9" xfId="6" applyFont="1" applyBorder="1" applyAlignment="1">
      <alignment vertical="center"/>
    </xf>
    <xf numFmtId="0" fontId="64" fillId="0" borderId="38" xfId="6" applyFont="1" applyBorder="1" applyAlignment="1">
      <alignment vertical="center"/>
    </xf>
    <xf numFmtId="0" fontId="15" fillId="0" borderId="38" xfId="6" applyFont="1" applyBorder="1" applyAlignment="1">
      <alignment horizontal="center" vertical="center"/>
    </xf>
    <xf numFmtId="0" fontId="15" fillId="0" borderId="29" xfId="6" applyFont="1" applyBorder="1" applyAlignment="1">
      <alignment horizontal="center" vertical="center"/>
    </xf>
    <xf numFmtId="165" fontId="61" fillId="0" borderId="29" xfId="6" applyNumberFormat="1" applyFont="1" applyBorder="1" applyAlignment="1">
      <alignment vertical="center"/>
    </xf>
    <xf numFmtId="0" fontId="26" fillId="0" borderId="8" xfId="6" applyFont="1" applyBorder="1" applyAlignment="1">
      <alignment horizontal="center" vertical="center"/>
    </xf>
    <xf numFmtId="0" fontId="18" fillId="0" borderId="9" xfId="6" applyFont="1" applyBorder="1" applyAlignment="1">
      <alignment vertical="center"/>
    </xf>
    <xf numFmtId="0" fontId="15" fillId="0" borderId="10" xfId="6" applyFont="1" applyBorder="1" applyAlignment="1">
      <alignment horizontal="center" vertical="center"/>
    </xf>
    <xf numFmtId="0" fontId="61" fillId="0" borderId="11" xfId="6" applyFont="1" applyBorder="1" applyAlignment="1">
      <alignment horizontal="center" vertical="center"/>
    </xf>
    <xf numFmtId="0" fontId="62" fillId="0" borderId="12" xfId="6" applyFont="1" applyBorder="1" applyAlignment="1">
      <alignment vertical="center"/>
    </xf>
    <xf numFmtId="0" fontId="63" fillId="0" borderId="12" xfId="6" applyFont="1" applyBorder="1" applyAlignment="1">
      <alignment horizontal="center" vertical="center"/>
    </xf>
    <xf numFmtId="0" fontId="63" fillId="0" borderId="13" xfId="6" applyFont="1" applyBorder="1" applyAlignment="1">
      <alignment horizontal="center" vertical="center"/>
    </xf>
    <xf numFmtId="165" fontId="26" fillId="17" borderId="11" xfId="11" applyNumberFormat="1" applyFont="1" applyFill="1" applyBorder="1"/>
    <xf numFmtId="165" fontId="26" fillId="17" borderId="12" xfId="11" applyNumberFormat="1" applyFont="1" applyFill="1" applyBorder="1"/>
    <xf numFmtId="165" fontId="61" fillId="17" borderId="30" xfId="6" applyNumberFormat="1" applyFont="1" applyFill="1" applyBorder="1" applyAlignment="1">
      <alignment vertical="center"/>
    </xf>
    <xf numFmtId="0" fontId="18" fillId="16" borderId="30" xfId="19" applyNumberFormat="1" applyFont="1" applyFill="1" applyBorder="1" applyAlignment="1" applyProtection="1">
      <alignment vertical="center" wrapText="1"/>
      <protection locked="0"/>
    </xf>
    <xf numFmtId="165" fontId="61" fillId="16" borderId="5" xfId="20" applyNumberFormat="1" applyFont="1" applyFill="1" applyBorder="1" applyAlignment="1" applyProtection="1">
      <alignment vertical="center"/>
      <protection locked="0"/>
    </xf>
    <xf numFmtId="165" fontId="61" fillId="16" borderId="6" xfId="20" applyNumberFormat="1" applyFont="1" applyFill="1" applyBorder="1" applyAlignment="1" applyProtection="1">
      <alignment vertical="center"/>
      <protection locked="0"/>
    </xf>
    <xf numFmtId="165" fontId="61" fillId="16" borderId="8" xfId="20" applyNumberFormat="1" applyFont="1" applyFill="1" applyBorder="1" applyAlignment="1" applyProtection="1">
      <alignment vertical="center"/>
      <protection locked="0"/>
    </xf>
    <xf numFmtId="165" fontId="61" fillId="16" borderId="9" xfId="20" applyNumberFormat="1" applyFont="1" applyFill="1" applyBorder="1" applyAlignment="1" applyProtection="1">
      <alignment vertical="center"/>
      <protection locked="0"/>
    </xf>
    <xf numFmtId="165" fontId="61" fillId="17" borderId="8" xfId="6" applyNumberFormat="1" applyFont="1" applyFill="1" applyBorder="1" applyAlignment="1">
      <alignment vertical="center"/>
    </xf>
    <xf numFmtId="0" fontId="63" fillId="0" borderId="38" xfId="6" applyFont="1" applyBorder="1" applyAlignment="1">
      <alignment horizontal="center" vertical="center"/>
    </xf>
    <xf numFmtId="165" fontId="61" fillId="17" borderId="11" xfId="6" applyNumberFormat="1" applyFont="1" applyFill="1" applyBorder="1" applyAlignment="1">
      <alignment vertical="center"/>
    </xf>
    <xf numFmtId="0" fontId="65" fillId="0" borderId="0" xfId="6" applyFont="1" applyAlignment="1">
      <alignment vertical="center"/>
    </xf>
    <xf numFmtId="0" fontId="63" fillId="0" borderId="36" xfId="6" applyFont="1" applyBorder="1" applyAlignment="1">
      <alignment horizontal="center" vertical="center"/>
    </xf>
    <xf numFmtId="165" fontId="61" fillId="16" borderId="36" xfId="6" applyNumberFormat="1" applyFont="1" applyFill="1" applyBorder="1" applyAlignment="1" applyProtection="1">
      <alignment vertical="center"/>
      <protection locked="0"/>
    </xf>
    <xf numFmtId="0" fontId="18" fillId="16" borderId="161" xfId="19" applyNumberFormat="1" applyFont="1" applyFill="1" applyBorder="1" applyAlignment="1" applyProtection="1">
      <alignment vertical="center" wrapText="1"/>
      <protection locked="0"/>
    </xf>
    <xf numFmtId="165" fontId="61" fillId="16" borderId="38" xfId="6" applyNumberFormat="1" applyFont="1" applyFill="1" applyBorder="1" applyAlignment="1" applyProtection="1">
      <alignment vertical="center"/>
      <protection locked="0"/>
    </xf>
    <xf numFmtId="0" fontId="18" fillId="16" borderId="49" xfId="19" applyNumberFormat="1" applyFont="1" applyFill="1" applyBorder="1" applyAlignment="1" applyProtection="1">
      <alignment vertical="center" wrapText="1"/>
      <protection locked="0"/>
    </xf>
    <xf numFmtId="0" fontId="63" fillId="0" borderId="40" xfId="6" applyFont="1" applyBorder="1" applyAlignment="1">
      <alignment horizontal="center" vertical="center"/>
    </xf>
    <xf numFmtId="165" fontId="61" fillId="17" borderId="12" xfId="6" applyNumberFormat="1" applyFont="1" applyFill="1" applyBorder="1" applyAlignment="1">
      <alignment vertical="center"/>
    </xf>
    <xf numFmtId="165" fontId="61" fillId="17" borderId="40" xfId="6" applyNumberFormat="1" applyFont="1" applyFill="1" applyBorder="1" applyAlignment="1">
      <alignment vertical="center"/>
    </xf>
    <xf numFmtId="0" fontId="62" fillId="0" borderId="52" xfId="6" applyFont="1" applyBorder="1" applyAlignment="1">
      <alignment vertical="center"/>
    </xf>
    <xf numFmtId="0" fontId="62" fillId="0" borderId="0" xfId="6" applyFont="1" applyAlignment="1">
      <alignment vertical="center"/>
    </xf>
    <xf numFmtId="0" fontId="63" fillId="0" borderId="0" xfId="6" applyFont="1" applyAlignment="1">
      <alignment horizontal="center" vertical="center"/>
    </xf>
    <xf numFmtId="165" fontId="61" fillId="0" borderId="0" xfId="6" applyNumberFormat="1" applyFont="1" applyAlignment="1">
      <alignment vertical="center"/>
    </xf>
    <xf numFmtId="165" fontId="61" fillId="16" borderId="47" xfId="6" applyNumberFormat="1" applyFont="1" applyFill="1" applyBorder="1" applyAlignment="1" applyProtection="1">
      <alignment vertical="center"/>
      <protection locked="0"/>
    </xf>
    <xf numFmtId="0" fontId="18" fillId="16" borderId="162" xfId="19" applyNumberFormat="1" applyFont="1" applyFill="1" applyBorder="1" applyAlignment="1" applyProtection="1">
      <alignment vertical="center" wrapText="1"/>
      <protection locked="0"/>
    </xf>
    <xf numFmtId="0" fontId="61" fillId="0" borderId="46" xfId="6" applyFont="1" applyBorder="1" applyAlignment="1">
      <alignment horizontal="center" vertical="center"/>
    </xf>
    <xf numFmtId="0" fontId="18" fillId="16" borderId="163" xfId="19" applyNumberFormat="1" applyFont="1" applyFill="1" applyBorder="1" applyAlignment="1" applyProtection="1">
      <alignment vertical="center" wrapText="1"/>
      <protection locked="0"/>
    </xf>
    <xf numFmtId="0" fontId="61" fillId="0" borderId="0" xfId="6" applyFont="1" applyAlignment="1">
      <alignment horizontal="center" vertical="center"/>
    </xf>
    <xf numFmtId="0" fontId="66" fillId="15" borderId="1" xfId="6" applyFont="1" applyFill="1" applyBorder="1" applyAlignment="1">
      <alignment vertical="center"/>
    </xf>
    <xf numFmtId="0" fontId="61" fillId="0" borderId="2" xfId="6" applyFont="1" applyBorder="1" applyAlignment="1">
      <alignment horizontal="center" vertical="center"/>
    </xf>
    <xf numFmtId="0" fontId="62" fillId="0" borderId="3" xfId="6" applyFont="1" applyBorder="1" applyAlignment="1">
      <alignment vertical="center"/>
    </xf>
    <xf numFmtId="0" fontId="62" fillId="0" borderId="15" xfId="6" applyFont="1" applyBorder="1" applyAlignment="1">
      <alignment vertical="center"/>
    </xf>
    <xf numFmtId="0" fontId="63" fillId="0" borderId="3" xfId="6" applyFont="1" applyBorder="1" applyAlignment="1">
      <alignment horizontal="center" vertical="center"/>
    </xf>
    <xf numFmtId="0" fontId="63" fillId="0" borderId="4" xfId="6" applyFont="1" applyBorder="1" applyAlignment="1">
      <alignment horizontal="center" vertical="center"/>
    </xf>
    <xf numFmtId="0" fontId="26" fillId="0" borderId="0" xfId="11" applyFont="1" applyAlignment="1">
      <alignment horizontal="left" vertical="center"/>
    </xf>
    <xf numFmtId="0" fontId="26" fillId="4" borderId="9" xfId="11" applyFont="1" applyFill="1" applyBorder="1" applyProtection="1">
      <protection locked="0"/>
    </xf>
    <xf numFmtId="0" fontId="26" fillId="0" borderId="0" xfId="11" applyFont="1" applyAlignment="1">
      <alignment horizontal="left"/>
    </xf>
    <xf numFmtId="0" fontId="26" fillId="7" borderId="9" xfId="11" applyFont="1" applyFill="1" applyBorder="1"/>
    <xf numFmtId="0" fontId="28" fillId="3" borderId="34" xfId="11" applyFont="1" applyFill="1" applyBorder="1" applyAlignment="1">
      <alignment horizontal="left" vertical="center"/>
    </xf>
    <xf numFmtId="0" fontId="28" fillId="3" borderId="34" xfId="11" applyFont="1" applyFill="1" applyBorder="1" applyAlignment="1">
      <alignment vertical="center"/>
    </xf>
    <xf numFmtId="0" fontId="28" fillId="3" borderId="35" xfId="11" applyFont="1" applyFill="1" applyBorder="1" applyAlignment="1">
      <alignment vertical="center"/>
    </xf>
    <xf numFmtId="0" fontId="67" fillId="19" borderId="0" xfId="11" applyFont="1" applyFill="1" applyAlignment="1">
      <alignment vertical="center"/>
    </xf>
    <xf numFmtId="0" fontId="68" fillId="0" borderId="0" xfId="17" applyFont="1"/>
    <xf numFmtId="0" fontId="69" fillId="20" borderId="0" xfId="6" applyFont="1" applyFill="1" applyAlignment="1">
      <alignment vertical="center"/>
    </xf>
    <xf numFmtId="0" fontId="69" fillId="20" borderId="0" xfId="6" applyFont="1" applyFill="1" applyAlignment="1">
      <alignment horizontal="right" vertical="center"/>
    </xf>
    <xf numFmtId="0" fontId="71" fillId="0" borderId="0" xfId="18" applyFont="1" applyAlignment="1">
      <alignment vertical="center"/>
    </xf>
    <xf numFmtId="0" fontId="72" fillId="0" borderId="0" xfId="18" applyFont="1"/>
    <xf numFmtId="0" fontId="7" fillId="3" borderId="168" xfId="6" applyFont="1" applyFill="1" applyBorder="1" applyAlignment="1">
      <alignment horizontal="center" vertical="center" wrapText="1"/>
    </xf>
    <xf numFmtId="0" fontId="73" fillId="0" borderId="0" xfId="18" applyFont="1" applyAlignment="1">
      <alignment horizontal="center" vertical="center"/>
    </xf>
    <xf numFmtId="0" fontId="73" fillId="0" borderId="0" xfId="18" applyFont="1" applyAlignment="1">
      <alignment horizontal="center" vertical="center" wrapText="1"/>
    </xf>
    <xf numFmtId="165" fontId="61" fillId="0" borderId="9" xfId="6" applyNumberFormat="1" applyFont="1" applyBorder="1" applyAlignment="1" applyProtection="1">
      <alignment vertical="center"/>
      <protection locked="0"/>
    </xf>
    <xf numFmtId="0" fontId="26" fillId="16" borderId="9" xfId="11" applyFont="1" applyFill="1" applyBorder="1" applyProtection="1">
      <protection locked="0"/>
    </xf>
    <xf numFmtId="0" fontId="26" fillId="17" borderId="9" xfId="11" applyFont="1" applyFill="1" applyBorder="1"/>
    <xf numFmtId="0" fontId="62" fillId="0" borderId="0" xfId="15" applyFont="1" applyAlignment="1">
      <alignment vertical="center"/>
    </xf>
    <xf numFmtId="0" fontId="62" fillId="0" borderId="0" xfId="15" applyFont="1" applyAlignment="1">
      <alignment horizontal="left" vertical="center"/>
    </xf>
    <xf numFmtId="0" fontId="74" fillId="19" borderId="0" xfId="11" applyFont="1" applyFill="1" applyAlignment="1">
      <alignment vertical="center"/>
    </xf>
    <xf numFmtId="0" fontId="70" fillId="19" borderId="0" xfId="11" applyFont="1" applyFill="1" applyAlignment="1">
      <alignment vertical="center"/>
    </xf>
    <xf numFmtId="0" fontId="70" fillId="19" borderId="0" xfId="15" applyFont="1" applyFill="1" applyAlignment="1">
      <alignment vertical="center"/>
    </xf>
    <xf numFmtId="0" fontId="70" fillId="0" borderId="0" xfId="21" applyFont="1"/>
    <xf numFmtId="0" fontId="13" fillId="0" borderId="0" xfId="11" applyFont="1" applyAlignment="1">
      <alignment vertical="center"/>
    </xf>
    <xf numFmtId="0" fontId="75" fillId="0" borderId="0" xfId="18" applyFont="1"/>
    <xf numFmtId="0" fontId="7" fillId="3" borderId="2" xfId="11" applyFont="1" applyFill="1" applyBorder="1" applyAlignment="1">
      <alignment horizontal="left" vertical="center"/>
    </xf>
    <xf numFmtId="0" fontId="7" fillId="3" borderId="3" xfId="11" applyFont="1" applyFill="1" applyBorder="1" applyAlignment="1">
      <alignment horizontal="left" vertical="center"/>
    </xf>
    <xf numFmtId="0" fontId="7" fillId="3" borderId="3" xfId="11" applyFont="1" applyFill="1" applyBorder="1" applyAlignment="1">
      <alignment horizontal="center" vertical="center"/>
    </xf>
    <xf numFmtId="0" fontId="7" fillId="3" borderId="4" xfId="0" applyFont="1" applyFill="1" applyBorder="1"/>
    <xf numFmtId="0" fontId="26" fillId="0" borderId="5" xfId="11" applyFont="1" applyBorder="1" applyAlignment="1">
      <alignment horizontal="center" vertical="center"/>
    </xf>
    <xf numFmtId="0" fontId="62" fillId="0" borderId="47" xfId="0" applyFont="1" applyBorder="1" applyAlignment="1">
      <alignment vertical="center" wrapText="1"/>
    </xf>
    <xf numFmtId="0" fontId="15" fillId="0" borderId="6" xfId="11" applyFont="1" applyBorder="1" applyAlignment="1">
      <alignment horizontal="center" vertical="center"/>
    </xf>
    <xf numFmtId="0" fontId="15" fillId="0" borderId="7" xfId="11" applyFont="1" applyBorder="1" applyAlignment="1">
      <alignment horizontal="center" vertical="center"/>
    </xf>
    <xf numFmtId="165" fontId="18" fillId="4" borderId="5" xfId="2" applyNumberFormat="1" applyFont="1" applyFill="1" applyBorder="1" applyAlignment="1" applyProtection="1">
      <alignment vertical="center"/>
      <protection locked="0"/>
    </xf>
    <xf numFmtId="165" fontId="18" fillId="4" borderId="54" xfId="2" applyNumberFormat="1" applyFont="1" applyFill="1" applyBorder="1" applyAlignment="1" applyProtection="1">
      <alignment vertical="center"/>
      <protection locked="0"/>
    </xf>
    <xf numFmtId="0" fontId="26" fillId="0" borderId="46" xfId="11" applyFont="1" applyBorder="1" applyAlignment="1">
      <alignment horizontal="center" vertical="center"/>
    </xf>
    <xf numFmtId="0" fontId="15" fillId="0" borderId="10" xfId="11" applyFont="1" applyBorder="1" applyAlignment="1">
      <alignment horizontal="center" vertical="center"/>
    </xf>
    <xf numFmtId="165" fontId="18" fillId="4" borderId="103" xfId="2" applyNumberFormat="1" applyFont="1" applyFill="1" applyBorder="1" applyAlignment="1" applyProtection="1">
      <alignment vertical="center"/>
      <protection locked="0"/>
    </xf>
    <xf numFmtId="0" fontId="26" fillId="0" borderId="8" xfId="11" applyFont="1" applyBorder="1" applyAlignment="1">
      <alignment horizontal="center" vertical="center"/>
    </xf>
    <xf numFmtId="0" fontId="62" fillId="0" borderId="9" xfId="11" applyFont="1" applyBorder="1" applyAlignment="1">
      <alignment vertical="center" wrapText="1"/>
    </xf>
    <xf numFmtId="165" fontId="18" fillId="4" borderId="8" xfId="2" applyNumberFormat="1" applyFont="1" applyFill="1" applyBorder="1" applyAlignment="1" applyProtection="1">
      <alignment vertical="center"/>
      <protection locked="0"/>
    </xf>
    <xf numFmtId="165" fontId="18" fillId="4" borderId="56" xfId="2" applyNumberFormat="1" applyFont="1" applyFill="1" applyBorder="1" applyAlignment="1" applyProtection="1">
      <alignment vertical="center"/>
      <protection locked="0"/>
    </xf>
    <xf numFmtId="0" fontId="62" fillId="4" borderId="9" xfId="11" applyFont="1" applyFill="1" applyBorder="1" applyAlignment="1" applyProtection="1">
      <alignment vertical="center" wrapText="1"/>
      <protection locked="0"/>
    </xf>
    <xf numFmtId="0" fontId="26" fillId="0" borderId="11" xfId="11" applyFont="1" applyBorder="1" applyAlignment="1">
      <alignment horizontal="center" vertical="center"/>
    </xf>
    <xf numFmtId="0" fontId="62" fillId="4" borderId="12" xfId="11" applyFont="1" applyFill="1" applyBorder="1" applyAlignment="1" applyProtection="1">
      <alignment vertical="center" wrapText="1"/>
      <protection locked="0"/>
    </xf>
    <xf numFmtId="0" fontId="15" fillId="0" borderId="12" xfId="11" applyFont="1" applyBorder="1" applyAlignment="1">
      <alignment horizontal="center" vertical="center"/>
    </xf>
    <xf numFmtId="0" fontId="15" fillId="0" borderId="13" xfId="11" applyFont="1" applyBorder="1" applyAlignment="1">
      <alignment horizontal="center" vertical="center"/>
    </xf>
    <xf numFmtId="165" fontId="18" fillId="4" borderId="11" xfId="2" applyNumberFormat="1" applyFont="1" applyFill="1" applyBorder="1" applyAlignment="1" applyProtection="1">
      <alignment vertical="center"/>
      <protection locked="0"/>
    </xf>
    <xf numFmtId="165" fontId="18" fillId="4" borderId="112" xfId="2" applyNumberFormat="1" applyFont="1" applyFill="1" applyBorder="1" applyAlignment="1" applyProtection="1">
      <alignment vertical="center"/>
      <protection locked="0"/>
    </xf>
    <xf numFmtId="0" fontId="26" fillId="0" borderId="2" xfId="11" applyFont="1" applyBorder="1" applyAlignment="1">
      <alignment horizontal="center" vertical="center"/>
    </xf>
    <xf numFmtId="0" fontId="62" fillId="0" borderId="3" xfId="11" applyFont="1" applyBorder="1" applyAlignment="1">
      <alignment vertical="center" wrapText="1"/>
    </xf>
    <xf numFmtId="0" fontId="62" fillId="0" borderId="34" xfId="11" applyFont="1" applyBorder="1" applyAlignment="1">
      <alignment vertical="center" wrapText="1"/>
    </xf>
    <xf numFmtId="165" fontId="18" fillId="21" borderId="61" xfId="11" applyNumberFormat="1" applyFill="1" applyBorder="1" applyAlignment="1" applyProtection="1">
      <alignment vertical="center"/>
      <protection locked="0"/>
    </xf>
    <xf numFmtId="0" fontId="26" fillId="0" borderId="0" xfId="11" applyFont="1" applyAlignment="1">
      <alignment horizontal="center" vertical="center"/>
    </xf>
    <xf numFmtId="0" fontId="62" fillId="0" borderId="0" xfId="11" applyFont="1" applyAlignment="1">
      <alignment vertical="center" wrapText="1"/>
    </xf>
    <xf numFmtId="0" fontId="18" fillId="0" borderId="0" xfId="11" applyAlignment="1">
      <alignment horizontal="center" vertical="center"/>
    </xf>
    <xf numFmtId="0" fontId="15" fillId="0" borderId="0" xfId="11" applyFont="1" applyAlignment="1">
      <alignment horizontal="center" vertical="center"/>
    </xf>
    <xf numFmtId="1" fontId="18" fillId="0" borderId="0" xfId="11" applyNumberFormat="1" applyAlignment="1" applyProtection="1">
      <alignment vertical="center"/>
      <protection locked="0"/>
    </xf>
    <xf numFmtId="165" fontId="18" fillId="0" borderId="0" xfId="11" applyNumberFormat="1" applyAlignment="1" applyProtection="1">
      <alignment vertical="center"/>
      <protection locked="0"/>
    </xf>
    <xf numFmtId="0" fontId="9" fillId="0" borderId="0" xfId="11" applyFont="1" applyAlignment="1">
      <alignment vertical="top"/>
    </xf>
    <xf numFmtId="171" fontId="18" fillId="0" borderId="0" xfId="2" applyNumberFormat="1" applyFont="1" applyFill="1" applyBorder="1" applyAlignment="1" applyProtection="1">
      <alignment vertical="center"/>
      <protection locked="0"/>
    </xf>
    <xf numFmtId="0" fontId="76" fillId="0" borderId="0" xfId="0" applyFont="1" applyAlignment="1">
      <alignment horizontal="left" vertical="center" wrapText="1"/>
    </xf>
    <xf numFmtId="0" fontId="0" fillId="0" borderId="0" xfId="0" applyAlignment="1">
      <alignment horizontal="left" vertical="top" wrapText="1"/>
    </xf>
    <xf numFmtId="0" fontId="4" fillId="2" borderId="172" xfId="6" applyFont="1" applyFill="1" applyBorder="1" applyAlignment="1">
      <alignment vertical="center"/>
    </xf>
    <xf numFmtId="0" fontId="4" fillId="2" borderId="173" xfId="18" applyFont="1" applyFill="1" applyBorder="1" applyAlignment="1">
      <alignment vertical="center"/>
    </xf>
    <xf numFmtId="0" fontId="4" fillId="2" borderId="0" xfId="18" applyFont="1" applyFill="1" applyAlignment="1">
      <alignment vertical="center"/>
    </xf>
    <xf numFmtId="0" fontId="70" fillId="0" borderId="0" xfId="11" applyFont="1" applyAlignment="1">
      <alignment vertical="center"/>
    </xf>
    <xf numFmtId="0" fontId="78" fillId="0" borderId="0" xfId="18" applyFont="1"/>
    <xf numFmtId="0" fontId="7" fillId="3" borderId="2" xfId="11" applyFont="1" applyFill="1" applyBorder="1" applyAlignment="1">
      <alignment horizontal="center" vertical="center"/>
    </xf>
    <xf numFmtId="0" fontId="7" fillId="3" borderId="4" xfId="11" applyFont="1" applyFill="1" applyBorder="1" applyAlignment="1">
      <alignment horizontal="center" vertical="center"/>
    </xf>
    <xf numFmtId="0" fontId="7" fillId="0" borderId="53" xfId="11" applyFont="1" applyBorder="1" applyAlignment="1">
      <alignment horizontal="left" vertical="center"/>
    </xf>
    <xf numFmtId="0" fontId="7" fillId="0" borderId="0" xfId="11" applyFont="1" applyAlignment="1">
      <alignment horizontal="left" vertical="center"/>
    </xf>
    <xf numFmtId="0" fontId="7" fillId="0" borderId="0" xfId="11" applyFont="1" applyAlignment="1">
      <alignment horizontal="center" vertical="center"/>
    </xf>
    <xf numFmtId="0" fontId="79" fillId="0" borderId="175" xfId="11" applyFont="1" applyBorder="1" applyAlignment="1">
      <alignment horizontal="center" vertical="center"/>
    </xf>
    <xf numFmtId="0" fontId="79" fillId="0" borderId="0" xfId="18" applyFont="1"/>
    <xf numFmtId="0" fontId="7" fillId="3" borderId="45" xfId="6" applyFont="1" applyFill="1" applyBorder="1" applyAlignment="1">
      <alignment horizontal="center" vertical="center" wrapText="1"/>
    </xf>
    <xf numFmtId="0" fontId="7" fillId="3" borderId="4" xfId="22" applyFont="1" applyFill="1" applyBorder="1"/>
    <xf numFmtId="165" fontId="18" fillId="4" borderId="5" xfId="19" applyNumberFormat="1" applyFont="1" applyFill="1" applyBorder="1" applyAlignment="1" applyProtection="1">
      <alignment vertical="center"/>
      <protection locked="0"/>
    </xf>
    <xf numFmtId="165" fontId="23" fillId="7" borderId="18" xfId="6" applyNumberFormat="1" applyFont="1" applyFill="1" applyBorder="1" applyAlignment="1">
      <alignment vertical="center"/>
    </xf>
    <xf numFmtId="165" fontId="18"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6" fillId="0" borderId="43" xfId="11" applyFont="1" applyBorder="1" applyAlignment="1">
      <alignment horizontal="center" vertical="center"/>
    </xf>
    <xf numFmtId="165" fontId="18" fillId="4" borderId="12" xfId="23" applyNumberFormat="1" applyFont="1" applyFill="1" applyBorder="1" applyAlignment="1" applyProtection="1">
      <alignment vertical="center" wrapText="1"/>
      <protection locked="0"/>
    </xf>
    <xf numFmtId="165" fontId="18" fillId="4" borderId="11" xfId="19" applyNumberFormat="1" applyFont="1" applyFill="1" applyBorder="1" applyAlignment="1" applyProtection="1">
      <alignment vertical="center"/>
      <protection locked="0"/>
    </xf>
    <xf numFmtId="165" fontId="23" fillId="7" borderId="99" xfId="6" applyNumberFormat="1" applyFont="1" applyFill="1" applyBorder="1" applyAlignment="1">
      <alignment vertical="center"/>
    </xf>
    <xf numFmtId="0" fontId="37" fillId="0" borderId="0" xfId="11" applyFont="1" applyAlignment="1">
      <alignment horizontal="left" vertical="center"/>
    </xf>
    <xf numFmtId="0" fontId="78" fillId="0" borderId="0" xfId="22" applyFont="1" applyAlignment="1">
      <alignment horizontal="center" vertical="top"/>
    </xf>
    <xf numFmtId="0" fontId="80" fillId="0" borderId="0" xfId="11" applyFont="1" applyAlignment="1">
      <alignment horizontal="center" vertical="center"/>
    </xf>
    <xf numFmtId="0" fontId="80" fillId="0" borderId="0" xfId="18" applyFont="1"/>
    <xf numFmtId="0" fontId="75" fillId="23" borderId="0" xfId="18" applyFont="1" applyFill="1"/>
    <xf numFmtId="0" fontId="23" fillId="23" borderId="5" xfId="6" applyFont="1" applyFill="1" applyBorder="1" applyAlignment="1">
      <alignment horizontal="center" vertical="center"/>
    </xf>
    <xf numFmtId="0" fontId="9" fillId="23" borderId="6" xfId="6" applyFont="1" applyFill="1" applyBorder="1" applyAlignment="1">
      <alignment vertical="center"/>
    </xf>
    <xf numFmtId="0" fontId="25" fillId="23" borderId="6" xfId="6" applyFont="1" applyFill="1" applyBorder="1" applyAlignment="1">
      <alignment horizontal="center" vertical="center"/>
    </xf>
    <xf numFmtId="0" fontId="25" fillId="23" borderId="7" xfId="6" applyFont="1" applyFill="1" applyBorder="1" applyAlignment="1">
      <alignment horizontal="center" vertical="center"/>
    </xf>
    <xf numFmtId="165" fontId="18" fillId="4" borderId="54" xfId="19" applyNumberFormat="1" applyFont="1" applyFill="1" applyBorder="1" applyAlignment="1" applyProtection="1">
      <alignment vertical="center"/>
      <protection locked="0"/>
    </xf>
    <xf numFmtId="165" fontId="9" fillId="7" borderId="18" xfId="6" applyNumberFormat="1" applyFont="1" applyFill="1" applyBorder="1" applyAlignment="1">
      <alignment vertical="center"/>
    </xf>
    <xf numFmtId="0" fontId="26" fillId="23" borderId="8" xfId="11" applyFont="1" applyFill="1" applyBorder="1" applyAlignment="1">
      <alignment horizontal="center" vertical="center"/>
    </xf>
    <xf numFmtId="0" fontId="62" fillId="23" borderId="9" xfId="11" applyFont="1" applyFill="1" applyBorder="1" applyAlignment="1">
      <alignment vertical="center" wrapText="1"/>
    </xf>
    <xf numFmtId="0" fontId="15" fillId="23" borderId="9" xfId="11" applyFont="1" applyFill="1" applyBorder="1" applyAlignment="1">
      <alignment horizontal="center" vertical="center"/>
    </xf>
    <xf numFmtId="0" fontId="15" fillId="23" borderId="10" xfId="11" applyFont="1" applyFill="1" applyBorder="1" applyAlignment="1">
      <alignment horizontal="center" vertical="center"/>
    </xf>
    <xf numFmtId="165" fontId="18" fillId="4" borderId="56" xfId="19" applyNumberFormat="1" applyFont="1" applyFill="1" applyBorder="1" applyAlignment="1" applyProtection="1">
      <alignment vertical="center"/>
      <protection locked="0"/>
    </xf>
    <xf numFmtId="165" fontId="18" fillId="7" borderId="56" xfId="19" applyNumberFormat="1" applyFont="1" applyFill="1" applyBorder="1" applyAlignment="1" applyProtection="1">
      <alignment vertical="center"/>
      <protection locked="0"/>
    </xf>
    <xf numFmtId="1" fontId="18" fillId="4" borderId="32" xfId="19" applyNumberFormat="1" applyFont="1" applyFill="1" applyBorder="1" applyAlignment="1" applyProtection="1">
      <alignment vertical="center"/>
      <protection locked="0"/>
    </xf>
    <xf numFmtId="0" fontId="3" fillId="0" borderId="0" xfId="6" applyFont="1" applyAlignment="1">
      <alignment horizontal="center" vertical="center"/>
    </xf>
    <xf numFmtId="165" fontId="75" fillId="0" borderId="0" xfId="18" applyNumberFormat="1" applyFont="1"/>
    <xf numFmtId="0" fontId="9" fillId="0" borderId="0" xfId="14" applyFont="1"/>
    <xf numFmtId="0" fontId="1" fillId="0" borderId="0" xfId="14"/>
    <xf numFmtId="0" fontId="9" fillId="0" borderId="0" xfId="18" applyFont="1"/>
    <xf numFmtId="0" fontId="81" fillId="2" borderId="0" xfId="18" applyFont="1" applyFill="1" applyAlignment="1">
      <alignment vertical="center"/>
    </xf>
    <xf numFmtId="0" fontId="70" fillId="9" borderId="0" xfId="15" applyFont="1" applyFill="1" applyAlignment="1">
      <alignment vertical="center"/>
    </xf>
    <xf numFmtId="0" fontId="74" fillId="0" borderId="0" xfId="21" applyFont="1" applyAlignment="1">
      <alignment vertical="center"/>
    </xf>
    <xf numFmtId="0" fontId="3" fillId="0" borderId="0" xfId="14" applyFont="1" applyAlignment="1">
      <alignment vertical="center"/>
    </xf>
    <xf numFmtId="0" fontId="70" fillId="9" borderId="176" xfId="15" applyFont="1" applyFill="1" applyBorder="1" applyAlignment="1">
      <alignment vertical="center"/>
    </xf>
    <xf numFmtId="0" fontId="62" fillId="0" borderId="6" xfId="22" applyFont="1" applyBorder="1" applyAlignment="1">
      <alignment vertical="center" wrapText="1"/>
    </xf>
    <xf numFmtId="49" fontId="18" fillId="4" borderId="31" xfId="19" applyNumberFormat="1" applyFont="1" applyFill="1" applyBorder="1" applyAlignment="1" applyProtection="1">
      <alignment vertical="center" wrapText="1"/>
      <protection locked="0"/>
    </xf>
    <xf numFmtId="49" fontId="18"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8" fillId="4" borderId="99" xfId="19" applyNumberFormat="1" applyFont="1" applyFill="1" applyBorder="1" applyAlignment="1" applyProtection="1">
      <alignment vertical="center" wrapText="1"/>
      <protection locked="0"/>
    </xf>
    <xf numFmtId="1" fontId="26" fillId="4" borderId="32" xfId="11" applyNumberFormat="1" applyFont="1" applyFill="1" applyBorder="1" applyProtection="1">
      <protection locked="0"/>
    </xf>
    <xf numFmtId="170" fontId="26" fillId="4" borderId="32" xfId="11" applyNumberFormat="1" applyFont="1" applyFill="1" applyBorder="1" applyProtection="1">
      <protection locked="0"/>
    </xf>
    <xf numFmtId="1" fontId="26" fillId="7" borderId="32" xfId="11" applyNumberFormat="1" applyFont="1" applyFill="1" applyBorder="1"/>
    <xf numFmtId="0" fontId="62" fillId="0" borderId="12" xfId="11" applyFont="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8" fillId="4" borderId="30" xfId="19" applyNumberFormat="1" applyFont="1" applyFill="1" applyBorder="1" applyAlignment="1" applyProtection="1">
      <alignment vertical="center" wrapText="1"/>
      <protection locked="0"/>
    </xf>
    <xf numFmtId="0" fontId="74" fillId="9" borderId="0" xfId="15" applyFont="1" applyFill="1" applyAlignment="1">
      <alignment horizontal="center" vertical="center"/>
    </xf>
    <xf numFmtId="0" fontId="70" fillId="9" borderId="0" xfId="15" applyFont="1" applyFill="1" applyAlignment="1">
      <alignment horizontal="center" vertical="center"/>
    </xf>
    <xf numFmtId="0" fontId="62" fillId="0" borderId="47" xfId="22" applyFont="1" applyBorder="1" applyAlignment="1">
      <alignment vertical="center" wrapText="1"/>
    </xf>
    <xf numFmtId="1" fontId="26" fillId="4" borderId="31" xfId="11" applyNumberFormat="1" applyFont="1" applyFill="1" applyBorder="1" applyProtection="1">
      <protection locked="0"/>
    </xf>
    <xf numFmtId="0" fontId="18" fillId="4" borderId="31" xfId="19" applyNumberFormat="1" applyFont="1" applyFill="1" applyBorder="1" applyAlignment="1" applyProtection="1">
      <alignment vertical="center" wrapText="1"/>
      <protection locked="0"/>
    </xf>
    <xf numFmtId="0" fontId="18" fillId="4" borderId="32" xfId="19" applyNumberFormat="1" applyFont="1" applyFill="1" applyBorder="1" applyAlignment="1" applyProtection="1">
      <alignment vertical="center" wrapText="1"/>
      <protection locked="0"/>
    </xf>
    <xf numFmtId="0" fontId="83" fillId="0" borderId="0" xfId="11" applyFont="1" applyAlignment="1">
      <alignment horizontal="left" vertical="top" wrapText="1"/>
    </xf>
    <xf numFmtId="0" fontId="70" fillId="9" borderId="0" xfId="11" applyFont="1" applyFill="1" applyAlignment="1">
      <alignment vertical="center"/>
    </xf>
    <xf numFmtId="0" fontId="67" fillId="0" borderId="0" xfId="21" applyFont="1"/>
    <xf numFmtId="0" fontId="62" fillId="0" borderId="6" xfId="11" applyFont="1" applyBorder="1" applyAlignment="1">
      <alignment vertical="center" wrapText="1"/>
    </xf>
    <xf numFmtId="0" fontId="62" fillId="0" borderId="9" xfId="11" applyFont="1" applyBorder="1" applyAlignment="1">
      <alignment vertical="center"/>
    </xf>
    <xf numFmtId="1" fontId="18" fillId="4" borderId="56" xfId="2" applyNumberFormat="1" applyFont="1" applyFill="1" applyBorder="1" applyAlignment="1" applyProtection="1">
      <alignment vertical="center"/>
      <protection locked="0"/>
    </xf>
    <xf numFmtId="2" fontId="18" fillId="4" borderId="56" xfId="2" applyNumberFormat="1" applyFont="1" applyFill="1" applyBorder="1" applyAlignment="1" applyProtection="1">
      <alignment vertical="center"/>
      <protection locked="0"/>
    </xf>
    <xf numFmtId="0" fontId="62" fillId="0" borderId="44" xfId="11" applyFont="1" applyBorder="1" applyAlignment="1">
      <alignment vertical="center" wrapText="1"/>
    </xf>
    <xf numFmtId="0" fontId="62" fillId="0" borderId="44" xfId="11" applyFont="1" applyBorder="1" applyAlignment="1">
      <alignment vertical="center"/>
    </xf>
    <xf numFmtId="0" fontId="15" fillId="0" borderId="44" xfId="11" applyFont="1" applyBorder="1" applyAlignment="1">
      <alignment horizontal="center" vertical="center"/>
    </xf>
    <xf numFmtId="0" fontId="15" fillId="0" borderId="62" xfId="11" applyFont="1" applyBorder="1" applyAlignment="1">
      <alignment horizontal="center" vertical="center"/>
    </xf>
    <xf numFmtId="2" fontId="18" fillId="4" borderId="57" xfId="2" applyNumberFormat="1" applyFont="1" applyFill="1" applyBorder="1" applyAlignment="1" applyProtection="1">
      <alignment vertical="center"/>
      <protection locked="0"/>
    </xf>
    <xf numFmtId="0" fontId="87" fillId="0" borderId="6" xfId="11" applyFont="1" applyBorder="1" applyAlignment="1">
      <alignment vertical="center" wrapText="1"/>
    </xf>
    <xf numFmtId="9" fontId="88" fillId="0" borderId="6" xfId="11" applyNumberFormat="1" applyFont="1" applyBorder="1" applyAlignment="1">
      <alignment horizontal="center" vertical="center"/>
    </xf>
    <xf numFmtId="2" fontId="18" fillId="4" borderId="54" xfId="2" applyNumberFormat="1" applyFont="1" applyFill="1" applyBorder="1" applyAlignment="1" applyProtection="1">
      <alignment vertical="center"/>
      <protection locked="0"/>
    </xf>
    <xf numFmtId="0" fontId="87" fillId="0" borderId="9" xfId="11" applyFont="1" applyBorder="1" applyAlignment="1">
      <alignment vertical="center" wrapText="1"/>
    </xf>
    <xf numFmtId="9" fontId="88" fillId="0" borderId="9" xfId="11" applyNumberFormat="1" applyFont="1" applyBorder="1" applyAlignment="1">
      <alignment horizontal="center" vertical="center"/>
    </xf>
    <xf numFmtId="0" fontId="87" fillId="0" borderId="12" xfId="11" applyFont="1" applyBorder="1" applyAlignment="1">
      <alignment vertical="center" wrapText="1"/>
    </xf>
    <xf numFmtId="9" fontId="88" fillId="0" borderId="12" xfId="11" applyNumberFormat="1" applyFont="1" applyBorder="1" applyAlignment="1">
      <alignment horizontal="center" vertical="center"/>
    </xf>
    <xf numFmtId="9" fontId="88" fillId="0" borderId="6" xfId="11" applyNumberFormat="1" applyFont="1" applyBorder="1" applyAlignment="1">
      <alignment horizontal="center" vertical="center" wrapText="1"/>
    </xf>
    <xf numFmtId="170" fontId="18" fillId="4" borderId="5" xfId="2" applyNumberFormat="1" applyFont="1" applyFill="1" applyBorder="1" applyAlignment="1" applyProtection="1">
      <alignment vertical="center"/>
      <protection locked="0"/>
    </xf>
    <xf numFmtId="170" fontId="18" fillId="4" borderId="8" xfId="2" applyNumberFormat="1" applyFont="1" applyFill="1" applyBorder="1" applyAlignment="1" applyProtection="1">
      <alignment vertical="center"/>
      <protection locked="0"/>
    </xf>
    <xf numFmtId="1" fontId="18" fillId="4" borderId="8" xfId="2" applyNumberFormat="1" applyFont="1" applyFill="1" applyBorder="1" applyAlignment="1" applyProtection="1">
      <alignment vertical="center"/>
      <protection locked="0"/>
    </xf>
    <xf numFmtId="2" fontId="18" fillId="4" borderId="8" xfId="2" applyNumberFormat="1" applyFont="1" applyFill="1" applyBorder="1" applyAlignment="1" applyProtection="1">
      <alignment vertical="center"/>
      <protection locked="0"/>
    </xf>
    <xf numFmtId="9" fontId="88" fillId="0" borderId="12" xfId="11" applyNumberFormat="1" applyFont="1" applyBorder="1" applyAlignment="1">
      <alignment horizontal="center" vertical="center" wrapText="1"/>
    </xf>
    <xf numFmtId="2" fontId="18" fillId="4" borderId="11" xfId="2" applyNumberFormat="1" applyFont="1" applyFill="1" applyBorder="1" applyAlignment="1" applyProtection="1">
      <alignment vertical="center"/>
      <protection locked="0"/>
    </xf>
    <xf numFmtId="0" fontId="25" fillId="0" borderId="24" xfId="6" applyFont="1" applyBorder="1" applyAlignment="1">
      <alignment horizontal="center" vertical="center"/>
    </xf>
    <xf numFmtId="1" fontId="18" fillId="4" borderId="5" xfId="2" applyNumberFormat="1" applyFont="1" applyFill="1" applyBorder="1" applyAlignment="1" applyProtection="1">
      <alignment vertical="center"/>
      <protection locked="0"/>
    </xf>
    <xf numFmtId="0" fontId="15" fillId="0" borderId="26" xfId="11" applyFont="1" applyBorder="1" applyAlignment="1">
      <alignment horizontal="center" vertical="center"/>
    </xf>
    <xf numFmtId="0" fontId="25" fillId="0" borderId="26" xfId="6" applyFont="1" applyBorder="1" applyAlignment="1">
      <alignment horizontal="center" vertical="center"/>
    </xf>
    <xf numFmtId="0" fontId="9" fillId="0" borderId="188" xfId="6" applyFont="1" applyBorder="1" applyAlignment="1">
      <alignment vertical="center"/>
    </xf>
    <xf numFmtId="0" fontId="15" fillId="0" borderId="27" xfId="11" applyFont="1" applyBorder="1" applyAlignment="1">
      <alignment horizontal="center" vertical="center"/>
    </xf>
    <xf numFmtId="1" fontId="18" fillId="4" borderId="11" xfId="2" applyNumberFormat="1" applyFont="1" applyFill="1" applyBorder="1" applyAlignment="1" applyProtection="1">
      <alignment vertical="center"/>
      <protection locked="0"/>
    </xf>
    <xf numFmtId="0" fontId="9" fillId="0" borderId="5" xfId="6" applyFont="1" applyBorder="1" applyAlignment="1">
      <alignment vertical="center"/>
    </xf>
    <xf numFmtId="172" fontId="18" fillId="4" borderId="5" xfId="2" applyNumberFormat="1" applyFont="1" applyFill="1" applyBorder="1" applyAlignment="1" applyProtection="1">
      <alignment vertical="center"/>
      <protection locked="0"/>
    </xf>
    <xf numFmtId="0" fontId="9" fillId="0" borderId="8" xfId="6" applyFont="1" applyBorder="1" applyAlignment="1">
      <alignment vertical="center"/>
    </xf>
    <xf numFmtId="172" fontId="18" fillId="4" borderId="8" xfId="2" applyNumberFormat="1" applyFont="1" applyFill="1" applyBorder="1" applyAlignment="1" applyProtection="1">
      <alignment vertical="center"/>
      <protection locked="0"/>
    </xf>
    <xf numFmtId="0" fontId="9" fillId="0" borderId="11" xfId="6" applyFont="1" applyBorder="1" applyAlignment="1">
      <alignment vertical="center"/>
    </xf>
    <xf numFmtId="172" fontId="18" fillId="4" borderId="11" xfId="2" applyNumberFormat="1" applyFont="1" applyFill="1" applyBorder="1" applyAlignment="1" applyProtection="1">
      <alignment vertical="center"/>
      <protection locked="0"/>
    </xf>
    <xf numFmtId="0" fontId="0" fillId="0" borderId="0" xfId="0" applyAlignment="1">
      <alignment horizontal="left" vertical="center" wrapText="1"/>
    </xf>
    <xf numFmtId="0" fontId="18" fillId="0" borderId="55" xfId="11" applyBorder="1" applyAlignment="1">
      <alignment vertical="center"/>
    </xf>
    <xf numFmtId="0" fontId="18" fillId="0" borderId="53" xfId="11" applyBorder="1" applyAlignment="1">
      <alignment vertical="center"/>
    </xf>
    <xf numFmtId="0" fontId="9" fillId="0" borderId="158" xfId="0" applyFont="1" applyBorder="1" applyAlignment="1">
      <alignment vertical="center"/>
    </xf>
    <xf numFmtId="0" fontId="9" fillId="0" borderId="0" xfId="0" applyFont="1" applyAlignment="1">
      <alignment vertical="center"/>
    </xf>
    <xf numFmtId="0" fontId="18" fillId="0" borderId="158" xfId="11" applyBorder="1" applyAlignment="1">
      <alignment vertical="center"/>
    </xf>
    <xf numFmtId="0" fontId="9" fillId="0" borderId="121" xfId="0" applyFont="1" applyBorder="1" applyAlignment="1">
      <alignment vertical="center"/>
    </xf>
    <xf numFmtId="0" fontId="18" fillId="0" borderId="100" xfId="11" applyBorder="1" applyAlignment="1">
      <alignment vertical="center"/>
    </xf>
    <xf numFmtId="9" fontId="87" fillId="0" borderId="0" xfId="11" applyNumberFormat="1" applyFont="1" applyAlignment="1">
      <alignment horizontal="left" vertical="center" wrapText="1"/>
    </xf>
    <xf numFmtId="0" fontId="0" fillId="0" borderId="0" xfId="0" applyAlignment="1">
      <alignment horizontal="left" vertical="top" indent="1"/>
    </xf>
    <xf numFmtId="0" fontId="37" fillId="0" borderId="0" xfId="11" applyFont="1" applyAlignment="1">
      <alignment vertical="center"/>
    </xf>
    <xf numFmtId="9" fontId="15" fillId="0" borderId="0" xfId="11" applyNumberFormat="1" applyFont="1" applyAlignment="1">
      <alignment horizontal="center" vertical="center"/>
    </xf>
    <xf numFmtId="10" fontId="18" fillId="4" borderId="8" xfId="2" applyNumberFormat="1" applyFont="1" applyFill="1" applyBorder="1" applyAlignment="1" applyProtection="1">
      <alignment vertical="center"/>
      <protection locked="0"/>
    </xf>
    <xf numFmtId="0" fontId="7" fillId="3" borderId="16" xfId="22" applyFont="1" applyFill="1" applyBorder="1"/>
    <xf numFmtId="0" fontId="4" fillId="0" borderId="0" xfId="22" applyFont="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5" fillId="0" borderId="0" xfId="22" applyFont="1" applyAlignment="1">
      <alignment horizontal="left" vertical="top"/>
    </xf>
    <xf numFmtId="0" fontId="75" fillId="0" borderId="0" xfId="22" applyFont="1" applyAlignment="1">
      <alignment horizontal="center" vertical="top" wrapText="1"/>
    </xf>
    <xf numFmtId="0" fontId="75" fillId="23" borderId="0" xfId="22" applyFont="1" applyFill="1" applyAlignment="1">
      <alignment horizontal="left" vertical="top"/>
    </xf>
    <xf numFmtId="0" fontId="7" fillId="3" borderId="2" xfId="6" applyFont="1" applyFill="1" applyBorder="1" applyAlignment="1">
      <alignment horizontal="center" vertical="center"/>
    </xf>
    <xf numFmtId="0" fontId="7" fillId="3" borderId="3" xfId="6" applyFont="1" applyFill="1" applyBorder="1" applyAlignment="1">
      <alignment vertical="center"/>
    </xf>
    <xf numFmtId="0" fontId="80" fillId="0" borderId="170" xfId="6" applyFont="1" applyBorder="1" applyAlignment="1">
      <alignment horizontal="left" vertical="top"/>
    </xf>
    <xf numFmtId="0" fontId="75" fillId="0" borderId="0" xfId="22" applyFont="1" applyAlignment="1">
      <alignment horizontal="left" vertical="top" wrapText="1"/>
    </xf>
    <xf numFmtId="0" fontId="15" fillId="0" borderId="15" xfId="11" applyFont="1" applyBorder="1" applyAlignment="1">
      <alignment horizontal="center" vertical="center"/>
    </xf>
    <xf numFmtId="0" fontId="15" fillId="0" borderId="16" xfId="11" applyFont="1" applyBorder="1" applyAlignment="1">
      <alignment horizontal="center" vertical="center"/>
    </xf>
    <xf numFmtId="1" fontId="18" fillId="4" borderId="54" xfId="19" applyNumberFormat="1" applyFont="1" applyFill="1" applyBorder="1" applyAlignment="1" applyProtection="1">
      <alignment vertical="center"/>
      <protection locked="0"/>
    </xf>
    <xf numFmtId="0" fontId="15" fillId="0" borderId="47" xfId="11" applyFont="1" applyBorder="1" applyAlignment="1">
      <alignment horizontal="center" vertical="center"/>
    </xf>
    <xf numFmtId="1" fontId="18" fillId="4" borderId="103" xfId="19" applyNumberFormat="1" applyFont="1" applyFill="1" applyBorder="1" applyAlignment="1" applyProtection="1">
      <alignment vertical="center"/>
      <protection locked="0"/>
    </xf>
    <xf numFmtId="0" fontId="18" fillId="4" borderId="49" xfId="19" applyNumberFormat="1" applyFont="1" applyFill="1" applyBorder="1" applyAlignment="1" applyProtection="1">
      <alignment vertical="center" wrapText="1"/>
      <protection locked="0"/>
    </xf>
    <xf numFmtId="1" fontId="18" fillId="4" borderId="56" xfId="19" applyNumberFormat="1" applyFont="1" applyFill="1" applyBorder="1" applyAlignment="1" applyProtection="1">
      <alignment vertical="center"/>
      <protection locked="0"/>
    </xf>
    <xf numFmtId="1" fontId="18" fillId="4" borderId="112" xfId="19" applyNumberFormat="1" applyFont="1" applyFill="1" applyBorder="1" applyAlignment="1" applyProtection="1">
      <alignment vertical="center"/>
      <protection locked="0"/>
    </xf>
    <xf numFmtId="2" fontId="18" fillId="4" borderId="112" xfId="19" applyNumberFormat="1" applyFont="1" applyFill="1" applyBorder="1" applyAlignment="1" applyProtection="1">
      <alignment vertical="center"/>
      <protection locked="0"/>
    </xf>
    <xf numFmtId="1" fontId="18" fillId="4" borderId="57" xfId="19" applyNumberFormat="1" applyFont="1" applyFill="1" applyBorder="1" applyAlignment="1" applyProtection="1">
      <alignment vertical="center"/>
      <protection locked="0"/>
    </xf>
    <xf numFmtId="0" fontId="70" fillId="0" borderId="0" xfId="22" applyFont="1" applyAlignment="1">
      <alignment horizontal="left" vertical="top"/>
    </xf>
    <xf numFmtId="0" fontId="70" fillId="0" borderId="0" xfId="11" applyFont="1" applyAlignment="1">
      <alignment horizontal="left" vertical="top" wrapText="1"/>
    </xf>
    <xf numFmtId="0" fontId="70" fillId="0" borderId="0" xfId="11" applyFont="1" applyAlignment="1">
      <alignment horizontal="center" vertical="top" wrapText="1"/>
    </xf>
    <xf numFmtId="0" fontId="75" fillId="0" borderId="0" xfId="22" applyFont="1" applyAlignment="1">
      <alignment horizontal="center" vertical="top"/>
    </xf>
    <xf numFmtId="170" fontId="26" fillId="4" borderId="54" xfId="19" applyNumberFormat="1" applyFont="1" applyFill="1" applyBorder="1" applyAlignment="1" applyProtection="1">
      <alignment vertical="center"/>
      <protection locked="0"/>
    </xf>
    <xf numFmtId="170" fontId="26" fillId="4" borderId="56" xfId="19" applyNumberFormat="1" applyFont="1" applyFill="1" applyBorder="1" applyAlignment="1" applyProtection="1">
      <alignment vertical="center"/>
      <protection locked="0"/>
    </xf>
    <xf numFmtId="0" fontId="23" fillId="0" borderId="0" xfId="15" applyFont="1" applyAlignment="1">
      <alignment vertical="center"/>
    </xf>
    <xf numFmtId="0" fontId="49" fillId="0" borderId="0" xfId="22" applyAlignment="1">
      <alignment horizontal="center"/>
    </xf>
    <xf numFmtId="0" fontId="49" fillId="0" borderId="0" xfId="22"/>
    <xf numFmtId="0" fontId="92" fillId="0" borderId="0" xfId="22" applyFont="1" applyAlignment="1">
      <alignment horizontal="left" vertical="center"/>
    </xf>
    <xf numFmtId="0" fontId="15" fillId="0" borderId="3" xfId="11" applyFont="1" applyBorder="1" applyAlignment="1">
      <alignment horizontal="center" vertical="center"/>
    </xf>
    <xf numFmtId="0" fontId="15" fillId="0" borderId="4" xfId="11" applyFont="1" applyBorder="1" applyAlignment="1">
      <alignment horizontal="center" vertical="center"/>
    </xf>
    <xf numFmtId="0" fontId="92" fillId="0" borderId="0" xfId="22" applyFont="1" applyAlignment="1">
      <alignment horizontal="left" vertical="center" wrapText="1"/>
    </xf>
    <xf numFmtId="0" fontId="92" fillId="23" borderId="0" xfId="22" applyFont="1" applyFill="1" applyAlignment="1">
      <alignment horizontal="left" vertical="center" wrapText="1"/>
    </xf>
    <xf numFmtId="0" fontId="75" fillId="23" borderId="0" xfId="22"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Alignment="1" applyProtection="1">
      <alignment vertical="center"/>
      <protection locked="0"/>
    </xf>
    <xf numFmtId="171" fontId="18"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93" fillId="23" borderId="0" xfId="22" applyFont="1" applyFill="1" applyAlignment="1">
      <alignment vertical="center"/>
    </xf>
    <xf numFmtId="0" fontId="49" fillId="23" borderId="0" xfId="22" applyFill="1"/>
    <xf numFmtId="0" fontId="23" fillId="0" borderId="14" xfId="6" applyFont="1" applyBorder="1" applyAlignment="1">
      <alignment horizontal="center" vertical="center"/>
    </xf>
    <xf numFmtId="0" fontId="25" fillId="0" borderId="15" xfId="6" applyFont="1" applyBorder="1" applyAlignment="1">
      <alignment horizontal="center" vertical="center"/>
    </xf>
    <xf numFmtId="0" fontId="25" fillId="0" borderId="16" xfId="6" applyFont="1" applyBorder="1" applyAlignment="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190" xfId="6" applyFont="1" applyBorder="1" applyAlignment="1">
      <alignment horizontal="center" vertical="center"/>
    </xf>
    <xf numFmtId="0" fontId="26" fillId="4" borderId="168" xfId="11" applyFont="1" applyFill="1" applyBorder="1" applyProtection="1">
      <protection locked="0"/>
    </xf>
    <xf numFmtId="0" fontId="26" fillId="0" borderId="0" xfId="11" applyFont="1" applyProtection="1">
      <protection locked="0"/>
    </xf>
    <xf numFmtId="0" fontId="70" fillId="9" borderId="0" xfId="11" applyFont="1" applyFill="1"/>
    <xf numFmtId="0" fontId="4" fillId="24" borderId="0" xfId="22" applyFont="1" applyFill="1" applyAlignment="1">
      <alignment horizontal="left" vertical="top" wrapText="1"/>
    </xf>
    <xf numFmtId="0" fontId="78" fillId="0" borderId="0" xfId="22" applyFont="1" applyAlignment="1">
      <alignment horizontal="left" vertical="top"/>
    </xf>
    <xf numFmtId="0" fontId="94" fillId="0" borderId="0" xfId="11" applyFont="1" applyAlignment="1">
      <alignment horizontal="left" vertical="top" wrapText="1"/>
    </xf>
    <xf numFmtId="0" fontId="94" fillId="0" borderId="0" xfId="11" applyFont="1" applyAlignment="1">
      <alignment horizontal="center" vertical="top" wrapText="1"/>
    </xf>
    <xf numFmtId="0" fontId="7" fillId="3" borderId="40" xfId="6" applyFont="1" applyFill="1" applyBorder="1" applyAlignment="1">
      <alignment horizontal="center" vertical="center" wrapText="1"/>
    </xf>
    <xf numFmtId="0" fontId="83" fillId="0" borderId="0" xfId="11" applyFont="1" applyAlignment="1">
      <alignment horizontal="center" vertical="top" wrapText="1"/>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lignment vertical="center"/>
    </xf>
    <xf numFmtId="0" fontId="15" fillId="0" borderId="9" xfId="6" applyFont="1" applyBorder="1" applyAlignment="1">
      <alignment horizontal="center" vertical="center"/>
    </xf>
    <xf numFmtId="1" fontId="26" fillId="7" borderId="11" xfId="11" applyNumberFormat="1" applyFont="1" applyFill="1" applyBorder="1" applyAlignment="1">
      <alignment vertical="center"/>
    </xf>
    <xf numFmtId="1" fontId="26" fillId="7" borderId="12" xfId="11" applyNumberFormat="1" applyFont="1" applyFill="1" applyBorder="1" applyAlignment="1">
      <alignment vertical="center"/>
    </xf>
    <xf numFmtId="1" fontId="26" fillId="7" borderId="27" xfId="11" applyNumberFormat="1" applyFont="1" applyFill="1" applyBorder="1" applyAlignment="1">
      <alignment vertical="center"/>
    </xf>
    <xf numFmtId="1" fontId="75"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lignment vertical="center"/>
    </xf>
    <xf numFmtId="0" fontId="7" fillId="26" borderId="0" xfId="11" applyFont="1" applyFill="1" applyAlignment="1">
      <alignment horizontal="center" vertical="center" wrapText="1"/>
    </xf>
    <xf numFmtId="165" fontId="23" fillId="4" borderId="7" xfId="20" applyNumberFormat="1" applyFont="1" applyFill="1" applyBorder="1" applyAlignment="1" applyProtection="1">
      <alignment vertical="center"/>
      <protection locked="0"/>
    </xf>
    <xf numFmtId="165" fontId="23" fillId="4" borderId="10" xfId="20" applyNumberFormat="1" applyFont="1" applyFill="1" applyBorder="1" applyAlignment="1" applyProtection="1">
      <alignment vertical="center"/>
      <protection locked="0"/>
    </xf>
    <xf numFmtId="165" fontId="23" fillId="4" borderId="13" xfId="20" applyNumberFormat="1" applyFont="1" applyFill="1" applyBorder="1" applyAlignment="1" applyProtection="1">
      <alignment vertical="center"/>
      <protection locked="0"/>
    </xf>
    <xf numFmtId="0" fontId="74" fillId="0" borderId="0" xfId="11" applyFont="1" applyAlignment="1">
      <alignment horizontal="left" vertical="center"/>
    </xf>
    <xf numFmtId="0" fontId="70" fillId="0" borderId="0" xfId="11" applyFont="1" applyAlignment="1">
      <alignment horizontal="left"/>
    </xf>
    <xf numFmtId="0" fontId="70" fillId="0" borderId="0" xfId="11" applyFont="1" applyAlignment="1">
      <alignment horizontal="left" vertical="top"/>
    </xf>
    <xf numFmtId="172" fontId="18" fillId="27" borderId="5" xfId="19" applyNumberFormat="1" applyFont="1" applyFill="1" applyBorder="1" applyAlignment="1" applyProtection="1">
      <alignment vertical="center"/>
      <protection locked="0"/>
    </xf>
    <xf numFmtId="172" fontId="18" fillId="27" borderId="6" xfId="19" applyNumberFormat="1" applyFont="1" applyFill="1" applyBorder="1" applyAlignment="1" applyProtection="1">
      <alignment vertical="center"/>
      <protection locked="0"/>
    </xf>
    <xf numFmtId="172" fontId="18" fillId="27" borderId="8" xfId="19" applyNumberFormat="1" applyFont="1" applyFill="1" applyBorder="1" applyAlignment="1" applyProtection="1">
      <alignment vertical="center"/>
      <protection locked="0"/>
    </xf>
    <xf numFmtId="172" fontId="18" fillId="27" borderId="9" xfId="19" applyNumberFormat="1" applyFont="1" applyFill="1" applyBorder="1" applyAlignment="1" applyProtection="1">
      <alignment vertical="center"/>
      <protection locked="0"/>
    </xf>
    <xf numFmtId="172" fontId="18" fillId="27" borderId="46" xfId="19" applyNumberFormat="1" applyFont="1" applyFill="1" applyBorder="1" applyAlignment="1" applyProtection="1">
      <alignment vertical="center"/>
      <protection locked="0"/>
    </xf>
    <xf numFmtId="172" fontId="18" fillId="27" borderId="47" xfId="19" applyNumberFormat="1" applyFont="1" applyFill="1" applyBorder="1" applyAlignment="1" applyProtection="1">
      <alignment vertical="center"/>
      <protection locked="0"/>
    </xf>
    <xf numFmtId="172" fontId="18" fillId="28" borderId="11" xfId="19" applyNumberFormat="1" applyFont="1" applyFill="1" applyBorder="1" applyAlignment="1" applyProtection="1">
      <alignment vertical="center"/>
    </xf>
    <xf numFmtId="172" fontId="18" fillId="28" borderId="12" xfId="19" applyNumberFormat="1" applyFont="1" applyFill="1" applyBorder="1" applyAlignment="1" applyProtection="1">
      <alignment vertical="center"/>
    </xf>
    <xf numFmtId="0" fontId="7" fillId="3" borderId="1" xfId="6" applyFont="1" applyFill="1" applyBorder="1" applyAlignment="1">
      <alignment horizontal="center" vertical="center"/>
    </xf>
    <xf numFmtId="0" fontId="26" fillId="23" borderId="5" xfId="11" applyFont="1" applyFill="1" applyBorder="1" applyAlignment="1">
      <alignment horizontal="center" vertical="center"/>
    </xf>
    <xf numFmtId="0" fontId="87" fillId="23" borderId="6" xfId="11" applyFont="1" applyFill="1" applyBorder="1" applyAlignment="1">
      <alignment vertical="center" wrapText="1"/>
    </xf>
    <xf numFmtId="9" fontId="88" fillId="23" borderId="6" xfId="11" applyNumberFormat="1" applyFont="1" applyFill="1" applyBorder="1" applyAlignment="1">
      <alignment horizontal="center" vertical="center" wrapText="1"/>
    </xf>
    <xf numFmtId="0" fontId="15" fillId="23" borderId="7" xfId="11" applyFont="1" applyFill="1" applyBorder="1" applyAlignment="1">
      <alignment horizontal="center" vertical="center"/>
    </xf>
    <xf numFmtId="165" fontId="18" fillId="27" borderId="5" xfId="19" applyNumberFormat="1" applyFont="1" applyFill="1" applyBorder="1" applyAlignment="1" applyProtection="1">
      <alignment vertical="center"/>
      <protection locked="0"/>
    </xf>
    <xf numFmtId="0" fontId="87" fillId="23" borderId="9" xfId="11" applyFont="1" applyFill="1" applyBorder="1" applyAlignment="1">
      <alignment vertical="center" wrapText="1"/>
    </xf>
    <xf numFmtId="9" fontId="88" fillId="23" borderId="9" xfId="11" applyNumberFormat="1" applyFont="1" applyFill="1" applyBorder="1" applyAlignment="1">
      <alignment horizontal="center" vertical="center" wrapText="1"/>
    </xf>
    <xf numFmtId="165" fontId="18" fillId="27" borderId="8" xfId="19" applyNumberFormat="1" applyFont="1" applyFill="1" applyBorder="1" applyAlignment="1" applyProtection="1">
      <alignment vertical="center"/>
      <protection locked="0"/>
    </xf>
    <xf numFmtId="0" fontId="26" fillId="23" borderId="11" xfId="11" applyFont="1" applyFill="1" applyBorder="1" applyAlignment="1">
      <alignment horizontal="center" vertical="center"/>
    </xf>
    <xf numFmtId="0" fontId="87" fillId="23" borderId="12" xfId="11" applyFont="1" applyFill="1" applyBorder="1" applyAlignment="1">
      <alignment vertical="center" wrapText="1"/>
    </xf>
    <xf numFmtId="9" fontId="88" fillId="23" borderId="12" xfId="11" applyNumberFormat="1" applyFont="1" applyFill="1" applyBorder="1" applyAlignment="1">
      <alignment horizontal="center" vertical="center" wrapText="1"/>
    </xf>
    <xf numFmtId="0" fontId="15" fillId="23" borderId="13" xfId="11" applyFont="1" applyFill="1" applyBorder="1" applyAlignment="1">
      <alignment horizontal="center" vertical="center"/>
    </xf>
    <xf numFmtId="0" fontId="75" fillId="23" borderId="0" xfId="22" applyFont="1" applyFill="1" applyAlignment="1">
      <alignment horizontal="center" vertical="top"/>
    </xf>
    <xf numFmtId="165" fontId="18" fillId="27" borderId="11" xfId="19" applyNumberFormat="1" applyFont="1" applyFill="1" applyBorder="1" applyAlignment="1" applyProtection="1">
      <alignment vertical="center"/>
      <protection locked="0"/>
    </xf>
    <xf numFmtId="0" fontId="74" fillId="23" borderId="0" xfId="11" applyFont="1" applyFill="1" applyAlignment="1">
      <alignment vertical="center"/>
    </xf>
    <xf numFmtId="0" fontId="23" fillId="0" borderId="0" xfId="15" applyFont="1" applyAlignment="1">
      <alignment horizontal="center" vertical="center"/>
    </xf>
    <xf numFmtId="0" fontId="7" fillId="3" borderId="60" xfId="11" applyFont="1" applyFill="1" applyBorder="1" applyAlignment="1">
      <alignment horizontal="center" vertical="center"/>
    </xf>
    <xf numFmtId="0" fontId="0" fillId="0" borderId="0" xfId="0" applyAlignment="1">
      <alignment horizontal="center" wrapText="1"/>
    </xf>
    <xf numFmtId="0" fontId="18" fillId="0" borderId="0" xfId="11" applyAlignment="1">
      <alignment vertical="center" wrapText="1"/>
    </xf>
    <xf numFmtId="0" fontId="0" fillId="0" borderId="192" xfId="0" applyBorder="1" applyAlignment="1">
      <alignment horizontal="center"/>
    </xf>
    <xf numFmtId="0" fontId="0" fillId="0" borderId="193" xfId="0" applyBorder="1" applyAlignment="1">
      <alignment vertical="center"/>
    </xf>
    <xf numFmtId="0" fontId="0" fillId="0" borderId="194" xfId="0" applyBorder="1"/>
    <xf numFmtId="0" fontId="0" fillId="0" borderId="193" xfId="0" applyBorder="1" applyAlignment="1">
      <alignment horizontal="center"/>
    </xf>
    <xf numFmtId="0" fontId="0" fillId="0" borderId="195" xfId="0" applyBorder="1" applyAlignment="1">
      <alignment horizontal="center"/>
    </xf>
    <xf numFmtId="165" fontId="18" fillId="4" borderId="196" xfId="19" applyNumberFormat="1" applyFont="1" applyFill="1" applyBorder="1" applyAlignment="1" applyProtection="1">
      <alignment vertical="center"/>
      <protection locked="0"/>
    </xf>
    <xf numFmtId="165" fontId="18" fillId="4" borderId="197" xfId="19" applyNumberFormat="1" applyFont="1" applyFill="1" applyBorder="1" applyAlignment="1" applyProtection="1">
      <alignment vertical="center"/>
      <protection locked="0"/>
    </xf>
    <xf numFmtId="165" fontId="18" fillId="4" borderId="198" xfId="19" applyNumberFormat="1" applyFont="1" applyFill="1" applyBorder="1" applyAlignment="1" applyProtection="1">
      <alignment vertical="center"/>
      <protection locked="0"/>
    </xf>
    <xf numFmtId="165" fontId="18" fillId="7" borderId="199" xfId="19" applyNumberFormat="1" applyFont="1" applyFill="1" applyBorder="1" applyAlignment="1" applyProtection="1">
      <alignment vertical="center"/>
    </xf>
    <xf numFmtId="0" fontId="0" fillId="0" borderId="201" xfId="0" applyBorder="1" applyAlignment="1">
      <alignment horizontal="center"/>
    </xf>
    <xf numFmtId="0" fontId="0" fillId="0" borderId="202" xfId="0" applyBorder="1" applyAlignment="1">
      <alignment vertical="center"/>
    </xf>
    <xf numFmtId="0" fontId="0" fillId="0" borderId="203" xfId="0" applyBorder="1"/>
    <xf numFmtId="0" fontId="0" fillId="0" borderId="202" xfId="0" applyBorder="1" applyAlignment="1">
      <alignment horizontal="center"/>
    </xf>
    <xf numFmtId="0" fontId="0" fillId="0" borderId="204" xfId="0" applyBorder="1" applyAlignment="1">
      <alignment horizontal="center"/>
    </xf>
    <xf numFmtId="165" fontId="18" fillId="4" borderId="205" xfId="19" applyNumberFormat="1" applyFont="1" applyFill="1" applyBorder="1" applyAlignment="1" applyProtection="1">
      <alignment vertical="center"/>
      <protection locked="0"/>
    </xf>
    <xf numFmtId="165" fontId="18" fillId="4" borderId="206" xfId="19" applyNumberFormat="1" applyFont="1" applyFill="1" applyBorder="1" applyAlignment="1" applyProtection="1">
      <alignment vertical="center"/>
      <protection locked="0"/>
    </xf>
    <xf numFmtId="165" fontId="18" fillId="4" borderId="207" xfId="19" applyNumberFormat="1" applyFont="1" applyFill="1" applyBorder="1" applyAlignment="1" applyProtection="1">
      <alignment vertical="center"/>
      <protection locked="0"/>
    </xf>
    <xf numFmtId="165" fontId="18" fillId="7" borderId="208" xfId="19" applyNumberFormat="1" applyFont="1" applyFill="1" applyBorder="1" applyAlignment="1" applyProtection="1">
      <alignment vertical="center"/>
    </xf>
    <xf numFmtId="0" fontId="5" fillId="0" borderId="202" xfId="0" applyFont="1" applyBorder="1" applyAlignment="1">
      <alignment vertical="center"/>
    </xf>
    <xf numFmtId="6" fontId="0" fillId="0" borderId="202" xfId="0" quotePrefix="1" applyNumberFormat="1" applyBorder="1" applyAlignment="1">
      <alignment horizontal="center"/>
    </xf>
    <xf numFmtId="165" fontId="18" fillId="4" borderId="210" xfId="19" applyNumberFormat="1" applyFont="1" applyFill="1" applyBorder="1" applyAlignment="1" applyProtection="1">
      <alignment vertical="center"/>
      <protection locked="0"/>
    </xf>
    <xf numFmtId="165" fontId="18" fillId="4" borderId="211" xfId="19" applyNumberFormat="1" applyFont="1" applyFill="1" applyBorder="1" applyAlignment="1" applyProtection="1">
      <alignment vertical="center"/>
      <protection locked="0"/>
    </xf>
    <xf numFmtId="0" fontId="0" fillId="0" borderId="213" xfId="0" applyBorder="1" applyAlignment="1">
      <alignment vertical="center"/>
    </xf>
    <xf numFmtId="0" fontId="0" fillId="0" borderId="214" xfId="0" applyBorder="1"/>
    <xf numFmtId="0" fontId="0" fillId="0" borderId="213" xfId="0" quotePrefix="1" applyBorder="1" applyAlignment="1">
      <alignment horizontal="center"/>
    </xf>
    <xf numFmtId="0" fontId="0" fillId="0" borderId="215" xfId="0" applyBorder="1" applyAlignment="1">
      <alignment horizontal="center"/>
    </xf>
    <xf numFmtId="0" fontId="0" fillId="0" borderId="216" xfId="0" applyBorder="1" applyAlignment="1">
      <alignment horizontal="center"/>
    </xf>
    <xf numFmtId="0" fontId="0" fillId="0" borderId="217" xfId="0" applyBorder="1" applyAlignment="1">
      <alignment vertical="center"/>
    </xf>
    <xf numFmtId="0" fontId="0" fillId="0" borderId="218" xfId="0" applyBorder="1"/>
    <xf numFmtId="6" fontId="0" fillId="0" borderId="217" xfId="0" quotePrefix="1" applyNumberFormat="1" applyBorder="1" applyAlignment="1">
      <alignment horizontal="center"/>
    </xf>
    <xf numFmtId="0" fontId="0" fillId="0" borderId="219" xfId="0" applyBorder="1" applyAlignment="1">
      <alignment horizontal="center"/>
    </xf>
    <xf numFmtId="165" fontId="18" fillId="7" borderId="220" xfId="19" applyNumberFormat="1" applyFont="1" applyFill="1" applyBorder="1" applyAlignment="1" applyProtection="1">
      <alignment vertical="center"/>
    </xf>
    <xf numFmtId="1" fontId="18" fillId="4" borderId="205" xfId="19" applyNumberFormat="1" applyFont="1" applyFill="1" applyBorder="1" applyAlignment="1" applyProtection="1">
      <alignment vertical="center"/>
      <protection locked="0"/>
    </xf>
    <xf numFmtId="1" fontId="18" fillId="4" borderId="206" xfId="19" applyNumberFormat="1" applyFont="1" applyFill="1" applyBorder="1" applyAlignment="1" applyProtection="1">
      <alignment vertical="center"/>
      <protection locked="0"/>
    </xf>
    <xf numFmtId="165" fontId="18" fillId="4" borderId="222" xfId="19" applyNumberFormat="1" applyFont="1" applyFill="1" applyBorder="1" applyAlignment="1" applyProtection="1">
      <alignment vertical="center"/>
      <protection locked="0"/>
    </xf>
    <xf numFmtId="165" fontId="18" fillId="4" borderId="223" xfId="19" applyNumberFormat="1" applyFont="1" applyFill="1" applyBorder="1" applyAlignment="1" applyProtection="1">
      <alignment vertical="center"/>
      <protection locked="0"/>
    </xf>
    <xf numFmtId="165" fontId="0" fillId="0" borderId="0" xfId="0" applyNumberFormat="1" applyAlignment="1">
      <alignment wrapText="1"/>
    </xf>
    <xf numFmtId="165" fontId="18" fillId="4" borderId="224" xfId="19" applyNumberFormat="1" applyFont="1" applyFill="1" applyBorder="1" applyAlignment="1" applyProtection="1">
      <alignment vertical="center"/>
      <protection locked="0"/>
    </xf>
    <xf numFmtId="165" fontId="18" fillId="4" borderId="226" xfId="19" applyNumberFormat="1" applyFont="1" applyFill="1" applyBorder="1" applyAlignment="1" applyProtection="1">
      <alignment vertical="center"/>
      <protection locked="0"/>
    </xf>
    <xf numFmtId="1" fontId="18" fillId="4" borderId="210" xfId="19" applyNumberFormat="1" applyFont="1" applyFill="1" applyBorder="1" applyAlignment="1" applyProtection="1">
      <alignment vertical="center"/>
      <protection locked="0"/>
    </xf>
    <xf numFmtId="1" fontId="18" fillId="4" borderId="211" xfId="19" applyNumberFormat="1" applyFont="1" applyFill="1" applyBorder="1" applyAlignment="1" applyProtection="1">
      <alignment vertical="center"/>
      <protection locked="0"/>
    </xf>
    <xf numFmtId="1" fontId="18" fillId="4" borderId="222" xfId="19" applyNumberFormat="1" applyFont="1" applyFill="1" applyBorder="1" applyAlignment="1" applyProtection="1">
      <alignment vertical="center"/>
      <protection locked="0"/>
    </xf>
    <xf numFmtId="1" fontId="18" fillId="4" borderId="223" xfId="19" applyNumberFormat="1" applyFont="1" applyFill="1" applyBorder="1" applyAlignment="1" applyProtection="1">
      <alignment vertical="center"/>
      <protection locked="0"/>
    </xf>
    <xf numFmtId="2" fontId="26" fillId="4" borderId="12" xfId="9" applyNumberFormat="1" applyFont="1" applyFill="1" applyBorder="1" applyAlignment="1" applyProtection="1">
      <alignment horizontal="right" vertical="center"/>
      <protection locked="0"/>
    </xf>
    <xf numFmtId="2" fontId="26" fillId="4" borderId="9" xfId="9" applyNumberFormat="1" applyFont="1" applyFill="1" applyBorder="1" applyAlignment="1" applyProtection="1">
      <alignment horizontal="right" vertical="center"/>
      <protection locked="0"/>
    </xf>
    <xf numFmtId="0" fontId="25" fillId="8" borderId="25" xfId="7" applyFont="1" applyBorder="1" applyAlignment="1">
      <alignment horizontal="center" vertical="center" wrapText="1"/>
    </xf>
    <xf numFmtId="0" fontId="15" fillId="0" borderId="0" xfId="9" applyFont="1" applyAlignment="1">
      <alignment horizontal="left" vertical="top" wrapText="1"/>
    </xf>
    <xf numFmtId="0" fontId="97" fillId="3" borderId="33" xfId="9" applyFont="1" applyFill="1" applyBorder="1" applyAlignment="1">
      <alignment vertical="center"/>
    </xf>
    <xf numFmtId="0" fontId="23" fillId="0" borderId="0" xfId="8" applyFont="1" applyAlignment="1">
      <alignment wrapText="1"/>
    </xf>
    <xf numFmtId="0" fontId="97" fillId="3" borderId="33" xfId="0" applyFont="1" applyFill="1" applyBorder="1" applyAlignment="1">
      <alignment vertical="center"/>
    </xf>
    <xf numFmtId="0" fontId="61" fillId="0" borderId="43" xfId="6" applyFont="1" applyBorder="1" applyAlignment="1">
      <alignment horizontal="center" vertical="center"/>
    </xf>
    <xf numFmtId="165" fontId="61" fillId="16" borderId="44" xfId="6" applyNumberFormat="1" applyFont="1" applyFill="1" applyBorder="1" applyAlignment="1" applyProtection="1">
      <alignment vertical="center"/>
      <protection locked="0"/>
    </xf>
    <xf numFmtId="165" fontId="61" fillId="16" borderId="43" xfId="6" applyNumberFormat="1" applyFont="1" applyFill="1" applyBorder="1" applyAlignment="1" applyProtection="1">
      <alignment vertical="center"/>
      <protection locked="0"/>
    </xf>
    <xf numFmtId="165" fontId="61" fillId="16" borderId="108" xfId="6" applyNumberFormat="1" applyFont="1" applyFill="1" applyBorder="1" applyAlignment="1" applyProtection="1">
      <alignment vertical="center"/>
      <protection locked="0"/>
    </xf>
    <xf numFmtId="20" fontId="26" fillId="4" borderId="9" xfId="11" applyNumberFormat="1" applyFont="1" applyFill="1" applyBorder="1" applyAlignment="1" applyProtection="1">
      <alignment horizontal="right" vertical="center" wrapText="1"/>
      <protection locked="0"/>
    </xf>
    <xf numFmtId="1" fontId="26" fillId="0" borderId="6" xfId="9" applyNumberFormat="1" applyFont="1" applyBorder="1" applyAlignment="1">
      <alignment horizontal="center" vertical="center"/>
    </xf>
    <xf numFmtId="1" fontId="26" fillId="0" borderId="9" xfId="9" applyNumberFormat="1" applyFont="1" applyBorder="1" applyAlignment="1">
      <alignment horizontal="center" vertical="center"/>
    </xf>
    <xf numFmtId="1" fontId="26" fillId="0" borderId="12" xfId="9" applyNumberFormat="1" applyFont="1" applyBorder="1" applyAlignment="1">
      <alignment horizontal="center" vertical="center"/>
    </xf>
    <xf numFmtId="0" fontId="7" fillId="3" borderId="19" xfId="6" applyFont="1" applyFill="1" applyBorder="1" applyAlignment="1">
      <alignment horizontal="center" vertical="center" wrapText="1"/>
    </xf>
    <xf numFmtId="0" fontId="7" fillId="3" borderId="2" xfId="6" applyFont="1" applyFill="1" applyBorder="1" applyAlignment="1">
      <alignment vertical="center"/>
    </xf>
    <xf numFmtId="0" fontId="3" fillId="0" borderId="0" xfId="0" applyFont="1" applyAlignment="1">
      <alignment horizontal="center" vertical="center"/>
    </xf>
    <xf numFmtId="0" fontId="9" fillId="0" borderId="6" xfId="6" applyFont="1" applyBorder="1" applyAlignment="1">
      <alignment vertical="center" wrapText="1"/>
    </xf>
    <xf numFmtId="0" fontId="25" fillId="0" borderId="62" xfId="6" applyFont="1" applyBorder="1" applyAlignment="1">
      <alignment horizontal="center" vertical="center"/>
    </xf>
    <xf numFmtId="0" fontId="7" fillId="3" borderId="1" xfId="6" applyFont="1" applyFill="1" applyBorder="1" applyAlignment="1">
      <alignment vertical="center" wrapText="1"/>
    </xf>
    <xf numFmtId="165" fontId="61" fillId="16" borderId="37" xfId="6" applyNumberFormat="1" applyFont="1" applyFill="1" applyBorder="1" applyAlignment="1" applyProtection="1">
      <alignment vertical="center"/>
      <protection locked="0"/>
    </xf>
    <xf numFmtId="165" fontId="61" fillId="16" borderId="39" xfId="6" applyNumberFormat="1" applyFont="1" applyFill="1" applyBorder="1" applyAlignment="1" applyProtection="1">
      <alignment vertical="center"/>
      <protection locked="0"/>
    </xf>
    <xf numFmtId="165" fontId="26" fillId="17" borderId="41" xfId="11" applyNumberFormat="1" applyFont="1" applyFill="1" applyBorder="1"/>
    <xf numFmtId="165" fontId="61" fillId="16" borderId="37" xfId="20" applyNumberFormat="1" applyFont="1" applyFill="1" applyBorder="1" applyAlignment="1" applyProtection="1">
      <alignment vertical="center"/>
      <protection locked="0"/>
    </xf>
    <xf numFmtId="165" fontId="61" fillId="16" borderId="39" xfId="20" applyNumberFormat="1" applyFont="1" applyFill="1" applyBorder="1" applyAlignment="1" applyProtection="1">
      <alignment vertical="center"/>
      <protection locked="0"/>
    </xf>
    <xf numFmtId="165" fontId="61" fillId="17" borderId="39" xfId="6" applyNumberFormat="1" applyFont="1" applyFill="1" applyBorder="1" applyAlignment="1">
      <alignment vertical="center"/>
    </xf>
    <xf numFmtId="165" fontId="61" fillId="17" borderId="41" xfId="6" applyNumberFormat="1" applyFont="1" applyFill="1" applyBorder="1" applyAlignment="1">
      <alignment vertical="center"/>
    </xf>
    <xf numFmtId="165" fontId="61" fillId="16" borderId="107" xfId="6" applyNumberFormat="1" applyFont="1" applyFill="1" applyBorder="1" applyAlignment="1" applyProtection="1">
      <alignment vertical="center"/>
      <protection locked="0"/>
    </xf>
    <xf numFmtId="165" fontId="61" fillId="16" borderId="24" xfId="6" applyNumberFormat="1" applyFont="1" applyFill="1" applyBorder="1" applyAlignment="1" applyProtection="1">
      <alignment vertical="center"/>
      <protection locked="0"/>
    </xf>
    <xf numFmtId="165" fontId="61" fillId="16" borderId="26" xfId="6" applyNumberFormat="1" applyFont="1" applyFill="1" applyBorder="1" applyAlignment="1" applyProtection="1">
      <alignment vertical="center"/>
      <protection locked="0"/>
    </xf>
    <xf numFmtId="165" fontId="26" fillId="17" borderId="27" xfId="11" applyNumberFormat="1" applyFont="1" applyFill="1" applyBorder="1"/>
    <xf numFmtId="165" fontId="61" fillId="16" borderId="24" xfId="20" applyNumberFormat="1" applyFont="1" applyFill="1" applyBorder="1" applyAlignment="1" applyProtection="1">
      <alignment vertical="center"/>
      <protection locked="0"/>
    </xf>
    <xf numFmtId="165" fontId="61" fillId="16" borderId="26" xfId="20" applyNumberFormat="1" applyFont="1" applyFill="1" applyBorder="1" applyAlignment="1" applyProtection="1">
      <alignment vertical="center"/>
      <protection locked="0"/>
    </xf>
    <xf numFmtId="165" fontId="61" fillId="17" borderId="26" xfId="6" applyNumberFormat="1" applyFont="1" applyFill="1" applyBorder="1" applyAlignment="1">
      <alignment vertical="center"/>
    </xf>
    <xf numFmtId="165" fontId="61" fillId="17" borderId="27" xfId="6" applyNumberFormat="1" applyFont="1" applyFill="1" applyBorder="1" applyAlignment="1">
      <alignment vertical="center"/>
    </xf>
    <xf numFmtId="165" fontId="61" fillId="16" borderId="116" xfId="6" applyNumberFormat="1" applyFont="1" applyFill="1" applyBorder="1" applyAlignment="1" applyProtection="1">
      <alignment vertical="center"/>
      <protection locked="0"/>
    </xf>
    <xf numFmtId="0" fontId="24" fillId="0" borderId="0" xfId="6" applyFont="1" applyAlignment="1">
      <alignment vertical="center"/>
    </xf>
    <xf numFmtId="0" fontId="24" fillId="0" borderId="0" xfId="6" applyFont="1" applyAlignment="1">
      <alignment horizontal="right" vertical="center"/>
    </xf>
    <xf numFmtId="0" fontId="5" fillId="0" borderId="0" xfId="11" applyFont="1" applyAlignment="1">
      <alignment vertical="center"/>
    </xf>
    <xf numFmtId="165" fontId="26" fillId="17" borderId="40" xfId="11" applyNumberFormat="1" applyFont="1" applyFill="1" applyBorder="1"/>
    <xf numFmtId="165" fontId="61" fillId="17" borderId="228" xfId="6" applyNumberFormat="1" applyFont="1" applyFill="1" applyBorder="1" applyAlignment="1">
      <alignment vertical="center"/>
    </xf>
    <xf numFmtId="165" fontId="61" fillId="17" borderId="229" xfId="6" applyNumberFormat="1" applyFont="1" applyFill="1" applyBorder="1" applyAlignment="1">
      <alignment vertical="center"/>
    </xf>
    <xf numFmtId="165" fontId="61" fillId="17" borderId="230" xfId="6" applyNumberFormat="1" applyFont="1" applyFill="1" applyBorder="1" applyAlignment="1">
      <alignment vertical="center"/>
    </xf>
    <xf numFmtId="165" fontId="61" fillId="17" borderId="231" xfId="6" applyNumberFormat="1" applyFont="1" applyFill="1" applyBorder="1" applyAlignment="1">
      <alignment vertical="center"/>
    </xf>
    <xf numFmtId="165" fontId="61" fillId="17" borderId="232" xfId="6" applyNumberFormat="1" applyFont="1" applyFill="1" applyBorder="1" applyAlignment="1">
      <alignment vertical="center"/>
    </xf>
    <xf numFmtId="165" fontId="61" fillId="18" borderId="233" xfId="6" applyNumberFormat="1" applyFont="1" applyFill="1" applyBorder="1" applyAlignment="1">
      <alignment vertical="center"/>
    </xf>
    <xf numFmtId="0" fontId="17" fillId="0" borderId="0" xfId="11" applyFont="1" applyAlignment="1">
      <alignment vertical="center"/>
    </xf>
    <xf numFmtId="0" fontId="102" fillId="0" borderId="0" xfId="18" applyFont="1"/>
    <xf numFmtId="165" fontId="18" fillId="4" borderId="28" xfId="2" applyNumberFormat="1" applyFont="1" applyFill="1" applyBorder="1" applyAlignment="1" applyProtection="1">
      <alignment vertical="center"/>
      <protection locked="0"/>
    </xf>
    <xf numFmtId="165" fontId="18" fillId="4" borderId="104" xfId="2" applyNumberFormat="1" applyFont="1" applyFill="1" applyBorder="1" applyAlignment="1" applyProtection="1">
      <alignment vertical="center"/>
      <protection locked="0"/>
    </xf>
    <xf numFmtId="165" fontId="18" fillId="4" borderId="29" xfId="2" applyNumberFormat="1" applyFont="1" applyFill="1" applyBorder="1" applyAlignment="1" applyProtection="1">
      <alignment vertical="center"/>
      <protection locked="0"/>
    </xf>
    <xf numFmtId="165" fontId="18" fillId="4" borderId="42" xfId="2" applyNumberFormat="1" applyFont="1" applyFill="1" applyBorder="1" applyAlignment="1" applyProtection="1">
      <alignment vertical="center"/>
      <protection locked="0"/>
    </xf>
    <xf numFmtId="165" fontId="18" fillId="4" borderId="57" xfId="2" applyNumberFormat="1" applyFont="1" applyFill="1" applyBorder="1" applyAlignment="1" applyProtection="1">
      <alignment vertical="center"/>
      <protection locked="0"/>
    </xf>
    <xf numFmtId="165" fontId="18" fillId="21" borderId="33" xfId="11" applyNumberFormat="1" applyFill="1" applyBorder="1" applyAlignment="1" applyProtection="1">
      <alignment vertical="center"/>
      <protection locked="0"/>
    </xf>
    <xf numFmtId="165" fontId="18" fillId="21" borderId="34" xfId="11" applyNumberFormat="1" applyFill="1" applyBorder="1" applyAlignment="1" applyProtection="1">
      <alignment vertical="center"/>
      <protection locked="0"/>
    </xf>
    <xf numFmtId="165" fontId="18" fillId="4" borderId="6" xfId="2" applyNumberFormat="1" applyFont="1" applyFill="1" applyBorder="1" applyAlignment="1" applyProtection="1">
      <alignment vertical="center"/>
      <protection locked="0"/>
    </xf>
    <xf numFmtId="165" fontId="18" fillId="4" borderId="47" xfId="2" applyNumberFormat="1" applyFont="1" applyFill="1" applyBorder="1" applyAlignment="1" applyProtection="1">
      <alignment vertical="center"/>
      <protection locked="0"/>
    </xf>
    <xf numFmtId="165" fontId="18" fillId="4" borderId="9" xfId="2" applyNumberFormat="1" applyFont="1" applyFill="1" applyBorder="1" applyAlignment="1" applyProtection="1">
      <alignment vertical="center"/>
      <protection locked="0"/>
    </xf>
    <xf numFmtId="165" fontId="18" fillId="4" borderId="12" xfId="2" applyNumberFormat="1" applyFont="1" applyFill="1" applyBorder="1" applyAlignment="1" applyProtection="1">
      <alignment vertical="center"/>
      <protection locked="0"/>
    </xf>
    <xf numFmtId="165" fontId="18" fillId="21" borderId="3" xfId="11" applyNumberFormat="1" applyFill="1" applyBorder="1" applyAlignment="1" applyProtection="1">
      <alignment vertical="center"/>
      <protection locked="0"/>
    </xf>
    <xf numFmtId="165" fontId="18" fillId="21" borderId="60" xfId="11" applyNumberFormat="1" applyFill="1" applyBorder="1" applyAlignment="1" applyProtection="1">
      <alignment vertical="center"/>
      <protection locked="0"/>
    </xf>
    <xf numFmtId="165" fontId="18" fillId="4" borderId="45" xfId="2" applyNumberFormat="1" applyFont="1" applyFill="1" applyBorder="1" applyAlignment="1" applyProtection="1">
      <alignment vertical="center"/>
      <protection locked="0"/>
    </xf>
    <xf numFmtId="165" fontId="18" fillId="4" borderId="37" xfId="2" applyNumberFormat="1" applyFont="1" applyFill="1" applyBorder="1" applyAlignment="1" applyProtection="1">
      <alignment vertical="center"/>
      <protection locked="0"/>
    </xf>
    <xf numFmtId="165" fontId="18" fillId="4" borderId="115" xfId="2" applyNumberFormat="1" applyFont="1" applyFill="1" applyBorder="1" applyAlignment="1" applyProtection="1">
      <alignment vertical="center"/>
      <protection locked="0"/>
    </xf>
    <xf numFmtId="165" fontId="18" fillId="4" borderId="39" xfId="2" applyNumberFormat="1" applyFont="1" applyFill="1" applyBorder="1" applyAlignment="1" applyProtection="1">
      <alignment vertical="center"/>
      <protection locked="0"/>
    </xf>
    <xf numFmtId="165" fontId="18" fillId="4" borderId="41" xfId="2" applyNumberFormat="1" applyFont="1" applyFill="1" applyBorder="1" applyAlignment="1" applyProtection="1">
      <alignment vertical="center"/>
      <protection locked="0"/>
    </xf>
    <xf numFmtId="165" fontId="18" fillId="4" borderId="112" xfId="19" applyNumberFormat="1" applyFont="1" applyFill="1" applyBorder="1" applyAlignment="1" applyProtection="1">
      <alignment vertical="center"/>
      <protection locked="0"/>
    </xf>
    <xf numFmtId="165" fontId="18" fillId="4" borderId="57" xfId="19" applyNumberFormat="1" applyFont="1" applyFill="1" applyBorder="1" applyAlignment="1" applyProtection="1">
      <alignment vertical="center"/>
      <protection locked="0"/>
    </xf>
    <xf numFmtId="165" fontId="18" fillId="4" borderId="6" xfId="19" applyNumberFormat="1" applyFont="1" applyFill="1" applyBorder="1" applyAlignment="1" applyProtection="1">
      <alignment vertical="center"/>
      <protection locked="0"/>
    </xf>
    <xf numFmtId="165" fontId="18" fillId="4" borderId="9" xfId="19" applyNumberFormat="1" applyFont="1" applyFill="1" applyBorder="1" applyAlignment="1" applyProtection="1">
      <alignment vertical="center"/>
      <protection locked="0"/>
    </xf>
    <xf numFmtId="165" fontId="18" fillId="4" borderId="44" xfId="19" applyNumberFormat="1" applyFont="1" applyFill="1" applyBorder="1" applyAlignment="1" applyProtection="1">
      <alignment vertical="center"/>
      <protection locked="0"/>
    </xf>
    <xf numFmtId="165" fontId="18" fillId="4" borderId="12" xfId="19" applyNumberFormat="1" applyFont="1" applyFill="1" applyBorder="1" applyAlignment="1" applyProtection="1">
      <alignment vertical="center"/>
      <protection locked="0"/>
    </xf>
    <xf numFmtId="165" fontId="18" fillId="4" borderId="36" xfId="19" applyNumberFormat="1" applyFont="1" applyFill="1" applyBorder="1" applyAlignment="1" applyProtection="1">
      <alignment vertical="center"/>
      <protection locked="0"/>
    </xf>
    <xf numFmtId="165" fontId="18" fillId="4" borderId="38" xfId="19" applyNumberFormat="1" applyFont="1" applyFill="1" applyBorder="1" applyAlignment="1" applyProtection="1">
      <alignment vertical="center"/>
      <protection locked="0"/>
    </xf>
    <xf numFmtId="165" fontId="18" fillId="4" borderId="108" xfId="19" applyNumberFormat="1" applyFont="1" applyFill="1" applyBorder="1" applyAlignment="1" applyProtection="1">
      <alignment vertical="center"/>
      <protection locked="0"/>
    </xf>
    <xf numFmtId="165" fontId="18" fillId="4" borderId="40" xfId="19" applyNumberFormat="1" applyFont="1" applyFill="1" applyBorder="1" applyAlignment="1" applyProtection="1">
      <alignment vertical="center"/>
      <protection locked="0"/>
    </xf>
    <xf numFmtId="165" fontId="18" fillId="4" borderId="7" xfId="19" applyNumberFormat="1" applyFont="1" applyFill="1" applyBorder="1" applyAlignment="1" applyProtection="1">
      <alignment vertical="center"/>
      <protection locked="0"/>
    </xf>
    <xf numFmtId="165" fontId="18" fillId="4" borderId="10" xfId="19" applyNumberFormat="1" applyFont="1" applyFill="1" applyBorder="1" applyAlignment="1" applyProtection="1">
      <alignment vertical="center"/>
      <protection locked="0"/>
    </xf>
    <xf numFmtId="165" fontId="18" fillId="4" borderId="62" xfId="19" applyNumberFormat="1" applyFont="1" applyFill="1" applyBorder="1" applyAlignment="1" applyProtection="1">
      <alignment vertical="center"/>
      <protection locked="0"/>
    </xf>
    <xf numFmtId="165" fontId="18" fillId="4" borderId="13" xfId="19" applyNumberFormat="1" applyFont="1" applyFill="1" applyBorder="1" applyAlignment="1" applyProtection="1">
      <alignment vertical="center"/>
      <protection locked="0"/>
    </xf>
    <xf numFmtId="165" fontId="18" fillId="21" borderId="4" xfId="11" applyNumberFormat="1" applyFill="1" applyBorder="1" applyAlignment="1" applyProtection="1">
      <alignment vertical="center"/>
      <protection locked="0"/>
    </xf>
    <xf numFmtId="0" fontId="26" fillId="23" borderId="43" xfId="11" applyFont="1" applyFill="1" applyBorder="1" applyAlignment="1">
      <alignment horizontal="center" vertical="center"/>
    </xf>
    <xf numFmtId="0" fontId="62" fillId="23" borderId="44" xfId="11" applyFont="1" applyFill="1" applyBorder="1" applyAlignment="1">
      <alignment vertical="center" wrapText="1"/>
    </xf>
    <xf numFmtId="0" fontId="15" fillId="23" borderId="44" xfId="11" applyFont="1" applyFill="1" applyBorder="1" applyAlignment="1">
      <alignment horizontal="center" vertical="center"/>
    </xf>
    <xf numFmtId="0" fontId="15" fillId="23" borderId="62" xfId="11" applyFont="1" applyFill="1" applyBorder="1" applyAlignment="1">
      <alignment horizontal="center" vertical="center"/>
    </xf>
    <xf numFmtId="165" fontId="18" fillId="7" borderId="112" xfId="19" applyNumberFormat="1" applyFont="1" applyFill="1" applyBorder="1" applyAlignment="1" applyProtection="1">
      <alignment vertical="center"/>
      <protection locked="0"/>
    </xf>
    <xf numFmtId="0" fontId="26" fillId="23" borderId="2" xfId="11" applyFont="1" applyFill="1" applyBorder="1" applyAlignment="1">
      <alignment horizontal="center" vertical="center"/>
    </xf>
    <xf numFmtId="9" fontId="62" fillId="23" borderId="60" xfId="11" applyNumberFormat="1" applyFont="1" applyFill="1" applyBorder="1" applyAlignment="1">
      <alignment vertical="center" wrapText="1"/>
    </xf>
    <xf numFmtId="0" fontId="15" fillId="23" borderId="3" xfId="11" applyFont="1" applyFill="1" applyBorder="1" applyAlignment="1">
      <alignment horizontal="center" vertical="center"/>
    </xf>
    <xf numFmtId="0" fontId="15" fillId="23" borderId="4" xfId="11" applyFont="1" applyFill="1" applyBorder="1" applyAlignment="1">
      <alignment horizontal="center" vertical="center"/>
    </xf>
    <xf numFmtId="165" fontId="18" fillId="7" borderId="33" xfId="11" applyNumberFormat="1" applyFill="1" applyBorder="1" applyAlignment="1" applyProtection="1">
      <alignment vertical="center"/>
      <protection locked="0"/>
    </xf>
    <xf numFmtId="165" fontId="18" fillId="7" borderId="1" xfId="19" applyNumberFormat="1" applyFont="1" applyFill="1" applyBorder="1" applyAlignment="1" applyProtection="1">
      <alignment vertical="center"/>
      <protection locked="0"/>
    </xf>
    <xf numFmtId="0" fontId="61" fillId="0" borderId="14" xfId="6" applyFont="1" applyBorder="1" applyAlignment="1">
      <alignment horizontal="center" vertical="center"/>
    </xf>
    <xf numFmtId="0" fontId="0" fillId="0" borderId="8" xfId="0" applyBorder="1"/>
    <xf numFmtId="0" fontId="61" fillId="0" borderId="61" xfId="6" applyFont="1" applyBorder="1" applyAlignment="1">
      <alignment horizontal="center" vertical="center"/>
    </xf>
    <xf numFmtId="165" fontId="18" fillId="4" borderId="44" xfId="2" applyNumberFormat="1" applyFont="1" applyFill="1" applyBorder="1" applyAlignment="1" applyProtection="1">
      <alignment vertical="center"/>
      <protection locked="0"/>
    </xf>
    <xf numFmtId="165" fontId="18" fillId="4" borderId="107" xfId="2"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wrapText="1"/>
      <protection locked="0"/>
    </xf>
    <xf numFmtId="0" fontId="26" fillId="0" borderId="190" xfId="11" applyFont="1" applyBorder="1" applyAlignment="1">
      <alignment horizontal="center" vertical="center"/>
    </xf>
    <xf numFmtId="0" fontId="25" fillId="0" borderId="188" xfId="6" applyFont="1" applyBorder="1" applyAlignment="1">
      <alignment horizontal="center" vertical="center"/>
    </xf>
    <xf numFmtId="0" fontId="9" fillId="0" borderId="236" xfId="6" applyFont="1" applyBorder="1" applyAlignment="1">
      <alignment vertical="center"/>
    </xf>
    <xf numFmtId="0" fontId="25" fillId="0" borderId="236" xfId="6" applyFont="1" applyBorder="1" applyAlignment="1">
      <alignment horizontal="center" vertical="center"/>
    </xf>
    <xf numFmtId="0" fontId="9" fillId="0" borderId="46" xfId="6" applyFont="1" applyBorder="1" applyAlignment="1">
      <alignment vertical="center"/>
    </xf>
    <xf numFmtId="0" fontId="25" fillId="0" borderId="46" xfId="6" applyFont="1" applyBorder="1" applyAlignment="1">
      <alignment horizontal="center" vertical="center"/>
    </xf>
    <xf numFmtId="0" fontId="7" fillId="25" borderId="1" xfId="11" applyFont="1" applyFill="1" applyBorder="1" applyAlignment="1">
      <alignment horizontal="center" vertical="center" wrapText="1"/>
    </xf>
    <xf numFmtId="0" fontId="7" fillId="3" borderId="2" xfId="6" applyFont="1" applyFill="1" applyBorder="1" applyAlignment="1">
      <alignment vertical="center" wrapText="1"/>
    </xf>
    <xf numFmtId="0" fontId="7" fillId="3" borderId="61" xfId="6" applyFont="1" applyFill="1" applyBorder="1" applyAlignment="1">
      <alignment horizontal="left" vertical="center" wrapText="1"/>
    </xf>
    <xf numFmtId="0" fontId="7" fillId="3" borderId="3" xfId="6" applyFont="1" applyFill="1" applyBorder="1" applyAlignment="1">
      <alignment vertical="center" wrapText="1"/>
    </xf>
    <xf numFmtId="0" fontId="7" fillId="3" borderId="60" xfId="6" applyFont="1" applyFill="1" applyBorder="1" applyAlignment="1">
      <alignment vertical="center" wrapText="1"/>
    </xf>
    <xf numFmtId="0" fontId="7" fillId="25" borderId="2" xfId="6" applyFont="1" applyFill="1" applyBorder="1" applyAlignment="1">
      <alignment horizontal="center" vertical="center" wrapText="1"/>
    </xf>
    <xf numFmtId="0" fontId="7" fillId="25" borderId="3" xfId="6" applyFont="1" applyFill="1" applyBorder="1" applyAlignment="1">
      <alignment horizontal="center" vertical="center" wrapText="1"/>
    </xf>
    <xf numFmtId="0" fontId="7" fillId="3" borderId="60" xfId="6" applyFont="1" applyFill="1" applyBorder="1" applyAlignment="1">
      <alignment horizontal="center" vertical="center" wrapText="1"/>
    </xf>
    <xf numFmtId="0" fontId="0" fillId="0" borderId="217" xfId="0" applyBorder="1" applyAlignment="1">
      <alignment horizontal="center"/>
    </xf>
    <xf numFmtId="0" fontId="5" fillId="0" borderId="217" xfId="0" applyFont="1" applyBorder="1" applyAlignment="1">
      <alignment vertical="center"/>
    </xf>
    <xf numFmtId="165" fontId="18" fillId="4" borderId="238" xfId="19" applyNumberFormat="1" applyFont="1" applyFill="1" applyBorder="1" applyAlignment="1" applyProtection="1">
      <alignment vertical="center"/>
      <protection locked="0"/>
    </xf>
    <xf numFmtId="165" fontId="18" fillId="4" borderId="239" xfId="19" applyNumberFormat="1" applyFont="1" applyFill="1" applyBorder="1" applyAlignment="1" applyProtection="1">
      <alignment vertical="center"/>
      <protection locked="0"/>
    </xf>
    <xf numFmtId="165" fontId="18" fillId="4" borderId="240" xfId="19" applyNumberFormat="1" applyFont="1" applyFill="1" applyBorder="1" applyAlignment="1" applyProtection="1">
      <alignment vertical="center"/>
      <protection locked="0"/>
    </xf>
    <xf numFmtId="165" fontId="18" fillId="4" borderId="241" xfId="19" applyNumberFormat="1" applyFont="1" applyFill="1" applyBorder="1" applyAlignment="1" applyProtection="1">
      <alignment vertical="center"/>
      <protection locked="0"/>
    </xf>
    <xf numFmtId="6" fontId="0" fillId="0" borderId="193" xfId="0" quotePrefix="1" applyNumberFormat="1" applyBorder="1" applyAlignment="1">
      <alignment horizontal="center"/>
    </xf>
    <xf numFmtId="6" fontId="0" fillId="0" borderId="242" xfId="0" quotePrefix="1" applyNumberFormat="1" applyBorder="1" applyAlignment="1">
      <alignment horizontal="center"/>
    </xf>
    <xf numFmtId="0" fontId="0" fillId="0" borderId="243" xfId="0" applyBorder="1" applyAlignment="1">
      <alignment horizontal="center"/>
    </xf>
    <xf numFmtId="1" fontId="18" fillId="4" borderId="238" xfId="19" applyNumberFormat="1" applyFont="1" applyFill="1" applyBorder="1" applyAlignment="1" applyProtection="1">
      <alignment vertical="center"/>
      <protection locked="0"/>
    </xf>
    <xf numFmtId="1" fontId="18" fillId="4" borderId="197" xfId="19" applyNumberFormat="1" applyFont="1" applyFill="1" applyBorder="1" applyAlignment="1" applyProtection="1">
      <alignment vertical="center"/>
      <protection locked="0"/>
    </xf>
    <xf numFmtId="1" fontId="18" fillId="4" borderId="239" xfId="19" applyNumberFormat="1" applyFont="1" applyFill="1" applyBorder="1" applyAlignment="1" applyProtection="1">
      <alignment vertical="center"/>
      <protection locked="0"/>
    </xf>
    <xf numFmtId="165" fontId="18" fillId="7" borderId="244" xfId="19" applyNumberFormat="1" applyFont="1" applyFill="1" applyBorder="1" applyAlignment="1" applyProtection="1">
      <alignment vertical="center"/>
    </xf>
    <xf numFmtId="165" fontId="18" fillId="7" borderId="32" xfId="19" applyNumberFormat="1" applyFont="1" applyFill="1" applyBorder="1" applyAlignment="1" applyProtection="1">
      <alignment vertical="center"/>
    </xf>
    <xf numFmtId="165" fontId="18" fillId="7" borderId="245" xfId="19" applyNumberFormat="1" applyFont="1" applyFill="1" applyBorder="1" applyAlignment="1" applyProtection="1">
      <alignment vertical="center"/>
    </xf>
    <xf numFmtId="165" fontId="18" fillId="7" borderId="30" xfId="19" applyNumberFormat="1" applyFont="1" applyFill="1" applyBorder="1" applyAlignment="1" applyProtection="1">
      <alignment vertical="center"/>
    </xf>
    <xf numFmtId="0" fontId="25" fillId="0" borderId="44" xfId="6" applyFont="1" applyBorder="1" applyAlignment="1">
      <alignment horizontal="center" vertical="center"/>
    </xf>
    <xf numFmtId="0" fontId="7" fillId="3" borderId="0" xfId="6" applyFont="1" applyFill="1" applyAlignment="1">
      <alignment vertical="center"/>
    </xf>
    <xf numFmtId="0" fontId="18" fillId="0" borderId="20" xfId="9" applyBorder="1" applyAlignment="1">
      <alignment horizontal="left" vertical="center"/>
    </xf>
    <xf numFmtId="0" fontId="7" fillId="3" borderId="34" xfId="9" applyFont="1" applyFill="1" applyBorder="1" applyAlignment="1">
      <alignment horizontal="left" vertical="center"/>
    </xf>
    <xf numFmtId="0" fontId="7" fillId="3" borderId="0" xfId="9" applyFont="1" applyFill="1" applyAlignment="1">
      <alignment vertical="center"/>
    </xf>
    <xf numFmtId="0" fontId="18" fillId="0" borderId="61" xfId="9" applyBorder="1" applyAlignment="1">
      <alignment vertical="center"/>
    </xf>
    <xf numFmtId="0" fontId="18" fillId="0" borderId="28" xfId="9" applyBorder="1" applyAlignment="1">
      <alignment vertical="center"/>
    </xf>
    <xf numFmtId="0" fontId="18" fillId="0" borderId="29" xfId="9" applyBorder="1" applyAlignment="1">
      <alignment vertical="center"/>
    </xf>
    <xf numFmtId="0" fontId="18" fillId="0" borderId="42" xfId="9" applyBorder="1" applyAlignment="1">
      <alignment vertical="center"/>
    </xf>
    <xf numFmtId="0" fontId="18" fillId="0" borderId="41" xfId="9" applyBorder="1" applyAlignment="1">
      <alignment vertical="center"/>
    </xf>
    <xf numFmtId="0" fontId="7" fillId="3" borderId="61" xfId="9" applyFont="1" applyFill="1" applyBorder="1" applyAlignment="1">
      <alignment horizontal="left" vertical="center"/>
    </xf>
    <xf numFmtId="0" fontId="18" fillId="0" borderId="37" xfId="9" applyBorder="1" applyAlignment="1">
      <alignment vertical="center"/>
    </xf>
    <xf numFmtId="0" fontId="18" fillId="0" borderId="39" xfId="9" applyBorder="1" applyAlignment="1">
      <alignment vertical="center"/>
    </xf>
    <xf numFmtId="0" fontId="18" fillId="0" borderId="39" xfId="9" quotePrefix="1" applyBorder="1" applyAlignment="1">
      <alignment vertical="center"/>
    </xf>
    <xf numFmtId="0" fontId="18" fillId="0" borderId="107" xfId="9" applyBorder="1" applyAlignment="1">
      <alignment vertical="center"/>
    </xf>
    <xf numFmtId="0" fontId="7" fillId="3" borderId="34" xfId="6" applyFont="1" applyFill="1" applyBorder="1" applyAlignment="1">
      <alignment horizontal="left" vertical="center"/>
    </xf>
    <xf numFmtId="0" fontId="9" fillId="0" borderId="28" xfId="6" applyFont="1" applyBorder="1" applyAlignment="1">
      <alignment vertical="center"/>
    </xf>
    <xf numFmtId="0" fontId="9" fillId="0" borderId="29" xfId="6" applyFont="1" applyBorder="1" applyAlignment="1">
      <alignment vertical="center"/>
    </xf>
    <xf numFmtId="0" fontId="9" fillId="0" borderId="45" xfId="6" applyFont="1" applyBorder="1" applyAlignment="1">
      <alignment vertical="center"/>
    </xf>
    <xf numFmtId="0" fontId="7" fillId="3" borderId="0" xfId="9" applyFont="1" applyFill="1" applyAlignment="1">
      <alignment horizontal="left" vertical="center"/>
    </xf>
    <xf numFmtId="0" fontId="18" fillId="0" borderId="47" xfId="9" applyBorder="1" applyAlignment="1">
      <alignment vertical="center"/>
    </xf>
    <xf numFmtId="0" fontId="9" fillId="0" borderId="34" xfId="6" applyFont="1" applyBorder="1" applyAlignment="1">
      <alignment vertical="center"/>
    </xf>
    <xf numFmtId="0" fontId="0" fillId="3" borderId="0" xfId="0" applyFill="1"/>
    <xf numFmtId="0" fontId="7" fillId="3" borderId="100" xfId="6" applyFont="1" applyFill="1" applyBorder="1" applyAlignment="1">
      <alignment vertical="center"/>
    </xf>
    <xf numFmtId="6" fontId="25" fillId="0" borderId="3" xfId="6" quotePrefix="1" applyNumberFormat="1" applyFont="1" applyBorder="1" applyAlignment="1">
      <alignment horizontal="center" vertical="center"/>
    </xf>
    <xf numFmtId="0" fontId="25" fillId="0" borderId="9" xfId="6" quotePrefix="1" applyFont="1" applyBorder="1" applyAlignment="1">
      <alignment horizontal="center" vertical="center"/>
    </xf>
    <xf numFmtId="0" fontId="11" fillId="0" borderId="2" xfId="5" applyFont="1" applyBorder="1" applyAlignment="1" applyProtection="1">
      <alignment vertical="center"/>
    </xf>
    <xf numFmtId="0" fontId="22" fillId="5" borderId="3"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11" fillId="0" borderId="4" xfId="5" applyFont="1" applyBorder="1" applyAlignment="1" applyProtection="1">
      <alignment horizontal="center" vertical="center"/>
    </xf>
    <xf numFmtId="0" fontId="22" fillId="3" borderId="36" xfId="0" applyFont="1" applyFill="1" applyBorder="1" applyAlignment="1">
      <alignment horizontal="center" vertical="center" wrapText="1"/>
    </xf>
    <xf numFmtId="0" fontId="22" fillId="3" borderId="38" xfId="0" applyFont="1" applyFill="1" applyBorder="1" applyAlignment="1">
      <alignment horizontal="center" vertical="center" wrapText="1"/>
    </xf>
    <xf numFmtId="0" fontId="0" fillId="0" borderId="31" xfId="0" applyBorder="1"/>
    <xf numFmtId="0" fontId="0" fillId="0" borderId="32" xfId="0" applyBorder="1"/>
    <xf numFmtId="0" fontId="0" fillId="0" borderId="30" xfId="0" quotePrefix="1" applyBorder="1"/>
    <xf numFmtId="0" fontId="22" fillId="5" borderId="36" xfId="0" applyFont="1" applyFill="1" applyBorder="1" applyAlignment="1">
      <alignment horizontal="center" vertical="center" wrapText="1"/>
    </xf>
    <xf numFmtId="0" fontId="22" fillId="5" borderId="38"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lignment horizontal="center" vertical="center" wrapText="1"/>
    </xf>
    <xf numFmtId="0" fontId="0" fillId="0" borderId="30" xfId="0" applyBorder="1"/>
    <xf numFmtId="1" fontId="26" fillId="4" borderId="31" xfId="11" applyNumberFormat="1" applyFont="1" applyFill="1" applyBorder="1" applyAlignment="1" applyProtection="1">
      <alignment vertical="center"/>
      <protection locked="0"/>
    </xf>
    <xf numFmtId="1" fontId="26" fillId="4" borderId="32" xfId="11" applyNumberFormat="1" applyFont="1" applyFill="1" applyBorder="1" applyAlignment="1" applyProtection="1">
      <alignment vertical="center"/>
      <protection locked="0"/>
    </xf>
    <xf numFmtId="1" fontId="26" fillId="4" borderId="99" xfId="11" applyNumberFormat="1" applyFont="1" applyFill="1" applyBorder="1" applyAlignment="1" applyProtection="1">
      <alignment vertical="center"/>
      <protection locked="0"/>
    </xf>
    <xf numFmtId="1" fontId="26" fillId="4" borderId="30" xfId="11" applyNumberFormat="1" applyFont="1" applyFill="1" applyBorder="1" applyAlignment="1" applyProtection="1">
      <alignment vertical="center"/>
      <protection locked="0"/>
    </xf>
    <xf numFmtId="2" fontId="26" fillId="4" borderId="31" xfId="11" applyNumberFormat="1" applyFont="1" applyFill="1" applyBorder="1" applyAlignment="1" applyProtection="1">
      <alignment vertical="center"/>
      <protection locked="0"/>
    </xf>
    <xf numFmtId="2" fontId="26" fillId="4" borderId="32" xfId="11" applyNumberFormat="1" applyFont="1" applyFill="1" applyBorder="1" applyAlignment="1" applyProtection="1">
      <alignment vertical="center"/>
      <protection locked="0"/>
    </xf>
    <xf numFmtId="0" fontId="23" fillId="0" borderId="5" xfId="6" applyFont="1" applyBorder="1" applyAlignment="1">
      <alignment horizontal="left" vertical="top"/>
    </xf>
    <xf numFmtId="0" fontId="23" fillId="0" borderId="8" xfId="6" applyFont="1" applyBorder="1" applyAlignment="1">
      <alignment horizontal="left" vertical="top"/>
    </xf>
    <xf numFmtId="0" fontId="23" fillId="0" borderId="11" xfId="6" applyFont="1" applyBorder="1" applyAlignment="1">
      <alignment horizontal="left" vertical="top"/>
    </xf>
    <xf numFmtId="0" fontId="103" fillId="0" borderId="0" xfId="0" applyFont="1" applyAlignment="1">
      <alignment vertical="center"/>
    </xf>
    <xf numFmtId="165" fontId="61" fillId="0" borderId="44" xfId="6" applyNumberFormat="1" applyFont="1" applyBorder="1" applyAlignment="1" applyProtection="1">
      <alignment vertical="center"/>
      <protection locked="0"/>
    </xf>
    <xf numFmtId="165" fontId="61" fillId="17" borderId="246" xfId="6" applyNumberFormat="1" applyFont="1" applyFill="1" applyBorder="1" applyAlignment="1">
      <alignment vertical="center"/>
    </xf>
    <xf numFmtId="0" fontId="15" fillId="0" borderId="0" xfId="0" applyFont="1" applyAlignment="1">
      <alignment horizontal="center" vertical="center" wrapText="1"/>
    </xf>
    <xf numFmtId="0" fontId="23" fillId="6" borderId="0" xfId="6" applyFont="1" applyFill="1" applyAlignment="1">
      <alignment vertical="center"/>
    </xf>
    <xf numFmtId="165" fontId="61" fillId="17" borderId="247" xfId="6" applyNumberFormat="1" applyFont="1" applyFill="1" applyBorder="1" applyAlignment="1">
      <alignment vertical="center"/>
    </xf>
    <xf numFmtId="0" fontId="22" fillId="0" borderId="0" xfId="11" applyFont="1" applyAlignment="1">
      <alignment horizontal="center" vertical="center"/>
    </xf>
    <xf numFmtId="165" fontId="18" fillId="4" borderId="7" xfId="2" applyNumberFormat="1" applyFont="1" applyFill="1" applyBorder="1" applyAlignment="1" applyProtection="1">
      <alignment vertical="center"/>
      <protection locked="0"/>
    </xf>
    <xf numFmtId="165" fontId="18" fillId="4" borderId="50" xfId="2" applyNumberFormat="1" applyFont="1" applyFill="1" applyBorder="1" applyAlignment="1" applyProtection="1">
      <alignment vertical="center"/>
      <protection locked="0"/>
    </xf>
    <xf numFmtId="165" fontId="18" fillId="4" borderId="10" xfId="2" applyNumberFormat="1" applyFont="1" applyFill="1" applyBorder="1" applyAlignment="1" applyProtection="1">
      <alignment vertical="center"/>
      <protection locked="0"/>
    </xf>
    <xf numFmtId="165" fontId="18" fillId="4" borderId="62" xfId="2" applyNumberFormat="1" applyFont="1" applyFill="1" applyBorder="1" applyAlignment="1" applyProtection="1">
      <alignment vertical="center"/>
      <protection locked="0"/>
    </xf>
    <xf numFmtId="165" fontId="18" fillId="4" borderId="13" xfId="2" applyNumberFormat="1" applyFont="1" applyFill="1" applyBorder="1" applyAlignment="1" applyProtection="1">
      <alignment vertical="center"/>
      <protection locked="0"/>
    </xf>
    <xf numFmtId="165" fontId="18" fillId="4" borderId="37" xfId="19" applyNumberFormat="1" applyFont="1" applyFill="1" applyBorder="1" applyAlignment="1" applyProtection="1">
      <alignment vertical="center"/>
      <protection locked="0"/>
    </xf>
    <xf numFmtId="165" fontId="18" fillId="4" borderId="39" xfId="19" applyNumberFormat="1" applyFont="1" applyFill="1" applyBorder="1" applyAlignment="1" applyProtection="1">
      <alignment vertical="center"/>
      <protection locked="0"/>
    </xf>
    <xf numFmtId="165" fontId="18" fillId="4" borderId="41" xfId="19" applyNumberFormat="1" applyFont="1" applyFill="1" applyBorder="1" applyAlignment="1" applyProtection="1">
      <alignment vertical="center"/>
      <protection locked="0"/>
    </xf>
    <xf numFmtId="0" fontId="7" fillId="3" borderId="251" xfId="6" applyFont="1" applyFill="1" applyBorder="1" applyAlignment="1">
      <alignment horizontal="center" vertical="center" wrapText="1"/>
    </xf>
    <xf numFmtId="0" fontId="7" fillId="3" borderId="252" xfId="6" applyFont="1" applyFill="1" applyBorder="1" applyAlignment="1">
      <alignment horizontal="center" vertical="center" wrapText="1"/>
    </xf>
    <xf numFmtId="0" fontId="7" fillId="3" borderId="253" xfId="6" applyFont="1" applyFill="1" applyBorder="1" applyAlignment="1">
      <alignment horizontal="center" vertical="center" wrapText="1"/>
    </xf>
    <xf numFmtId="0" fontId="7" fillId="3" borderId="254" xfId="6" applyFont="1" applyFill="1" applyBorder="1" applyAlignment="1">
      <alignment horizontal="center" vertical="center" wrapText="1"/>
    </xf>
    <xf numFmtId="165" fontId="18" fillId="4" borderId="32" xfId="19" applyNumberFormat="1" applyFont="1" applyFill="1" applyBorder="1" applyAlignment="1" applyProtection="1">
      <alignment vertical="center"/>
      <protection locked="0"/>
    </xf>
    <xf numFmtId="0" fontId="81" fillId="0" borderId="0" xfId="18" applyFont="1"/>
    <xf numFmtId="172" fontId="18" fillId="27" borderId="7" xfId="19" applyNumberFormat="1" applyFont="1" applyFill="1" applyBorder="1" applyAlignment="1" applyProtection="1">
      <alignment vertical="center"/>
      <protection locked="0"/>
    </xf>
    <xf numFmtId="172" fontId="18" fillId="27" borderId="10" xfId="19" applyNumberFormat="1" applyFont="1" applyFill="1" applyBorder="1" applyAlignment="1" applyProtection="1">
      <alignment vertical="center"/>
      <protection locked="0"/>
    </xf>
    <xf numFmtId="172" fontId="18" fillId="27" borderId="50" xfId="19" applyNumberFormat="1" applyFont="1" applyFill="1" applyBorder="1" applyAlignment="1" applyProtection="1">
      <alignment vertical="center"/>
      <protection locked="0"/>
    </xf>
    <xf numFmtId="0" fontId="22" fillId="5" borderId="13" xfId="0" applyFont="1" applyFill="1" applyBorder="1" applyAlignment="1">
      <alignment horizontal="center" vertical="center" wrapText="1"/>
    </xf>
    <xf numFmtId="0" fontId="9" fillId="0" borderId="6" xfId="0" applyFont="1" applyBorder="1"/>
    <xf numFmtId="0" fontId="9" fillId="0" borderId="9" xfId="0" applyFont="1" applyBorder="1"/>
    <xf numFmtId="0" fontId="9" fillId="0" borderId="12" xfId="0" applyFont="1" applyBorder="1"/>
    <xf numFmtId="0" fontId="9" fillId="0" borderId="5" xfId="0" applyFont="1" applyBorder="1"/>
    <xf numFmtId="0" fontId="9" fillId="0" borderId="11" xfId="0" applyFont="1" applyBorder="1"/>
    <xf numFmtId="0" fontId="9" fillId="0" borderId="3" xfId="0" applyFont="1" applyBorder="1"/>
    <xf numFmtId="0" fontId="25" fillId="0" borderId="6" xfId="0" applyFont="1" applyBorder="1" applyAlignment="1">
      <alignment horizontal="center"/>
    </xf>
    <xf numFmtId="0" fontId="25" fillId="0" borderId="6" xfId="0" applyFont="1" applyBorder="1" applyAlignment="1">
      <alignment horizontal="center" vertical="center"/>
    </xf>
    <xf numFmtId="0" fontId="25" fillId="0" borderId="9" xfId="0" applyFont="1" applyBorder="1" applyAlignment="1">
      <alignment horizontal="center"/>
    </xf>
    <xf numFmtId="0" fontId="25" fillId="0" borderId="9" xfId="0" applyFont="1" applyBorder="1" applyAlignment="1">
      <alignment horizontal="center" vertical="center"/>
    </xf>
    <xf numFmtId="0" fontId="25" fillId="0" borderId="12" xfId="0" applyFont="1" applyBorder="1" applyAlignment="1">
      <alignment horizontal="center"/>
    </xf>
    <xf numFmtId="0" fontId="25" fillId="0" borderId="12" xfId="0" applyFont="1" applyBorder="1" applyAlignment="1">
      <alignment horizontal="center" vertical="center"/>
    </xf>
    <xf numFmtId="0" fontId="25" fillId="0" borderId="3" xfId="0" applyFont="1" applyBorder="1" applyAlignment="1">
      <alignment horizontal="center"/>
    </xf>
    <xf numFmtId="0" fontId="25" fillId="0" borderId="3" xfId="0" applyFont="1" applyBorder="1" applyAlignment="1">
      <alignment horizontal="center" vertical="center"/>
    </xf>
    <xf numFmtId="165" fontId="26" fillId="4" borderId="2" xfId="9" applyNumberFormat="1" applyFont="1" applyFill="1" applyBorder="1" applyAlignment="1" applyProtection="1">
      <alignment vertical="center"/>
      <protection locked="0"/>
    </xf>
    <xf numFmtId="165" fontId="26" fillId="4" borderId="4" xfId="9" applyNumberFormat="1" applyFont="1" applyFill="1" applyBorder="1" applyAlignment="1" applyProtection="1">
      <alignment vertical="center"/>
      <protection locked="0"/>
    </xf>
    <xf numFmtId="167" fontId="26" fillId="4" borderId="11" xfId="9" applyNumberFormat="1" applyFont="1" applyFill="1" applyBorder="1" applyAlignment="1" applyProtection="1">
      <alignment vertical="center"/>
      <protection locked="0"/>
    </xf>
    <xf numFmtId="167" fontId="26" fillId="4" borderId="13" xfId="9" applyNumberFormat="1" applyFont="1" applyFill="1" applyBorder="1" applyAlignment="1" applyProtection="1">
      <alignment vertical="center"/>
      <protection locked="0"/>
    </xf>
    <xf numFmtId="165" fontId="26" fillId="4" borderId="16" xfId="9" applyNumberFormat="1" applyFont="1" applyFill="1" applyBorder="1" applyAlignment="1" applyProtection="1">
      <alignment vertical="center"/>
      <protection locked="0"/>
    </xf>
    <xf numFmtId="165" fontId="26" fillId="4" borderId="99" xfId="9" applyNumberFormat="1" applyFont="1" applyFill="1" applyBorder="1" applyAlignment="1" applyProtection="1">
      <alignment vertical="center"/>
      <protection locked="0"/>
    </xf>
    <xf numFmtId="165" fontId="26" fillId="4" borderId="116" xfId="9" applyNumberFormat="1" applyFont="1" applyFill="1" applyBorder="1" applyAlignment="1" applyProtection="1">
      <alignment vertical="center"/>
      <protection locked="0"/>
    </xf>
    <xf numFmtId="169" fontId="26" fillId="4" borderId="6" xfId="11" applyNumberFormat="1" applyFont="1" applyFill="1" applyBorder="1" applyAlignment="1" applyProtection="1">
      <alignment horizontal="right" vertical="center"/>
      <protection locked="0"/>
    </xf>
    <xf numFmtId="169" fontId="26" fillId="4" borderId="9" xfId="11" applyNumberFormat="1" applyFont="1" applyFill="1" applyBorder="1" applyAlignment="1" applyProtection="1">
      <alignment horizontal="right" vertical="center"/>
      <protection locked="0"/>
    </xf>
    <xf numFmtId="169" fontId="26" fillId="7" borderId="3" xfId="9" applyNumberFormat="1" applyFont="1" applyFill="1" applyBorder="1"/>
    <xf numFmtId="0" fontId="25" fillId="6" borderId="0" xfId="6" applyFont="1" applyFill="1" applyAlignment="1">
      <alignment vertical="center"/>
    </xf>
    <xf numFmtId="0" fontId="7" fillId="3" borderId="120" xfId="6" applyFont="1" applyFill="1" applyBorder="1" applyAlignment="1">
      <alignment horizontal="center" vertical="center" wrapText="1"/>
    </xf>
    <xf numFmtId="165" fontId="23" fillId="7" borderId="57" xfId="6" applyNumberFormat="1" applyFont="1" applyFill="1" applyBorder="1" applyAlignment="1">
      <alignment vertical="center"/>
    </xf>
    <xf numFmtId="165" fontId="104" fillId="4" borderId="28" xfId="6" applyNumberFormat="1" applyFont="1" applyFill="1" applyBorder="1" applyAlignment="1" applyProtection="1">
      <alignment vertical="center"/>
      <protection locked="0"/>
    </xf>
    <xf numFmtId="165" fontId="104" fillId="4" borderId="5" xfId="6" applyNumberFormat="1" applyFont="1" applyFill="1" applyBorder="1" applyAlignment="1" applyProtection="1">
      <alignment vertical="center"/>
      <protection locked="0"/>
    </xf>
    <xf numFmtId="165" fontId="104" fillId="4" borderId="6" xfId="6" applyNumberFormat="1" applyFont="1" applyFill="1" applyBorder="1" applyAlignment="1" applyProtection="1">
      <alignment vertical="center"/>
      <protection locked="0"/>
    </xf>
    <xf numFmtId="165" fontId="104" fillId="7" borderId="7" xfId="6" applyNumberFormat="1" applyFont="1" applyFill="1" applyBorder="1" applyAlignment="1">
      <alignment vertical="center"/>
    </xf>
    <xf numFmtId="165" fontId="104" fillId="7" borderId="24" xfId="6" applyNumberFormat="1" applyFont="1" applyFill="1" applyBorder="1" applyAlignment="1">
      <alignment vertical="center"/>
    </xf>
    <xf numFmtId="165" fontId="104" fillId="4" borderId="29" xfId="6" applyNumberFormat="1" applyFont="1" applyFill="1" applyBorder="1" applyAlignment="1" applyProtection="1">
      <alignment vertical="center"/>
      <protection locked="0"/>
    </xf>
    <xf numFmtId="165" fontId="104" fillId="4" borderId="8" xfId="6" applyNumberFormat="1" applyFont="1" applyFill="1" applyBorder="1" applyAlignment="1" applyProtection="1">
      <alignment vertical="center"/>
      <protection locked="0"/>
    </xf>
    <xf numFmtId="165" fontId="104" fillId="4" borderId="9" xfId="6" applyNumberFormat="1" applyFont="1" applyFill="1" applyBorder="1" applyAlignment="1" applyProtection="1">
      <alignment vertical="center"/>
      <protection locked="0"/>
    </xf>
    <xf numFmtId="165" fontId="104" fillId="7" borderId="10" xfId="6" applyNumberFormat="1" applyFont="1" applyFill="1" applyBorder="1" applyAlignment="1">
      <alignment vertical="center"/>
    </xf>
    <xf numFmtId="165" fontId="104" fillId="7" borderId="26" xfId="6" applyNumberFormat="1" applyFont="1" applyFill="1" applyBorder="1" applyAlignment="1">
      <alignment vertical="center"/>
    </xf>
    <xf numFmtId="165" fontId="104" fillId="7" borderId="13" xfId="6" applyNumberFormat="1" applyFont="1" applyFill="1" applyBorder="1" applyAlignment="1">
      <alignment vertical="center"/>
    </xf>
    <xf numFmtId="165" fontId="104" fillId="7" borderId="57" xfId="6" applyNumberFormat="1" applyFont="1" applyFill="1" applyBorder="1" applyAlignment="1">
      <alignment vertical="center"/>
    </xf>
    <xf numFmtId="165" fontId="104" fillId="7" borderId="12" xfId="6" applyNumberFormat="1" applyFont="1" applyFill="1" applyBorder="1" applyAlignment="1">
      <alignment vertical="center"/>
    </xf>
    <xf numFmtId="165" fontId="104" fillId="7" borderId="27" xfId="6" applyNumberFormat="1" applyFont="1" applyFill="1" applyBorder="1" applyAlignment="1">
      <alignment vertical="center"/>
    </xf>
    <xf numFmtId="165" fontId="104" fillId="4" borderId="31" xfId="6" applyNumberFormat="1" applyFont="1" applyFill="1" applyBorder="1" applyAlignment="1" applyProtection="1">
      <alignment vertical="center"/>
      <protection locked="0"/>
    </xf>
    <xf numFmtId="165" fontId="104" fillId="4" borderId="32" xfId="6" applyNumberFormat="1" applyFont="1" applyFill="1" applyBorder="1" applyAlignment="1" applyProtection="1">
      <alignment vertical="center"/>
      <protection locked="0"/>
    </xf>
    <xf numFmtId="165" fontId="104" fillId="4" borderId="99" xfId="6" applyNumberFormat="1" applyFont="1" applyFill="1" applyBorder="1" applyAlignment="1" applyProtection="1">
      <alignment vertical="center"/>
      <protection locked="0"/>
    </xf>
    <xf numFmtId="165" fontId="104" fillId="7" borderId="30" xfId="6" applyNumberFormat="1" applyFont="1" applyFill="1" applyBorder="1" applyAlignment="1">
      <alignment vertical="center"/>
    </xf>
    <xf numFmtId="165" fontId="104" fillId="4" borderId="49" xfId="6" applyNumberFormat="1" applyFont="1" applyFill="1" applyBorder="1" applyAlignment="1" applyProtection="1">
      <alignment vertical="center"/>
      <protection locked="0"/>
    </xf>
    <xf numFmtId="165" fontId="104" fillId="4" borderId="46" xfId="6" applyNumberFormat="1" applyFont="1" applyFill="1" applyBorder="1" applyAlignment="1" applyProtection="1">
      <alignment vertical="center"/>
      <protection locked="0"/>
    </xf>
    <xf numFmtId="165" fontId="104" fillId="4" borderId="47" xfId="6" applyNumberFormat="1" applyFont="1" applyFill="1" applyBorder="1" applyAlignment="1" applyProtection="1">
      <alignment vertical="center"/>
      <protection locked="0"/>
    </xf>
    <xf numFmtId="165" fontId="104" fillId="7" borderId="50" xfId="6" applyNumberFormat="1" applyFont="1" applyFill="1" applyBorder="1" applyAlignment="1">
      <alignment vertical="center"/>
    </xf>
    <xf numFmtId="165" fontId="104" fillId="7" borderId="49" xfId="6" applyNumberFormat="1" applyFont="1" applyFill="1" applyBorder="1" applyAlignment="1">
      <alignment vertical="center"/>
    </xf>
    <xf numFmtId="165" fontId="104" fillId="16" borderId="5" xfId="6" applyNumberFormat="1" applyFont="1" applyFill="1" applyBorder="1" applyAlignment="1" applyProtection="1">
      <alignment vertical="center"/>
      <protection locked="0"/>
    </xf>
    <xf numFmtId="165" fontId="104" fillId="16" borderId="24" xfId="6" applyNumberFormat="1" applyFont="1" applyFill="1" applyBorder="1" applyAlignment="1" applyProtection="1">
      <alignment vertical="center"/>
      <protection locked="0"/>
    </xf>
    <xf numFmtId="165" fontId="104" fillId="16" borderId="37" xfId="6" applyNumberFormat="1" applyFont="1" applyFill="1" applyBorder="1" applyAlignment="1" applyProtection="1">
      <alignment vertical="center"/>
      <protection locked="0"/>
    </xf>
    <xf numFmtId="165" fontId="104" fillId="16" borderId="6" xfId="6" applyNumberFormat="1" applyFont="1" applyFill="1" applyBorder="1" applyAlignment="1" applyProtection="1">
      <alignment vertical="center"/>
      <protection locked="0"/>
    </xf>
    <xf numFmtId="165" fontId="104" fillId="16" borderId="36" xfId="6" applyNumberFormat="1" applyFont="1" applyFill="1" applyBorder="1" applyAlignment="1" applyProtection="1">
      <alignment vertical="center"/>
      <protection locked="0"/>
    </xf>
    <xf numFmtId="165" fontId="104" fillId="17" borderId="31" xfId="6" applyNumberFormat="1" applyFont="1" applyFill="1" applyBorder="1" applyAlignment="1">
      <alignment vertical="center"/>
    </xf>
    <xf numFmtId="165" fontId="104" fillId="16" borderId="8" xfId="6" applyNumberFormat="1" applyFont="1" applyFill="1" applyBorder="1" applyAlignment="1" applyProtection="1">
      <alignment vertical="center"/>
      <protection locked="0"/>
    </xf>
    <xf numFmtId="165" fontId="104" fillId="16" borderId="26" xfId="6" applyNumberFormat="1" applyFont="1" applyFill="1" applyBorder="1" applyAlignment="1" applyProtection="1">
      <alignment vertical="center"/>
      <protection locked="0"/>
    </xf>
    <xf numFmtId="165" fontId="104" fillId="16" borderId="39" xfId="6" applyNumberFormat="1" applyFont="1" applyFill="1" applyBorder="1" applyAlignment="1" applyProtection="1">
      <alignment vertical="center"/>
      <protection locked="0"/>
    </xf>
    <xf numFmtId="165" fontId="104" fillId="16" borderId="9" xfId="6" applyNumberFormat="1" applyFont="1" applyFill="1" applyBorder="1" applyAlignment="1" applyProtection="1">
      <alignment vertical="center"/>
      <protection locked="0"/>
    </xf>
    <xf numFmtId="165" fontId="104" fillId="16" borderId="38" xfId="6" applyNumberFormat="1" applyFont="1" applyFill="1" applyBorder="1" applyAlignment="1" applyProtection="1">
      <alignment vertical="center"/>
      <protection locked="0"/>
    </xf>
    <xf numFmtId="165" fontId="104" fillId="17" borderId="32" xfId="6" applyNumberFormat="1" applyFont="1" applyFill="1" applyBorder="1" applyAlignment="1">
      <alignment vertical="center"/>
    </xf>
    <xf numFmtId="165" fontId="104" fillId="0" borderId="29" xfId="6" applyNumberFormat="1" applyFont="1" applyBorder="1" applyAlignment="1" applyProtection="1">
      <alignment vertical="center"/>
      <protection locked="0"/>
    </xf>
    <xf numFmtId="165" fontId="104" fillId="0" borderId="26" xfId="6" applyNumberFormat="1" applyFont="1" applyBorder="1" applyAlignment="1" applyProtection="1">
      <alignment vertical="center"/>
      <protection locked="0"/>
    </xf>
    <xf numFmtId="165" fontId="104" fillId="0" borderId="29" xfId="6" applyNumberFormat="1" applyFont="1" applyBorder="1" applyAlignment="1">
      <alignment vertical="center"/>
    </xf>
    <xf numFmtId="165" fontId="104" fillId="17" borderId="11" xfId="11" applyNumberFormat="1" applyFont="1" applyFill="1" applyBorder="1"/>
    <xf numFmtId="165" fontId="104" fillId="17" borderId="27" xfId="11" applyNumberFormat="1" applyFont="1" applyFill="1" applyBorder="1"/>
    <xf numFmtId="165" fontId="104" fillId="17" borderId="41" xfId="11" applyNumberFormat="1" applyFont="1" applyFill="1" applyBorder="1"/>
    <xf numFmtId="165" fontId="104" fillId="17" borderId="12" xfId="11" applyNumberFormat="1" applyFont="1" applyFill="1" applyBorder="1"/>
    <xf numFmtId="165" fontId="104" fillId="17" borderId="40" xfId="11" applyNumberFormat="1" applyFont="1" applyFill="1" applyBorder="1"/>
    <xf numFmtId="165" fontId="104" fillId="17" borderId="30" xfId="6" applyNumberFormat="1" applyFont="1" applyFill="1" applyBorder="1" applyAlignment="1">
      <alignment vertical="center"/>
    </xf>
    <xf numFmtId="0" fontId="67" fillId="0" borderId="0" xfId="18" applyFont="1"/>
    <xf numFmtId="165" fontId="104" fillId="16" borderId="5" xfId="20" applyNumberFormat="1" applyFont="1" applyFill="1" applyBorder="1" applyAlignment="1" applyProtection="1">
      <alignment vertical="center"/>
      <protection locked="0"/>
    </xf>
    <xf numFmtId="165" fontId="104" fillId="16" borderId="24" xfId="20" applyNumberFormat="1" applyFont="1" applyFill="1" applyBorder="1" applyAlignment="1" applyProtection="1">
      <alignment vertical="center"/>
      <protection locked="0"/>
    </xf>
    <xf numFmtId="165" fontId="104" fillId="16" borderId="37" xfId="20" applyNumberFormat="1" applyFont="1" applyFill="1" applyBorder="1" applyAlignment="1" applyProtection="1">
      <alignment vertical="center"/>
      <protection locked="0"/>
    </xf>
    <xf numFmtId="165" fontId="104" fillId="16" borderId="6" xfId="20" applyNumberFormat="1" applyFont="1" applyFill="1" applyBorder="1" applyAlignment="1" applyProtection="1">
      <alignment vertical="center"/>
      <protection locked="0"/>
    </xf>
    <xf numFmtId="165" fontId="104" fillId="16" borderId="36" xfId="20" applyNumberFormat="1" applyFont="1" applyFill="1" applyBorder="1" applyAlignment="1" applyProtection="1">
      <alignment vertical="center"/>
      <protection locked="0"/>
    </xf>
    <xf numFmtId="165" fontId="104" fillId="16" borderId="8" xfId="20" applyNumberFormat="1" applyFont="1" applyFill="1" applyBorder="1" applyAlignment="1" applyProtection="1">
      <alignment vertical="center"/>
      <protection locked="0"/>
    </xf>
    <xf numFmtId="165" fontId="104" fillId="16" borderId="26" xfId="20" applyNumberFormat="1" applyFont="1" applyFill="1" applyBorder="1" applyAlignment="1" applyProtection="1">
      <alignment vertical="center"/>
      <protection locked="0"/>
    </xf>
    <xf numFmtId="165" fontId="104" fillId="16" borderId="39" xfId="20" applyNumberFormat="1" applyFont="1" applyFill="1" applyBorder="1" applyAlignment="1" applyProtection="1">
      <alignment vertical="center"/>
      <protection locked="0"/>
    </xf>
    <xf numFmtId="165" fontId="104" fillId="16" borderId="9" xfId="20" applyNumberFormat="1" applyFont="1" applyFill="1" applyBorder="1" applyAlignment="1" applyProtection="1">
      <alignment vertical="center"/>
      <protection locked="0"/>
    </xf>
    <xf numFmtId="165" fontId="104" fillId="16" borderId="38" xfId="20" applyNumberFormat="1" applyFont="1" applyFill="1" applyBorder="1" applyAlignment="1" applyProtection="1">
      <alignment vertical="center"/>
      <protection locked="0"/>
    </xf>
    <xf numFmtId="165" fontId="104" fillId="17" borderId="8" xfId="6" applyNumberFormat="1" applyFont="1" applyFill="1" applyBorder="1" applyAlignment="1">
      <alignment vertical="center"/>
    </xf>
    <xf numFmtId="165" fontId="104" fillId="17" borderId="26" xfId="6" applyNumberFormat="1" applyFont="1" applyFill="1" applyBorder="1" applyAlignment="1">
      <alignment vertical="center"/>
    </xf>
    <xf numFmtId="165" fontId="104" fillId="17" borderId="39" xfId="6" applyNumberFormat="1" applyFont="1" applyFill="1" applyBorder="1" applyAlignment="1">
      <alignment vertical="center"/>
    </xf>
    <xf numFmtId="165" fontId="104" fillId="17" borderId="56" xfId="6" applyNumberFormat="1" applyFont="1" applyFill="1" applyBorder="1" applyAlignment="1">
      <alignment vertical="center"/>
    </xf>
    <xf numFmtId="165" fontId="104" fillId="17" borderId="11" xfId="6" applyNumberFormat="1" applyFont="1" applyFill="1" applyBorder="1" applyAlignment="1">
      <alignment vertical="center"/>
    </xf>
    <xf numFmtId="165" fontId="104" fillId="17" borderId="27" xfId="6" applyNumberFormat="1" applyFont="1" applyFill="1" applyBorder="1" applyAlignment="1">
      <alignment vertical="center"/>
    </xf>
    <xf numFmtId="165" fontId="104" fillId="17" borderId="228" xfId="6" applyNumberFormat="1" applyFont="1" applyFill="1" applyBorder="1" applyAlignment="1">
      <alignment vertical="center"/>
    </xf>
    <xf numFmtId="165" fontId="104" fillId="17" borderId="229" xfId="6" applyNumberFormat="1" applyFont="1" applyFill="1" applyBorder="1" applyAlignment="1">
      <alignment vertical="center"/>
    </xf>
    <xf numFmtId="165" fontId="104" fillId="17" borderId="41" xfId="6" applyNumberFormat="1" applyFont="1" applyFill="1" applyBorder="1" applyAlignment="1">
      <alignment vertical="center"/>
    </xf>
    <xf numFmtId="165" fontId="104" fillId="17" borderId="12" xfId="6" applyNumberFormat="1" applyFont="1" applyFill="1" applyBorder="1" applyAlignment="1">
      <alignment vertical="center"/>
    </xf>
    <xf numFmtId="165" fontId="104" fillId="17" borderId="40" xfId="6" applyNumberFormat="1" applyFont="1" applyFill="1" applyBorder="1" applyAlignment="1">
      <alignment vertical="center"/>
    </xf>
    <xf numFmtId="165" fontId="104" fillId="17" borderId="230" xfId="6" applyNumberFormat="1" applyFont="1" applyFill="1" applyBorder="1" applyAlignment="1">
      <alignment vertical="center"/>
    </xf>
    <xf numFmtId="0" fontId="105" fillId="0" borderId="0" xfId="6" applyFont="1" applyAlignment="1">
      <alignment horizontal="center" vertical="center"/>
    </xf>
    <xf numFmtId="165" fontId="104" fillId="0" borderId="0" xfId="6" applyNumberFormat="1" applyFont="1" applyAlignment="1">
      <alignment vertical="center"/>
    </xf>
    <xf numFmtId="165" fontId="104" fillId="17" borderId="231" xfId="6" applyNumberFormat="1" applyFont="1" applyFill="1" applyBorder="1" applyAlignment="1">
      <alignment vertical="center"/>
    </xf>
    <xf numFmtId="165" fontId="104" fillId="17" borderId="232" xfId="6" applyNumberFormat="1" applyFont="1" applyFill="1" applyBorder="1" applyAlignment="1">
      <alignment vertical="center"/>
    </xf>
    <xf numFmtId="165" fontId="104" fillId="16" borderId="43" xfId="6" applyNumberFormat="1" applyFont="1" applyFill="1" applyBorder="1" applyAlignment="1" applyProtection="1">
      <alignment vertical="center"/>
      <protection locked="0"/>
    </xf>
    <xf numFmtId="165" fontId="104" fillId="16" borderId="116" xfId="6" applyNumberFormat="1" applyFont="1" applyFill="1" applyBorder="1" applyAlignment="1" applyProtection="1">
      <alignment vertical="center"/>
      <protection locked="0"/>
    </xf>
    <xf numFmtId="165" fontId="104" fillId="16" borderId="107" xfId="6" applyNumberFormat="1" applyFont="1" applyFill="1" applyBorder="1" applyAlignment="1" applyProtection="1">
      <alignment vertical="center"/>
      <protection locked="0"/>
    </xf>
    <xf numFmtId="165" fontId="104" fillId="16" borderId="44" xfId="6" applyNumberFormat="1" applyFont="1" applyFill="1" applyBorder="1" applyAlignment="1" applyProtection="1">
      <alignment vertical="center"/>
      <protection locked="0"/>
    </xf>
    <xf numFmtId="165" fontId="104" fillId="16" borderId="108" xfId="6" applyNumberFormat="1" applyFont="1" applyFill="1" applyBorder="1" applyAlignment="1" applyProtection="1">
      <alignment vertical="center"/>
      <protection locked="0"/>
    </xf>
    <xf numFmtId="165" fontId="104" fillId="18" borderId="11" xfId="6" applyNumberFormat="1" applyFont="1" applyFill="1" applyBorder="1" applyAlignment="1" applyProtection="1">
      <alignment vertical="center"/>
      <protection locked="0"/>
    </xf>
    <xf numFmtId="165" fontId="104" fillId="18" borderId="27" xfId="6" applyNumberFormat="1" applyFont="1" applyFill="1" applyBorder="1" applyAlignment="1" applyProtection="1">
      <alignment vertical="center"/>
      <protection locked="0"/>
    </xf>
    <xf numFmtId="165" fontId="104" fillId="18" borderId="41" xfId="6" applyNumberFormat="1" applyFont="1" applyFill="1" applyBorder="1" applyAlignment="1" applyProtection="1">
      <alignment vertical="center"/>
      <protection locked="0"/>
    </xf>
    <xf numFmtId="165" fontId="104" fillId="18" borderId="12" xfId="6" applyNumberFormat="1" applyFont="1" applyFill="1" applyBorder="1" applyAlignment="1" applyProtection="1">
      <alignment vertical="center"/>
      <protection locked="0"/>
    </xf>
    <xf numFmtId="165" fontId="104" fillId="18" borderId="40" xfId="6" applyNumberFormat="1" applyFont="1" applyFill="1" applyBorder="1" applyAlignment="1" applyProtection="1">
      <alignment vertical="center"/>
      <protection locked="0"/>
    </xf>
    <xf numFmtId="165" fontId="104" fillId="18" borderId="233" xfId="6" applyNumberFormat="1" applyFont="1" applyFill="1" applyBorder="1" applyAlignment="1">
      <alignment vertical="center"/>
    </xf>
    <xf numFmtId="165" fontId="104" fillId="18" borderId="2" xfId="6" applyNumberFormat="1" applyFont="1" applyFill="1" applyBorder="1" applyAlignment="1" applyProtection="1">
      <alignment vertical="center"/>
      <protection locked="0"/>
    </xf>
    <xf numFmtId="165" fontId="104" fillId="18" borderId="35" xfId="6" applyNumberFormat="1" applyFont="1" applyFill="1" applyBorder="1" applyAlignment="1" applyProtection="1">
      <alignment vertical="center"/>
      <protection locked="0"/>
    </xf>
    <xf numFmtId="165" fontId="104" fillId="18" borderId="61" xfId="6" applyNumberFormat="1" applyFont="1" applyFill="1" applyBorder="1" applyAlignment="1" applyProtection="1">
      <alignment vertical="center"/>
      <protection locked="0"/>
    </xf>
    <xf numFmtId="165" fontId="104" fillId="18" borderId="3" xfId="6" applyNumberFormat="1" applyFont="1" applyFill="1" applyBorder="1" applyAlignment="1" applyProtection="1">
      <alignment vertical="center"/>
      <protection locked="0"/>
    </xf>
    <xf numFmtId="165" fontId="104" fillId="18" borderId="4" xfId="6" applyNumberFormat="1" applyFont="1" applyFill="1" applyBorder="1" applyAlignment="1" applyProtection="1">
      <alignment vertical="center"/>
      <protection locked="0"/>
    </xf>
    <xf numFmtId="165" fontId="104" fillId="18" borderId="227" xfId="6" applyNumberFormat="1" applyFont="1" applyFill="1" applyBorder="1" applyAlignment="1" applyProtection="1">
      <alignment vertical="center"/>
      <protection locked="0"/>
    </xf>
    <xf numFmtId="165" fontId="35" fillId="16" borderId="9" xfId="6" applyNumberFormat="1" applyFont="1" applyFill="1" applyBorder="1" applyAlignment="1" applyProtection="1">
      <alignment vertical="center"/>
      <protection locked="0"/>
    </xf>
    <xf numFmtId="0" fontId="35" fillId="0" borderId="12" xfId="6" applyFont="1" applyBorder="1" applyAlignment="1">
      <alignment vertical="center"/>
    </xf>
    <xf numFmtId="0" fontId="35" fillId="0" borderId="3" xfId="6" applyFont="1" applyBorder="1" applyAlignment="1">
      <alignment vertical="center"/>
    </xf>
    <xf numFmtId="165" fontId="104" fillId="17" borderId="9" xfId="11" applyNumberFormat="1" applyFont="1" applyFill="1" applyBorder="1"/>
    <xf numFmtId="165" fontId="104" fillId="17" borderId="38" xfId="11" applyNumberFormat="1" applyFont="1" applyFill="1" applyBorder="1"/>
    <xf numFmtId="165" fontId="104" fillId="17" borderId="247" xfId="6" applyNumberFormat="1" applyFont="1" applyFill="1" applyBorder="1" applyAlignment="1">
      <alignment vertical="center"/>
    </xf>
    <xf numFmtId="165" fontId="104" fillId="18" borderId="60" xfId="6" applyNumberFormat="1" applyFont="1" applyFill="1" applyBorder="1" applyAlignment="1" applyProtection="1">
      <alignment vertical="center"/>
      <protection locked="0"/>
    </xf>
    <xf numFmtId="165" fontId="104" fillId="17" borderId="246" xfId="6" applyNumberFormat="1" applyFont="1" applyFill="1" applyBorder="1" applyAlignment="1">
      <alignment vertical="center"/>
    </xf>
    <xf numFmtId="0" fontId="62" fillId="0" borderId="47" xfId="0" applyFont="1" applyBorder="1" applyAlignment="1">
      <alignment vertical="center"/>
    </xf>
    <xf numFmtId="0" fontId="62" fillId="4" borderId="9" xfId="11" applyFont="1" applyFill="1" applyBorder="1" applyAlignment="1" applyProtection="1">
      <alignment vertical="center"/>
      <protection locked="0"/>
    </xf>
    <xf numFmtId="0" fontId="62" fillId="4" borderId="12" xfId="11" applyFont="1" applyFill="1" applyBorder="1" applyAlignment="1" applyProtection="1">
      <alignment vertical="center"/>
      <protection locked="0"/>
    </xf>
    <xf numFmtId="0" fontId="62" fillId="0" borderId="3" xfId="11" applyFont="1" applyBorder="1" applyAlignment="1">
      <alignment vertical="center"/>
    </xf>
    <xf numFmtId="0" fontId="35" fillId="0" borderId="47" xfId="11" applyFont="1" applyBorder="1" applyAlignment="1">
      <alignment vertical="center" wrapText="1"/>
    </xf>
    <xf numFmtId="0" fontId="35" fillId="0" borderId="9" xfId="11" applyFont="1" applyBorder="1" applyAlignment="1">
      <alignment vertical="center" wrapText="1"/>
    </xf>
    <xf numFmtId="165" fontId="104" fillId="0" borderId="6" xfId="6" applyNumberFormat="1" applyFont="1" applyBorder="1" applyAlignment="1" applyProtection="1">
      <alignment vertical="center"/>
      <protection locked="0"/>
    </xf>
    <xf numFmtId="165" fontId="104" fillId="0" borderId="9" xfId="6" applyNumberFormat="1" applyFont="1" applyBorder="1" applyAlignment="1" applyProtection="1">
      <alignment vertical="center"/>
      <protection locked="0"/>
    </xf>
    <xf numFmtId="165" fontId="104" fillId="0" borderId="44" xfId="6" applyNumberFormat="1" applyFont="1" applyBorder="1" applyAlignment="1" applyProtection="1">
      <alignment vertical="center"/>
      <protection locked="0"/>
    </xf>
    <xf numFmtId="165" fontId="35" fillId="4" borderId="103" xfId="2" applyNumberFormat="1" applyFont="1" applyFill="1" applyBorder="1" applyAlignment="1" applyProtection="1">
      <alignment vertical="center"/>
      <protection locked="0"/>
    </xf>
    <xf numFmtId="165" fontId="35" fillId="4" borderId="50" xfId="2" applyNumberFormat="1" applyFont="1" applyFill="1" applyBorder="1" applyAlignment="1" applyProtection="1">
      <alignment vertical="center"/>
      <protection locked="0"/>
    </xf>
    <xf numFmtId="165" fontId="35" fillId="4" borderId="115" xfId="2" applyNumberFormat="1" applyFont="1" applyFill="1" applyBorder="1" applyAlignment="1" applyProtection="1">
      <alignment vertical="center"/>
      <protection locked="0"/>
    </xf>
    <xf numFmtId="165" fontId="35" fillId="4" borderId="104" xfId="2" applyNumberFormat="1" applyFont="1" applyFill="1" applyBorder="1" applyAlignment="1" applyProtection="1">
      <alignment vertical="center"/>
      <protection locked="0"/>
    </xf>
    <xf numFmtId="165" fontId="35" fillId="4" borderId="47" xfId="2" applyNumberFormat="1" applyFont="1" applyFill="1" applyBorder="1" applyAlignment="1" applyProtection="1">
      <alignment vertical="center"/>
      <protection locked="0"/>
    </xf>
    <xf numFmtId="165" fontId="104" fillId="7" borderId="32" xfId="6" applyNumberFormat="1" applyFont="1" applyFill="1" applyBorder="1" applyAlignment="1">
      <alignment vertical="center"/>
    </xf>
    <xf numFmtId="165" fontId="35" fillId="4" borderId="56" xfId="2" applyNumberFormat="1" applyFont="1" applyFill="1" applyBorder="1" applyAlignment="1" applyProtection="1">
      <alignment vertical="center"/>
      <protection locked="0"/>
    </xf>
    <xf numFmtId="165" fontId="35" fillId="4" borderId="10" xfId="2" applyNumberFormat="1" applyFont="1" applyFill="1" applyBorder="1" applyAlignment="1" applyProtection="1">
      <alignment vertical="center"/>
      <protection locked="0"/>
    </xf>
    <xf numFmtId="165" fontId="35" fillId="4" borderId="39" xfId="2" applyNumberFormat="1" applyFont="1" applyFill="1" applyBorder="1" applyAlignment="1" applyProtection="1">
      <alignment vertical="center"/>
      <protection locked="0"/>
    </xf>
    <xf numFmtId="165" fontId="35" fillId="4" borderId="29" xfId="2" applyNumberFormat="1" applyFont="1" applyFill="1" applyBorder="1" applyAlignment="1" applyProtection="1">
      <alignment vertical="center"/>
      <protection locked="0"/>
    </xf>
    <xf numFmtId="165" fontId="35" fillId="4" borderId="9" xfId="2" applyNumberFormat="1" applyFont="1" applyFill="1" applyBorder="1" applyAlignment="1" applyProtection="1">
      <alignment vertical="center"/>
      <protection locked="0"/>
    </xf>
    <xf numFmtId="0" fontId="79" fillId="0" borderId="175" xfId="18" applyFont="1" applyBorder="1"/>
    <xf numFmtId="165" fontId="9" fillId="4" borderId="9" xfId="6"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protection locked="0"/>
    </xf>
    <xf numFmtId="165" fontId="18" fillId="4" borderId="12" xfId="23" applyNumberFormat="1" applyFont="1" applyFill="1" applyBorder="1" applyAlignment="1" applyProtection="1">
      <alignment vertical="center"/>
      <protection locked="0"/>
    </xf>
    <xf numFmtId="165" fontId="35" fillId="4" borderId="56" xfId="19" applyNumberFormat="1" applyFont="1" applyFill="1" applyBorder="1" applyAlignment="1" applyProtection="1">
      <alignment vertical="center"/>
      <protection locked="0"/>
    </xf>
    <xf numFmtId="165" fontId="35" fillId="4" borderId="9" xfId="19" applyNumberFormat="1" applyFont="1" applyFill="1" applyBorder="1" applyAlignment="1" applyProtection="1">
      <alignment vertical="center"/>
      <protection locked="0"/>
    </xf>
    <xf numFmtId="165" fontId="35" fillId="4" borderId="10" xfId="19" applyNumberFormat="1" applyFont="1" applyFill="1" applyBorder="1" applyAlignment="1" applyProtection="1">
      <alignment vertical="center"/>
      <protection locked="0"/>
    </xf>
    <xf numFmtId="165" fontId="35" fillId="4" borderId="39" xfId="19" applyNumberFormat="1" applyFont="1" applyFill="1" applyBorder="1" applyAlignment="1" applyProtection="1">
      <alignment vertical="center"/>
      <protection locked="0"/>
    </xf>
    <xf numFmtId="165" fontId="35" fillId="4" borderId="38" xfId="19" applyNumberFormat="1" applyFont="1" applyFill="1" applyBorder="1" applyAlignment="1" applyProtection="1">
      <alignment vertical="center"/>
      <protection locked="0"/>
    </xf>
    <xf numFmtId="165" fontId="35" fillId="4" borderId="8" xfId="19" applyNumberFormat="1" applyFont="1" applyFill="1" applyBorder="1" applyAlignment="1" applyProtection="1">
      <alignment vertical="center"/>
      <protection locked="0"/>
    </xf>
    <xf numFmtId="165" fontId="35" fillId="4" borderId="54" xfId="19" applyNumberFormat="1" applyFont="1" applyFill="1" applyBorder="1" applyAlignment="1" applyProtection="1">
      <alignment vertical="center"/>
      <protection locked="0"/>
    </xf>
    <xf numFmtId="165" fontId="35" fillId="4" borderId="112" xfId="19" applyNumberFormat="1" applyFont="1" applyFill="1" applyBorder="1" applyAlignment="1" applyProtection="1">
      <alignment vertical="center"/>
      <protection locked="0"/>
    </xf>
    <xf numFmtId="165" fontId="35" fillId="4" borderId="57" xfId="19" applyNumberFormat="1" applyFont="1" applyFill="1" applyBorder="1" applyAlignment="1" applyProtection="1">
      <alignment vertical="center"/>
      <protection locked="0"/>
    </xf>
    <xf numFmtId="165" fontId="35" fillId="21" borderId="33" xfId="11" applyNumberFormat="1" applyFont="1" applyFill="1" applyBorder="1" applyAlignment="1" applyProtection="1">
      <alignment vertical="center"/>
      <protection locked="0"/>
    </xf>
    <xf numFmtId="165" fontId="35" fillId="4" borderId="37" xfId="19" applyNumberFormat="1" applyFont="1" applyFill="1" applyBorder="1" applyAlignment="1" applyProtection="1">
      <alignment vertical="center"/>
      <protection locked="0"/>
    </xf>
    <xf numFmtId="165" fontId="35" fillId="4" borderId="107" xfId="19" applyNumberFormat="1" applyFont="1" applyFill="1" applyBorder="1" applyAlignment="1" applyProtection="1">
      <alignment vertical="center"/>
      <protection locked="0"/>
    </xf>
    <xf numFmtId="165" fontId="35" fillId="4" borderId="41" xfId="19" applyNumberFormat="1" applyFont="1" applyFill="1" applyBorder="1" applyAlignment="1" applyProtection="1">
      <alignment vertical="center"/>
      <protection locked="0"/>
    </xf>
    <xf numFmtId="165" fontId="35" fillId="21" borderId="61" xfId="11" applyNumberFormat="1" applyFont="1" applyFill="1" applyBorder="1" applyAlignment="1" applyProtection="1">
      <alignment vertical="center"/>
      <protection locked="0"/>
    </xf>
    <xf numFmtId="165" fontId="35" fillId="4" borderId="5" xfId="19" applyNumberFormat="1" applyFont="1" applyFill="1" applyBorder="1" applyAlignment="1" applyProtection="1">
      <alignment vertical="center"/>
      <protection locked="0"/>
    </xf>
    <xf numFmtId="165" fontId="35" fillId="4" borderId="6" xfId="19" applyNumberFormat="1" applyFont="1" applyFill="1" applyBorder="1" applyAlignment="1" applyProtection="1">
      <alignment vertical="center"/>
      <protection locked="0"/>
    </xf>
    <xf numFmtId="165" fontId="35" fillId="4" borderId="7" xfId="19" applyNumberFormat="1" applyFont="1" applyFill="1" applyBorder="1" applyAlignment="1" applyProtection="1">
      <alignment vertical="center"/>
      <protection locked="0"/>
    </xf>
    <xf numFmtId="165" fontId="35" fillId="4" borderId="44" xfId="19" applyNumberFormat="1" applyFont="1" applyFill="1" applyBorder="1" applyAlignment="1" applyProtection="1">
      <alignment vertical="center"/>
      <protection locked="0"/>
    </xf>
    <xf numFmtId="165" fontId="35" fillId="4" borderId="62" xfId="19" applyNumberFormat="1" applyFont="1" applyFill="1" applyBorder="1" applyAlignment="1" applyProtection="1">
      <alignment vertical="center"/>
      <protection locked="0"/>
    </xf>
    <xf numFmtId="165" fontId="35" fillId="4" borderId="12" xfId="19" applyNumberFormat="1" applyFont="1" applyFill="1" applyBorder="1" applyAlignment="1" applyProtection="1">
      <alignment vertical="center"/>
      <protection locked="0"/>
    </xf>
    <xf numFmtId="165" fontId="35" fillId="4" borderId="13" xfId="19" applyNumberFormat="1" applyFont="1" applyFill="1" applyBorder="1" applyAlignment="1" applyProtection="1">
      <alignment vertical="center"/>
      <protection locked="0"/>
    </xf>
    <xf numFmtId="165" fontId="35" fillId="21" borderId="3" xfId="11" applyNumberFormat="1" applyFont="1" applyFill="1" applyBorder="1" applyAlignment="1" applyProtection="1">
      <alignment vertical="center"/>
      <protection locked="0"/>
    </xf>
    <xf numFmtId="165" fontId="35" fillId="21" borderId="4" xfId="11" applyNumberFormat="1" applyFont="1" applyFill="1" applyBorder="1" applyAlignment="1" applyProtection="1">
      <alignment vertical="center"/>
      <protection locked="0"/>
    </xf>
    <xf numFmtId="165" fontId="35" fillId="4" borderId="43" xfId="19" applyNumberFormat="1" applyFont="1" applyFill="1" applyBorder="1" applyAlignment="1" applyProtection="1">
      <alignment vertical="center"/>
      <protection locked="0"/>
    </xf>
    <xf numFmtId="165" fontId="35" fillId="4" borderId="11" xfId="19" applyNumberFormat="1" applyFont="1" applyFill="1" applyBorder="1" applyAlignment="1" applyProtection="1">
      <alignment vertical="center"/>
      <protection locked="0"/>
    </xf>
    <xf numFmtId="165" fontId="35" fillId="21" borderId="2" xfId="11" applyNumberFormat="1" applyFont="1" applyFill="1" applyBorder="1" applyAlignment="1" applyProtection="1">
      <alignment vertical="center"/>
      <protection locked="0"/>
    </xf>
    <xf numFmtId="0" fontId="87" fillId="23" borderId="6" xfId="11" applyFont="1" applyFill="1" applyBorder="1" applyAlignment="1">
      <alignment horizontal="center" vertical="center" wrapText="1"/>
    </xf>
    <xf numFmtId="0" fontId="87" fillId="23" borderId="9" xfId="11" applyFont="1" applyFill="1" applyBorder="1" applyAlignment="1">
      <alignment horizontal="center" vertical="center" wrapText="1"/>
    </xf>
    <xf numFmtId="0" fontId="87" fillId="23" borderId="12" xfId="11" applyFont="1" applyFill="1" applyBorder="1" applyAlignment="1">
      <alignment horizontal="center" vertical="center" wrapText="1"/>
    </xf>
    <xf numFmtId="0" fontId="87" fillId="0" borderId="6" xfId="11" applyFont="1" applyBorder="1" applyAlignment="1">
      <alignment horizontal="center" vertical="center" wrapText="1"/>
    </xf>
    <xf numFmtId="0" fontId="87" fillId="0" borderId="9" xfId="11" applyFont="1" applyBorder="1" applyAlignment="1">
      <alignment horizontal="center" vertical="center" wrapText="1"/>
    </xf>
    <xf numFmtId="0" fontId="87" fillId="0" borderId="12" xfId="11" applyFont="1" applyBorder="1" applyAlignment="1">
      <alignment horizontal="center" vertical="center" wrapText="1"/>
    </xf>
    <xf numFmtId="0" fontId="62" fillId="0" borderId="0" xfId="11" applyFont="1" applyAlignment="1">
      <alignment horizontal="center" vertical="center" wrapText="1"/>
    </xf>
    <xf numFmtId="0" fontId="62" fillId="0" borderId="6" xfId="11" applyFont="1" applyBorder="1" applyAlignment="1">
      <alignment horizontal="center" vertical="center"/>
    </xf>
    <xf numFmtId="0" fontId="62" fillId="0" borderId="9" xfId="11" applyFont="1" applyBorder="1" applyAlignment="1">
      <alignment horizontal="center" vertical="center"/>
    </xf>
    <xf numFmtId="0" fontId="35" fillId="0" borderId="9" xfId="11" applyFont="1" applyBorder="1" applyAlignment="1">
      <alignment horizontal="center" vertical="center"/>
    </xf>
    <xf numFmtId="0" fontId="62" fillId="0" borderId="44" xfId="11" applyFont="1" applyBorder="1" applyAlignment="1">
      <alignment horizontal="center" vertical="center"/>
    </xf>
    <xf numFmtId="0" fontId="62" fillId="0" borderId="12" xfId="11" applyFont="1" applyBorder="1" applyAlignment="1">
      <alignment horizontal="center" vertical="center"/>
    </xf>
    <xf numFmtId="0" fontId="87" fillId="0" borderId="6" xfId="11" applyFont="1" applyBorder="1" applyAlignment="1">
      <alignment horizontal="center" vertical="center"/>
    </xf>
    <xf numFmtId="0" fontId="87" fillId="0" borderId="9" xfId="11" applyFont="1" applyBorder="1" applyAlignment="1">
      <alignment horizontal="center" vertical="center"/>
    </xf>
    <xf numFmtId="0" fontId="87" fillId="0" borderId="12" xfId="11" applyFont="1" applyBorder="1" applyAlignment="1">
      <alignment horizontal="center" vertical="center"/>
    </xf>
    <xf numFmtId="0" fontId="62" fillId="0" borderId="0" xfId="11" applyFont="1" applyAlignment="1">
      <alignment horizontal="center" vertical="center"/>
    </xf>
    <xf numFmtId="0" fontId="9" fillId="0" borderId="7" xfId="6" applyFont="1" applyBorder="1" applyAlignment="1">
      <alignment horizontal="center" vertical="center"/>
    </xf>
    <xf numFmtId="0" fontId="62" fillId="0" borderId="48" xfId="11" applyFont="1" applyBorder="1" applyAlignment="1">
      <alignment horizontal="center" vertical="center"/>
    </xf>
    <xf numFmtId="0" fontId="62" fillId="0" borderId="38" xfId="11" applyFont="1" applyBorder="1" applyAlignment="1">
      <alignment horizontal="center" vertical="center"/>
    </xf>
    <xf numFmtId="0" fontId="62" fillId="0" borderId="237" xfId="11" applyFont="1" applyBorder="1" applyAlignment="1">
      <alignment horizontal="center" vertical="center"/>
    </xf>
    <xf numFmtId="0" fontId="62" fillId="0" borderId="189" xfId="11" applyFont="1" applyBorder="1" applyAlignment="1">
      <alignment horizontal="center" vertical="center"/>
    </xf>
    <xf numFmtId="0" fontId="62" fillId="0" borderId="7" xfId="11" applyFont="1" applyBorder="1" applyAlignment="1">
      <alignment horizontal="center" vertical="center"/>
    </xf>
    <xf numFmtId="0" fontId="62" fillId="0" borderId="10" xfId="11" applyFont="1" applyBorder="1" applyAlignment="1">
      <alignment horizontal="center" vertical="center"/>
    </xf>
    <xf numFmtId="0" fontId="62" fillId="0" borderId="13" xfId="11" applyFont="1" applyBorder="1" applyAlignment="1">
      <alignment horizontal="center" vertical="center"/>
    </xf>
    <xf numFmtId="0" fontId="9" fillId="23" borderId="6" xfId="6" applyFont="1" applyFill="1" applyBorder="1" applyAlignment="1">
      <alignment horizontal="center" vertical="center"/>
    </xf>
    <xf numFmtId="0" fontId="62" fillId="23" borderId="9" xfId="11" applyFont="1" applyFill="1" applyBorder="1" applyAlignment="1">
      <alignment horizontal="center" vertical="center"/>
    </xf>
    <xf numFmtId="0" fontId="62" fillId="23" borderId="9" xfId="11" applyFont="1" applyFill="1" applyBorder="1" applyAlignment="1">
      <alignment horizontal="center" vertical="center" wrapText="1"/>
    </xf>
    <xf numFmtId="0" fontId="62" fillId="23" borderId="44" xfId="11" applyFont="1" applyFill="1" applyBorder="1" applyAlignment="1">
      <alignment horizontal="center" vertical="center" wrapText="1"/>
    </xf>
    <xf numFmtId="0" fontId="62" fillId="23" borderId="3" xfId="11" applyFont="1" applyFill="1" applyBorder="1" applyAlignment="1">
      <alignment horizontal="center" vertical="center" wrapText="1"/>
    </xf>
    <xf numFmtId="0" fontId="35" fillId="0" borderId="47" xfId="11" applyFont="1" applyBorder="1" applyAlignment="1">
      <alignment horizontal="center" vertical="center"/>
    </xf>
    <xf numFmtId="0" fontId="62" fillId="0" borderId="34" xfId="11" applyFont="1" applyBorder="1" applyAlignment="1">
      <alignment horizontal="center" vertical="center"/>
    </xf>
    <xf numFmtId="0" fontId="9" fillId="0" borderId="6" xfId="6" applyFont="1" applyBorder="1" applyAlignment="1">
      <alignment horizontal="center" vertical="center"/>
    </xf>
    <xf numFmtId="0" fontId="62" fillId="0" borderId="9" xfId="11" applyFont="1" applyBorder="1" applyAlignment="1">
      <alignment horizontal="center" vertical="center" wrapText="1"/>
    </xf>
    <xf numFmtId="0" fontId="62" fillId="0" borderId="12" xfId="11" applyFont="1" applyBorder="1" applyAlignment="1">
      <alignment horizontal="center" vertical="center" wrapText="1"/>
    </xf>
    <xf numFmtId="0" fontId="0" fillId="0" borderId="193" xfId="0" applyBorder="1"/>
    <xf numFmtId="0" fontId="0" fillId="0" borderId="194" xfId="0" applyBorder="1" applyAlignment="1">
      <alignment horizontal="center"/>
    </xf>
    <xf numFmtId="0" fontId="0" fillId="0" borderId="203" xfId="0" applyBorder="1" applyAlignment="1">
      <alignment horizontal="center"/>
    </xf>
    <xf numFmtId="0" fontId="0" fillId="0" borderId="214" xfId="0" applyBorder="1" applyAlignment="1">
      <alignment horizontal="center"/>
    </xf>
    <xf numFmtId="0" fontId="0" fillId="0" borderId="218" xfId="0" applyBorder="1" applyAlignment="1">
      <alignment horizontal="center"/>
    </xf>
    <xf numFmtId="0" fontId="0" fillId="0" borderId="242" xfId="0" applyBorder="1" applyAlignment="1">
      <alignment horizontal="center"/>
    </xf>
    <xf numFmtId="165" fontId="18" fillId="7" borderId="257" xfId="19" applyNumberFormat="1" applyFont="1" applyFill="1" applyBorder="1" applyAlignment="1" applyProtection="1">
      <alignment vertical="center"/>
      <protection locked="0"/>
    </xf>
    <xf numFmtId="165" fontId="18" fillId="7" borderId="258" xfId="19" applyNumberFormat="1" applyFont="1" applyFill="1" applyBorder="1" applyAlignment="1" applyProtection="1">
      <alignment vertical="center"/>
      <protection locked="0"/>
    </xf>
    <xf numFmtId="165" fontId="18" fillId="7" borderId="259" xfId="19" applyNumberFormat="1" applyFont="1" applyFill="1" applyBorder="1" applyAlignment="1" applyProtection="1">
      <alignment vertical="center"/>
      <protection locked="0"/>
    </xf>
    <xf numFmtId="165" fontId="104" fillId="7" borderId="8" xfId="2" applyNumberFormat="1" applyFont="1" applyFill="1" applyBorder="1" applyAlignment="1" applyProtection="1">
      <alignment vertical="center"/>
    </xf>
    <xf numFmtId="165" fontId="104" fillId="7" borderId="26" xfId="2" applyNumberFormat="1" applyFont="1" applyFill="1" applyBorder="1" applyAlignment="1" applyProtection="1">
      <alignment vertical="center"/>
    </xf>
    <xf numFmtId="165" fontId="104" fillId="7" borderId="32" xfId="9" applyNumberFormat="1" applyFont="1" applyFill="1" applyBorder="1" applyAlignment="1">
      <alignment vertical="center"/>
    </xf>
    <xf numFmtId="49" fontId="0" fillId="0" borderId="0" xfId="0" applyNumberFormat="1"/>
    <xf numFmtId="165" fontId="104" fillId="0" borderId="1" xfId="10" applyNumberFormat="1" applyFont="1" applyFill="1" applyBorder="1" applyAlignment="1" applyProtection="1">
      <alignment vertical="center"/>
    </xf>
    <xf numFmtId="165" fontId="104" fillId="7" borderId="11" xfId="9" applyNumberFormat="1" applyFont="1" applyFill="1" applyBorder="1" applyAlignment="1">
      <alignment vertical="center"/>
    </xf>
    <xf numFmtId="0" fontId="2" fillId="0" borderId="0" xfId="8" applyFont="1" applyAlignment="1">
      <alignment vertical="center"/>
    </xf>
    <xf numFmtId="165" fontId="104" fillId="4" borderId="43" xfId="6" applyNumberFormat="1" applyFont="1" applyFill="1" applyBorder="1" applyAlignment="1" applyProtection="1">
      <alignment vertical="center"/>
      <protection locked="0"/>
    </xf>
    <xf numFmtId="165" fontId="104" fillId="4" borderId="42" xfId="6" applyNumberFormat="1" applyFont="1" applyFill="1" applyBorder="1" applyAlignment="1" applyProtection="1">
      <alignment vertical="center"/>
      <protection locked="0"/>
    </xf>
    <xf numFmtId="165" fontId="104" fillId="4" borderId="44" xfId="6" applyNumberFormat="1" applyFont="1" applyFill="1" applyBorder="1" applyAlignment="1" applyProtection="1">
      <alignment vertical="center"/>
      <protection locked="0"/>
    </xf>
    <xf numFmtId="165" fontId="104" fillId="4" borderId="116" xfId="6" applyNumberFormat="1" applyFont="1" applyFill="1" applyBorder="1" applyAlignment="1" applyProtection="1">
      <alignment vertical="center"/>
      <protection locked="0"/>
    </xf>
    <xf numFmtId="165" fontId="104" fillId="4" borderId="107" xfId="6" applyNumberFormat="1" applyFont="1" applyFill="1" applyBorder="1" applyAlignment="1" applyProtection="1">
      <alignment vertical="center"/>
      <protection locked="0"/>
    </xf>
    <xf numFmtId="165" fontId="104" fillId="4" borderId="108" xfId="6" applyNumberFormat="1" applyFont="1" applyFill="1" applyBorder="1" applyAlignment="1" applyProtection="1">
      <alignment vertical="center"/>
      <protection locked="0"/>
    </xf>
    <xf numFmtId="165" fontId="104" fillId="4" borderId="39" xfId="6" applyNumberFormat="1" applyFont="1" applyFill="1" applyBorder="1" applyAlignment="1" applyProtection="1">
      <alignment vertical="center"/>
      <protection locked="0"/>
    </xf>
    <xf numFmtId="165" fontId="104" fillId="4" borderId="26" xfId="6" applyNumberFormat="1" applyFont="1" applyFill="1" applyBorder="1" applyAlignment="1" applyProtection="1">
      <alignment vertical="center"/>
      <protection locked="0"/>
    </xf>
    <xf numFmtId="165" fontId="104" fillId="4" borderId="38" xfId="6" applyNumberFormat="1" applyFont="1" applyFill="1" applyBorder="1" applyAlignment="1" applyProtection="1">
      <alignment vertical="center"/>
      <protection locked="0"/>
    </xf>
    <xf numFmtId="165" fontId="104" fillId="4" borderId="5" xfId="9" applyNumberFormat="1" applyFont="1" applyFill="1" applyBorder="1" applyAlignment="1" applyProtection="1">
      <alignment vertical="center"/>
      <protection locked="0"/>
    </xf>
    <xf numFmtId="165" fontId="104" fillId="4" borderId="7" xfId="9" applyNumberFormat="1" applyFont="1" applyFill="1" applyBorder="1" applyAlignment="1" applyProtection="1">
      <alignment vertical="center"/>
      <protection locked="0"/>
    </xf>
    <xf numFmtId="165" fontId="104" fillId="4" borderId="8" xfId="9" applyNumberFormat="1" applyFont="1" applyFill="1" applyBorder="1" applyAlignment="1" applyProtection="1">
      <alignment vertical="center"/>
      <protection locked="0"/>
    </xf>
    <xf numFmtId="165" fontId="104" fillId="4" borderId="10" xfId="9" applyNumberFormat="1" applyFont="1" applyFill="1" applyBorder="1" applyAlignment="1" applyProtection="1">
      <alignment vertical="center"/>
      <protection locked="0"/>
    </xf>
    <xf numFmtId="165" fontId="104" fillId="7" borderId="13" xfId="9" applyNumberFormat="1" applyFont="1" applyFill="1" applyBorder="1" applyAlignment="1">
      <alignment vertical="center"/>
    </xf>
    <xf numFmtId="0" fontId="104" fillId="0" borderId="0" xfId="11" applyFont="1" applyAlignment="1">
      <alignment vertical="center"/>
    </xf>
    <xf numFmtId="0" fontId="104" fillId="0" borderId="0" xfId="9" applyFont="1" applyAlignment="1">
      <alignment horizontal="center" vertical="center"/>
    </xf>
    <xf numFmtId="165" fontId="104" fillId="4" borderId="43" xfId="9" applyNumberFormat="1" applyFont="1" applyFill="1" applyBorder="1" applyAlignment="1" applyProtection="1">
      <alignment vertical="center"/>
      <protection locked="0"/>
    </xf>
    <xf numFmtId="165" fontId="104" fillId="4" borderId="62" xfId="9" applyNumberFormat="1" applyFont="1" applyFill="1" applyBorder="1" applyAlignment="1" applyProtection="1">
      <alignment vertical="center"/>
      <protection locked="0"/>
    </xf>
    <xf numFmtId="0" fontId="104" fillId="4" borderId="6" xfId="9" applyFont="1" applyFill="1" applyBorder="1" applyAlignment="1">
      <alignment horizontal="center" vertical="center" wrapText="1"/>
    </xf>
    <xf numFmtId="4" fontId="26" fillId="4" borderId="6" xfId="11" applyNumberFormat="1" applyFont="1" applyFill="1" applyBorder="1" applyAlignment="1" applyProtection="1">
      <alignment horizontal="right" vertical="center"/>
      <protection locked="0"/>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xf numFmtId="165" fontId="104" fillId="4" borderId="10" xfId="6" applyNumberFormat="1" applyFont="1" applyFill="1" applyBorder="1" applyAlignment="1" applyProtection="1">
      <alignment vertical="center"/>
      <protection locked="0"/>
    </xf>
    <xf numFmtId="165" fontId="104" fillId="4" borderId="131" xfId="6" applyNumberFormat="1" applyFont="1" applyFill="1" applyBorder="1" applyAlignment="1" applyProtection="1">
      <alignment vertical="center"/>
      <protection locked="0"/>
    </xf>
    <xf numFmtId="165" fontId="104" fillId="4" borderId="132" xfId="6" applyNumberFormat="1" applyFont="1" applyFill="1" applyBorder="1" applyAlignment="1" applyProtection="1">
      <alignment vertical="center"/>
      <protection locked="0"/>
    </xf>
    <xf numFmtId="165" fontId="104" fillId="4" borderId="124" xfId="6" applyNumberFormat="1" applyFont="1" applyFill="1" applyBorder="1" applyAlignment="1" applyProtection="1">
      <alignment vertical="center"/>
      <protection locked="0"/>
    </xf>
    <xf numFmtId="165" fontId="104" fillId="7" borderId="68" xfId="6" applyNumberFormat="1" applyFont="1" applyFill="1" applyBorder="1" applyAlignment="1">
      <alignment vertical="center"/>
    </xf>
    <xf numFmtId="165" fontId="104" fillId="4" borderId="82" xfId="6" applyNumberFormat="1" applyFont="1" applyFill="1" applyBorder="1" applyAlignment="1" applyProtection="1">
      <alignment vertical="center"/>
      <protection locked="0"/>
    </xf>
    <xf numFmtId="0" fontId="0" fillId="0" borderId="183" xfId="0" applyBorder="1"/>
    <xf numFmtId="0" fontId="0" fillId="0" borderId="184" xfId="0" applyBorder="1"/>
    <xf numFmtId="0" fontId="0" fillId="0" borderId="178" xfId="0" applyBorder="1"/>
    <xf numFmtId="0" fontId="0" fillId="0" borderId="177" xfId="0" applyBorder="1"/>
    <xf numFmtId="0" fontId="0" fillId="0" borderId="180" xfId="0" applyBorder="1"/>
    <xf numFmtId="165" fontId="104" fillId="4" borderId="16" xfId="9" applyNumberFormat="1" applyFont="1" applyFill="1" applyBorder="1" applyAlignment="1" applyProtection="1">
      <alignment vertical="center"/>
      <protection locked="0"/>
    </xf>
    <xf numFmtId="165" fontId="104" fillId="4" borderId="99" xfId="9" applyNumberFormat="1" applyFont="1" applyFill="1" applyBorder="1" applyAlignment="1" applyProtection="1">
      <alignment vertical="center"/>
      <protection locked="0"/>
    </xf>
    <xf numFmtId="165" fontId="104" fillId="4" borderId="32" xfId="9" applyNumberFormat="1" applyFont="1" applyFill="1" applyBorder="1" applyAlignment="1" applyProtection="1">
      <alignment vertical="center"/>
      <protection locked="0"/>
    </xf>
    <xf numFmtId="0" fontId="0" fillId="6" borderId="179" xfId="0" applyFill="1" applyBorder="1"/>
    <xf numFmtId="0" fontId="0" fillId="6" borderId="185" xfId="0" applyFill="1" applyBorder="1"/>
    <xf numFmtId="0" fontId="0" fillId="6" borderId="181" xfId="0" applyFill="1" applyBorder="1"/>
    <xf numFmtId="0" fontId="105" fillId="0" borderId="6" xfId="6" applyFont="1" applyBorder="1" applyAlignment="1">
      <alignment horizontal="center" vertical="center"/>
    </xf>
    <xf numFmtId="0" fontId="105" fillId="0" borderId="9" xfId="6" applyFont="1" applyBorder="1" applyAlignment="1">
      <alignment horizontal="center" vertical="center"/>
    </xf>
    <xf numFmtId="0" fontId="105" fillId="0" borderId="12" xfId="6" applyFont="1" applyBorder="1" applyAlignment="1">
      <alignment horizontal="center" vertical="center"/>
    </xf>
    <xf numFmtId="0" fontId="2" fillId="0" borderId="0" xfId="0" applyFont="1" applyAlignment="1">
      <alignment horizontal="center" vertical="center"/>
    </xf>
    <xf numFmtId="0" fontId="105" fillId="0" borderId="20" xfId="6" applyFont="1" applyBorder="1" applyAlignment="1">
      <alignment horizontal="center" vertical="center"/>
    </xf>
    <xf numFmtId="0" fontId="5" fillId="0" borderId="187" xfId="0" applyFont="1" applyBorder="1"/>
    <xf numFmtId="165" fontId="5" fillId="6" borderId="187" xfId="0" applyNumberFormat="1" applyFont="1" applyFill="1" applyBorder="1"/>
    <xf numFmtId="0" fontId="5" fillId="0" borderId="179" xfId="0" applyFont="1" applyBorder="1"/>
    <xf numFmtId="0" fontId="5" fillId="0" borderId="261" xfId="0" applyFont="1" applyBorder="1"/>
    <xf numFmtId="165" fontId="23" fillId="7" borderId="24" xfId="6" applyNumberFormat="1" applyFont="1" applyFill="1" applyBorder="1" applyAlignment="1" applyProtection="1">
      <alignment vertical="center"/>
      <protection locked="0"/>
    </xf>
    <xf numFmtId="165" fontId="23" fillId="7" borderId="5" xfId="6" applyNumberFormat="1" applyFont="1" applyFill="1" applyBorder="1" applyAlignment="1" applyProtection="1">
      <alignment vertical="center"/>
      <protection locked="0"/>
    </xf>
    <xf numFmtId="165" fontId="23" fillId="7" borderId="6" xfId="6" applyNumberFormat="1" applyFont="1" applyFill="1" applyBorder="1" applyAlignment="1" applyProtection="1">
      <alignment vertical="center"/>
      <protection locked="0"/>
    </xf>
    <xf numFmtId="0" fontId="5" fillId="0" borderId="182" xfId="0" applyFont="1" applyBorder="1"/>
    <xf numFmtId="0" fontId="5" fillId="0" borderId="186" xfId="0" applyFont="1" applyBorder="1"/>
    <xf numFmtId="0" fontId="5" fillId="0" borderId="183" xfId="0" applyFont="1" applyBorder="1"/>
    <xf numFmtId="0" fontId="5" fillId="0" borderId="184" xfId="0" applyFont="1" applyBorder="1"/>
    <xf numFmtId="0" fontId="5" fillId="0" borderId="185" xfId="0" applyFont="1" applyBorder="1"/>
    <xf numFmtId="0" fontId="5" fillId="0" borderId="178" xfId="0" applyFont="1" applyBorder="1"/>
    <xf numFmtId="0" fontId="5" fillId="0" borderId="177" xfId="0" applyFont="1" applyBorder="1"/>
    <xf numFmtId="0" fontId="5" fillId="0" borderId="180" xfId="0" applyFont="1" applyBorder="1"/>
    <xf numFmtId="0" fontId="5" fillId="0" borderId="181" xfId="0" applyFont="1" applyBorder="1"/>
    <xf numFmtId="0" fontId="5" fillId="0" borderId="262" xfId="0" applyFont="1" applyBorder="1"/>
    <xf numFmtId="0" fontId="5" fillId="0" borderId="175" xfId="0" applyFont="1" applyBorder="1"/>
    <xf numFmtId="0" fontId="5" fillId="0" borderId="260" xfId="0" applyFont="1" applyBorder="1"/>
    <xf numFmtId="165" fontId="5" fillId="6" borderId="261" xfId="0" applyNumberFormat="1" applyFont="1" applyFill="1" applyBorder="1"/>
    <xf numFmtId="0" fontId="5" fillId="0" borderId="263" xfId="0" applyFont="1" applyBorder="1"/>
    <xf numFmtId="0" fontId="5" fillId="0" borderId="191" xfId="0" applyFont="1" applyBorder="1"/>
    <xf numFmtId="165" fontId="5" fillId="6" borderId="263" xfId="0" applyNumberFormat="1" applyFont="1" applyFill="1" applyBorder="1"/>
    <xf numFmtId="0" fontId="5" fillId="0" borderId="264" xfId="0" applyFont="1" applyBorder="1"/>
    <xf numFmtId="165" fontId="5" fillId="6" borderId="186" xfId="0" applyNumberFormat="1" applyFont="1" applyFill="1" applyBorder="1"/>
    <xf numFmtId="165" fontId="5" fillId="6" borderId="182" xfId="0" applyNumberFormat="1" applyFont="1" applyFill="1" applyBorder="1"/>
    <xf numFmtId="0" fontId="5" fillId="0" borderId="187" xfId="0" applyFont="1" applyBorder="1" applyAlignment="1">
      <alignment wrapText="1"/>
    </xf>
    <xf numFmtId="0" fontId="5" fillId="0" borderId="183" xfId="0" applyFont="1" applyBorder="1" applyAlignment="1">
      <alignment wrapText="1"/>
    </xf>
    <xf numFmtId="165" fontId="5" fillId="6" borderId="185" xfId="0" applyNumberFormat="1" applyFont="1" applyFill="1" applyBorder="1"/>
    <xf numFmtId="165" fontId="5" fillId="6" borderId="179" xfId="0" applyNumberFormat="1" applyFont="1" applyFill="1" applyBorder="1"/>
    <xf numFmtId="165" fontId="5" fillId="6" borderId="260" xfId="0" applyNumberFormat="1" applyFont="1" applyFill="1" applyBorder="1"/>
    <xf numFmtId="165" fontId="5" fillId="6" borderId="181" xfId="0" applyNumberFormat="1" applyFont="1" applyFill="1" applyBorder="1"/>
    <xf numFmtId="0" fontId="5" fillId="6" borderId="0" xfId="0" applyFont="1" applyFill="1"/>
    <xf numFmtId="0" fontId="5" fillId="0" borderId="182" xfId="0" applyFont="1" applyBorder="1" applyAlignment="1">
      <alignment horizontal="left" wrapText="1"/>
    </xf>
    <xf numFmtId="0" fontId="5" fillId="0" borderId="187" xfId="0" applyFont="1" applyBorder="1" applyAlignment="1">
      <alignment horizontal="left" wrapText="1"/>
    </xf>
    <xf numFmtId="0" fontId="5" fillId="0" borderId="261" xfId="0" applyFont="1" applyBorder="1" applyAlignment="1">
      <alignment horizontal="left" wrapText="1"/>
    </xf>
    <xf numFmtId="0" fontId="5" fillId="0" borderId="261" xfId="0" applyFont="1" applyBorder="1" applyAlignment="1">
      <alignment wrapText="1"/>
    </xf>
    <xf numFmtId="15" fontId="5" fillId="0" borderId="182" xfId="0" applyNumberFormat="1" applyFont="1" applyBorder="1"/>
    <xf numFmtId="15" fontId="5" fillId="0" borderId="183" xfId="0" applyNumberFormat="1" applyFont="1" applyBorder="1"/>
    <xf numFmtId="15" fontId="5" fillId="0" borderId="184" xfId="0" applyNumberFormat="1" applyFont="1" applyBorder="1"/>
    <xf numFmtId="15" fontId="5" fillId="0" borderId="185" xfId="0" applyNumberFormat="1" applyFont="1" applyBorder="1"/>
    <xf numFmtId="15" fontId="5" fillId="0" borderId="0" xfId="0" applyNumberFormat="1" applyFont="1"/>
    <xf numFmtId="15" fontId="5" fillId="0" borderId="187" xfId="0" applyNumberFormat="1" applyFont="1" applyBorder="1"/>
    <xf numFmtId="10" fontId="5" fillId="0" borderId="187" xfId="0" applyNumberFormat="1" applyFont="1" applyBorder="1"/>
    <xf numFmtId="2" fontId="5" fillId="6" borderId="187" xfId="0" applyNumberFormat="1" applyFont="1" applyFill="1" applyBorder="1"/>
    <xf numFmtId="2" fontId="5" fillId="0" borderId="261" xfId="0" applyNumberFormat="1" applyFont="1" applyBorder="1"/>
    <xf numFmtId="2" fontId="5" fillId="6" borderId="261" xfId="0" applyNumberFormat="1" applyFont="1" applyFill="1" applyBorder="1"/>
    <xf numFmtId="2" fontId="5" fillId="0" borderId="186" xfId="0" applyNumberFormat="1" applyFont="1" applyBorder="1"/>
    <xf numFmtId="2" fontId="5" fillId="6" borderId="186" xfId="0" applyNumberFormat="1" applyFont="1" applyFill="1" applyBorder="1"/>
    <xf numFmtId="0" fontId="5" fillId="6" borderId="187" xfId="0" applyFont="1" applyFill="1" applyBorder="1"/>
    <xf numFmtId="0" fontId="5" fillId="6" borderId="261" xfId="0" applyFont="1" applyFill="1" applyBorder="1"/>
    <xf numFmtId="0" fontId="5" fillId="0" borderId="186" xfId="0" applyFont="1" applyBorder="1" applyAlignment="1">
      <alignment wrapText="1"/>
    </xf>
    <xf numFmtId="1" fontId="5" fillId="0" borderId="187" xfId="0" applyNumberFormat="1" applyFont="1" applyBorder="1"/>
    <xf numFmtId="1" fontId="5" fillId="0" borderId="0" xfId="0" applyNumberFormat="1" applyFont="1"/>
    <xf numFmtId="1" fontId="5" fillId="0" borderId="261" xfId="0" applyNumberFormat="1" applyFont="1" applyBorder="1"/>
    <xf numFmtId="165" fontId="5" fillId="0" borderId="182" xfId="0" applyNumberFormat="1" applyFont="1" applyBorder="1"/>
    <xf numFmtId="165" fontId="5" fillId="0" borderId="187" xfId="0" applyNumberFormat="1" applyFont="1" applyBorder="1"/>
    <xf numFmtId="2" fontId="5" fillId="0" borderId="0" xfId="0" applyNumberFormat="1" applyFont="1"/>
    <xf numFmtId="2" fontId="5" fillId="0" borderId="187" xfId="0" applyNumberFormat="1" applyFont="1" applyBorder="1"/>
    <xf numFmtId="10" fontId="5" fillId="0" borderId="182" xfId="0" applyNumberFormat="1" applyFont="1" applyBorder="1"/>
    <xf numFmtId="2" fontId="5" fillId="6" borderId="182" xfId="0" applyNumberFormat="1" applyFont="1" applyFill="1" applyBorder="1"/>
    <xf numFmtId="10" fontId="5" fillId="0" borderId="186" xfId="0" applyNumberFormat="1" applyFont="1" applyBorder="1"/>
    <xf numFmtId="10" fontId="5" fillId="0" borderId="179" xfId="0" applyNumberFormat="1" applyFont="1" applyBorder="1"/>
    <xf numFmtId="10" fontId="5" fillId="0" borderId="181" xfId="0" applyNumberFormat="1" applyFont="1" applyBorder="1"/>
    <xf numFmtId="0" fontId="15" fillId="0" borderId="13" xfId="6" applyFont="1" applyBorder="1" applyAlignment="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applyAlignment="1">
      <alignment wrapText="1"/>
    </xf>
    <xf numFmtId="0" fontId="23" fillId="3" borderId="0" xfId="15" applyFont="1" applyFill="1" applyAlignment="1">
      <alignment horizontal="center" vertical="center"/>
    </xf>
    <xf numFmtId="0" fontId="75" fillId="3" borderId="0" xfId="22" applyFont="1" applyFill="1" applyAlignment="1">
      <alignment horizontal="left" vertical="top"/>
    </xf>
    <xf numFmtId="0" fontId="49" fillId="3" borderId="0" xfId="22" applyFill="1"/>
    <xf numFmtId="165" fontId="18" fillId="7" borderId="31" xfId="19" applyNumberFormat="1" applyFont="1" applyFill="1" applyBorder="1" applyAlignment="1" applyProtection="1">
      <alignment vertical="center"/>
    </xf>
    <xf numFmtId="165" fontId="18" fillId="7" borderId="1" xfId="19" applyNumberFormat="1" applyFont="1" applyFill="1" applyBorder="1" applyAlignment="1" applyProtection="1">
      <alignment vertical="center"/>
    </xf>
    <xf numFmtId="0" fontId="23" fillId="3" borderId="0" xfId="15" applyFont="1" applyFill="1" applyAlignment="1">
      <alignment vertical="center"/>
    </xf>
    <xf numFmtId="0" fontId="18" fillId="3" borderId="0" xfId="11" applyFill="1" applyAlignment="1">
      <alignment vertical="center"/>
    </xf>
    <xf numFmtId="0" fontId="23" fillId="3" borderId="0" xfId="8" applyFont="1" applyFill="1" applyAlignment="1">
      <alignment vertical="center"/>
    </xf>
    <xf numFmtId="0" fontId="1" fillId="3" borderId="0" xfId="8" applyFill="1" applyAlignment="1">
      <alignment vertical="center"/>
    </xf>
    <xf numFmtId="0" fontId="0" fillId="3" borderId="0" xfId="0" applyFill="1" applyAlignment="1">
      <alignment horizontal="left" vertical="center" wrapText="1"/>
    </xf>
    <xf numFmtId="1" fontId="18" fillId="3" borderId="0" xfId="11" applyNumberFormat="1" applyFill="1" applyAlignment="1" applyProtection="1">
      <alignment vertical="center"/>
      <protection locked="0"/>
    </xf>
    <xf numFmtId="171" fontId="18" fillId="3" borderId="0" xfId="2" applyNumberFormat="1" applyFont="1" applyFill="1" applyBorder="1" applyAlignment="1" applyProtection="1">
      <alignment vertical="center"/>
      <protection locked="0"/>
    </xf>
    <xf numFmtId="0" fontId="37" fillId="3" borderId="0" xfId="11" applyFont="1" applyFill="1" applyAlignment="1">
      <alignment vertical="center"/>
    </xf>
    <xf numFmtId="0" fontId="0" fillId="3" borderId="0" xfId="0" applyFill="1" applyAlignment="1">
      <alignment horizontal="left" vertical="top" wrapText="1"/>
    </xf>
    <xf numFmtId="0" fontId="5" fillId="3" borderId="0" xfId="11" applyFont="1" applyFill="1" applyAlignment="1">
      <alignment vertical="center"/>
    </xf>
    <xf numFmtId="0" fontId="60" fillId="3" borderId="0" xfId="18" applyFont="1" applyFill="1"/>
    <xf numFmtId="0" fontId="70" fillId="3" borderId="0" xfId="21" applyFont="1" applyFill="1"/>
    <xf numFmtId="1" fontId="0" fillId="0" borderId="180" xfId="0" applyNumberFormat="1" applyBorder="1"/>
    <xf numFmtId="0" fontId="7" fillId="3" borderId="0" xfId="6" applyFont="1" applyFill="1" applyAlignment="1">
      <alignment horizontal="center" vertical="center" wrapText="1"/>
    </xf>
    <xf numFmtId="0" fontId="79" fillId="0" borderId="0" xfId="11" applyFont="1" applyAlignment="1">
      <alignment horizontal="center" vertical="center"/>
    </xf>
    <xf numFmtId="0" fontId="49" fillId="0" borderId="0" xfId="17" applyAlignment="1">
      <alignment horizontal="center" vertical="center" wrapText="1"/>
    </xf>
    <xf numFmtId="0" fontId="49" fillId="0" borderId="0" xfId="17" applyAlignment="1">
      <alignment horizontal="center" vertical="center"/>
    </xf>
    <xf numFmtId="10" fontId="5" fillId="0" borderId="260" xfId="0" applyNumberFormat="1" applyFont="1" applyBorder="1"/>
    <xf numFmtId="0" fontId="7" fillId="15" borderId="4" xfId="6" applyFont="1" applyFill="1" applyBorder="1" applyAlignment="1">
      <alignment vertical="center"/>
    </xf>
    <xf numFmtId="0" fontId="18" fillId="29" borderId="0" xfId="11" applyFill="1" applyAlignment="1">
      <alignment vertical="center"/>
    </xf>
    <xf numFmtId="0" fontId="107" fillId="0" borderId="0" xfId="9" applyFont="1" applyAlignment="1">
      <alignment vertical="center"/>
    </xf>
    <xf numFmtId="0" fontId="7" fillId="0" borderId="20" xfId="6" applyFont="1" applyBorder="1" applyAlignment="1">
      <alignment horizontal="center" vertical="center"/>
    </xf>
    <xf numFmtId="0" fontId="7" fillId="3" borderId="27" xfId="6" applyFont="1" applyFill="1" applyBorder="1" applyAlignment="1">
      <alignment horizontal="center" vertical="center" wrapText="1"/>
    </xf>
    <xf numFmtId="0" fontId="0" fillId="0" borderId="262" xfId="0" applyBorder="1"/>
    <xf numFmtId="0" fontId="0" fillId="0" borderId="182" xfId="0" applyBorder="1"/>
    <xf numFmtId="0" fontId="0" fillId="0" borderId="187" xfId="0" applyBorder="1"/>
    <xf numFmtId="0" fontId="0" fillId="0" borderId="186" xfId="0" applyBorder="1"/>
    <xf numFmtId="0" fontId="0" fillId="0" borderId="261" xfId="0" applyBorder="1"/>
    <xf numFmtId="0" fontId="26" fillId="0" borderId="31" xfId="11" applyFont="1" applyBorder="1" applyAlignment="1">
      <alignment horizontal="center" vertical="center"/>
    </xf>
    <xf numFmtId="0" fontId="26" fillId="0" borderId="32" xfId="11" applyFont="1" applyBorder="1" applyAlignment="1">
      <alignment horizontal="center" vertical="center"/>
    </xf>
    <xf numFmtId="0" fontId="26" fillId="0" borderId="30" xfId="11" applyFont="1" applyBorder="1" applyAlignment="1">
      <alignment horizontal="center" vertical="center"/>
    </xf>
    <xf numFmtId="0" fontId="75" fillId="26" borderId="0" xfId="22" applyFont="1" applyFill="1" applyAlignment="1">
      <alignment horizontal="left" vertical="center"/>
    </xf>
    <xf numFmtId="0" fontId="7" fillId="3" borderId="278" xfId="11" applyFont="1" applyFill="1" applyBorder="1" applyAlignment="1">
      <alignment horizontal="center" vertical="center"/>
    </xf>
    <xf numFmtId="0" fontId="7" fillId="3" borderId="279" xfId="22" applyFont="1" applyFill="1" applyBorder="1"/>
    <xf numFmtId="0" fontId="0" fillId="0" borderId="280" xfId="0" applyBorder="1" applyAlignment="1">
      <alignment horizontal="center"/>
    </xf>
    <xf numFmtId="0" fontId="0" fillId="0" borderId="281" xfId="0" applyBorder="1" applyAlignment="1">
      <alignment horizontal="center"/>
    </xf>
    <xf numFmtId="0" fontId="0" fillId="0" borderId="282" xfId="0" applyBorder="1" applyAlignment="1">
      <alignment horizontal="center"/>
    </xf>
    <xf numFmtId="0" fontId="0" fillId="0" borderId="283" xfId="0" applyBorder="1" applyAlignment="1">
      <alignment horizontal="center"/>
    </xf>
    <xf numFmtId="0" fontId="0" fillId="0" borderId="241" xfId="0" applyBorder="1" applyAlignment="1">
      <alignment horizontal="center"/>
    </xf>
    <xf numFmtId="165" fontId="18" fillId="7" borderId="205" xfId="19" applyNumberFormat="1" applyFont="1" applyFill="1" applyBorder="1" applyAlignment="1" applyProtection="1">
      <alignment vertical="center"/>
    </xf>
    <xf numFmtId="165" fontId="18" fillId="7" borderId="206" xfId="19" applyNumberFormat="1" applyFont="1" applyFill="1" applyBorder="1" applyAlignment="1" applyProtection="1">
      <alignment vertical="center"/>
    </xf>
    <xf numFmtId="165" fontId="18" fillId="7" borderId="284" xfId="19" applyNumberFormat="1" applyFont="1" applyFill="1" applyBorder="1" applyAlignment="1" applyProtection="1">
      <alignment vertical="center"/>
    </xf>
    <xf numFmtId="165" fontId="18" fillId="4" borderId="284" xfId="19" applyNumberFormat="1" applyFont="1" applyFill="1" applyBorder="1" applyAlignment="1" applyProtection="1">
      <alignment vertical="center"/>
      <protection locked="0"/>
    </xf>
    <xf numFmtId="165" fontId="18" fillId="7" borderId="285" xfId="19" applyNumberFormat="1" applyFont="1" applyFill="1" applyBorder="1" applyAlignment="1" applyProtection="1">
      <alignment vertical="center"/>
    </xf>
    <xf numFmtId="165" fontId="18" fillId="7" borderId="286" xfId="19" applyNumberFormat="1" applyFont="1" applyFill="1" applyBorder="1" applyAlignment="1" applyProtection="1">
      <alignment vertical="center"/>
    </xf>
    <xf numFmtId="165" fontId="18" fillId="7" borderId="287" xfId="19" applyNumberFormat="1" applyFont="1" applyFill="1" applyBorder="1" applyAlignment="1" applyProtection="1">
      <alignment vertical="center"/>
    </xf>
    <xf numFmtId="0" fontId="0" fillId="6" borderId="0" xfId="0" applyFill="1" applyAlignment="1">
      <alignment wrapText="1"/>
    </xf>
    <xf numFmtId="0" fontId="23" fillId="0" borderId="270" xfId="0" applyFont="1" applyBorder="1" applyAlignment="1">
      <alignment horizontal="center" vertical="center"/>
    </xf>
    <xf numFmtId="0" fontId="23" fillId="0" borderId="272" xfId="0" applyFont="1" applyBorder="1" applyAlignment="1">
      <alignment horizontal="center" vertical="center"/>
    </xf>
    <xf numFmtId="0" fontId="23" fillId="0" borderId="275" xfId="0" applyFont="1" applyBorder="1" applyAlignment="1">
      <alignment horizontal="center" vertical="center"/>
    </xf>
    <xf numFmtId="0" fontId="9" fillId="0" borderId="280" xfId="0" applyFont="1" applyBorder="1" applyAlignment="1">
      <alignment vertical="center"/>
    </xf>
    <xf numFmtId="0" fontId="9" fillId="0" borderId="281" xfId="0" applyFont="1" applyBorder="1" applyAlignment="1">
      <alignment vertical="center"/>
    </xf>
    <xf numFmtId="0" fontId="18" fillId="0" borderId="281" xfId="0" applyFont="1" applyBorder="1" applyAlignment="1">
      <alignment vertical="center"/>
    </xf>
    <xf numFmtId="0" fontId="9" fillId="0" borderId="282" xfId="0" applyFont="1" applyBorder="1" applyAlignment="1">
      <alignment vertical="center"/>
    </xf>
    <xf numFmtId="0" fontId="9" fillId="0" borderId="283" xfId="0" applyFont="1" applyBorder="1" applyAlignment="1">
      <alignment vertical="center"/>
    </xf>
    <xf numFmtId="0" fontId="25" fillId="0" borderId="280" xfId="0" applyFont="1" applyBorder="1" applyAlignment="1">
      <alignment horizontal="center" vertical="center"/>
    </xf>
    <xf numFmtId="0" fontId="25" fillId="0" borderId="271" xfId="0" applyFont="1" applyBorder="1" applyAlignment="1">
      <alignment horizontal="center" vertical="center"/>
    </xf>
    <xf numFmtId="0" fontId="25" fillId="0" borderId="281" xfId="0" applyFont="1" applyBorder="1" applyAlignment="1">
      <alignment horizontal="center" vertical="center"/>
    </xf>
    <xf numFmtId="0" fontId="25" fillId="0" borderId="273" xfId="0" applyFont="1" applyBorder="1" applyAlignment="1">
      <alignment horizontal="center" vertical="center"/>
    </xf>
    <xf numFmtId="6" fontId="25" fillId="0" borderId="281" xfId="0" quotePrefix="1" applyNumberFormat="1" applyFont="1" applyBorder="1" applyAlignment="1">
      <alignment horizontal="center" vertical="center"/>
    </xf>
    <xf numFmtId="0" fontId="25" fillId="0" borderId="282" xfId="0" quotePrefix="1" applyFont="1" applyBorder="1" applyAlignment="1">
      <alignment horizontal="center" vertical="center"/>
    </xf>
    <xf numFmtId="0" fontId="25" fillId="0" borderId="274" xfId="0" applyFont="1" applyBorder="1" applyAlignment="1">
      <alignment horizontal="center" vertical="center"/>
    </xf>
    <xf numFmtId="6" fontId="25" fillId="0" borderId="283" xfId="0" quotePrefix="1" applyNumberFormat="1" applyFont="1" applyBorder="1" applyAlignment="1">
      <alignment horizontal="center" vertical="center"/>
    </xf>
    <xf numFmtId="0" fontId="25" fillId="0" borderId="276" xfId="0" applyFont="1" applyBorder="1" applyAlignment="1">
      <alignment horizontal="center" vertical="center"/>
    </xf>
    <xf numFmtId="0" fontId="18" fillId="0" borderId="283" xfId="0" applyFont="1" applyBorder="1" applyAlignment="1">
      <alignment vertical="center"/>
    </xf>
    <xf numFmtId="6" fontId="25" fillId="0" borderId="280" xfId="0" quotePrefix="1" applyNumberFormat="1" applyFont="1" applyBorder="1" applyAlignment="1">
      <alignment horizontal="center" vertical="center"/>
    </xf>
    <xf numFmtId="6" fontId="25" fillId="0" borderId="241" xfId="0" quotePrefix="1" applyNumberFormat="1" applyFont="1" applyBorder="1" applyAlignment="1">
      <alignment horizontal="center" vertical="center"/>
    </xf>
    <xf numFmtId="0" fontId="25" fillId="0" borderId="277" xfId="0" applyFont="1" applyBorder="1" applyAlignment="1">
      <alignment horizontal="center" vertical="center"/>
    </xf>
    <xf numFmtId="0" fontId="7" fillId="3" borderId="121" xfId="11" applyFont="1" applyFill="1" applyBorder="1" applyAlignment="1">
      <alignment horizontal="center" vertical="center"/>
    </xf>
    <xf numFmtId="0" fontId="7" fillId="3" borderId="21" xfId="22" applyFont="1" applyFill="1" applyBorder="1"/>
    <xf numFmtId="0" fontId="0" fillId="0" borderId="280" xfId="0" applyBorder="1"/>
    <xf numFmtId="0" fontId="0" fillId="0" borderId="281" xfId="0" applyBorder="1"/>
    <xf numFmtId="0" fontId="0" fillId="0" borderId="282" xfId="0" applyBorder="1"/>
    <xf numFmtId="0" fontId="0" fillId="0" borderId="283" xfId="0" applyBorder="1"/>
    <xf numFmtId="165" fontId="61" fillId="16" borderId="7" xfId="20" applyNumberFormat="1" applyFont="1" applyFill="1" applyBorder="1" applyAlignment="1" applyProtection="1">
      <alignment vertical="center"/>
      <protection locked="0"/>
    </xf>
    <xf numFmtId="165" fontId="61" fillId="16" borderId="10" xfId="20" applyNumberFormat="1" applyFont="1" applyFill="1" applyBorder="1" applyAlignment="1" applyProtection="1">
      <alignment vertical="center"/>
      <protection locked="0"/>
    </xf>
    <xf numFmtId="165" fontId="61" fillId="17" borderId="9" xfId="6" applyNumberFormat="1" applyFont="1" applyFill="1" applyBorder="1" applyAlignment="1">
      <alignment vertical="center"/>
    </xf>
    <xf numFmtId="165" fontId="61" fillId="17" borderId="10" xfId="6" applyNumberFormat="1" applyFont="1" applyFill="1" applyBorder="1" applyAlignment="1">
      <alignment vertical="center"/>
    </xf>
    <xf numFmtId="165" fontId="61" fillId="17" borderId="13" xfId="6" applyNumberFormat="1" applyFont="1" applyFill="1" applyBorder="1" applyAlignment="1">
      <alignment vertical="center"/>
    </xf>
    <xf numFmtId="165" fontId="26" fillId="17" borderId="13" xfId="11" applyNumberFormat="1" applyFont="1" applyFill="1" applyBorder="1"/>
    <xf numFmtId="172" fontId="18" fillId="28" borderId="13" xfId="19" applyNumberFormat="1" applyFont="1" applyFill="1" applyBorder="1" applyAlignment="1" applyProtection="1">
      <alignment vertical="center"/>
    </xf>
    <xf numFmtId="1" fontId="0" fillId="0" borderId="0" xfId="0" applyNumberFormat="1"/>
    <xf numFmtId="1" fontId="0" fillId="0" borderId="184" xfId="0" applyNumberFormat="1" applyBorder="1"/>
    <xf numFmtId="1" fontId="0" fillId="6" borderId="182" xfId="0" applyNumberFormat="1" applyFill="1" applyBorder="1"/>
    <xf numFmtId="165" fontId="0" fillId="6" borderId="187" xfId="0" applyNumberFormat="1" applyFill="1" applyBorder="1"/>
    <xf numFmtId="1" fontId="0" fillId="6" borderId="187" xfId="0" applyNumberFormat="1" applyFill="1" applyBorder="1"/>
    <xf numFmtId="2" fontId="0" fillId="6" borderId="187" xfId="0" applyNumberFormat="1" applyFill="1" applyBorder="1"/>
    <xf numFmtId="1" fontId="0" fillId="6" borderId="186" xfId="0" applyNumberFormat="1" applyFill="1" applyBorder="1"/>
    <xf numFmtId="1" fontId="5" fillId="6" borderId="187" xfId="0" applyNumberFormat="1" applyFont="1" applyFill="1" applyBorder="1"/>
    <xf numFmtId="170" fontId="5" fillId="6" borderId="187" xfId="0" applyNumberFormat="1" applyFont="1" applyFill="1" applyBorder="1"/>
    <xf numFmtId="165" fontId="0" fillId="6" borderId="186" xfId="0" applyNumberFormat="1" applyFill="1" applyBorder="1"/>
    <xf numFmtId="9" fontId="0" fillId="0" borderId="178" xfId="0" applyNumberFormat="1" applyBorder="1"/>
    <xf numFmtId="165" fontId="0" fillId="6" borderId="182" xfId="0" applyNumberFormat="1" applyFill="1" applyBorder="1"/>
    <xf numFmtId="168" fontId="0" fillId="6" borderId="187" xfId="0" applyNumberFormat="1" applyFill="1" applyBorder="1"/>
    <xf numFmtId="9" fontId="0" fillId="0" borderId="183" xfId="0" applyNumberFormat="1" applyBorder="1"/>
    <xf numFmtId="9" fontId="0" fillId="0" borderId="177" xfId="0" applyNumberFormat="1" applyBorder="1"/>
    <xf numFmtId="170" fontId="0" fillId="6" borderId="187" xfId="0" applyNumberFormat="1" applyFill="1" applyBorder="1"/>
    <xf numFmtId="168" fontId="0" fillId="6" borderId="186" xfId="0" applyNumberFormat="1" applyFill="1" applyBorder="1"/>
    <xf numFmtId="165" fontId="18" fillId="27" borderId="31" xfId="19" applyNumberFormat="1" applyFont="1" applyFill="1" applyBorder="1" applyAlignment="1" applyProtection="1">
      <alignment vertical="center"/>
      <protection locked="0"/>
    </xf>
    <xf numFmtId="165" fontId="18" fillId="27" borderId="32" xfId="19" applyNumberFormat="1" applyFont="1" applyFill="1" applyBorder="1" applyAlignment="1" applyProtection="1">
      <alignment vertical="center"/>
      <protection locked="0"/>
    </xf>
    <xf numFmtId="1" fontId="18" fillId="27" borderId="32" xfId="19" applyNumberFormat="1" applyFont="1" applyFill="1" applyBorder="1" applyAlignment="1" applyProtection="1">
      <alignment vertical="center"/>
      <protection locked="0"/>
    </xf>
    <xf numFmtId="1" fontId="18" fillId="4" borderId="30" xfId="19" applyNumberFormat="1" applyFont="1" applyFill="1" applyBorder="1" applyAlignment="1" applyProtection="1">
      <alignment vertical="center"/>
      <protection locked="0"/>
    </xf>
    <xf numFmtId="9" fontId="0" fillId="0" borderId="187" xfId="0" applyNumberFormat="1" applyBorder="1"/>
    <xf numFmtId="9" fontId="0" fillId="0" borderId="186" xfId="0" applyNumberFormat="1" applyBorder="1"/>
    <xf numFmtId="0" fontId="7" fillId="3" borderId="5" xfId="9" applyFont="1" applyFill="1" applyBorder="1" applyAlignment="1">
      <alignment horizontal="center" vertical="center" wrapText="1"/>
    </xf>
    <xf numFmtId="0" fontId="28" fillId="0" borderId="0" xfId="9" applyFont="1" applyAlignment="1">
      <alignment vertical="center"/>
    </xf>
    <xf numFmtId="0" fontId="25" fillId="0" borderId="36" xfId="0" applyFont="1" applyBorder="1" applyAlignment="1">
      <alignment horizontal="center" vertical="center"/>
    </xf>
    <xf numFmtId="0" fontId="25" fillId="0" borderId="38" xfId="0" applyFont="1" applyBorder="1" applyAlignment="1">
      <alignment horizontal="center" vertical="center"/>
    </xf>
    <xf numFmtId="0" fontId="25" fillId="0" borderId="40" xfId="0" applyFont="1" applyBorder="1" applyAlignment="1">
      <alignment horizontal="center" vertical="center"/>
    </xf>
    <xf numFmtId="2" fontId="26" fillId="7" borderId="30" xfId="9" applyNumberFormat="1" applyFont="1" applyFill="1" applyBorder="1" applyAlignment="1">
      <alignment horizontal="right"/>
    </xf>
    <xf numFmtId="0" fontId="25" fillId="0" borderId="60" xfId="0" applyFont="1" applyBorder="1" applyAlignment="1">
      <alignment horizontal="center" vertical="center"/>
    </xf>
    <xf numFmtId="2" fontId="26" fillId="7" borderId="1" xfId="9" applyNumberFormat="1" applyFont="1" applyFill="1" applyBorder="1" applyAlignment="1">
      <alignment horizontal="right"/>
    </xf>
    <xf numFmtId="0" fontId="0" fillId="0" borderId="175" xfId="0" applyBorder="1"/>
    <xf numFmtId="165" fontId="0" fillId="6" borderId="261" xfId="0" applyNumberFormat="1" applyFill="1" applyBorder="1"/>
    <xf numFmtId="6" fontId="0" fillId="0" borderId="178" xfId="0" applyNumberFormat="1" applyBorder="1"/>
    <xf numFmtId="1" fontId="0" fillId="0" borderId="178" xfId="0" applyNumberFormat="1" applyBorder="1"/>
    <xf numFmtId="6" fontId="0" fillId="0" borderId="262" xfId="0" applyNumberFormat="1" applyBorder="1"/>
    <xf numFmtId="1" fontId="0" fillId="0" borderId="187" xfId="0" applyNumberFormat="1" applyBorder="1"/>
    <xf numFmtId="1" fontId="0" fillId="0" borderId="175" xfId="0" applyNumberFormat="1" applyBorder="1"/>
    <xf numFmtId="1" fontId="0" fillId="6" borderId="261" xfId="0" applyNumberFormat="1" applyFill="1" applyBorder="1"/>
    <xf numFmtId="1" fontId="0" fillId="0" borderId="262" xfId="0" applyNumberFormat="1" applyBorder="1"/>
    <xf numFmtId="1" fontId="0" fillId="0" borderId="261" xfId="0" applyNumberFormat="1" applyBorder="1"/>
    <xf numFmtId="1" fontId="0" fillId="0" borderId="182" xfId="0" applyNumberFormat="1" applyBorder="1"/>
    <xf numFmtId="1" fontId="0" fillId="0" borderId="186" xfId="0" applyNumberFormat="1" applyBorder="1"/>
    <xf numFmtId="0" fontId="62" fillId="0" borderId="6" xfId="0" applyFont="1" applyBorder="1" applyAlignment="1">
      <alignment vertical="center" wrapText="1"/>
    </xf>
    <xf numFmtId="0" fontId="0" fillId="30" borderId="169" xfId="0" applyFill="1" applyBorder="1"/>
    <xf numFmtId="1" fontId="0" fillId="30" borderId="170" xfId="0" applyNumberFormat="1" applyFill="1" applyBorder="1"/>
    <xf numFmtId="0" fontId="0" fillId="30" borderId="170" xfId="0" applyFill="1" applyBorder="1"/>
    <xf numFmtId="1" fontId="0" fillId="30" borderId="288" xfId="0" applyNumberFormat="1" applyFill="1" applyBorder="1"/>
    <xf numFmtId="0" fontId="5" fillId="30" borderId="171" xfId="0" applyFont="1" applyFill="1" applyBorder="1"/>
    <xf numFmtId="165" fontId="104" fillId="4" borderId="78" xfId="6" applyNumberFormat="1" applyFont="1" applyFill="1" applyBorder="1" applyAlignment="1" applyProtection="1">
      <alignment vertical="center"/>
      <protection locked="0"/>
    </xf>
    <xf numFmtId="165" fontId="104" fillId="4" borderId="125" xfId="6" applyNumberFormat="1" applyFont="1" applyFill="1" applyBorder="1" applyAlignment="1" applyProtection="1">
      <alignment vertical="center"/>
      <protection locked="0"/>
    </xf>
    <xf numFmtId="165" fontId="104" fillId="4" borderId="126" xfId="6" applyNumberFormat="1" applyFont="1" applyFill="1" applyBorder="1" applyAlignment="1" applyProtection="1">
      <alignment vertical="center"/>
      <protection locked="0"/>
    </xf>
    <xf numFmtId="165" fontId="104" fillId="4" borderId="130" xfId="6" applyNumberFormat="1" applyFont="1" applyFill="1" applyBorder="1" applyAlignment="1" applyProtection="1">
      <alignment vertical="center"/>
      <protection locked="0"/>
    </xf>
    <xf numFmtId="165" fontId="104" fillId="4" borderId="113" xfId="6" applyNumberFormat="1" applyFont="1" applyFill="1" applyBorder="1" applyAlignment="1" applyProtection="1">
      <alignment vertical="center"/>
      <protection locked="0"/>
    </xf>
    <xf numFmtId="165" fontId="104" fillId="7" borderId="85" xfId="6" applyNumberFormat="1" applyFont="1" applyFill="1" applyBorder="1" applyAlignment="1">
      <alignment vertical="center"/>
    </xf>
    <xf numFmtId="165" fontId="104" fillId="4" borderId="83" xfId="6" applyNumberFormat="1" applyFont="1" applyFill="1" applyBorder="1" applyAlignment="1" applyProtection="1">
      <alignment vertical="center"/>
      <protection locked="0"/>
    </xf>
    <xf numFmtId="165" fontId="104" fillId="4" borderId="84" xfId="6" applyNumberFormat="1" applyFont="1" applyFill="1" applyBorder="1" applyAlignment="1" applyProtection="1">
      <alignment vertical="center"/>
      <protection locked="0"/>
    </xf>
    <xf numFmtId="165" fontId="104" fillId="4" borderId="88" xfId="6" applyNumberFormat="1" applyFont="1" applyFill="1" applyBorder="1" applyAlignment="1" applyProtection="1">
      <alignment vertical="center"/>
      <protection locked="0"/>
    </xf>
    <xf numFmtId="165" fontId="104" fillId="4" borderId="89" xfId="6" applyNumberFormat="1" applyFont="1" applyFill="1" applyBorder="1" applyAlignment="1" applyProtection="1">
      <alignment vertical="center"/>
      <protection locked="0"/>
    </xf>
    <xf numFmtId="165" fontId="104" fillId="4" borderId="90" xfId="6" applyNumberFormat="1" applyFont="1" applyFill="1" applyBorder="1" applyAlignment="1" applyProtection="1">
      <alignment vertical="center"/>
      <protection locked="0"/>
    </xf>
    <xf numFmtId="165" fontId="104" fillId="7" borderId="122" xfId="6" applyNumberFormat="1" applyFont="1" applyFill="1" applyBorder="1" applyAlignment="1">
      <alignment vertical="center"/>
    </xf>
    <xf numFmtId="165" fontId="104" fillId="7" borderId="128" xfId="6" applyNumberFormat="1" applyFont="1" applyFill="1" applyBorder="1" applyAlignment="1">
      <alignment vertical="center"/>
    </xf>
    <xf numFmtId="165" fontId="104" fillId="7" borderId="129" xfId="6" applyNumberFormat="1" applyFont="1" applyFill="1" applyBorder="1" applyAlignment="1">
      <alignment vertical="center"/>
    </xf>
    <xf numFmtId="165" fontId="104" fillId="7" borderId="123" xfId="6" applyNumberFormat="1" applyFont="1" applyFill="1" applyBorder="1" applyAlignment="1">
      <alignment vertical="center"/>
    </xf>
    <xf numFmtId="165" fontId="104" fillId="4" borderId="133" xfId="6" applyNumberFormat="1" applyFont="1" applyFill="1" applyBorder="1" applyAlignment="1" applyProtection="1">
      <alignment vertical="center"/>
      <protection locked="0"/>
    </xf>
    <xf numFmtId="165" fontId="104" fillId="7" borderId="134" xfId="6" applyNumberFormat="1" applyFont="1" applyFill="1" applyBorder="1" applyAlignment="1">
      <alignment vertical="center"/>
    </xf>
    <xf numFmtId="0" fontId="2" fillId="0" borderId="0" xfId="14" applyFont="1"/>
    <xf numFmtId="1" fontId="23" fillId="6" borderId="0" xfId="6" applyNumberFormat="1" applyFont="1" applyFill="1" applyAlignment="1">
      <alignment horizontal="center" vertical="center"/>
    </xf>
    <xf numFmtId="165" fontId="18" fillId="3" borderId="7" xfId="19" applyNumberFormat="1" applyFont="1" applyFill="1" applyBorder="1" applyAlignment="1" applyProtection="1">
      <alignment vertical="center"/>
    </xf>
    <xf numFmtId="165" fontId="18" fillId="3" borderId="10" xfId="19" applyNumberFormat="1" applyFont="1" applyFill="1" applyBorder="1" applyAlignment="1" applyProtection="1">
      <alignment vertical="center"/>
    </xf>
    <xf numFmtId="165" fontId="18" fillId="3" borderId="62" xfId="19" applyNumberFormat="1" applyFont="1" applyFill="1" applyBorder="1" applyAlignment="1" applyProtection="1">
      <alignment vertical="center"/>
    </xf>
    <xf numFmtId="165" fontId="18" fillId="3" borderId="33" xfId="11" applyNumberFormat="1" applyFill="1" applyBorder="1" applyAlignment="1">
      <alignment vertical="center"/>
    </xf>
    <xf numFmtId="165" fontId="18" fillId="7" borderId="56" xfId="19" applyNumberFormat="1" applyFont="1" applyFill="1" applyBorder="1" applyAlignment="1" applyProtection="1">
      <alignment vertical="center"/>
    </xf>
    <xf numFmtId="165" fontId="18" fillId="7" borderId="33" xfId="11" applyNumberFormat="1" applyFill="1" applyBorder="1" applyAlignment="1">
      <alignment vertical="center"/>
    </xf>
    <xf numFmtId="165" fontId="18" fillId="7" borderId="112" xfId="19" applyNumberFormat="1" applyFont="1" applyFill="1" applyBorder="1" applyAlignment="1" applyProtection="1">
      <alignment vertical="center"/>
    </xf>
    <xf numFmtId="1" fontId="0" fillId="6" borderId="288" xfId="0" applyNumberFormat="1" applyFill="1" applyBorder="1"/>
    <xf numFmtId="1" fontId="5" fillId="0" borderId="175" xfId="0" applyNumberFormat="1" applyFont="1" applyBorder="1"/>
    <xf numFmtId="0" fontId="26" fillId="4" borderId="7" xfId="11" applyFont="1" applyFill="1" applyBorder="1" applyAlignment="1" applyProtection="1">
      <alignment horizontal="left" vertical="center" wrapText="1"/>
      <protection locked="0"/>
    </xf>
    <xf numFmtId="0" fontId="26" fillId="4" borderId="10" xfId="11" applyFont="1" applyFill="1" applyBorder="1" applyAlignment="1" applyProtection="1">
      <alignment horizontal="left" vertical="center" wrapText="1"/>
      <protection locked="0"/>
    </xf>
    <xf numFmtId="171" fontId="18" fillId="4" borderId="31" xfId="2" applyNumberFormat="1" applyFont="1" applyFill="1" applyBorder="1" applyAlignment="1" applyProtection="1">
      <alignment vertical="center" wrapText="1"/>
      <protection locked="0"/>
    </xf>
    <xf numFmtId="171" fontId="18" fillId="4" borderId="49" xfId="2" applyNumberFormat="1" applyFont="1" applyFill="1" applyBorder="1" applyAlignment="1" applyProtection="1">
      <alignment vertical="center" wrapText="1"/>
      <protection locked="0"/>
    </xf>
    <xf numFmtId="171" fontId="18" fillId="4" borderId="32" xfId="2" applyNumberFormat="1" applyFont="1" applyFill="1" applyBorder="1" applyAlignment="1" applyProtection="1">
      <alignment vertical="center" wrapText="1"/>
      <protection locked="0"/>
    </xf>
    <xf numFmtId="171" fontId="18" fillId="4" borderId="30" xfId="2" applyNumberFormat="1" applyFont="1" applyFill="1" applyBorder="1" applyAlignment="1" applyProtection="1">
      <alignment vertical="center" wrapText="1"/>
      <protection locked="0"/>
    </xf>
    <xf numFmtId="165" fontId="18" fillId="4" borderId="31" xfId="19" applyNumberFormat="1" applyFont="1" applyFill="1" applyBorder="1" applyAlignment="1" applyProtection="1">
      <alignment vertical="center" wrapText="1"/>
      <protection locked="0"/>
    </xf>
    <xf numFmtId="165" fontId="18" fillId="4" borderId="32" xfId="19" applyNumberFormat="1" applyFont="1" applyFill="1" applyBorder="1" applyAlignment="1" applyProtection="1">
      <alignment vertical="center" wrapText="1"/>
      <protection locked="0"/>
    </xf>
    <xf numFmtId="165" fontId="18" fillId="4" borderId="99" xfId="19" applyNumberFormat="1" applyFont="1" applyFill="1" applyBorder="1" applyAlignment="1" applyProtection="1">
      <alignment vertical="center" wrapText="1"/>
      <protection locked="0"/>
    </xf>
    <xf numFmtId="165" fontId="18" fillId="4" borderId="30" xfId="19" applyNumberFormat="1" applyFont="1" applyFill="1" applyBorder="1" applyAlignment="1" applyProtection="1">
      <alignment vertical="center" wrapText="1"/>
      <protection locked="0"/>
    </xf>
    <xf numFmtId="1" fontId="18" fillId="4" borderId="31" xfId="19" applyNumberFormat="1" applyFont="1" applyFill="1" applyBorder="1" applyAlignment="1" applyProtection="1">
      <alignment vertical="center" wrapText="1"/>
      <protection locked="0"/>
    </xf>
    <xf numFmtId="1" fontId="18" fillId="4" borderId="32" xfId="19" applyNumberFormat="1" applyFont="1" applyFill="1" applyBorder="1" applyAlignment="1" applyProtection="1">
      <alignment vertical="center" wrapText="1"/>
      <protection locked="0"/>
    </xf>
    <xf numFmtId="1" fontId="18" fillId="4" borderId="99" xfId="19" applyNumberFormat="1" applyFont="1" applyFill="1" applyBorder="1" applyAlignment="1" applyProtection="1">
      <alignment vertical="center" wrapText="1"/>
      <protection locked="0"/>
    </xf>
    <xf numFmtId="1" fontId="18" fillId="4" borderId="1" xfId="19" applyNumberFormat="1" applyFont="1" applyFill="1" applyBorder="1" applyAlignment="1" applyProtection="1">
      <alignment vertical="center" wrapText="1"/>
      <protection locked="0"/>
    </xf>
    <xf numFmtId="171" fontId="18" fillId="4" borderId="1" xfId="19" applyNumberFormat="1" applyFont="1" applyFill="1" applyBorder="1" applyAlignment="1" applyProtection="1">
      <alignment vertical="center" wrapText="1"/>
      <protection locked="0"/>
    </xf>
    <xf numFmtId="171" fontId="18" fillId="4" borderId="31" xfId="19" applyNumberFormat="1" applyFont="1" applyFill="1" applyBorder="1" applyAlignment="1" applyProtection="1">
      <alignment vertical="center" wrapText="1"/>
      <protection locked="0"/>
    </xf>
    <xf numFmtId="171" fontId="18" fillId="4" borderId="32" xfId="19" applyNumberFormat="1" applyFont="1" applyFill="1" applyBorder="1" applyAlignment="1" applyProtection="1">
      <alignment vertical="center" wrapText="1"/>
      <protection locked="0"/>
    </xf>
    <xf numFmtId="171" fontId="18" fillId="4" borderId="30" xfId="19" applyNumberFormat="1" applyFont="1" applyFill="1" applyBorder="1" applyAlignment="1" applyProtection="1">
      <alignment vertical="center" wrapText="1"/>
      <protection locked="0"/>
    </xf>
    <xf numFmtId="171" fontId="18" fillId="4" borderId="18" xfId="19" applyNumberFormat="1" applyFont="1" applyFill="1" applyBorder="1" applyAlignment="1" applyProtection="1">
      <alignment vertical="center" wrapText="1"/>
      <protection locked="0"/>
    </xf>
    <xf numFmtId="171" fontId="18" fillId="4" borderId="49" xfId="19" applyNumberFormat="1" applyFont="1" applyFill="1" applyBorder="1" applyAlignment="1" applyProtection="1">
      <alignment vertical="center" wrapText="1"/>
      <protection locked="0"/>
    </xf>
    <xf numFmtId="172" fontId="18" fillId="27" borderId="24" xfId="19" applyNumberFormat="1" applyFont="1" applyFill="1" applyBorder="1" applyAlignment="1" applyProtection="1">
      <alignment vertical="center" wrapText="1"/>
      <protection locked="0"/>
    </xf>
    <xf numFmtId="172" fontId="18" fillId="27" borderId="26" xfId="19" applyNumberFormat="1" applyFont="1" applyFill="1" applyBorder="1" applyAlignment="1" applyProtection="1">
      <alignment vertical="center" wrapText="1"/>
      <protection locked="0"/>
    </xf>
    <xf numFmtId="172" fontId="18" fillId="27" borderId="105" xfId="19" applyNumberFormat="1" applyFont="1" applyFill="1" applyBorder="1" applyAlignment="1" applyProtection="1">
      <alignment vertical="center" wrapText="1"/>
      <protection locked="0"/>
    </xf>
    <xf numFmtId="172" fontId="18" fillId="27" borderId="27" xfId="19" applyNumberFormat="1" applyFont="1" applyFill="1" applyBorder="1" applyAlignment="1" applyProtection="1">
      <alignment vertical="center" wrapText="1"/>
      <protection locked="0"/>
    </xf>
    <xf numFmtId="171" fontId="18" fillId="4" borderId="18" xfId="2" applyNumberFormat="1" applyFont="1" applyFill="1" applyBorder="1" applyAlignment="1" applyProtection="1">
      <alignment vertical="center" wrapText="1"/>
      <protection locked="0"/>
    </xf>
    <xf numFmtId="171" fontId="18" fillId="4" borderId="24" xfId="2" applyNumberFormat="1" applyFont="1" applyFill="1" applyBorder="1" applyAlignment="1" applyProtection="1">
      <alignment vertical="center" wrapText="1"/>
      <protection locked="0"/>
    </xf>
    <xf numFmtId="171" fontId="18" fillId="4" borderId="26" xfId="2" applyNumberFormat="1" applyFont="1" applyFill="1" applyBorder="1" applyAlignment="1" applyProtection="1">
      <alignment vertical="center" wrapText="1"/>
      <protection locked="0"/>
    </xf>
    <xf numFmtId="171" fontId="18" fillId="4" borderId="27" xfId="2" applyNumberFormat="1" applyFont="1" applyFill="1" applyBorder="1" applyAlignment="1" applyProtection="1">
      <alignment vertical="center" wrapText="1"/>
      <protection locked="0"/>
    </xf>
    <xf numFmtId="1" fontId="18" fillId="4" borderId="200" xfId="19" applyNumberFormat="1" applyFont="1" applyFill="1" applyBorder="1" applyAlignment="1" applyProtection="1">
      <alignment vertical="center" wrapText="1"/>
      <protection locked="0"/>
    </xf>
    <xf numFmtId="1" fontId="18" fillId="4" borderId="209" xfId="19" applyNumberFormat="1" applyFont="1" applyFill="1" applyBorder="1" applyAlignment="1" applyProtection="1">
      <alignment vertical="center" wrapText="1"/>
      <protection locked="0"/>
    </xf>
    <xf numFmtId="1" fontId="18" fillId="4" borderId="212" xfId="19" applyNumberFormat="1" applyFont="1" applyFill="1" applyBorder="1" applyAlignment="1" applyProtection="1">
      <alignment vertical="center" wrapText="1"/>
      <protection locked="0"/>
    </xf>
    <xf numFmtId="1" fontId="18" fillId="4" borderId="221" xfId="19" applyNumberFormat="1" applyFont="1" applyFill="1" applyBorder="1" applyAlignment="1" applyProtection="1">
      <alignment vertical="center" wrapText="1"/>
      <protection locked="0"/>
    </xf>
    <xf numFmtId="1" fontId="18" fillId="4" borderId="225" xfId="19" applyNumberFormat="1" applyFont="1" applyFill="1" applyBorder="1" applyAlignment="1" applyProtection="1">
      <alignment vertical="center" wrapText="1"/>
      <protection locked="0"/>
    </xf>
    <xf numFmtId="1" fontId="18" fillId="4" borderId="202" xfId="19" applyNumberFormat="1" applyFont="1" applyFill="1" applyBorder="1" applyAlignment="1" applyProtection="1">
      <alignment vertical="center" wrapText="1"/>
      <protection locked="0"/>
    </xf>
    <xf numFmtId="1" fontId="18" fillId="4" borderId="213" xfId="19" applyNumberFormat="1" applyFont="1" applyFill="1" applyBorder="1" applyAlignment="1" applyProtection="1">
      <alignment vertical="center" wrapText="1"/>
      <protection locked="0"/>
    </xf>
    <xf numFmtId="1" fontId="18" fillId="4" borderId="217" xfId="19" applyNumberFormat="1" applyFont="1" applyFill="1" applyBorder="1" applyAlignment="1" applyProtection="1">
      <alignment vertical="center" wrapText="1"/>
      <protection locked="0"/>
    </xf>
    <xf numFmtId="1" fontId="18" fillId="4" borderId="193" xfId="19" applyNumberFormat="1" applyFont="1" applyFill="1" applyBorder="1" applyAlignment="1" applyProtection="1">
      <alignment vertical="center" wrapText="1"/>
      <protection locked="0"/>
    </xf>
    <xf numFmtId="0" fontId="51" fillId="0" borderId="0" xfId="14" applyFont="1" applyAlignment="1">
      <alignment vertical="center"/>
    </xf>
    <xf numFmtId="0" fontId="4" fillId="2" borderId="0" xfId="14" applyFont="1" applyFill="1" applyAlignment="1">
      <alignment horizontal="left" vertical="center"/>
    </xf>
    <xf numFmtId="0" fontId="4" fillId="2" borderId="0" xfId="14" applyFont="1" applyFill="1" applyAlignment="1">
      <alignment vertical="center" wrapText="1"/>
    </xf>
    <xf numFmtId="0" fontId="52" fillId="2" borderId="0" xfId="14" applyFont="1" applyFill="1" applyAlignment="1">
      <alignment horizontal="left" vertical="center"/>
    </xf>
    <xf numFmtId="0" fontId="53" fillId="2" borderId="0" xfId="14" applyFont="1" applyFill="1" applyAlignment="1">
      <alignment horizontal="left" vertical="center"/>
    </xf>
    <xf numFmtId="0" fontId="51" fillId="2" borderId="0" xfId="14" applyFont="1" applyFill="1" applyAlignment="1">
      <alignment vertical="center"/>
    </xf>
    <xf numFmtId="49" fontId="27" fillId="3" borderId="135" xfId="14" applyNumberFormat="1" applyFont="1" applyFill="1" applyBorder="1" applyAlignment="1">
      <alignment horizontal="centerContinuous" vertical="center"/>
    </xf>
    <xf numFmtId="0" fontId="0" fillId="3" borderId="136" xfId="0" applyFill="1" applyBorder="1" applyAlignment="1">
      <alignment horizontal="centerContinuous" vertical="center"/>
    </xf>
    <xf numFmtId="49" fontId="5" fillId="4" borderId="137" xfId="14" applyNumberFormat="1" applyFont="1" applyFill="1" applyBorder="1" applyAlignment="1">
      <alignment horizontal="center" vertical="center"/>
    </xf>
    <xf numFmtId="0" fontId="1" fillId="4" borderId="138" xfId="0" applyFont="1" applyFill="1" applyBorder="1" applyAlignment="1" applyProtection="1">
      <alignment horizontal="center" vertical="center"/>
      <protection locked="0"/>
    </xf>
    <xf numFmtId="0" fontId="12" fillId="0" borderId="0" xfId="14" applyFont="1" applyAlignment="1">
      <alignment vertical="center"/>
    </xf>
    <xf numFmtId="0" fontId="7" fillId="3" borderId="60" xfId="14" applyFont="1" applyFill="1" applyBorder="1" applyAlignment="1">
      <alignment horizontal="centerContinuous" vertical="center"/>
    </xf>
    <xf numFmtId="0" fontId="7" fillId="3" borderId="34" xfId="14" applyFont="1" applyFill="1" applyBorder="1" applyAlignment="1">
      <alignment horizontal="centerContinuous" vertical="center"/>
    </xf>
    <xf numFmtId="0" fontId="7" fillId="3" borderId="35" xfId="14" applyFont="1" applyFill="1" applyBorder="1" applyAlignment="1">
      <alignment horizontal="centerContinuous" vertical="center"/>
    </xf>
    <xf numFmtId="0" fontId="7" fillId="3" borderId="2" xfId="14" applyFont="1" applyFill="1" applyBorder="1" applyAlignment="1">
      <alignment horizontal="centerContinuous" vertical="center"/>
    </xf>
    <xf numFmtId="0" fontId="7" fillId="3" borderId="3" xfId="14" applyFont="1" applyFill="1" applyBorder="1" applyAlignment="1">
      <alignment horizontal="centerContinuous" vertical="center"/>
    </xf>
    <xf numFmtId="0" fontId="7" fillId="3" borderId="4" xfId="14" applyFont="1" applyFill="1" applyBorder="1" applyAlignment="1">
      <alignment horizontal="centerContinuous" vertical="center"/>
    </xf>
    <xf numFmtId="0" fontId="33" fillId="0" borderId="0" xfId="14" applyFont="1" applyAlignment="1">
      <alignment horizontal="left" vertical="center" wrapText="1"/>
    </xf>
    <xf numFmtId="0" fontId="51" fillId="0" borderId="0" xfId="14" applyFont="1" applyAlignment="1">
      <alignment horizontal="center" vertical="top" wrapText="1"/>
    </xf>
    <xf numFmtId="0" fontId="7" fillId="3" borderId="14" xfId="14" applyFont="1" applyFill="1" applyBorder="1" applyAlignment="1">
      <alignment horizontal="centerContinuous" vertical="center"/>
    </xf>
    <xf numFmtId="0" fontId="7" fillId="3" borderId="15" xfId="14" applyFont="1" applyFill="1" applyBorder="1" applyAlignment="1">
      <alignment horizontal="centerContinuous" vertical="center"/>
    </xf>
    <xf numFmtId="0" fontId="7" fillId="3" borderId="16" xfId="14" applyFont="1" applyFill="1" applyBorder="1" applyAlignment="1">
      <alignment horizontal="centerContinuous" vertical="center"/>
    </xf>
    <xf numFmtId="0" fontId="7" fillId="3" borderId="5" xfId="14" applyFont="1" applyFill="1" applyBorder="1" applyAlignment="1">
      <alignment horizontal="centerContinuous" vertical="center"/>
    </xf>
    <xf numFmtId="0" fontId="7" fillId="3" borderId="6" xfId="14" applyFont="1" applyFill="1" applyBorder="1" applyAlignment="1">
      <alignment horizontal="centerContinuous" vertical="center"/>
    </xf>
    <xf numFmtId="0" fontId="7" fillId="3" borderId="7" xfId="14" applyFont="1" applyFill="1" applyBorder="1" applyAlignment="1">
      <alignment horizontal="centerContinuous" vertical="center"/>
    </xf>
    <xf numFmtId="0" fontId="7" fillId="3" borderId="54" xfId="14" applyFont="1" applyFill="1" applyBorder="1" applyAlignment="1">
      <alignment horizontal="centerContinuous" vertical="center"/>
    </xf>
    <xf numFmtId="0" fontId="7" fillId="3" borderId="5" xfId="14" applyFont="1" applyFill="1" applyBorder="1" applyAlignment="1">
      <alignment horizontal="centerContinuous" vertical="center" wrapText="1"/>
    </xf>
    <xf numFmtId="0" fontId="12" fillId="0" borderId="0" xfId="14" applyFont="1" applyAlignment="1">
      <alignment horizontal="center" vertical="center" wrapText="1"/>
    </xf>
    <xf numFmtId="0" fontId="55" fillId="0" borderId="0" xfId="14" applyFont="1" applyAlignment="1">
      <alignment horizontal="center" vertical="center" wrapText="1"/>
    </xf>
    <xf numFmtId="0" fontId="38" fillId="3" borderId="121" xfId="14" applyFont="1" applyFill="1" applyBorder="1" applyAlignment="1">
      <alignment horizontal="centerContinuous" vertical="center" wrapText="1"/>
    </xf>
    <xf numFmtId="0" fontId="7" fillId="3" borderId="100" xfId="14" applyFont="1" applyFill="1" applyBorder="1" applyAlignment="1">
      <alignment horizontal="centerContinuous" vertical="center" wrapText="1"/>
    </xf>
    <xf numFmtId="0" fontId="7" fillId="3" borderId="22" xfId="14" applyFont="1" applyFill="1" applyBorder="1" applyAlignment="1">
      <alignment horizontal="centerContinuous" vertical="center" wrapText="1"/>
    </xf>
    <xf numFmtId="0" fontId="7" fillId="3" borderId="15" xfId="14" applyFont="1" applyFill="1" applyBorder="1" applyAlignment="1">
      <alignment horizontal="left" vertical="center"/>
    </xf>
    <xf numFmtId="170" fontId="26" fillId="0" borderId="9" xfId="9" applyNumberFormat="1" applyFont="1" applyBorder="1" applyAlignment="1" applyProtection="1">
      <alignment horizontal="center" vertical="center"/>
      <protection locked="0"/>
    </xf>
    <xf numFmtId="170" fontId="26" fillId="4" borderId="9" xfId="9" applyNumberFormat="1" applyFont="1" applyFill="1" applyBorder="1" applyAlignment="1" applyProtection="1">
      <alignment horizontal="center" vertical="center"/>
      <protection locked="0"/>
    </xf>
    <xf numFmtId="170" fontId="26" fillId="0" borderId="9" xfId="9" applyNumberFormat="1" applyFont="1" applyBorder="1" applyAlignment="1">
      <alignment horizontal="center" vertical="center"/>
    </xf>
    <xf numFmtId="170" fontId="26" fillId="0" borderId="38" xfId="9" applyNumberFormat="1" applyFont="1" applyBorder="1" applyAlignment="1">
      <alignment horizontal="center" vertical="center"/>
    </xf>
    <xf numFmtId="0" fontId="26" fillId="0" borderId="8" xfId="9" applyFont="1" applyBorder="1" applyAlignment="1" applyProtection="1">
      <alignment horizontal="center" vertical="center"/>
      <protection locked="0"/>
    </xf>
    <xf numFmtId="0" fontId="26" fillId="4" borderId="9" xfId="9" applyFont="1" applyFill="1" applyBorder="1" applyAlignment="1" applyProtection="1">
      <alignment horizontal="center" vertical="center"/>
      <protection locked="0"/>
    </xf>
    <xf numFmtId="0" fontId="26" fillId="0" borderId="10" xfId="9" applyFont="1" applyBorder="1" applyAlignment="1">
      <alignment horizontal="center" vertical="center"/>
    </xf>
    <xf numFmtId="170" fontId="26" fillId="0" borderId="12" xfId="9" applyNumberFormat="1" applyFont="1" applyBorder="1" applyAlignment="1" applyProtection="1">
      <alignment horizontal="center" vertical="center"/>
      <protection locked="0"/>
    </xf>
    <xf numFmtId="170" fontId="26" fillId="4" borderId="12" xfId="9" applyNumberFormat="1" applyFont="1" applyFill="1" applyBorder="1" applyAlignment="1" applyProtection="1">
      <alignment horizontal="center" vertical="center"/>
      <protection locked="0"/>
    </xf>
    <xf numFmtId="170" fontId="26" fillId="0" borderId="12" xfId="9" applyNumberFormat="1" applyFont="1" applyBorder="1" applyAlignment="1">
      <alignment horizontal="center" vertical="center"/>
    </xf>
    <xf numFmtId="170" fontId="26" fillId="0" borderId="40" xfId="9" applyNumberFormat="1" applyFont="1" applyBorder="1" applyAlignment="1">
      <alignment horizontal="center" vertical="center"/>
    </xf>
    <xf numFmtId="0" fontId="26" fillId="0" borderId="11" xfId="9" applyFont="1" applyBorder="1" applyAlignment="1" applyProtection="1">
      <alignment horizontal="center" vertical="center"/>
      <protection locked="0"/>
    </xf>
    <xf numFmtId="0" fontId="26" fillId="4" borderId="12" xfId="9" applyFont="1" applyFill="1" applyBorder="1" applyAlignment="1" applyProtection="1">
      <alignment horizontal="center" vertical="center"/>
      <protection locked="0"/>
    </xf>
    <xf numFmtId="0" fontId="26" fillId="0" borderId="13" xfId="9" applyFont="1" applyBorder="1" applyAlignment="1">
      <alignment horizontal="center" vertical="center"/>
    </xf>
    <xf numFmtId="0" fontId="7" fillId="3" borderId="11" xfId="14" applyFont="1" applyFill="1" applyBorder="1" applyAlignment="1">
      <alignment horizontal="centerContinuous" vertical="center"/>
    </xf>
    <xf numFmtId="0" fontId="7" fillId="3" borderId="12" xfId="14" applyFont="1" applyFill="1" applyBorder="1" applyAlignment="1">
      <alignment horizontal="centerContinuous" vertical="center"/>
    </xf>
    <xf numFmtId="0" fontId="7" fillId="3" borderId="13" xfId="14" applyFont="1" applyFill="1" applyBorder="1" applyAlignment="1">
      <alignment horizontal="centerContinuous" vertical="center"/>
    </xf>
    <xf numFmtId="173" fontId="26" fillId="0" borderId="12" xfId="9" applyNumberFormat="1" applyFont="1" applyBorder="1" applyAlignment="1" applyProtection="1">
      <alignment horizontal="center" vertical="center"/>
      <protection locked="0"/>
    </xf>
    <xf numFmtId="173" fontId="26" fillId="4" borderId="12" xfId="9" applyNumberFormat="1" applyFont="1" applyFill="1" applyBorder="1" applyAlignment="1" applyProtection="1">
      <alignment horizontal="center" vertical="center"/>
      <protection locked="0"/>
    </xf>
    <xf numFmtId="173" fontId="26" fillId="0" borderId="12" xfId="9" applyNumberFormat="1" applyFont="1" applyBorder="1" applyAlignment="1">
      <alignment horizontal="center" vertical="center"/>
    </xf>
    <xf numFmtId="173" fontId="26" fillId="0" borderId="40" xfId="9" applyNumberFormat="1" applyFont="1" applyBorder="1" applyAlignment="1">
      <alignment horizontal="center" vertical="center"/>
    </xf>
    <xf numFmtId="169" fontId="26" fillId="0" borderId="12" xfId="9" applyNumberFormat="1" applyFont="1" applyBorder="1" applyAlignment="1" applyProtection="1">
      <alignment horizontal="center" vertical="center"/>
      <protection locked="0"/>
    </xf>
    <xf numFmtId="169" fontId="26" fillId="4" borderId="12" xfId="9" applyNumberFormat="1" applyFont="1" applyFill="1" applyBorder="1" applyAlignment="1" applyProtection="1">
      <alignment horizontal="center" vertical="center"/>
      <protection locked="0"/>
    </xf>
    <xf numFmtId="169" fontId="26" fillId="0" borderId="12" xfId="9" applyNumberFormat="1" applyFont="1" applyBorder="1" applyAlignment="1">
      <alignment horizontal="center" vertical="center"/>
    </xf>
    <xf numFmtId="169" fontId="26" fillId="0" borderId="40" xfId="9" applyNumberFormat="1" applyFont="1" applyBorder="1" applyAlignment="1">
      <alignment horizontal="center" vertical="center"/>
    </xf>
    <xf numFmtId="10" fontId="26" fillId="0" borderId="12" xfId="9" applyNumberFormat="1" applyFont="1" applyBorder="1" applyAlignment="1" applyProtection="1">
      <alignment horizontal="center" vertical="center"/>
      <protection locked="0"/>
    </xf>
    <xf numFmtId="10" fontId="26" fillId="4" borderId="12" xfId="9" applyNumberFormat="1" applyFont="1" applyFill="1" applyBorder="1" applyAlignment="1" applyProtection="1">
      <alignment horizontal="center" vertical="center"/>
      <protection locked="0"/>
    </xf>
    <xf numFmtId="10" fontId="26" fillId="0" borderId="12" xfId="9" applyNumberFormat="1" applyFont="1" applyBorder="1" applyAlignment="1">
      <alignment horizontal="center" vertical="center"/>
    </xf>
    <xf numFmtId="10" fontId="26" fillId="0" borderId="40" xfId="9" applyNumberFormat="1" applyFont="1" applyBorder="1" applyAlignment="1">
      <alignment horizontal="center" vertical="center"/>
    </xf>
    <xf numFmtId="3" fontId="26" fillId="0" borderId="12" xfId="9" applyNumberFormat="1" applyFont="1" applyBorder="1" applyAlignment="1" applyProtection="1">
      <alignment horizontal="center" vertical="center"/>
      <protection locked="0"/>
    </xf>
    <xf numFmtId="3" fontId="26" fillId="4" borderId="12" xfId="9" applyNumberFormat="1" applyFont="1" applyFill="1" applyBorder="1" applyAlignment="1" applyProtection="1">
      <alignment horizontal="center" vertical="center"/>
      <protection locked="0"/>
    </xf>
    <xf numFmtId="3" fontId="26" fillId="0" borderId="12" xfId="9" applyNumberFormat="1" applyFont="1" applyBorder="1" applyAlignment="1">
      <alignment horizontal="center" vertical="center"/>
    </xf>
    <xf numFmtId="3" fontId="26" fillId="0" borderId="40" xfId="9" applyNumberFormat="1" applyFont="1" applyBorder="1" applyAlignment="1">
      <alignment horizontal="center" vertical="center"/>
    </xf>
    <xf numFmtId="10" fontId="26" fillId="0" borderId="13" xfId="9" applyNumberFormat="1" applyFont="1" applyBorder="1" applyAlignment="1">
      <alignment horizontal="center" vertical="center"/>
    </xf>
    <xf numFmtId="169" fontId="12" fillId="0" borderId="0" xfId="14" applyNumberFormat="1" applyFont="1" applyAlignment="1">
      <alignment horizontal="center" vertical="top" wrapText="1"/>
    </xf>
    <xf numFmtId="0" fontId="7" fillId="3" borderId="11" xfId="14" applyFont="1" applyFill="1" applyBorder="1" applyAlignment="1">
      <alignment horizontal="centerContinuous" vertical="center" wrapText="1"/>
    </xf>
    <xf numFmtId="0" fontId="26" fillId="4" borderId="9" xfId="9" applyFont="1" applyFill="1" applyBorder="1"/>
    <xf numFmtId="49" fontId="1" fillId="0" borderId="0" xfId="16" applyNumberFormat="1" applyAlignment="1">
      <alignment horizontal="center" vertical="top" wrapText="1"/>
    </xf>
    <xf numFmtId="49" fontId="1" fillId="0" borderId="0" xfId="16" applyNumberFormat="1" applyAlignment="1">
      <alignment horizontal="left" vertical="top" wrapText="1"/>
    </xf>
    <xf numFmtId="0" fontId="27" fillId="3" borderId="33" xfId="9" applyFont="1" applyFill="1" applyBorder="1" applyAlignment="1">
      <alignment horizontal="left" vertical="center"/>
    </xf>
    <xf numFmtId="49" fontId="9" fillId="0" borderId="0" xfId="16" applyNumberFormat="1" applyFont="1" applyAlignment="1">
      <alignment horizontal="center" vertical="top" wrapText="1"/>
    </xf>
    <xf numFmtId="49" fontId="9" fillId="0" borderId="0" xfId="16" applyNumberFormat="1" applyFont="1" applyAlignment="1">
      <alignment horizontal="left" vertical="top" wrapText="1"/>
    </xf>
    <xf numFmtId="49" fontId="9" fillId="0" borderId="139" xfId="16" applyNumberFormat="1" applyFont="1" applyBorder="1" applyAlignment="1">
      <alignment horizontal="center" vertical="top" wrapText="1"/>
    </xf>
    <xf numFmtId="49" fontId="9" fillId="0" borderId="140" xfId="16" applyNumberFormat="1" applyFont="1" applyBorder="1" applyAlignment="1">
      <alignment horizontal="left" vertical="top" wrapText="1"/>
    </xf>
    <xf numFmtId="49" fontId="9" fillId="0" borderId="141" xfId="16" applyNumberFormat="1" applyFont="1" applyBorder="1" applyAlignment="1">
      <alignment horizontal="center" vertical="top" wrapText="1"/>
    </xf>
    <xf numFmtId="49" fontId="9" fillId="0" borderId="142" xfId="16" applyNumberFormat="1" applyFont="1" applyBorder="1" applyAlignment="1">
      <alignment horizontal="left" vertical="top" wrapText="1"/>
    </xf>
    <xf numFmtId="49" fontId="9" fillId="0" borderId="143" xfId="16" applyNumberFormat="1" applyFont="1" applyBorder="1" applyAlignment="1">
      <alignment horizontal="center" vertical="top" wrapText="1"/>
    </xf>
    <xf numFmtId="0" fontId="9" fillId="0" borderId="144" xfId="16" applyFont="1" applyBorder="1" applyAlignment="1">
      <alignment horizontal="left" vertical="top" wrapText="1"/>
    </xf>
    <xf numFmtId="49" fontId="9" fillId="0" borderId="0" xfId="16" applyNumberFormat="1" applyFont="1" applyAlignment="1">
      <alignment horizontal="left" vertical="center" wrapText="1"/>
    </xf>
    <xf numFmtId="0" fontId="1" fillId="0" borderId="0" xfId="16" applyAlignment="1">
      <alignment horizontal="left" vertical="top" wrapText="1"/>
    </xf>
    <xf numFmtId="0" fontId="33" fillId="0" borderId="121" xfId="5" applyFont="1" applyFill="1" applyBorder="1" applyAlignment="1" applyProtection="1">
      <alignment horizontal="left" vertical="center" wrapText="1"/>
    </xf>
    <xf numFmtId="0" fontId="11" fillId="0" borderId="100" xfId="5" applyFont="1" applyBorder="1" applyAlignment="1" applyProtection="1">
      <alignment horizontal="left" vertical="center" wrapText="1"/>
    </xf>
    <xf numFmtId="0" fontId="0" fillId="0" borderId="100" xfId="0" applyBorder="1" applyAlignment="1">
      <alignment horizontal="left" vertical="center" wrapText="1"/>
    </xf>
    <xf numFmtId="0" fontId="0" fillId="0" borderId="22" xfId="0" applyBorder="1" applyAlignment="1">
      <alignment horizontal="left" vertical="center" wrapText="1"/>
    </xf>
    <xf numFmtId="49" fontId="1" fillId="0" borderId="0" xfId="16" applyNumberFormat="1" applyAlignment="1">
      <alignment horizontal="left" vertical="center" wrapText="1"/>
    </xf>
    <xf numFmtId="49" fontId="1" fillId="0" borderId="158" xfId="16" applyNumberFormat="1" applyBorder="1" applyAlignment="1">
      <alignment horizontal="left" vertical="center" wrapText="1"/>
    </xf>
    <xf numFmtId="0" fontId="0" fillId="0" borderId="159" xfId="0" applyBorder="1"/>
    <xf numFmtId="49" fontId="57" fillId="0" borderId="0" xfId="16" applyNumberFormat="1" applyFont="1" applyAlignment="1">
      <alignment horizontal="left" vertical="center"/>
    </xf>
    <xf numFmtId="49" fontId="1" fillId="0" borderId="0" xfId="16" applyNumberFormat="1" applyAlignment="1">
      <alignment horizontal="left" vertical="center"/>
    </xf>
    <xf numFmtId="49" fontId="0" fillId="0" borderId="0" xfId="16" applyNumberFormat="1" applyFont="1" applyAlignment="1">
      <alignment horizontal="left" vertical="center"/>
    </xf>
    <xf numFmtId="49" fontId="1" fillId="0" borderId="121" xfId="16" applyNumberFormat="1" applyBorder="1" applyAlignment="1">
      <alignment horizontal="left" vertical="center" wrapText="1"/>
    </xf>
    <xf numFmtId="49" fontId="18" fillId="0" borderId="100" xfId="16" applyNumberFormat="1" applyFont="1" applyBorder="1" applyAlignment="1">
      <alignment horizontal="left" vertical="top" wrapText="1"/>
    </xf>
    <xf numFmtId="0" fontId="1" fillId="0" borderId="100" xfId="16" applyBorder="1" applyAlignment="1">
      <alignment horizontal="left" vertical="top" wrapText="1"/>
    </xf>
    <xf numFmtId="0" fontId="0" fillId="0" borderId="100" xfId="0" applyBorder="1"/>
    <xf numFmtId="0" fontId="0" fillId="0" borderId="22" xfId="0" applyBorder="1"/>
    <xf numFmtId="49" fontId="18" fillId="0" borderId="0" xfId="16" applyNumberFormat="1" applyFont="1" applyAlignment="1">
      <alignment horizontal="left" vertical="top" wrapText="1"/>
    </xf>
    <xf numFmtId="49" fontId="99" fillId="0" borderId="0" xfId="16" applyNumberFormat="1" applyFont="1" applyAlignment="1">
      <alignment horizontal="left" vertical="center" wrapText="1"/>
    </xf>
    <xf numFmtId="49" fontId="100" fillId="0" borderId="0" xfId="16" applyNumberFormat="1" applyFont="1" applyAlignment="1">
      <alignment horizontal="left" vertical="center" wrapText="1"/>
    </xf>
    <xf numFmtId="49" fontId="0" fillId="3" borderId="44" xfId="16" applyNumberFormat="1" applyFont="1" applyFill="1" applyBorder="1" applyAlignment="1">
      <alignment horizontal="left" vertical="center" wrapText="1"/>
    </xf>
    <xf numFmtId="49" fontId="23" fillId="3" borderId="44" xfId="16" applyNumberFormat="1" applyFont="1" applyFill="1" applyBorder="1" applyAlignment="1">
      <alignment horizontal="left" vertical="center" wrapText="1"/>
    </xf>
    <xf numFmtId="49" fontId="0" fillId="3" borderId="145" xfId="16" applyNumberFormat="1" applyFont="1" applyFill="1" applyBorder="1" applyAlignment="1">
      <alignment horizontal="left" vertical="center" wrapText="1"/>
    </xf>
    <xf numFmtId="49" fontId="23" fillId="3" borderId="145" xfId="16" applyNumberFormat="1" applyFont="1" applyFill="1" applyBorder="1" applyAlignment="1">
      <alignment horizontal="left" vertical="center" wrapText="1"/>
    </xf>
    <xf numFmtId="49" fontId="1" fillId="3" borderId="47" xfId="16" applyNumberFormat="1" applyFill="1" applyBorder="1" applyAlignment="1">
      <alignment horizontal="center" vertical="top" wrapText="1"/>
    </xf>
    <xf numFmtId="0" fontId="33"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8" fillId="0" borderId="194" xfId="11" applyBorder="1" applyAlignment="1">
      <alignment vertical="center"/>
    </xf>
    <xf numFmtId="0" fontId="18" fillId="0" borderId="295" xfId="11" applyBorder="1" applyAlignment="1">
      <alignment vertical="center"/>
    </xf>
    <xf numFmtId="0" fontId="18" fillId="0" borderId="302" xfId="11" applyBorder="1" applyAlignment="1">
      <alignment vertical="center"/>
    </xf>
    <xf numFmtId="0" fontId="97" fillId="0" borderId="33" xfId="0" applyFont="1" applyBorder="1" applyAlignment="1">
      <alignment vertical="center"/>
    </xf>
    <xf numFmtId="0" fontId="70" fillId="0" borderId="34" xfId="11" applyFont="1" applyBorder="1" applyAlignment="1">
      <alignment vertical="center"/>
    </xf>
    <xf numFmtId="0" fontId="70" fillId="0" borderId="34" xfId="15" applyFont="1" applyBorder="1" applyAlignment="1">
      <alignment vertical="center"/>
    </xf>
    <xf numFmtId="0" fontId="70" fillId="0" borderId="35" xfId="21" applyFont="1" applyBorder="1"/>
    <xf numFmtId="0" fontId="97" fillId="3" borderId="54" xfId="9" applyFont="1" applyFill="1" applyBorder="1" applyAlignment="1">
      <alignment vertical="center"/>
    </xf>
    <xf numFmtId="0" fontId="28" fillId="3" borderId="24" xfId="9" applyFont="1" applyFill="1" applyBorder="1" applyAlignment="1">
      <alignment horizontal="left" vertical="center"/>
    </xf>
    <xf numFmtId="1" fontId="18" fillId="7" borderId="8" xfId="2" applyNumberFormat="1" applyFont="1" applyFill="1" applyBorder="1" applyAlignment="1" applyProtection="1">
      <alignment vertical="center"/>
    </xf>
    <xf numFmtId="0" fontId="18" fillId="4" borderId="31" xfId="2" applyNumberFormat="1" applyFont="1" applyFill="1" applyBorder="1" applyAlignment="1" applyProtection="1">
      <alignment vertical="center" wrapText="1"/>
      <protection locked="0"/>
    </xf>
    <xf numFmtId="0" fontId="18" fillId="4" borderId="32" xfId="2" applyNumberFormat="1" applyFont="1" applyFill="1" applyBorder="1" applyAlignment="1" applyProtection="1">
      <alignment vertical="center" wrapText="1"/>
      <protection locked="0"/>
    </xf>
    <xf numFmtId="0" fontId="18" fillId="4" borderId="30" xfId="2" applyNumberFormat="1" applyFont="1" applyFill="1" applyBorder="1" applyAlignment="1" applyProtection="1">
      <alignment vertical="center" wrapText="1"/>
      <protection locked="0"/>
    </xf>
    <xf numFmtId="2" fontId="18" fillId="0" borderId="0" xfId="2" applyNumberFormat="1" applyFont="1" applyFill="1" applyBorder="1" applyAlignment="1" applyProtection="1">
      <alignment vertical="center"/>
    </xf>
    <xf numFmtId="171" fontId="18" fillId="0" borderId="0" xfId="2" applyNumberFormat="1" applyFont="1" applyFill="1" applyBorder="1" applyAlignment="1" applyProtection="1">
      <alignment vertical="center"/>
    </xf>
    <xf numFmtId="1" fontId="18" fillId="0" borderId="0" xfId="11" applyNumberFormat="1" applyAlignment="1">
      <alignment vertical="center"/>
    </xf>
    <xf numFmtId="165" fontId="18" fillId="0" borderId="0" xfId="11" applyNumberFormat="1" applyAlignment="1">
      <alignment vertical="center"/>
    </xf>
    <xf numFmtId="165" fontId="18" fillId="21" borderId="33" xfId="11" applyNumberFormat="1" applyFill="1" applyBorder="1" applyAlignment="1">
      <alignment vertical="center"/>
    </xf>
    <xf numFmtId="165" fontId="18" fillId="21" borderId="4" xfId="11" applyNumberFormat="1" applyFill="1" applyBorder="1" applyAlignment="1">
      <alignment vertical="center"/>
    </xf>
    <xf numFmtId="165" fontId="18" fillId="21" borderId="61" xfId="11" applyNumberFormat="1" applyFill="1" applyBorder="1" applyAlignment="1">
      <alignment vertical="center"/>
    </xf>
    <xf numFmtId="165" fontId="18" fillId="21" borderId="34" xfId="11" applyNumberFormat="1" applyFill="1" applyBorder="1" applyAlignment="1">
      <alignment vertical="center"/>
    </xf>
    <xf numFmtId="165" fontId="18" fillId="21" borderId="3" xfId="11" applyNumberFormat="1" applyFill="1" applyBorder="1" applyAlignment="1">
      <alignment vertical="center"/>
    </xf>
    <xf numFmtId="165" fontId="18" fillId="22" borderId="4" xfId="11" applyNumberFormat="1" applyFill="1" applyBorder="1" applyAlignment="1">
      <alignment vertical="center"/>
    </xf>
    <xf numFmtId="165" fontId="26" fillId="0" borderId="0" xfId="11" applyNumberFormat="1" applyFont="1" applyAlignment="1">
      <alignment vertical="center"/>
    </xf>
    <xf numFmtId="0" fontId="26" fillId="4" borderId="6" xfId="9" applyFont="1" applyFill="1" applyBorder="1" applyAlignment="1" applyProtection="1">
      <alignment horizontal="center" vertical="center" wrapText="1"/>
      <protection locked="0"/>
    </xf>
    <xf numFmtId="0" fontId="26" fillId="4" borderId="9" xfId="9" applyFont="1" applyFill="1" applyBorder="1" applyAlignment="1" applyProtection="1">
      <alignment horizontal="center" vertical="center" wrapText="1"/>
      <protection locked="0"/>
    </xf>
    <xf numFmtId="165" fontId="61" fillId="0" borderId="26" xfId="6" applyNumberFormat="1" applyFont="1" applyBorder="1" applyAlignment="1">
      <alignment vertical="center"/>
    </xf>
    <xf numFmtId="165" fontId="61" fillId="18" borderId="11" xfId="6" applyNumberFormat="1" applyFont="1" applyFill="1" applyBorder="1" applyAlignment="1">
      <alignment vertical="center"/>
    </xf>
    <xf numFmtId="165" fontId="61" fillId="18" borderId="27" xfId="6" applyNumberFormat="1" applyFont="1" applyFill="1" applyBorder="1" applyAlignment="1">
      <alignment vertical="center"/>
    </xf>
    <xf numFmtId="165" fontId="61" fillId="18" borderId="41" xfId="6" applyNumberFormat="1" applyFont="1" applyFill="1" applyBorder="1" applyAlignment="1">
      <alignment vertical="center"/>
    </xf>
    <xf numFmtId="165" fontId="61" fillId="18" borderId="12" xfId="6" applyNumberFormat="1" applyFont="1" applyFill="1" applyBorder="1" applyAlignment="1">
      <alignment vertical="center"/>
    </xf>
    <xf numFmtId="165" fontId="61" fillId="18" borderId="40" xfId="6" applyNumberFormat="1" applyFont="1" applyFill="1" applyBorder="1" applyAlignment="1">
      <alignment vertical="center"/>
    </xf>
    <xf numFmtId="165" fontId="61" fillId="18" borderId="2" xfId="6" applyNumberFormat="1" applyFont="1" applyFill="1" applyBorder="1" applyAlignment="1">
      <alignment vertical="center"/>
    </xf>
    <xf numFmtId="165" fontId="61" fillId="18" borderId="35" xfId="6" applyNumberFormat="1" applyFont="1" applyFill="1" applyBorder="1" applyAlignment="1">
      <alignment vertical="center"/>
    </xf>
    <xf numFmtId="165" fontId="61" fillId="18" borderId="61" xfId="6" applyNumberFormat="1" applyFont="1" applyFill="1" applyBorder="1" applyAlignment="1">
      <alignment vertical="center"/>
    </xf>
    <xf numFmtId="165" fontId="61" fillId="18" borderId="3" xfId="6" applyNumberFormat="1" applyFont="1" applyFill="1" applyBorder="1" applyAlignment="1">
      <alignment vertical="center"/>
    </xf>
    <xf numFmtId="165" fontId="61" fillId="18" borderId="4" xfId="6" applyNumberFormat="1" applyFont="1" applyFill="1" applyBorder="1" applyAlignment="1">
      <alignment vertical="center"/>
    </xf>
    <xf numFmtId="165" fontId="61" fillId="18" borderId="227" xfId="6" applyNumberFormat="1" applyFont="1" applyFill="1" applyBorder="1" applyAlignment="1">
      <alignment vertical="center"/>
    </xf>
    <xf numFmtId="0" fontId="18" fillId="0" borderId="26" xfId="19" applyNumberFormat="1" applyFont="1" applyFill="1" applyBorder="1" applyAlignment="1" applyProtection="1">
      <alignment vertical="center" wrapText="1"/>
    </xf>
    <xf numFmtId="165" fontId="61" fillId="18" borderId="60" xfId="6" applyNumberFormat="1" applyFont="1" applyFill="1" applyBorder="1" applyAlignment="1">
      <alignment vertical="center"/>
    </xf>
    <xf numFmtId="165" fontId="18" fillId="7" borderId="257" xfId="19" applyNumberFormat="1" applyFont="1" applyFill="1" applyBorder="1" applyAlignment="1" applyProtection="1">
      <alignment vertical="center"/>
    </xf>
    <xf numFmtId="165" fontId="18" fillId="7" borderId="258" xfId="19" applyNumberFormat="1" applyFont="1" applyFill="1" applyBorder="1" applyAlignment="1" applyProtection="1">
      <alignment vertical="center"/>
    </xf>
    <xf numFmtId="165" fontId="18" fillId="7" borderId="259" xfId="19" applyNumberFormat="1" applyFont="1" applyFill="1" applyBorder="1" applyAlignment="1" applyProtection="1">
      <alignment vertical="center"/>
    </xf>
    <xf numFmtId="165" fontId="26" fillId="4" borderId="18" xfId="2" applyNumberFormat="1" applyFont="1" applyFill="1" applyBorder="1" applyAlignment="1" applyProtection="1">
      <alignment vertical="center"/>
    </xf>
    <xf numFmtId="165" fontId="26" fillId="4" borderId="32" xfId="2" applyNumberFormat="1" applyFont="1" applyFill="1" applyBorder="1" applyAlignment="1" applyProtection="1">
      <alignment vertical="center"/>
    </xf>
    <xf numFmtId="165" fontId="26" fillId="4" borderId="49" xfId="2" applyNumberFormat="1" applyFont="1" applyFill="1" applyBorder="1" applyAlignment="1" applyProtection="1">
      <alignment vertical="center"/>
    </xf>
    <xf numFmtId="165" fontId="26" fillId="4" borderId="31" xfId="2" applyNumberFormat="1" applyFont="1" applyFill="1" applyBorder="1" applyAlignment="1" applyProtection="1">
      <alignment vertical="center"/>
    </xf>
    <xf numFmtId="165" fontId="26" fillId="4" borderId="30" xfId="2" applyNumberFormat="1" applyFont="1" applyFill="1" applyBorder="1" applyAlignment="1" applyProtection="1">
      <alignment vertical="center"/>
    </xf>
    <xf numFmtId="0" fontId="7" fillId="3" borderId="35" xfId="9" applyFont="1" applyFill="1" applyBorder="1" applyAlignment="1">
      <alignment horizontal="center" vertical="center" wrapText="1"/>
    </xf>
    <xf numFmtId="165" fontId="26" fillId="7" borderId="27" xfId="9" applyNumberFormat="1" applyFont="1" applyFill="1" applyBorder="1" applyAlignment="1">
      <alignment vertical="center"/>
    </xf>
    <xf numFmtId="165" fontId="26" fillId="7" borderId="26" xfId="9" applyNumberFormat="1" applyFont="1" applyFill="1" applyBorder="1" applyAlignment="1">
      <alignment vertical="center"/>
    </xf>
    <xf numFmtId="165" fontId="26" fillId="7" borderId="27" xfId="2" applyNumberFormat="1" applyFont="1" applyFill="1" applyBorder="1" applyAlignment="1" applyProtection="1">
      <alignment vertical="center"/>
    </xf>
    <xf numFmtId="165" fontId="26" fillId="4" borderId="24" xfId="2" applyNumberFormat="1" applyFont="1" applyFill="1" applyBorder="1" applyAlignment="1" applyProtection="1">
      <alignment vertical="center"/>
    </xf>
    <xf numFmtId="165" fontId="26" fillId="4" borderId="26" xfId="2" applyNumberFormat="1" applyFont="1" applyFill="1" applyBorder="1" applyAlignment="1" applyProtection="1">
      <alignment vertical="center"/>
    </xf>
    <xf numFmtId="165" fontId="26" fillId="4" borderId="35" xfId="2" applyNumberFormat="1" applyFont="1" applyFill="1" applyBorder="1" applyAlignment="1" applyProtection="1">
      <alignment vertical="center"/>
    </xf>
    <xf numFmtId="165" fontId="26" fillId="4" borderId="24" xfId="1" applyNumberFormat="1" applyFont="1" applyFill="1" applyBorder="1" applyAlignment="1" applyProtection="1">
      <alignment vertical="center"/>
    </xf>
    <xf numFmtId="165" fontId="26" fillId="4" borderId="27" xfId="1" applyNumberFormat="1" applyFont="1" applyFill="1" applyBorder="1" applyAlignment="1" applyProtection="1">
      <alignment vertical="center"/>
    </xf>
    <xf numFmtId="0" fontId="10" fillId="0" borderId="0" xfId="5" applyAlignment="1" applyProtection="1">
      <alignment vertical="top" wrapText="1"/>
    </xf>
    <xf numFmtId="165" fontId="26" fillId="7" borderId="34" xfId="9" applyNumberFormat="1" applyFont="1" applyFill="1" applyBorder="1" applyAlignment="1">
      <alignment vertical="center"/>
    </xf>
    <xf numFmtId="165" fontId="26" fillId="4" borderId="28" xfId="9" applyNumberFormat="1" applyFont="1" applyFill="1" applyBorder="1" applyAlignment="1" applyProtection="1">
      <alignment vertical="center"/>
      <protection locked="0"/>
    </xf>
    <xf numFmtId="165" fontId="26" fillId="4" borderId="29" xfId="9" applyNumberFormat="1" applyFont="1" applyFill="1" applyBorder="1" applyAlignment="1" applyProtection="1">
      <alignment vertical="center"/>
      <protection locked="0"/>
    </xf>
    <xf numFmtId="165" fontId="26" fillId="7" borderId="45" xfId="9" applyNumberFormat="1" applyFont="1" applyFill="1" applyBorder="1" applyAlignment="1">
      <alignment vertical="center"/>
    </xf>
    <xf numFmtId="165" fontId="26" fillId="4" borderId="34" xfId="9" applyNumberFormat="1" applyFont="1" applyFill="1" applyBorder="1" applyAlignment="1" applyProtection="1">
      <alignment vertical="center"/>
      <protection locked="0"/>
    </xf>
    <xf numFmtId="165" fontId="26" fillId="7" borderId="28" xfId="9" applyNumberFormat="1" applyFont="1" applyFill="1" applyBorder="1" applyAlignment="1">
      <alignment vertical="center"/>
    </xf>
    <xf numFmtId="167" fontId="26" fillId="4" borderId="45" xfId="9" applyNumberFormat="1" applyFont="1" applyFill="1" applyBorder="1" applyAlignment="1" applyProtection="1">
      <alignment vertical="center"/>
      <protection locked="0"/>
    </xf>
    <xf numFmtId="0" fontId="7" fillId="3" borderId="40" xfId="9" applyFont="1" applyFill="1" applyBorder="1" applyAlignment="1">
      <alignment horizontal="center" vertical="center" wrapText="1"/>
    </xf>
    <xf numFmtId="165" fontId="26" fillId="4" borderId="3" xfId="9" applyNumberFormat="1" applyFont="1" applyFill="1" applyBorder="1" applyAlignment="1" applyProtection="1">
      <alignment vertical="center"/>
      <protection locked="0"/>
    </xf>
    <xf numFmtId="167" fontId="26" fillId="4" borderId="12" xfId="9" applyNumberFormat="1" applyFont="1" applyFill="1" applyBorder="1" applyAlignment="1" applyProtection="1">
      <alignment vertical="center"/>
      <protection locked="0"/>
    </xf>
    <xf numFmtId="165" fontId="26" fillId="4" borderId="2" xfId="9" applyNumberFormat="1" applyFont="1" applyFill="1" applyBorder="1" applyAlignment="1">
      <alignment vertical="center"/>
    </xf>
    <xf numFmtId="165" fontId="23" fillId="7" borderId="36" xfId="6" applyNumberFormat="1" applyFont="1" applyFill="1" applyBorder="1" applyAlignment="1">
      <alignment vertical="center"/>
    </xf>
    <xf numFmtId="165" fontId="23" fillId="7" borderId="38" xfId="6" applyNumberFormat="1" applyFont="1" applyFill="1" applyBorder="1" applyAlignment="1">
      <alignment vertical="center"/>
    </xf>
    <xf numFmtId="165" fontId="26" fillId="7" borderId="35" xfId="9" applyNumberFormat="1" applyFont="1" applyFill="1" applyBorder="1" applyAlignment="1">
      <alignment vertical="center"/>
    </xf>
    <xf numFmtId="0" fontId="3" fillId="0" borderId="0" xfId="0" applyFont="1" applyAlignment="1">
      <alignment wrapText="1"/>
    </xf>
    <xf numFmtId="0" fontId="7" fillId="3" borderId="60" xfId="9" applyFont="1" applyFill="1" applyBorder="1" applyAlignment="1">
      <alignment horizontal="center" vertical="center" wrapText="1"/>
    </xf>
    <xf numFmtId="165" fontId="26" fillId="7" borderId="28" xfId="2" applyNumberFormat="1" applyFont="1" applyFill="1" applyBorder="1" applyAlignment="1" applyProtection="1">
      <alignment vertical="center"/>
    </xf>
    <xf numFmtId="165" fontId="26" fillId="7" borderId="29" xfId="2" applyNumberFormat="1" applyFont="1" applyFill="1" applyBorder="1" applyAlignment="1" applyProtection="1">
      <alignment vertical="center"/>
    </xf>
    <xf numFmtId="165" fontId="26" fillId="7" borderId="40" xfId="9" applyNumberFormat="1" applyFont="1" applyFill="1" applyBorder="1" applyAlignment="1">
      <alignment vertical="center"/>
    </xf>
    <xf numFmtId="165" fontId="26" fillId="7" borderId="38" xfId="9" applyNumberFormat="1" applyFont="1" applyFill="1" applyBorder="1" applyAlignment="1">
      <alignment vertical="center"/>
    </xf>
    <xf numFmtId="165" fontId="26" fillId="7" borderId="40" xfId="2" applyNumberFormat="1" applyFont="1" applyFill="1" applyBorder="1" applyAlignment="1" applyProtection="1">
      <alignment vertical="center"/>
    </xf>
    <xf numFmtId="165" fontId="26" fillId="7" borderId="34" xfId="2" applyNumberFormat="1" applyFont="1" applyFill="1" applyBorder="1" applyAlignment="1" applyProtection="1">
      <alignment vertical="center"/>
    </xf>
    <xf numFmtId="165" fontId="26" fillId="7" borderId="60" xfId="9" applyNumberFormat="1" applyFont="1" applyFill="1" applyBorder="1" applyAlignment="1">
      <alignment vertical="center"/>
    </xf>
    <xf numFmtId="165" fontId="26" fillId="7" borderId="36" xfId="1" applyNumberFormat="1" applyFont="1" applyFill="1" applyBorder="1" applyAlignment="1" applyProtection="1">
      <alignment vertical="center"/>
    </xf>
    <xf numFmtId="165" fontId="26" fillId="7" borderId="40" xfId="1" applyNumberFormat="1" applyFont="1" applyFill="1" applyBorder="1" applyAlignment="1" applyProtection="1">
      <alignment vertical="center"/>
    </xf>
    <xf numFmtId="165" fontId="104" fillId="4" borderId="26" xfId="2" applyNumberFormat="1" applyFont="1" applyFill="1" applyBorder="1" applyAlignment="1" applyProtection="1">
      <alignment vertical="center"/>
    </xf>
    <xf numFmtId="165" fontId="26" fillId="7" borderId="62" xfId="9" applyNumberFormat="1" applyFont="1" applyFill="1" applyBorder="1" applyAlignment="1">
      <alignment vertical="center"/>
    </xf>
    <xf numFmtId="165" fontId="26" fillId="4" borderId="99" xfId="11" applyNumberFormat="1" applyFont="1" applyFill="1" applyBorder="1" applyAlignment="1" applyProtection="1">
      <alignment vertical="center"/>
      <protection locked="0"/>
    </xf>
    <xf numFmtId="1" fontId="26" fillId="7" borderId="99" xfId="9" applyNumberFormat="1" applyFont="1" applyFill="1" applyBorder="1" applyAlignment="1">
      <alignment vertical="center"/>
    </xf>
    <xf numFmtId="0" fontId="25" fillId="8" borderId="0" xfId="7" applyFont="1" applyBorder="1" applyAlignment="1">
      <alignment horizontal="center" vertical="center"/>
    </xf>
    <xf numFmtId="0" fontId="18" fillId="0" borderId="13" xfId="9" applyBorder="1" applyAlignment="1">
      <alignment vertical="center"/>
    </xf>
    <xf numFmtId="165" fontId="26" fillId="4" borderId="49" xfId="2" applyNumberFormat="1" applyFont="1" applyFill="1" applyBorder="1" applyAlignment="1" applyProtection="1">
      <alignment vertical="center"/>
      <protection locked="0"/>
    </xf>
    <xf numFmtId="165" fontId="26" fillId="4" borderId="31" xfId="2" applyNumberFormat="1" applyFont="1" applyFill="1" applyBorder="1" applyAlignment="1" applyProtection="1">
      <alignment vertical="center"/>
      <protection locked="0"/>
    </xf>
    <xf numFmtId="165" fontId="26" fillId="4" borderId="30" xfId="2" applyNumberFormat="1" applyFont="1" applyFill="1" applyBorder="1" applyAlignment="1" applyProtection="1">
      <alignment vertical="center"/>
      <protection locked="0"/>
    </xf>
    <xf numFmtId="165" fontId="26" fillId="4" borderId="7" xfId="2" applyNumberFormat="1" applyFont="1" applyFill="1" applyBorder="1" applyAlignment="1" applyProtection="1">
      <alignment vertical="center"/>
      <protection locked="0"/>
    </xf>
    <xf numFmtId="165" fontId="26" fillId="4" borderId="10" xfId="2" applyNumberFormat="1" applyFont="1" applyFill="1" applyBorder="1" applyAlignment="1" applyProtection="1">
      <alignment vertical="center"/>
      <protection locked="0"/>
    </xf>
    <xf numFmtId="165" fontId="26" fillId="4" borderId="4" xfId="2" applyNumberFormat="1" applyFont="1" applyFill="1" applyBorder="1" applyAlignment="1" applyProtection="1">
      <alignment vertical="center"/>
      <protection locked="0"/>
    </xf>
    <xf numFmtId="165" fontId="26" fillId="4" borderId="7" xfId="1" applyNumberFormat="1" applyFont="1" applyFill="1" applyBorder="1" applyAlignment="1" applyProtection="1">
      <alignment vertical="center"/>
      <protection locked="0"/>
    </xf>
    <xf numFmtId="165" fontId="26" fillId="4" borderId="13" xfId="1" applyNumberFormat="1" applyFont="1" applyFill="1" applyBorder="1" applyAlignment="1" applyProtection="1">
      <alignment vertical="center"/>
      <protection locked="0"/>
    </xf>
    <xf numFmtId="0" fontId="22" fillId="5" borderId="47" xfId="0" applyFont="1" applyFill="1" applyBorder="1" applyAlignment="1">
      <alignment horizontal="center" vertical="center" wrapText="1"/>
    </xf>
    <xf numFmtId="165" fontId="5" fillId="0" borderId="179" xfId="0" applyNumberFormat="1" applyFont="1" applyBorder="1"/>
    <xf numFmtId="165" fontId="5" fillId="0" borderId="261" xfId="0" applyNumberFormat="1" applyFont="1" applyBorder="1"/>
    <xf numFmtId="0" fontId="0" fillId="0" borderId="0" xfId="0" applyAlignment="1">
      <alignment vertical="top"/>
    </xf>
    <xf numFmtId="0" fontId="7" fillId="3" borderId="1" xfId="6" applyFont="1" applyFill="1" applyBorder="1" applyAlignment="1">
      <alignment vertical="top"/>
    </xf>
    <xf numFmtId="0" fontId="7" fillId="3" borderId="35" xfId="6" applyFont="1" applyFill="1" applyBorder="1" applyAlignment="1">
      <alignment vertical="top"/>
    </xf>
    <xf numFmtId="1" fontId="18"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5" fontId="62" fillId="16" borderId="9" xfId="6" applyNumberFormat="1" applyFont="1" applyFill="1" applyBorder="1" applyAlignment="1" applyProtection="1">
      <alignment vertical="center" wrapText="1"/>
      <protection locked="0"/>
    </xf>
    <xf numFmtId="0" fontId="60" fillId="0" borderId="0" xfId="18" applyFont="1" applyAlignment="1">
      <alignment wrapText="1"/>
    </xf>
    <xf numFmtId="0" fontId="63" fillId="0" borderId="0" xfId="6" applyFont="1" applyAlignment="1">
      <alignment horizontal="center" vertical="center" wrapText="1"/>
    </xf>
    <xf numFmtId="165" fontId="61" fillId="16" borderId="47" xfId="6" applyNumberFormat="1" applyFont="1" applyFill="1" applyBorder="1" applyAlignment="1" applyProtection="1">
      <alignment vertical="center" wrapText="1"/>
      <protection locked="0"/>
    </xf>
    <xf numFmtId="165" fontId="61" fillId="16" borderId="9" xfId="6" applyNumberFormat="1" applyFont="1" applyFill="1" applyBorder="1" applyAlignment="1" applyProtection="1">
      <alignment vertical="center" wrapText="1"/>
      <protection locked="0"/>
    </xf>
    <xf numFmtId="0" fontId="11" fillId="0" borderId="0" xfId="5" applyFont="1" applyFill="1" applyAlignment="1" applyProtection="1">
      <alignment vertical="top" wrapText="1"/>
    </xf>
    <xf numFmtId="0" fontId="23" fillId="0" borderId="31" xfId="0" applyFont="1" applyBorder="1" applyAlignment="1">
      <alignment vertical="top" wrapText="1"/>
    </xf>
    <xf numFmtId="0" fontId="23" fillId="0" borderId="30" xfId="0" applyFont="1" applyBorder="1" applyAlignment="1">
      <alignment vertical="top" wrapText="1"/>
    </xf>
    <xf numFmtId="165" fontId="26" fillId="7" borderId="22" xfId="9" applyNumberFormat="1" applyFont="1" applyFill="1" applyBorder="1"/>
    <xf numFmtId="0" fontId="18" fillId="0" borderId="17" xfId="11" applyBorder="1" applyAlignment="1">
      <alignment vertical="center"/>
    </xf>
    <xf numFmtId="0" fontId="9" fillId="0" borderId="159" xfId="0" applyFont="1" applyBorder="1" applyAlignment="1">
      <alignment vertical="center"/>
    </xf>
    <xf numFmtId="0" fontId="18" fillId="0" borderId="159" xfId="11" applyBorder="1" applyAlignment="1">
      <alignment vertical="center"/>
    </xf>
    <xf numFmtId="0" fontId="18" fillId="0" borderId="22" xfId="11" applyBorder="1" applyAlignment="1">
      <alignment vertical="center"/>
    </xf>
    <xf numFmtId="0" fontId="18" fillId="0" borderId="5" xfId="11" applyBorder="1" applyAlignment="1">
      <alignment horizontal="left" vertical="top" wrapText="1"/>
    </xf>
    <xf numFmtId="0" fontId="18" fillId="0" borderId="8" xfId="11" applyBorder="1" applyAlignment="1">
      <alignment horizontal="left" vertical="top" wrapText="1"/>
    </xf>
    <xf numFmtId="0" fontId="18" fillId="0" borderId="11" xfId="11" applyBorder="1" applyAlignment="1">
      <alignment horizontal="left" vertical="top" wrapText="1"/>
    </xf>
    <xf numFmtId="0" fontId="9" fillId="0" borderId="0" xfId="22" applyFont="1" applyAlignment="1">
      <alignment horizontal="left" vertical="top"/>
    </xf>
    <xf numFmtId="0" fontId="9" fillId="0" borderId="0" xfId="22" applyFont="1" applyAlignment="1">
      <alignment horizontal="left" vertical="top" wrapText="1"/>
    </xf>
    <xf numFmtId="0" fontId="33" fillId="9" borderId="0" xfId="11" applyFont="1" applyFill="1" applyAlignment="1">
      <alignment vertical="center"/>
    </xf>
    <xf numFmtId="0" fontId="18" fillId="9" borderId="0" xfId="11" applyFill="1" applyAlignment="1">
      <alignment vertical="center"/>
    </xf>
    <xf numFmtId="0" fontId="18" fillId="9" borderId="0" xfId="15" applyFill="1" applyAlignment="1">
      <alignment vertical="center"/>
    </xf>
    <xf numFmtId="0" fontId="18" fillId="0" borderId="0" xfId="21" applyFont="1"/>
    <xf numFmtId="0" fontId="18" fillId="0" borderId="0" xfId="15" applyAlignment="1">
      <alignment vertical="center"/>
    </xf>
    <xf numFmtId="0" fontId="1" fillId="0" borderId="56" xfId="22" applyFont="1" applyBorder="1"/>
    <xf numFmtId="0" fontId="1" fillId="0" borderId="26" xfId="22" applyFont="1" applyBorder="1"/>
    <xf numFmtId="1" fontId="18" fillId="7" borderId="112" xfId="19" applyNumberFormat="1" applyFont="1" applyFill="1" applyBorder="1" applyAlignment="1" applyProtection="1">
      <alignment vertical="center"/>
    </xf>
    <xf numFmtId="170" fontId="26" fillId="7" borderId="11" xfId="11" applyNumberFormat="1" applyFont="1" applyFill="1" applyBorder="1" applyAlignment="1">
      <alignment vertical="center"/>
    </xf>
    <xf numFmtId="1" fontId="26" fillId="7" borderId="30" xfId="11" applyNumberFormat="1" applyFont="1" applyFill="1" applyBorder="1" applyAlignment="1">
      <alignment vertical="center"/>
    </xf>
    <xf numFmtId="1" fontId="26" fillId="4" borderId="190" xfId="19" applyNumberFormat="1" applyFont="1" applyFill="1" applyBorder="1" applyAlignment="1" applyProtection="1">
      <alignment vertical="center"/>
      <protection locked="0"/>
    </xf>
    <xf numFmtId="171" fontId="18" fillId="0" borderId="0" xfId="19" applyNumberFormat="1" applyFont="1" applyFill="1" applyBorder="1" applyAlignment="1" applyProtection="1">
      <alignment vertical="center"/>
    </xf>
    <xf numFmtId="165" fontId="18" fillId="21" borderId="2" xfId="11" applyNumberFormat="1" applyFill="1" applyBorder="1" applyAlignment="1">
      <alignment vertical="center"/>
    </xf>
    <xf numFmtId="165" fontId="18" fillId="21" borderId="60" xfId="11" applyNumberFormat="1" applyFill="1" applyBorder="1" applyAlignment="1">
      <alignment vertical="center"/>
    </xf>
    <xf numFmtId="165" fontId="26" fillId="28" borderId="8" xfId="11" applyNumberFormat="1" applyFont="1" applyFill="1" applyBorder="1" applyAlignment="1">
      <alignment vertical="center"/>
    </xf>
    <xf numFmtId="165" fontId="26" fillId="28" borderId="11" xfId="11" applyNumberFormat="1" applyFont="1" applyFill="1" applyBorder="1" applyAlignment="1">
      <alignment vertical="center"/>
    </xf>
    <xf numFmtId="165" fontId="26" fillId="28" borderId="32" xfId="11" applyNumberFormat="1" applyFont="1" applyFill="1" applyBorder="1" applyAlignment="1">
      <alignment vertical="center"/>
    </xf>
    <xf numFmtId="0" fontId="23" fillId="0" borderId="49" xfId="0" applyFont="1" applyBorder="1" applyAlignment="1">
      <alignment vertical="top" wrapText="1"/>
    </xf>
    <xf numFmtId="0" fontId="15" fillId="0" borderId="9" xfId="11" applyFont="1" applyBorder="1" applyAlignment="1">
      <alignment horizontal="center" vertical="center"/>
    </xf>
    <xf numFmtId="9" fontId="88" fillId="0" borderId="9" xfId="11" applyNumberFormat="1" applyFont="1" applyBorder="1" applyAlignment="1">
      <alignment horizontal="center" vertical="center" wrapText="1"/>
    </xf>
    <xf numFmtId="0" fontId="23" fillId="0" borderId="32" xfId="0" applyFont="1" applyBorder="1" applyAlignment="1">
      <alignment vertical="top" wrapText="1"/>
    </xf>
    <xf numFmtId="1" fontId="26" fillId="4" borderId="6" xfId="11" applyNumberFormat="1" applyFont="1" applyFill="1" applyBorder="1" applyAlignment="1" applyProtection="1">
      <alignment horizontal="right" vertical="center" wrapText="1"/>
      <protection locked="0"/>
    </xf>
    <xf numFmtId="1" fontId="26" fillId="4" borderId="9" xfId="11" applyNumberFormat="1" applyFont="1" applyFill="1" applyBorder="1" applyAlignment="1" applyProtection="1">
      <alignment horizontal="right" vertical="center" wrapText="1"/>
      <protection locked="0"/>
    </xf>
    <xf numFmtId="9" fontId="26" fillId="4" borderId="9" xfId="11" quotePrefix="1" applyNumberFormat="1" applyFont="1" applyFill="1" applyBorder="1" applyAlignment="1" applyProtection="1">
      <alignment horizontal="right" vertical="center" wrapText="1"/>
      <protection locked="0"/>
    </xf>
    <xf numFmtId="165" fontId="18" fillId="6" borderId="8" xfId="2" applyNumberFormat="1" applyFont="1" applyFill="1" applyBorder="1" applyAlignment="1" applyProtection="1">
      <alignment vertical="center"/>
      <protection locked="0"/>
    </xf>
    <xf numFmtId="171" fontId="18" fillId="6" borderId="32" xfId="2" applyNumberFormat="1" applyFont="1" applyFill="1" applyBorder="1" applyAlignment="1" applyProtection="1">
      <alignment vertical="center" wrapText="1"/>
      <protection locked="0"/>
    </xf>
    <xf numFmtId="49" fontId="18" fillId="6" borderId="32" xfId="19" applyNumberFormat="1" applyFont="1" applyFill="1" applyBorder="1" applyAlignment="1" applyProtection="1">
      <alignment vertical="center" wrapText="1"/>
      <protection locked="0"/>
    </xf>
    <xf numFmtId="2" fontId="26" fillId="6" borderId="32" xfId="11" applyNumberFormat="1" applyFont="1" applyFill="1" applyBorder="1" applyProtection="1">
      <protection locked="0"/>
    </xf>
    <xf numFmtId="1" fontId="26" fillId="6" borderId="32" xfId="11" applyNumberFormat="1" applyFont="1" applyFill="1" applyBorder="1" applyProtection="1">
      <protection locked="0"/>
    </xf>
    <xf numFmtId="170" fontId="26" fillId="6" borderId="32" xfId="11" applyNumberFormat="1" applyFont="1" applyFill="1" applyBorder="1" applyProtection="1">
      <protection locked="0"/>
    </xf>
    <xf numFmtId="3" fontId="26" fillId="6" borderId="30" xfId="11" applyNumberFormat="1" applyFont="1" applyFill="1" applyBorder="1" applyProtection="1">
      <protection locked="0"/>
    </xf>
    <xf numFmtId="1" fontId="26" fillId="6" borderId="31" xfId="11" applyNumberFormat="1" applyFont="1" applyFill="1" applyBorder="1" applyProtection="1">
      <protection locked="0"/>
    </xf>
    <xf numFmtId="1" fontId="26" fillId="6" borderId="30" xfId="11" applyNumberFormat="1" applyFont="1" applyFill="1" applyBorder="1" applyProtection="1">
      <protection locked="0"/>
    </xf>
    <xf numFmtId="0" fontId="70" fillId="0" borderId="0" xfId="21" applyFont="1" applyAlignment="1">
      <alignment wrapText="1"/>
    </xf>
    <xf numFmtId="165" fontId="23" fillId="6" borderId="39" xfId="6" applyNumberFormat="1" applyFont="1" applyFill="1" applyBorder="1" applyAlignment="1" applyProtection="1">
      <alignment vertical="center"/>
      <protection locked="0"/>
    </xf>
    <xf numFmtId="165" fontId="23" fillId="6" borderId="9" xfId="6" applyNumberFormat="1" applyFont="1" applyFill="1" applyBorder="1" applyAlignment="1" applyProtection="1">
      <alignment vertical="center"/>
      <protection locked="0"/>
    </xf>
    <xf numFmtId="165" fontId="23" fillId="6" borderId="10" xfId="6" applyNumberFormat="1" applyFont="1" applyFill="1" applyBorder="1" applyAlignment="1" applyProtection="1">
      <alignment vertical="center"/>
      <protection locked="0"/>
    </xf>
    <xf numFmtId="165" fontId="23" fillId="6" borderId="8" xfId="6" applyNumberFormat="1" applyFont="1" applyFill="1" applyBorder="1" applyAlignment="1" applyProtection="1">
      <alignment vertical="center"/>
      <protection locked="0"/>
    </xf>
    <xf numFmtId="165" fontId="61" fillId="31" borderId="8" xfId="20" applyNumberFormat="1" applyFont="1" applyFill="1" applyBorder="1" applyAlignment="1" applyProtection="1">
      <alignment vertical="center"/>
      <protection locked="0"/>
    </xf>
    <xf numFmtId="165" fontId="61" fillId="31" borderId="39" xfId="20" applyNumberFormat="1" applyFont="1" applyFill="1" applyBorder="1" applyAlignment="1" applyProtection="1">
      <alignment vertical="center"/>
      <protection locked="0"/>
    </xf>
    <xf numFmtId="165" fontId="61" fillId="31" borderId="9" xfId="20" applyNumberFormat="1" applyFont="1" applyFill="1" applyBorder="1" applyAlignment="1" applyProtection="1">
      <alignment vertical="center"/>
      <protection locked="0"/>
    </xf>
    <xf numFmtId="165" fontId="61" fillId="31" borderId="10" xfId="20" applyNumberFormat="1" applyFont="1" applyFill="1" applyBorder="1" applyAlignment="1" applyProtection="1">
      <alignment vertical="center"/>
      <protection locked="0"/>
    </xf>
    <xf numFmtId="165" fontId="9" fillId="6" borderId="9" xfId="6" applyNumberFormat="1" applyFont="1" applyFill="1" applyBorder="1" applyAlignment="1" applyProtection="1">
      <alignment vertical="center" wrapText="1"/>
      <protection locked="0"/>
    </xf>
    <xf numFmtId="165" fontId="18" fillId="6" borderId="56" xfId="19" applyNumberFormat="1" applyFont="1" applyFill="1" applyBorder="1" applyAlignment="1" applyProtection="1">
      <alignment vertical="center"/>
      <protection locked="0"/>
    </xf>
    <xf numFmtId="165" fontId="18" fillId="6" borderId="9" xfId="19" applyNumberFormat="1" applyFont="1" applyFill="1" applyBorder="1" applyAlignment="1" applyProtection="1">
      <alignment vertical="center"/>
      <protection locked="0"/>
    </xf>
    <xf numFmtId="165" fontId="18" fillId="6" borderId="10" xfId="19" applyNumberFormat="1" applyFont="1" applyFill="1" applyBorder="1" applyAlignment="1" applyProtection="1">
      <alignment vertical="center"/>
      <protection locked="0"/>
    </xf>
    <xf numFmtId="165" fontId="18" fillId="6" borderId="8" xfId="19" applyNumberFormat="1" applyFont="1" applyFill="1" applyBorder="1" applyAlignment="1" applyProtection="1">
      <alignment vertical="center"/>
      <protection locked="0"/>
    </xf>
    <xf numFmtId="165" fontId="18" fillId="6" borderId="39" xfId="19" applyNumberFormat="1" applyFont="1" applyFill="1" applyBorder="1" applyAlignment="1" applyProtection="1">
      <alignment vertical="center"/>
      <protection locked="0"/>
    </xf>
    <xf numFmtId="165" fontId="18" fillId="6" borderId="38" xfId="19" applyNumberFormat="1" applyFont="1" applyFill="1" applyBorder="1" applyAlignment="1" applyProtection="1">
      <alignment vertical="center"/>
      <protection locked="0"/>
    </xf>
    <xf numFmtId="0" fontId="104" fillId="6" borderId="0" xfId="6" applyFont="1" applyFill="1" applyAlignment="1">
      <alignment vertical="center"/>
    </xf>
    <xf numFmtId="0" fontId="2" fillId="6" borderId="0" xfId="6" applyFont="1" applyFill="1" applyAlignment="1">
      <alignment vertical="center"/>
    </xf>
    <xf numFmtId="0" fontId="77" fillId="0" borderId="0" xfId="18" applyFont="1"/>
    <xf numFmtId="2" fontId="35" fillId="4" borderId="112" xfId="2" applyNumberFormat="1" applyFont="1" applyFill="1" applyBorder="1" applyAlignment="1" applyProtection="1">
      <alignment vertical="center"/>
      <protection locked="0"/>
    </xf>
    <xf numFmtId="2" fontId="35" fillId="4" borderId="57" xfId="2" applyNumberFormat="1" applyFont="1" applyFill="1" applyBorder="1" applyAlignment="1" applyProtection="1">
      <alignment vertical="center"/>
      <protection locked="0"/>
    </xf>
    <xf numFmtId="0" fontId="35" fillId="4" borderId="99" xfId="2" applyNumberFormat="1" applyFont="1" applyFill="1" applyBorder="1" applyAlignment="1" applyProtection="1">
      <alignment vertical="center" wrapText="1"/>
      <protection locked="0"/>
    </xf>
    <xf numFmtId="0" fontId="7" fillId="3" borderId="15" xfId="6" applyFont="1" applyFill="1" applyBorder="1" applyAlignment="1">
      <alignment horizontal="left" vertical="center"/>
    </xf>
    <xf numFmtId="0" fontId="7" fillId="3" borderId="20" xfId="6" applyFont="1" applyFill="1" applyBorder="1" applyAlignment="1">
      <alignment horizontal="left" vertical="center"/>
    </xf>
    <xf numFmtId="0" fontId="23" fillId="6" borderId="0" xfId="6" applyFont="1" applyFill="1" applyAlignment="1">
      <alignment horizontal="center" vertical="center" wrapText="1"/>
    </xf>
    <xf numFmtId="0" fontId="12" fillId="0" borderId="0" xfId="9" applyFont="1" applyAlignment="1">
      <alignment vertical="center"/>
    </xf>
    <xf numFmtId="0" fontId="18" fillId="6" borderId="0" xfId="9" applyFill="1" applyAlignment="1">
      <alignment horizontal="center" vertical="center" wrapText="1"/>
    </xf>
    <xf numFmtId="0" fontId="7" fillId="3" borderId="15" xfId="9" applyFont="1" applyFill="1" applyBorder="1" applyAlignment="1">
      <alignment horizontal="left" vertical="center"/>
    </xf>
    <xf numFmtId="0" fontId="7" fillId="3" borderId="20" xfId="9" applyFont="1" applyFill="1" applyBorder="1" applyAlignment="1">
      <alignment horizontal="left" vertical="center"/>
    </xf>
    <xf numFmtId="0" fontId="7" fillId="3" borderId="15" xfId="9" applyFont="1" applyFill="1" applyBorder="1" applyAlignment="1">
      <alignment horizontal="center" vertical="center"/>
    </xf>
    <xf numFmtId="0" fontId="7" fillId="3" borderId="20" xfId="9" applyFont="1" applyFill="1" applyBorder="1" applyAlignment="1">
      <alignment horizontal="center" vertical="center"/>
    </xf>
    <xf numFmtId="0" fontId="7" fillId="3" borderId="11" xfId="6" applyFont="1" applyFill="1" applyBorder="1" applyAlignment="1">
      <alignment horizontal="center" vertical="center" wrapText="1"/>
    </xf>
    <xf numFmtId="0" fontId="7" fillId="3" borderId="13" xfId="6" applyFont="1" applyFill="1" applyBorder="1" applyAlignment="1">
      <alignment horizontal="center" vertical="center" wrapText="1"/>
    </xf>
    <xf numFmtId="0" fontId="7" fillId="3" borderId="2" xfId="9" applyFont="1" applyFill="1" applyBorder="1" applyAlignment="1">
      <alignment horizontal="left" vertical="center" wrapText="1"/>
    </xf>
    <xf numFmtId="0" fontId="7" fillId="3" borderId="3" xfId="9" applyFont="1" applyFill="1" applyBorder="1" applyAlignment="1">
      <alignment horizontal="left" vertical="center" wrapText="1"/>
    </xf>
    <xf numFmtId="0" fontId="15" fillId="0" borderId="0" xfId="9" applyFont="1" applyAlignment="1">
      <alignment horizontal="left" vertical="center" wrapText="1"/>
    </xf>
    <xf numFmtId="0" fontId="7" fillId="3" borderId="2" xfId="9" applyFont="1" applyFill="1" applyBorder="1" applyAlignment="1">
      <alignment horizontal="left" vertical="center"/>
    </xf>
    <xf numFmtId="0" fontId="7" fillId="3" borderId="3" xfId="9" applyFont="1" applyFill="1" applyBorder="1" applyAlignment="1">
      <alignment horizontal="left" vertical="center"/>
    </xf>
    <xf numFmtId="0" fontId="7" fillId="3" borderId="6" xfId="6" applyFont="1" applyFill="1" applyBorder="1" applyAlignment="1">
      <alignment horizontal="left" vertical="center"/>
    </xf>
    <xf numFmtId="0" fontId="7" fillId="3" borderId="12" xfId="6" applyFont="1" applyFill="1" applyBorder="1" applyAlignment="1">
      <alignment horizontal="left" vertical="center"/>
    </xf>
    <xf numFmtId="0" fontId="7" fillId="3" borderId="3" xfId="6" applyFont="1" applyFill="1" applyBorder="1" applyAlignment="1">
      <alignment horizontal="left" vertical="center"/>
    </xf>
    <xf numFmtId="0" fontId="7" fillId="3" borderId="14" xfId="9" applyFont="1" applyFill="1" applyBorder="1" applyAlignment="1">
      <alignment horizontal="center" vertical="center"/>
    </xf>
    <xf numFmtId="0" fontId="7" fillId="3" borderId="100" xfId="6" applyFont="1" applyFill="1" applyBorder="1" applyAlignment="1">
      <alignment horizontal="center" vertical="center" wrapText="1"/>
    </xf>
    <xf numFmtId="0" fontId="7" fillId="3" borderId="20" xfId="6" applyFont="1" applyFill="1" applyBorder="1" applyAlignment="1">
      <alignment horizontal="center" vertical="center" wrapText="1"/>
    </xf>
    <xf numFmtId="0" fontId="7" fillId="3" borderId="14" xfId="6" applyFont="1" applyFill="1" applyBorder="1" applyAlignment="1">
      <alignment horizontal="center" vertical="center"/>
    </xf>
    <xf numFmtId="0" fontId="12" fillId="0" borderId="0" xfId="11" applyFont="1" applyAlignment="1">
      <alignment vertical="center"/>
    </xf>
    <xf numFmtId="0" fontId="7" fillId="3" borderId="35" xfId="6" applyFont="1" applyFill="1" applyBorder="1" applyAlignment="1">
      <alignment horizontal="center" vertical="center" wrapText="1"/>
    </xf>
    <xf numFmtId="0" fontId="7" fillId="15" borderId="15" xfId="11" applyFont="1" applyFill="1" applyBorder="1" applyAlignment="1">
      <alignment horizontal="center" vertical="center"/>
    </xf>
    <xf numFmtId="0" fontId="7" fillId="15" borderId="20" xfId="11" applyFont="1" applyFill="1" applyBorder="1" applyAlignment="1">
      <alignment horizontal="center" vertical="center"/>
    </xf>
    <xf numFmtId="0" fontId="7" fillId="3" borderId="33" xfId="11" applyFont="1" applyFill="1" applyBorder="1" applyAlignment="1">
      <alignment horizontal="center" vertical="center"/>
    </xf>
    <xf numFmtId="0" fontId="7" fillId="3" borderId="35" xfId="11" applyFont="1" applyFill="1" applyBorder="1" applyAlignment="1">
      <alignment horizontal="center" vertical="center"/>
    </xf>
    <xf numFmtId="0" fontId="7" fillId="3" borderId="33" xfId="6" applyFont="1" applyFill="1" applyBorder="1" applyAlignment="1">
      <alignment horizontal="center" vertical="center"/>
    </xf>
    <xf numFmtId="0" fontId="7" fillId="3" borderId="61" xfId="11" applyFont="1" applyFill="1" applyBorder="1" applyAlignment="1">
      <alignment horizontal="center" vertical="center"/>
    </xf>
    <xf numFmtId="0" fontId="7" fillId="3" borderId="3" xfId="11" applyFont="1" applyFill="1" applyBorder="1" applyAlignment="1">
      <alignment vertical="center"/>
    </xf>
    <xf numFmtId="0" fontId="27" fillId="3" borderId="33" xfId="11" applyFont="1" applyFill="1" applyBorder="1" applyAlignment="1">
      <alignment vertical="center"/>
    </xf>
    <xf numFmtId="0" fontId="27" fillId="3" borderId="34" xfId="11" applyFont="1" applyFill="1" applyBorder="1" applyAlignment="1">
      <alignment vertical="center"/>
    </xf>
    <xf numFmtId="0" fontId="27" fillId="3" borderId="35" xfId="11" applyFont="1" applyFill="1" applyBorder="1" applyAlignment="1">
      <alignment vertical="center"/>
    </xf>
    <xf numFmtId="0" fontId="74" fillId="9" borderId="0" xfId="11" applyFont="1" applyFill="1" applyAlignment="1">
      <alignment vertical="center"/>
    </xf>
    <xf numFmtId="0" fontId="74" fillId="0" borderId="0" xfId="11" applyFont="1" applyAlignment="1">
      <alignment vertical="center"/>
    </xf>
    <xf numFmtId="0" fontId="10" fillId="0" borderId="0" xfId="5" applyAlignment="1" applyProtection="1">
      <alignment horizontal="left" vertical="top"/>
    </xf>
    <xf numFmtId="14" fontId="23" fillId="0" borderId="18" xfId="0" applyNumberFormat="1" applyFont="1" applyBorder="1" applyAlignment="1">
      <alignment horizontal="center" vertical="top" wrapText="1"/>
    </xf>
    <xf numFmtId="0" fontId="0" fillId="0" borderId="160" xfId="0" applyBorder="1" applyAlignment="1">
      <alignment horizontal="center" vertical="top" wrapText="1"/>
    </xf>
    <xf numFmtId="0" fontId="0" fillId="0" borderId="23" xfId="0" applyBorder="1" applyAlignment="1">
      <alignment horizontal="center" vertical="top" wrapText="1"/>
    </xf>
    <xf numFmtId="14" fontId="23" fillId="0" borderId="160" xfId="0" applyNumberFormat="1" applyFont="1" applyBorder="1" applyAlignment="1">
      <alignment horizontal="center" vertical="top" wrapText="1"/>
    </xf>
    <xf numFmtId="14" fontId="23" fillId="0" borderId="23" xfId="0" applyNumberFormat="1" applyFont="1" applyBorder="1" applyAlignment="1">
      <alignment horizontal="center" vertical="top" wrapText="1"/>
    </xf>
    <xf numFmtId="0" fontId="4" fillId="2" borderId="0" xfId="3" applyNumberFormat="1" applyAlignment="1">
      <alignment horizontal="left" vertical="top"/>
    </xf>
    <xf numFmtId="0" fontId="0" fillId="0" borderId="0" xfId="0" applyAlignment="1">
      <alignment horizontal="left" vertical="top"/>
    </xf>
    <xf numFmtId="0" fontId="10" fillId="0" borderId="0" xfId="5"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7" fillId="3" borderId="18" xfId="6" applyFont="1" applyFill="1" applyBorder="1" applyAlignment="1">
      <alignment horizontal="center" vertical="center" wrapText="1"/>
    </xf>
    <xf numFmtId="0" fontId="7" fillId="3" borderId="23" xfId="6" applyFont="1" applyFill="1" applyBorder="1" applyAlignment="1">
      <alignment horizontal="center" vertical="center" wrapText="1"/>
    </xf>
    <xf numFmtId="0" fontId="7" fillId="3" borderId="14" xfId="6" applyFont="1" applyFill="1" applyBorder="1" applyAlignment="1">
      <alignment horizontal="left" vertical="center"/>
    </xf>
    <xf numFmtId="0" fontId="7" fillId="3" borderId="15" xfId="6" applyFont="1" applyFill="1" applyBorder="1" applyAlignment="1">
      <alignment horizontal="left" vertical="center"/>
    </xf>
    <xf numFmtId="0" fontId="7" fillId="3" borderId="19" xfId="6" applyFont="1" applyFill="1" applyBorder="1" applyAlignment="1">
      <alignment horizontal="left" vertical="center"/>
    </xf>
    <xf numFmtId="0" fontId="7" fillId="3" borderId="20" xfId="6" applyFont="1" applyFill="1" applyBorder="1" applyAlignment="1">
      <alignment horizontal="left" vertical="center"/>
    </xf>
    <xf numFmtId="0" fontId="7" fillId="3" borderId="15" xfId="6" applyFont="1" applyFill="1" applyBorder="1" applyAlignment="1">
      <alignment horizontal="center" vertical="center"/>
    </xf>
    <xf numFmtId="0" fontId="7" fillId="3" borderId="20" xfId="6" applyFont="1" applyFill="1" applyBorder="1" applyAlignment="1">
      <alignment horizontal="center" vertical="center"/>
    </xf>
    <xf numFmtId="0" fontId="7" fillId="3" borderId="16" xfId="6" applyFont="1" applyFill="1" applyBorder="1" applyAlignment="1">
      <alignment horizontal="center" vertical="center"/>
    </xf>
    <xf numFmtId="0" fontId="7" fillId="3" borderId="21" xfId="6" applyFont="1" applyFill="1" applyBorder="1" applyAlignment="1">
      <alignment horizontal="center" vertical="center"/>
    </xf>
    <xf numFmtId="0" fontId="7" fillId="3" borderId="17" xfId="6" applyFont="1" applyFill="1" applyBorder="1" applyAlignment="1">
      <alignment horizontal="center" vertical="center" wrapText="1"/>
    </xf>
    <xf numFmtId="0" fontId="7" fillId="3" borderId="22" xfId="6" applyFont="1" applyFill="1" applyBorder="1" applyAlignment="1">
      <alignment horizontal="center" vertical="center" wrapText="1"/>
    </xf>
    <xf numFmtId="0" fontId="7" fillId="3" borderId="5"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7" fillId="3" borderId="7" xfId="6" applyFont="1" applyFill="1" applyBorder="1" applyAlignment="1">
      <alignment horizontal="center" vertical="center" wrapText="1"/>
    </xf>
    <xf numFmtId="0" fontId="23" fillId="6" borderId="0" xfId="6" applyFont="1" applyFill="1" applyAlignment="1">
      <alignment horizontal="center" vertical="center" wrapText="1"/>
    </xf>
    <xf numFmtId="0" fontId="12" fillId="0" borderId="0" xfId="9" applyFont="1" applyAlignment="1">
      <alignment vertical="center"/>
    </xf>
    <xf numFmtId="0" fontId="7" fillId="3" borderId="54" xfId="6" applyFont="1" applyFill="1" applyBorder="1" applyAlignment="1">
      <alignment horizontal="center" vertical="center" wrapText="1"/>
    </xf>
    <xf numFmtId="0" fontId="7" fillId="3" borderId="28" xfId="6" applyFont="1" applyFill="1" applyBorder="1" applyAlignment="1">
      <alignment horizontal="center" vertical="center" wrapText="1"/>
    </xf>
    <xf numFmtId="0" fontId="7" fillId="3" borderId="24" xfId="6" applyFont="1" applyFill="1" applyBorder="1" applyAlignment="1">
      <alignment horizontal="center" vertical="center" wrapText="1"/>
    </xf>
    <xf numFmtId="0" fontId="18" fillId="6" borderId="0" xfId="9" applyFill="1" applyAlignment="1">
      <alignment horizontal="center" vertical="center" wrapText="1"/>
    </xf>
    <xf numFmtId="0" fontId="7" fillId="3" borderId="14" xfId="9" applyFont="1" applyFill="1" applyBorder="1" applyAlignment="1">
      <alignment horizontal="left" vertical="center"/>
    </xf>
    <xf numFmtId="0" fontId="7" fillId="3" borderId="15" xfId="9" applyFont="1" applyFill="1" applyBorder="1" applyAlignment="1">
      <alignment horizontal="left" vertical="center"/>
    </xf>
    <xf numFmtId="0" fontId="7" fillId="3" borderId="19" xfId="9" applyFont="1" applyFill="1" applyBorder="1" applyAlignment="1">
      <alignment horizontal="left" vertical="center"/>
    </xf>
    <xf numFmtId="0" fontId="7" fillId="3" borderId="20" xfId="9" applyFont="1" applyFill="1" applyBorder="1" applyAlignment="1">
      <alignment horizontal="left" vertical="center"/>
    </xf>
    <xf numFmtId="0" fontId="7" fillId="3" borderId="15" xfId="9" applyFont="1" applyFill="1" applyBorder="1" applyAlignment="1">
      <alignment horizontal="center" vertical="center"/>
    </xf>
    <xf numFmtId="0" fontId="7" fillId="3" borderId="20" xfId="9" applyFont="1" applyFill="1" applyBorder="1" applyAlignment="1">
      <alignment horizontal="center" vertical="center"/>
    </xf>
    <xf numFmtId="0" fontId="7" fillId="3" borderId="16" xfId="9" applyFont="1" applyFill="1" applyBorder="1" applyAlignment="1">
      <alignment horizontal="center" vertical="center"/>
    </xf>
    <xf numFmtId="0" fontId="7" fillId="3" borderId="21" xfId="9" applyFont="1" applyFill="1" applyBorder="1" applyAlignment="1">
      <alignment horizontal="center" vertical="center"/>
    </xf>
    <xf numFmtId="0" fontId="7" fillId="3" borderId="5" xfId="9" applyFont="1" applyFill="1" applyBorder="1" applyAlignment="1">
      <alignment horizontal="center" vertical="center"/>
    </xf>
    <xf numFmtId="0" fontId="7" fillId="3" borderId="7" xfId="9" applyFont="1" applyFill="1" applyBorder="1" applyAlignment="1">
      <alignment horizontal="center" vertical="center"/>
    </xf>
    <xf numFmtId="0" fontId="7" fillId="3" borderId="18" xfId="9" applyFont="1" applyFill="1" applyBorder="1" applyAlignment="1">
      <alignment horizontal="center" vertical="center"/>
    </xf>
    <xf numFmtId="0" fontId="7" fillId="3" borderId="23" xfId="9" applyFont="1" applyFill="1" applyBorder="1" applyAlignment="1">
      <alignment horizontal="center" vertical="center"/>
    </xf>
    <xf numFmtId="0" fontId="7" fillId="3" borderId="11" xfId="6" applyFont="1" applyFill="1" applyBorder="1" applyAlignment="1">
      <alignment horizontal="center" vertical="center" wrapText="1"/>
    </xf>
    <xf numFmtId="0" fontId="7" fillId="3" borderId="13" xfId="6" applyFont="1" applyFill="1" applyBorder="1" applyAlignment="1">
      <alignment horizontal="center" vertical="center" wrapText="1"/>
    </xf>
    <xf numFmtId="0" fontId="7" fillId="3" borderId="55" xfId="9" applyFont="1" applyFill="1" applyBorder="1" applyAlignment="1">
      <alignment horizontal="center" vertical="center"/>
    </xf>
    <xf numFmtId="0" fontId="7" fillId="3" borderId="53" xfId="9" applyFont="1" applyFill="1" applyBorder="1" applyAlignment="1">
      <alignment horizontal="center" vertical="center"/>
    </xf>
    <xf numFmtId="0" fontId="7" fillId="3" borderId="17" xfId="9" applyFont="1" applyFill="1" applyBorder="1" applyAlignment="1">
      <alignment horizontal="center" vertical="center"/>
    </xf>
    <xf numFmtId="0" fontId="7" fillId="3" borderId="2" xfId="9" applyFont="1" applyFill="1" applyBorder="1" applyAlignment="1">
      <alignment horizontal="left" vertical="center" wrapText="1"/>
    </xf>
    <xf numFmtId="0" fontId="7" fillId="3" borderId="3" xfId="9" applyFont="1" applyFill="1" applyBorder="1" applyAlignment="1">
      <alignment horizontal="left" vertical="center" wrapText="1"/>
    </xf>
    <xf numFmtId="0" fontId="15" fillId="0" borderId="0" xfId="9" applyFont="1" applyAlignment="1">
      <alignment horizontal="left" vertical="center" wrapText="1"/>
    </xf>
    <xf numFmtId="0" fontId="7" fillId="3" borderId="2" xfId="9" applyFont="1" applyFill="1" applyBorder="1" applyAlignment="1">
      <alignment horizontal="left" vertical="center"/>
    </xf>
    <xf numFmtId="0" fontId="7" fillId="3" borderId="3" xfId="9" applyFont="1" applyFill="1" applyBorder="1" applyAlignment="1">
      <alignment horizontal="left" vertical="center"/>
    </xf>
    <xf numFmtId="0" fontId="7" fillId="3" borderId="4" xfId="9" applyFont="1" applyFill="1" applyBorder="1" applyAlignment="1">
      <alignment horizontal="left" vertical="center"/>
    </xf>
    <xf numFmtId="0" fontId="23" fillId="6" borderId="0" xfId="6" applyFont="1" applyFill="1" applyAlignment="1">
      <alignment horizontal="left" vertical="center" wrapText="1"/>
    </xf>
    <xf numFmtId="0" fontId="0" fillId="0" borderId="0" xfId="0" applyAlignment="1">
      <alignment vertical="center"/>
    </xf>
    <xf numFmtId="0" fontId="0" fillId="0" borderId="0" xfId="0" applyAlignment="1">
      <alignment horizontal="center" vertical="center" wrapText="1"/>
    </xf>
    <xf numFmtId="0" fontId="7" fillId="3" borderId="5" xfId="6" applyFont="1" applyFill="1" applyBorder="1" applyAlignment="1">
      <alignment horizontal="left" vertical="center"/>
    </xf>
    <xf numFmtId="0" fontId="7" fillId="3" borderId="6" xfId="6" applyFont="1" applyFill="1" applyBorder="1" applyAlignment="1">
      <alignment horizontal="left" vertical="center"/>
    </xf>
    <xf numFmtId="0" fontId="7" fillId="3" borderId="11" xfId="6" applyFont="1" applyFill="1" applyBorder="1" applyAlignment="1">
      <alignment horizontal="left" vertical="center"/>
    </xf>
    <xf numFmtId="0" fontId="7" fillId="3" borderId="12" xfId="6" applyFont="1" applyFill="1" applyBorder="1" applyAlignment="1">
      <alignment horizontal="left" vertical="center"/>
    </xf>
    <xf numFmtId="0" fontId="7" fillId="3" borderId="6" xfId="6" applyFont="1" applyFill="1" applyBorder="1" applyAlignment="1">
      <alignment horizontal="center" vertical="center"/>
    </xf>
    <xf numFmtId="0" fontId="7" fillId="3" borderId="12" xfId="6" applyFont="1" applyFill="1" applyBorder="1" applyAlignment="1">
      <alignment horizontal="center" vertical="center"/>
    </xf>
    <xf numFmtId="0" fontId="7" fillId="3" borderId="7" xfId="6" applyFont="1" applyFill="1" applyBorder="1" applyAlignment="1">
      <alignment horizontal="center" vertical="center"/>
    </xf>
    <xf numFmtId="0" fontId="7" fillId="3" borderId="13" xfId="6" applyFont="1" applyFill="1" applyBorder="1" applyAlignment="1">
      <alignment horizontal="center" vertical="center"/>
    </xf>
    <xf numFmtId="0" fontId="7" fillId="3" borderId="58" xfId="6" applyFont="1" applyFill="1" applyBorder="1" applyAlignment="1">
      <alignment horizontal="left" vertical="center"/>
    </xf>
    <xf numFmtId="0" fontId="7" fillId="3" borderId="59" xfId="6" applyFont="1" applyFill="1" applyBorder="1" applyAlignment="1">
      <alignment horizontal="left" vertical="center"/>
    </xf>
    <xf numFmtId="0" fontId="7" fillId="3" borderId="33" xfId="9" applyFont="1" applyFill="1" applyBorder="1" applyAlignment="1">
      <alignment horizontal="left" vertical="center"/>
    </xf>
    <xf numFmtId="0" fontId="7" fillId="3" borderId="35" xfId="9" applyFont="1" applyFill="1" applyBorder="1" applyAlignment="1">
      <alignment horizontal="left" vertical="center"/>
    </xf>
    <xf numFmtId="0" fontId="7" fillId="3" borderId="2" xfId="6" applyFont="1" applyFill="1" applyBorder="1" applyAlignment="1">
      <alignment horizontal="left" vertical="center"/>
    </xf>
    <xf numFmtId="0" fontId="7" fillId="3" borderId="3" xfId="6" applyFont="1" applyFill="1" applyBorder="1" applyAlignment="1">
      <alignment horizontal="left" vertical="center"/>
    </xf>
    <xf numFmtId="0" fontId="97" fillId="3" borderId="33" xfId="9"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52" xfId="16" quotePrefix="1" applyNumberFormat="1" applyFont="1" applyBorder="1" applyAlignment="1">
      <alignment horizontal="left" vertical="top" wrapText="1"/>
    </xf>
    <xf numFmtId="49" fontId="5" fillId="3" borderId="33" xfId="14" applyNumberFormat="1" applyFont="1" applyFill="1" applyBorder="1" applyAlignment="1">
      <alignment horizontal="left" vertical="center" wrapText="1"/>
    </xf>
    <xf numFmtId="49" fontId="5" fillId="3" borderId="34" xfId="14" applyNumberFormat="1" applyFont="1" applyFill="1" applyBorder="1" applyAlignment="1">
      <alignment horizontal="left" vertical="center" wrapText="1"/>
    </xf>
    <xf numFmtId="0" fontId="0" fillId="3" borderId="34" xfId="0" applyFill="1" applyBorder="1" applyAlignment="1">
      <alignment horizontal="left" vertical="center" wrapText="1"/>
    </xf>
    <xf numFmtId="0" fontId="0" fillId="3" borderId="35" xfId="0" applyFill="1" applyBorder="1" applyAlignment="1">
      <alignment horizontal="left" vertical="center" wrapText="1"/>
    </xf>
    <xf numFmtId="0" fontId="7" fillId="3" borderId="60" xfId="6" applyFont="1" applyFill="1" applyBorder="1" applyAlignment="1">
      <alignment vertical="top"/>
    </xf>
    <xf numFmtId="49" fontId="9" fillId="0" borderId="146" xfId="16" quotePrefix="1" applyNumberFormat="1" applyFont="1" applyBorder="1" applyAlignment="1">
      <alignment horizontal="left" vertical="top" wrapText="1"/>
    </xf>
    <xf numFmtId="49" fontId="9" fillId="0" borderId="149" xfId="16" quotePrefix="1" applyNumberFormat="1" applyFont="1" applyBorder="1" applyAlignment="1">
      <alignment horizontal="left" vertical="top" wrapText="1"/>
    </xf>
    <xf numFmtId="0" fontId="33" fillId="0" borderId="55" xfId="5" applyFont="1" applyFill="1" applyBorder="1" applyAlignment="1" applyProtection="1">
      <alignment horizontal="left" vertical="top" wrapText="1"/>
    </xf>
    <xf numFmtId="0" fontId="33" fillId="0" borderId="53" xfId="5" applyFont="1" applyFill="1" applyBorder="1" applyAlignment="1" applyProtection="1">
      <alignment horizontal="left" vertical="top" wrapText="1"/>
    </xf>
    <xf numFmtId="49" fontId="9" fillId="0" borderId="155" xfId="16" applyNumberFormat="1" applyFont="1" applyBorder="1" applyAlignment="1">
      <alignment horizontal="left" vertical="top" wrapText="1"/>
    </xf>
    <xf numFmtId="49" fontId="9" fillId="0" borderId="303" xfId="16" applyNumberFormat="1" applyFont="1" applyBorder="1" applyAlignment="1">
      <alignment horizontal="left" vertical="top" wrapText="1"/>
    </xf>
    <xf numFmtId="0" fontId="33" fillId="0" borderId="33" xfId="5" applyFont="1" applyFill="1" applyBorder="1" applyAlignment="1" applyProtection="1">
      <alignment horizontal="left" vertical="top" wrapText="1"/>
    </xf>
    <xf numFmtId="0" fontId="33" fillId="0" borderId="34" xfId="5" applyFont="1" applyFill="1" applyBorder="1" applyAlignment="1" applyProtection="1">
      <alignment horizontal="left" vertical="top" wrapText="1"/>
    </xf>
    <xf numFmtId="0" fontId="7" fillId="3" borderId="54" xfId="9" applyFont="1" applyFill="1" applyBorder="1" applyAlignment="1">
      <alignment horizontal="center" vertical="center"/>
    </xf>
    <xf numFmtId="0" fontId="7" fillId="3" borderId="28" xfId="9" applyFont="1" applyFill="1" applyBorder="1" applyAlignment="1">
      <alignment horizontal="center" vertical="center"/>
    </xf>
    <xf numFmtId="0" fontId="7" fillId="3" borderId="24" xfId="9" applyFont="1" applyFill="1" applyBorder="1" applyAlignment="1">
      <alignment horizontal="center" vertical="center"/>
    </xf>
    <xf numFmtId="0" fontId="7" fillId="3" borderId="14" xfId="9" applyFont="1" applyFill="1" applyBorder="1" applyAlignment="1">
      <alignment horizontal="center" vertical="center"/>
    </xf>
    <xf numFmtId="0" fontId="7" fillId="3" borderId="19" xfId="9" applyFont="1" applyFill="1" applyBorder="1" applyAlignment="1">
      <alignment horizontal="center" vertical="center"/>
    </xf>
    <xf numFmtId="0" fontId="7" fillId="3" borderId="52" xfId="9" applyFont="1" applyFill="1" applyBorder="1" applyAlignment="1">
      <alignment horizontal="center" vertical="center"/>
    </xf>
    <xf numFmtId="0" fontId="7" fillId="3" borderId="51" xfId="9" applyFont="1" applyFill="1" applyBorder="1" applyAlignment="1">
      <alignment horizontal="center" vertical="center"/>
    </xf>
    <xf numFmtId="0" fontId="7" fillId="3" borderId="53" xfId="6" applyFont="1" applyFill="1" applyBorder="1" applyAlignment="1">
      <alignment horizontal="center" vertical="center" wrapText="1"/>
    </xf>
    <xf numFmtId="0" fontId="7" fillId="3" borderId="100" xfId="6" applyFont="1" applyFill="1" applyBorder="1" applyAlignment="1">
      <alignment horizontal="center" vertical="center" wrapText="1"/>
    </xf>
    <xf numFmtId="0" fontId="7" fillId="3" borderId="15" xfId="6" applyFont="1" applyFill="1" applyBorder="1" applyAlignment="1">
      <alignment horizontal="center" vertical="center" wrapText="1"/>
    </xf>
    <xf numFmtId="0" fontId="7" fillId="3" borderId="20" xfId="6" applyFont="1" applyFill="1" applyBorder="1" applyAlignment="1">
      <alignment horizontal="center" vertical="center" wrapText="1"/>
    </xf>
    <xf numFmtId="0" fontId="7" fillId="3" borderId="68" xfId="6" applyFont="1" applyFill="1" applyBorder="1" applyAlignment="1">
      <alignment horizontal="center" vertical="center" wrapText="1"/>
    </xf>
    <xf numFmtId="0" fontId="7" fillId="3" borderId="73" xfId="6" applyFont="1" applyFill="1" applyBorder="1" applyAlignment="1">
      <alignment horizontal="center" vertical="center" wrapText="1"/>
    </xf>
    <xf numFmtId="0" fontId="23" fillId="0" borderId="0" xfId="6" applyFont="1" applyAlignment="1">
      <alignment horizontal="center" vertical="center" wrapText="1"/>
    </xf>
    <xf numFmtId="0" fontId="7" fillId="3" borderId="109" xfId="6" applyFont="1" applyFill="1" applyBorder="1" applyAlignment="1">
      <alignment horizontal="center" vertical="center" wrapText="1"/>
    </xf>
    <xf numFmtId="0" fontId="7" fillId="3" borderId="110" xfId="6" applyFont="1" applyFill="1" applyBorder="1" applyAlignment="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7" fillId="3" borderId="64" xfId="6" applyFont="1" applyFill="1" applyBorder="1" applyAlignment="1">
      <alignment horizontal="center" vertical="center" wrapText="1"/>
    </xf>
    <xf numFmtId="0" fontId="7" fillId="3" borderId="65" xfId="6" applyFont="1" applyFill="1" applyBorder="1" applyAlignment="1">
      <alignment horizontal="center" vertical="center" wrapText="1"/>
    </xf>
    <xf numFmtId="0" fontId="0" fillId="0" borderId="23" xfId="0" applyBorder="1" applyAlignment="1">
      <alignment horizontal="center" vertical="center" wrapText="1"/>
    </xf>
    <xf numFmtId="0" fontId="7" fillId="3" borderId="67" xfId="6" applyFont="1" applyFill="1" applyBorder="1" applyAlignment="1">
      <alignment horizontal="center" vertical="center" wrapText="1"/>
    </xf>
    <xf numFmtId="0" fontId="7" fillId="3" borderId="66" xfId="6" applyFont="1" applyFill="1" applyBorder="1" applyAlignment="1">
      <alignment horizontal="center" vertical="center" wrapText="1"/>
    </xf>
    <xf numFmtId="0" fontId="26" fillId="0" borderId="33" xfId="9" applyFont="1" applyBorder="1" applyAlignment="1">
      <alignment vertical="top" wrapText="1"/>
    </xf>
    <xf numFmtId="0" fontId="26" fillId="0" borderId="34" xfId="9" applyFont="1" applyBorder="1" applyAlignment="1">
      <alignment vertical="top" wrapText="1"/>
    </xf>
    <xf numFmtId="0" fontId="26" fillId="0" borderId="35" xfId="9" applyFont="1" applyBorder="1" applyAlignment="1">
      <alignment vertical="top" wrapText="1"/>
    </xf>
    <xf numFmtId="0" fontId="7" fillId="3" borderId="14" xfId="6"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wrapText="1"/>
    </xf>
    <xf numFmtId="0" fontId="0" fillId="0" borderId="20" xfId="0" applyBorder="1" applyAlignment="1">
      <alignment horizontal="center" vertical="center"/>
    </xf>
    <xf numFmtId="0" fontId="12" fillId="0" borderId="0" xfId="11" applyFont="1" applyAlignment="1">
      <alignment vertical="center"/>
    </xf>
    <xf numFmtId="0" fontId="7" fillId="3" borderId="33" xfId="6" applyFont="1" applyFill="1" applyBorder="1" applyAlignment="1">
      <alignment horizontal="center" vertical="center" wrapText="1"/>
    </xf>
    <xf numFmtId="0" fontId="7" fillId="3" borderId="34" xfId="6" applyFont="1" applyFill="1" applyBorder="1" applyAlignment="1">
      <alignment horizontal="center" vertical="center" wrapText="1"/>
    </xf>
    <xf numFmtId="0" fontId="7" fillId="3" borderId="14" xfId="6" applyFont="1" applyFill="1" applyBorder="1" applyAlignment="1">
      <alignment vertical="center"/>
    </xf>
    <xf numFmtId="0" fontId="7" fillId="3" borderId="15" xfId="6" applyFont="1" applyFill="1" applyBorder="1" applyAlignment="1">
      <alignment vertical="center"/>
    </xf>
    <xf numFmtId="0" fontId="7" fillId="3" borderId="19" xfId="6" applyFont="1" applyFill="1" applyBorder="1" applyAlignment="1">
      <alignment vertical="center"/>
    </xf>
    <xf numFmtId="0" fontId="7" fillId="3" borderId="20" xfId="6" applyFont="1" applyFill="1" applyBorder="1" applyAlignment="1">
      <alignment vertical="center"/>
    </xf>
    <xf numFmtId="0" fontId="7" fillId="3" borderId="35" xfId="6" applyFont="1" applyFill="1" applyBorder="1" applyAlignment="1">
      <alignment horizontal="center" vertical="center" wrapText="1"/>
    </xf>
    <xf numFmtId="0" fontId="18" fillId="0" borderId="33" xfId="0" applyFont="1" applyBorder="1" applyAlignment="1">
      <alignment vertical="center" wrapText="1"/>
    </xf>
    <xf numFmtId="0" fontId="18" fillId="0" borderId="34" xfId="0" applyFont="1" applyBorder="1" applyAlignment="1">
      <alignment vertical="center" wrapText="1"/>
    </xf>
    <xf numFmtId="0" fontId="18" fillId="0" borderId="35" xfId="0" applyFont="1" applyBorder="1" applyAlignment="1">
      <alignment vertical="center" wrapText="1"/>
    </xf>
    <xf numFmtId="0" fontId="7" fillId="3" borderId="234" xfId="6" applyFont="1" applyFill="1" applyBorder="1" applyAlignment="1">
      <alignment horizontal="center" vertical="center" wrapText="1"/>
    </xf>
    <xf numFmtId="0" fontId="7" fillId="3" borderId="268" xfId="6" applyFont="1" applyFill="1" applyBorder="1" applyAlignment="1">
      <alignment horizontal="center" vertical="center" wrapText="1"/>
    </xf>
    <xf numFmtId="0" fontId="7" fillId="3" borderId="266" xfId="6" applyFont="1" applyFill="1" applyBorder="1" applyAlignment="1">
      <alignment horizontal="center" vertical="center" wrapText="1"/>
    </xf>
    <xf numFmtId="0" fontId="7" fillId="3" borderId="267" xfId="6" applyFont="1" applyFill="1" applyBorder="1" applyAlignment="1">
      <alignment horizontal="center" vertical="center" wrapText="1"/>
    </xf>
    <xf numFmtId="0" fontId="7" fillId="3" borderId="235" xfId="6" applyFont="1" applyFill="1" applyBorder="1" applyAlignment="1">
      <alignment horizontal="center" vertical="center" wrapText="1"/>
    </xf>
    <xf numFmtId="0" fontId="7" fillId="15" borderId="15" xfId="11" applyFont="1" applyFill="1" applyBorder="1" applyAlignment="1">
      <alignment horizontal="center" vertical="center"/>
    </xf>
    <xf numFmtId="0" fontId="7" fillId="15" borderId="20" xfId="11" applyFont="1" applyFill="1" applyBorder="1" applyAlignment="1">
      <alignment horizontal="center" vertical="center"/>
    </xf>
    <xf numFmtId="0" fontId="7" fillId="15" borderId="15" xfId="6" applyFont="1" applyFill="1" applyBorder="1" applyAlignment="1">
      <alignment horizontal="center" vertical="center" wrapText="1"/>
    </xf>
    <xf numFmtId="0" fontId="7" fillId="15" borderId="20" xfId="6" applyFont="1" applyFill="1" applyBorder="1" applyAlignment="1">
      <alignment horizontal="center" vertical="center" wrapText="1"/>
    </xf>
    <xf numFmtId="0" fontId="7" fillId="15" borderId="16" xfId="6" applyFont="1" applyFill="1" applyBorder="1" applyAlignment="1">
      <alignment horizontal="center" vertical="center" wrapText="1"/>
    </xf>
    <xf numFmtId="0" fontId="7" fillId="15" borderId="21" xfId="6" applyFont="1" applyFill="1" applyBorder="1" applyAlignment="1">
      <alignment horizontal="center" vertical="center" wrapText="1"/>
    </xf>
    <xf numFmtId="0" fontId="7" fillId="3" borderId="265" xfId="6" applyFont="1" applyFill="1" applyBorder="1" applyAlignment="1">
      <alignment horizontal="center" vertical="center" wrapText="1"/>
    </xf>
    <xf numFmtId="0" fontId="7" fillId="3" borderId="170" xfId="6" applyFont="1" applyFill="1" applyBorder="1" applyAlignment="1">
      <alignment horizontal="center" vertical="center" wrapText="1"/>
    </xf>
    <xf numFmtId="0" fontId="7" fillId="3" borderId="173" xfId="6" applyFont="1" applyFill="1" applyBorder="1" applyAlignment="1">
      <alignment horizontal="center" vertical="center" wrapText="1"/>
    </xf>
    <xf numFmtId="0" fontId="7" fillId="15" borderId="18" xfId="6" applyFont="1" applyFill="1" applyBorder="1" applyAlignment="1">
      <alignment horizontal="center" vertical="center" wrapText="1"/>
    </xf>
    <xf numFmtId="0" fontId="7" fillId="15" borderId="23" xfId="6" applyFont="1" applyFill="1" applyBorder="1" applyAlignment="1">
      <alignment horizontal="center" vertical="center" wrapText="1"/>
    </xf>
    <xf numFmtId="0" fontId="97" fillId="3" borderId="33" xfId="9" applyFont="1" applyFill="1" applyBorder="1" applyAlignment="1">
      <alignment horizontal="center" vertical="center"/>
    </xf>
    <xf numFmtId="0" fontId="97" fillId="3" borderId="34" xfId="9" applyFont="1" applyFill="1" applyBorder="1" applyAlignment="1">
      <alignment horizontal="center" vertical="center"/>
    </xf>
    <xf numFmtId="0" fontId="97" fillId="3" borderId="35" xfId="9" applyFont="1" applyFill="1" applyBorder="1" applyAlignment="1">
      <alignment horizontal="center" vertical="center"/>
    </xf>
    <xf numFmtId="0" fontId="68" fillId="0" borderId="20" xfId="17" applyFont="1" applyBorder="1" applyAlignment="1">
      <alignment horizontal="center" vertical="center" wrapText="1"/>
    </xf>
    <xf numFmtId="0" fontId="68" fillId="0" borderId="21" xfId="17" applyFont="1" applyBorder="1" applyAlignment="1">
      <alignment horizontal="center" vertical="center" wrapText="1"/>
    </xf>
    <xf numFmtId="0" fontId="7" fillId="3" borderId="55" xfId="6" applyFont="1" applyFill="1" applyBorder="1" applyAlignment="1">
      <alignment horizontal="center" vertical="center" wrapText="1"/>
    </xf>
    <xf numFmtId="0" fontId="49" fillId="0" borderId="100" xfId="17" applyBorder="1" applyAlignment="1">
      <alignment horizontal="center" vertical="center" wrapText="1"/>
    </xf>
    <xf numFmtId="0" fontId="97" fillId="3" borderId="33" xfId="11" applyFont="1" applyFill="1" applyBorder="1" applyAlignment="1">
      <alignment vertical="center"/>
    </xf>
    <xf numFmtId="0" fontId="18" fillId="0" borderId="121" xfId="11" applyBorder="1" applyAlignment="1">
      <alignment vertical="center" wrapText="1"/>
    </xf>
    <xf numFmtId="0" fontId="18" fillId="0" borderId="100" xfId="11" applyBorder="1" applyAlignment="1">
      <alignment vertical="center" wrapText="1"/>
    </xf>
    <xf numFmtId="0" fontId="18" fillId="0" borderId="22" xfId="11" applyBorder="1" applyAlignment="1">
      <alignment vertical="center" wrapText="1"/>
    </xf>
    <xf numFmtId="0" fontId="7" fillId="3" borderId="190" xfId="6" applyFont="1" applyFill="1" applyBorder="1" applyAlignment="1">
      <alignment vertical="center"/>
    </xf>
    <xf numFmtId="0" fontId="7" fillId="3" borderId="145" xfId="6" applyFont="1" applyFill="1" applyBorder="1" applyAlignment="1">
      <alignment vertical="center"/>
    </xf>
    <xf numFmtId="0" fontId="7" fillId="3" borderId="15" xfId="11" applyFont="1" applyFill="1" applyBorder="1" applyAlignment="1">
      <alignment horizontal="center" vertical="center"/>
    </xf>
    <xf numFmtId="0" fontId="7" fillId="3" borderId="145" xfId="11" applyFont="1" applyFill="1" applyBorder="1" applyAlignment="1">
      <alignment horizontal="center" vertical="center"/>
    </xf>
    <xf numFmtId="0" fontId="7" fillId="3" borderId="20" xfId="11" applyFont="1" applyFill="1" applyBorder="1" applyAlignment="1">
      <alignment horizontal="center" vertical="center"/>
    </xf>
    <xf numFmtId="0" fontId="7" fillId="3" borderId="16" xfId="11" applyFont="1" applyFill="1" applyBorder="1" applyAlignment="1">
      <alignment horizontal="center" vertical="center"/>
    </xf>
    <xf numFmtId="0" fontId="7" fillId="3" borderId="269" xfId="11" applyFont="1" applyFill="1" applyBorder="1" applyAlignment="1">
      <alignment horizontal="center" vertical="center"/>
    </xf>
    <xf numFmtId="0" fontId="7" fillId="3" borderId="21" xfId="11" applyFont="1" applyFill="1" applyBorder="1" applyAlignment="1">
      <alignment horizontal="center" vertical="center"/>
    </xf>
    <xf numFmtId="0" fontId="7" fillId="3" borderId="33" xfId="11" applyFont="1" applyFill="1" applyBorder="1" applyAlignment="1">
      <alignment horizontal="center" vertical="center" wrapText="1"/>
    </xf>
    <xf numFmtId="0" fontId="7" fillId="3" borderId="34" xfId="11" applyFont="1" applyFill="1" applyBorder="1" applyAlignment="1">
      <alignment horizontal="center" vertical="center" wrapText="1"/>
    </xf>
    <xf numFmtId="0" fontId="7" fillId="3" borderId="35" xfId="11" applyFont="1" applyFill="1" applyBorder="1" applyAlignment="1">
      <alignment horizontal="center" vertical="center" wrapText="1"/>
    </xf>
    <xf numFmtId="0" fontId="7" fillId="3" borderId="33" xfId="11" applyFont="1" applyFill="1" applyBorder="1" applyAlignment="1">
      <alignment horizontal="center" vertical="center"/>
    </xf>
    <xf numFmtId="0" fontId="7" fillId="3" borderId="34" xfId="11" applyFont="1" applyFill="1" applyBorder="1" applyAlignment="1">
      <alignment horizontal="center" vertical="center"/>
    </xf>
    <xf numFmtId="0" fontId="7" fillId="3" borderId="35" xfId="11" applyFont="1" applyFill="1" applyBorder="1" applyAlignment="1">
      <alignment horizontal="center" vertical="center"/>
    </xf>
    <xf numFmtId="0" fontId="7" fillId="3" borderId="121" xfId="6" applyFont="1" applyFill="1" applyBorder="1" applyAlignment="1">
      <alignment horizontal="center" vertical="center"/>
    </xf>
    <xf numFmtId="0" fontId="7" fillId="3" borderId="120" xfId="6" applyFont="1" applyFill="1" applyBorder="1" applyAlignment="1">
      <alignment horizontal="center" vertical="center"/>
    </xf>
    <xf numFmtId="0" fontId="7" fillId="3" borderId="33" xfId="6" applyFont="1" applyFill="1" applyBorder="1" applyAlignment="1">
      <alignment horizontal="center" vertical="center"/>
    </xf>
    <xf numFmtId="0" fontId="7" fillId="3" borderId="34" xfId="6" applyFont="1" applyFill="1" applyBorder="1" applyAlignment="1">
      <alignment horizontal="center" vertical="center"/>
    </xf>
    <xf numFmtId="0" fontId="7" fillId="3" borderId="18" xfId="6" applyFont="1" applyFill="1" applyBorder="1" applyAlignment="1">
      <alignment horizontal="center" vertical="center"/>
    </xf>
    <xf numFmtId="0" fontId="7" fillId="3" borderId="23" xfId="6" applyFont="1" applyFill="1" applyBorder="1" applyAlignment="1">
      <alignment horizontal="center" vertical="center"/>
    </xf>
    <xf numFmtId="0" fontId="7" fillId="3" borderId="160" xfId="6" applyFont="1" applyFill="1" applyBorder="1" applyAlignment="1">
      <alignment horizontal="center" vertical="center" wrapText="1"/>
    </xf>
    <xf numFmtId="0" fontId="49" fillId="0" borderId="23" xfId="17" applyBorder="1" applyAlignment="1">
      <alignment horizontal="center" vertical="center" wrapText="1"/>
    </xf>
    <xf numFmtId="0" fontId="7" fillId="3" borderId="55" xfId="11" applyFont="1" applyFill="1" applyBorder="1" applyAlignment="1">
      <alignment horizontal="center" vertical="center" wrapText="1"/>
    </xf>
    <xf numFmtId="0" fontId="7" fillId="3" borderId="53" xfId="11" applyFont="1" applyFill="1" applyBorder="1" applyAlignment="1">
      <alignment horizontal="center" vertical="center" wrapText="1"/>
    </xf>
    <xf numFmtId="0" fontId="7" fillId="3" borderId="61" xfId="11" applyFont="1" applyFill="1" applyBorder="1" applyAlignment="1">
      <alignment horizontal="center" vertical="center" wrapText="1"/>
    </xf>
    <xf numFmtId="0" fontId="7" fillId="3" borderId="248" xfId="6" applyFont="1" applyFill="1" applyBorder="1" applyAlignment="1">
      <alignment horizontal="center" vertical="center" wrapText="1"/>
    </xf>
    <xf numFmtId="0" fontId="7" fillId="3" borderId="250" xfId="6" applyFont="1" applyFill="1" applyBorder="1" applyAlignment="1">
      <alignment horizontal="center" vertical="center" wrapText="1"/>
    </xf>
    <xf numFmtId="0" fontId="7" fillId="3" borderId="256" xfId="6" applyFont="1" applyFill="1" applyBorder="1" applyAlignment="1">
      <alignment horizontal="center" vertical="center" wrapText="1"/>
    </xf>
    <xf numFmtId="0" fontId="7" fillId="3" borderId="53" xfId="11" applyFont="1" applyFill="1" applyBorder="1" applyAlignment="1">
      <alignment horizontal="center" vertical="center"/>
    </xf>
    <xf numFmtId="0" fontId="7" fillId="3" borderId="249" xfId="6" applyFont="1" applyFill="1" applyBorder="1" applyAlignment="1">
      <alignment horizontal="center" vertical="center" wrapText="1"/>
    </xf>
    <xf numFmtId="0" fontId="49" fillId="0" borderId="165" xfId="17" applyBorder="1" applyAlignment="1">
      <alignment horizontal="center" vertical="center" wrapText="1"/>
    </xf>
    <xf numFmtId="0" fontId="49" fillId="0" borderId="166" xfId="17" applyBorder="1" applyAlignment="1">
      <alignment horizontal="center" vertical="center" wrapText="1"/>
    </xf>
    <xf numFmtId="0" fontId="7" fillId="3" borderId="167" xfId="6" applyFont="1" applyFill="1" applyBorder="1" applyAlignment="1">
      <alignment horizontal="center" vertical="center" wrapText="1"/>
    </xf>
    <xf numFmtId="0" fontId="49" fillId="0" borderId="15" xfId="17" applyBorder="1" applyAlignment="1">
      <alignment horizontal="center" vertical="center" wrapText="1"/>
    </xf>
    <xf numFmtId="0" fontId="49" fillId="0" borderId="52" xfId="17" applyBorder="1" applyAlignment="1">
      <alignment horizontal="center" vertical="center" wrapText="1"/>
    </xf>
    <xf numFmtId="0" fontId="49" fillId="0" borderId="16" xfId="17" applyBorder="1" applyAlignment="1">
      <alignment horizontal="center" vertical="center" wrapText="1"/>
    </xf>
    <xf numFmtId="0" fontId="7" fillId="3" borderId="36" xfId="6" applyFont="1" applyFill="1" applyBorder="1" applyAlignment="1">
      <alignment horizontal="center" vertical="center" wrapText="1"/>
    </xf>
    <xf numFmtId="0" fontId="7" fillId="3" borderId="174" xfId="6" applyFont="1" applyFill="1" applyBorder="1" applyAlignment="1">
      <alignment horizontal="center" vertical="center"/>
    </xf>
    <xf numFmtId="0" fontId="49" fillId="0" borderId="255" xfId="17" applyBorder="1" applyAlignment="1">
      <alignment horizontal="center" vertical="center"/>
    </xf>
    <xf numFmtId="0" fontId="7" fillId="3" borderId="55" xfId="11" applyFont="1" applyFill="1" applyBorder="1" applyAlignment="1">
      <alignment horizontal="center" vertical="center"/>
    </xf>
    <xf numFmtId="0" fontId="7" fillId="3" borderId="61" xfId="11" applyFont="1" applyFill="1" applyBorder="1" applyAlignment="1">
      <alignment horizontal="center" vertical="center"/>
    </xf>
    <xf numFmtId="0" fontId="7" fillId="3" borderId="33" xfId="11" applyFont="1" applyFill="1" applyBorder="1" applyAlignment="1">
      <alignment vertical="center"/>
    </xf>
    <xf numFmtId="0" fontId="7" fillId="3" borderId="61" xfId="11" applyFont="1" applyFill="1" applyBorder="1" applyAlignment="1">
      <alignment vertical="center"/>
    </xf>
    <xf numFmtId="0" fontId="97" fillId="3" borderId="34" xfId="11" applyFont="1" applyFill="1" applyBorder="1" applyAlignment="1">
      <alignment vertical="center"/>
    </xf>
    <xf numFmtId="0" fontId="97" fillId="3" borderId="35" xfId="11" applyFont="1" applyFill="1" applyBorder="1" applyAlignment="1">
      <alignment vertical="center"/>
    </xf>
    <xf numFmtId="9" fontId="18" fillId="0" borderId="33" xfId="11" applyNumberFormat="1" applyBorder="1" applyAlignment="1">
      <alignment vertical="top" wrapText="1"/>
    </xf>
    <xf numFmtId="9" fontId="18" fillId="0" borderId="34" xfId="11" applyNumberFormat="1" applyBorder="1" applyAlignment="1">
      <alignment vertical="top" wrapText="1"/>
    </xf>
    <xf numFmtId="9" fontId="18" fillId="0" borderId="35" xfId="11" applyNumberFormat="1" applyBorder="1" applyAlignment="1">
      <alignment vertical="top" wrapText="1"/>
    </xf>
    <xf numFmtId="9" fontId="18" fillId="0" borderId="33" xfId="11" applyNumberFormat="1" applyBorder="1" applyAlignment="1">
      <alignment vertical="center" wrapText="1"/>
    </xf>
    <xf numFmtId="9" fontId="18" fillId="0" borderId="34" xfId="11" applyNumberFormat="1" applyBorder="1" applyAlignment="1">
      <alignment vertical="center" wrapText="1"/>
    </xf>
    <xf numFmtId="9" fontId="18" fillId="0" borderId="35" xfId="11" applyNumberFormat="1" applyBorder="1" applyAlignment="1">
      <alignment vertical="center" wrapText="1"/>
    </xf>
    <xf numFmtId="0" fontId="18" fillId="0" borderId="164" xfId="11" applyBorder="1" applyAlignment="1">
      <alignment horizontal="left" vertical="top" wrapText="1"/>
    </xf>
    <xf numFmtId="0" fontId="18" fillId="0" borderId="76" xfId="11" applyBorder="1" applyAlignment="1">
      <alignment horizontal="left" vertical="top" wrapText="1"/>
    </xf>
    <xf numFmtId="0" fontId="7" fillId="3" borderId="2" xfId="11" applyFont="1" applyFill="1" applyBorder="1" applyAlignment="1">
      <alignment vertical="center"/>
    </xf>
    <xf numFmtId="0" fontId="7" fillId="3" borderId="3" xfId="11" applyFont="1" applyFill="1" applyBorder="1" applyAlignment="1">
      <alignment vertical="center"/>
    </xf>
    <xf numFmtId="0" fontId="18" fillId="0" borderId="33" xfId="9" applyBorder="1" applyAlignment="1">
      <alignment vertical="center" wrapText="1"/>
    </xf>
    <xf numFmtId="0" fontId="18" fillId="0" borderId="34" xfId="9" applyBorder="1" applyAlignment="1">
      <alignment vertical="center"/>
    </xf>
    <xf numFmtId="0" fontId="18" fillId="0" borderId="35" xfId="9" applyBorder="1" applyAlignment="1">
      <alignment vertical="center"/>
    </xf>
    <xf numFmtId="0" fontId="18" fillId="0" borderId="77" xfId="11" applyBorder="1" applyAlignment="1">
      <alignment horizontal="left" vertical="top" wrapText="1"/>
    </xf>
    <xf numFmtId="0" fontId="9" fillId="0" borderId="33" xfId="0" applyFont="1" applyBorder="1" applyAlignment="1">
      <alignment vertical="top" wrapText="1"/>
    </xf>
    <xf numFmtId="0" fontId="9" fillId="0" borderId="34" xfId="0" applyFont="1" applyBorder="1" applyAlignment="1">
      <alignment vertical="top" wrapText="1"/>
    </xf>
    <xf numFmtId="0" fontId="9" fillId="0" borderId="35" xfId="0" applyFont="1"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9" fillId="0" borderId="158" xfId="0" applyFont="1" applyBorder="1" applyAlignment="1">
      <alignment vertical="top"/>
    </xf>
    <xf numFmtId="0" fontId="9" fillId="0" borderId="0" xfId="0" applyFont="1" applyAlignment="1">
      <alignment vertical="top"/>
    </xf>
    <xf numFmtId="0" fontId="9" fillId="0" borderId="159" xfId="0" applyFont="1" applyBorder="1" applyAlignment="1">
      <alignment vertical="top"/>
    </xf>
    <xf numFmtId="0" fontId="9" fillId="0" borderId="121" xfId="0" applyFont="1" applyBorder="1" applyAlignment="1">
      <alignment vertical="top"/>
    </xf>
    <xf numFmtId="0" fontId="9" fillId="0" borderId="100" xfId="0" applyFont="1" applyBorder="1" applyAlignment="1">
      <alignment vertical="top"/>
    </xf>
    <xf numFmtId="0" fontId="9" fillId="0" borderId="22" xfId="0" applyFont="1" applyBorder="1" applyAlignment="1">
      <alignment vertical="top"/>
    </xf>
    <xf numFmtId="0" fontId="18" fillId="0" borderId="164" xfId="11" applyBorder="1" applyAlignment="1">
      <alignment horizontal="left" vertical="center" wrapText="1"/>
    </xf>
    <xf numFmtId="0" fontId="18" fillId="0" borderId="76" xfId="11" applyBorder="1" applyAlignment="1">
      <alignment horizontal="left" vertical="center" wrapText="1"/>
    </xf>
    <xf numFmtId="0" fontId="18" fillId="0" borderId="77" xfId="11" applyBorder="1" applyAlignment="1">
      <alignment horizontal="left" vertical="center" wrapText="1"/>
    </xf>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0" fontId="97" fillId="3" borderId="33" xfId="11" applyFont="1" applyFill="1"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9" fillId="0" borderId="158" xfId="0" applyFont="1" applyBorder="1" applyAlignment="1">
      <alignment vertical="center" wrapText="1"/>
    </xf>
    <xf numFmtId="0" fontId="0" fillId="0" borderId="0" xfId="0" applyAlignment="1">
      <alignment vertical="center" wrapText="1"/>
    </xf>
    <xf numFmtId="0" fontId="0" fillId="0" borderId="159" xfId="0" applyBorder="1" applyAlignment="1">
      <alignment vertical="center" wrapText="1"/>
    </xf>
    <xf numFmtId="0" fontId="26" fillId="0" borderId="33" xfId="11" applyFont="1" applyBorder="1" applyAlignment="1">
      <alignment horizontal="left" vertical="top"/>
    </xf>
    <xf numFmtId="0" fontId="23" fillId="0" borderId="35" xfId="0" applyFont="1" applyBorder="1" applyAlignment="1">
      <alignment horizontal="left" vertical="top"/>
    </xf>
    <xf numFmtId="0" fontId="23" fillId="0" borderId="34" xfId="0" applyFont="1" applyBorder="1" applyAlignment="1">
      <alignment horizontal="left" vertical="top"/>
    </xf>
    <xf numFmtId="0" fontId="26" fillId="0" borderId="33" xfId="11" applyFont="1" applyBorder="1" applyAlignment="1">
      <alignment vertical="top" wrapText="1"/>
    </xf>
    <xf numFmtId="0" fontId="23" fillId="0" borderId="35" xfId="0" applyFont="1" applyBorder="1" applyAlignment="1">
      <alignment vertical="top" wrapText="1"/>
    </xf>
    <xf numFmtId="0" fontId="23" fillId="0" borderId="33" xfId="11" applyFont="1" applyBorder="1" applyAlignment="1">
      <alignment horizontal="left" vertical="top" wrapText="1" indent="1"/>
    </xf>
    <xf numFmtId="0" fontId="23" fillId="0" borderId="34" xfId="0" applyFont="1" applyBorder="1" applyAlignment="1">
      <alignment horizontal="left" vertical="top" indent="1"/>
    </xf>
    <xf numFmtId="0" fontId="23" fillId="0" borderId="35" xfId="0" applyFont="1" applyBorder="1" applyAlignment="1">
      <alignment horizontal="left" vertical="top" indent="1"/>
    </xf>
    <xf numFmtId="0" fontId="27" fillId="3" borderId="33" xfId="11" applyFont="1" applyFill="1" applyBorder="1" applyAlignment="1">
      <alignment vertical="center"/>
    </xf>
    <xf numFmtId="0" fontId="27" fillId="3" borderId="34" xfId="11" applyFont="1" applyFill="1" applyBorder="1" applyAlignment="1">
      <alignment vertical="center"/>
    </xf>
    <xf numFmtId="0" fontId="27" fillId="3" borderId="35" xfId="11" applyFont="1" applyFill="1" applyBorder="1" applyAlignment="1">
      <alignment vertical="center"/>
    </xf>
    <xf numFmtId="0" fontId="91" fillId="0" borderId="290" xfId="11" applyFont="1" applyBorder="1" applyAlignment="1">
      <alignment horizontal="center" vertical="top" wrapText="1"/>
    </xf>
    <xf numFmtId="0" fontId="3" fillId="0" borderId="291" xfId="0" applyFont="1" applyBorder="1" applyAlignment="1">
      <alignment horizontal="center" vertical="top"/>
    </xf>
    <xf numFmtId="0" fontId="3" fillId="0" borderId="292" xfId="0" applyFont="1" applyBorder="1" applyAlignment="1">
      <alignment horizontal="center" vertical="top"/>
    </xf>
    <xf numFmtId="0" fontId="90" fillId="0" borderId="293" xfId="0" applyFont="1" applyBorder="1" applyAlignment="1">
      <alignment horizontal="center" vertical="center" wrapText="1"/>
    </xf>
    <xf numFmtId="0" fontId="90" fillId="0" borderId="294" xfId="0" applyFont="1" applyBorder="1" applyAlignment="1">
      <alignment horizontal="center" vertical="center" wrapText="1"/>
    </xf>
    <xf numFmtId="0" fontId="90" fillId="0" borderId="296" xfId="0" applyFont="1" applyBorder="1" applyAlignment="1">
      <alignment horizontal="center" vertical="center" wrapText="1"/>
    </xf>
    <xf numFmtId="0" fontId="90" fillId="0" borderId="297" xfId="0" applyFont="1" applyBorder="1" applyAlignment="1">
      <alignment horizontal="center" vertical="center" wrapText="1"/>
    </xf>
    <xf numFmtId="0" fontId="90" fillId="0" borderId="298" xfId="0" applyFont="1" applyBorder="1" applyAlignment="1">
      <alignment horizontal="center" vertical="center" wrapText="1"/>
    </xf>
    <xf numFmtId="0" fontId="90" fillId="0" borderId="299" xfId="0" applyFont="1" applyBorder="1" applyAlignment="1">
      <alignment horizontal="center" vertical="center" wrapText="1"/>
    </xf>
    <xf numFmtId="0" fontId="90" fillId="0" borderId="203" xfId="0" applyFont="1" applyBorder="1" applyAlignment="1">
      <alignment horizontal="center" vertical="center" wrapText="1"/>
    </xf>
    <xf numFmtId="0" fontId="90" fillId="0" borderId="204" xfId="0" applyFont="1" applyBorder="1" applyAlignment="1">
      <alignment horizontal="center" vertical="center" wrapText="1"/>
    </xf>
    <xf numFmtId="0" fontId="90" fillId="0" borderId="300" xfId="0" applyFont="1" applyBorder="1" applyAlignment="1">
      <alignment horizontal="center" vertical="center" wrapText="1"/>
    </xf>
    <xf numFmtId="0" fontId="90" fillId="0" borderId="301" xfId="0" applyFont="1" applyBorder="1" applyAlignment="1">
      <alignment horizontal="center" vertical="center" wrapText="1"/>
    </xf>
    <xf numFmtId="0" fontId="90" fillId="0" borderId="289" xfId="0" applyFont="1" applyBorder="1" applyAlignment="1">
      <alignment horizontal="center" vertical="center" wrapText="1"/>
    </xf>
    <xf numFmtId="0" fontId="90" fillId="0" borderId="218" xfId="0" applyFont="1" applyBorder="1" applyAlignment="1">
      <alignment horizontal="center" vertical="center" wrapText="1"/>
    </xf>
    <xf numFmtId="0" fontId="90" fillId="0" borderId="219" xfId="0" applyFont="1" applyBorder="1" applyAlignment="1">
      <alignment horizontal="center" vertical="center" wrapText="1"/>
    </xf>
    <xf numFmtId="0" fontId="12" fillId="0" borderId="33" xfId="11" applyFont="1" applyBorder="1" applyAlignment="1">
      <alignment horizontal="left" vertical="center"/>
    </xf>
    <xf numFmtId="0" fontId="0" fillId="0" borderId="34" xfId="0" applyBorder="1" applyAlignment="1">
      <alignment vertical="center"/>
    </xf>
    <xf numFmtId="0" fontId="0" fillId="0" borderId="35" xfId="0" applyBorder="1" applyAlignment="1">
      <alignment vertical="center"/>
    </xf>
    <xf numFmtId="9" fontId="87" fillId="0" borderId="103" xfId="11" applyNumberFormat="1" applyFont="1" applyBorder="1" applyAlignment="1">
      <alignment horizontal="left" vertical="top" wrapText="1"/>
    </xf>
    <xf numFmtId="0" fontId="0" fillId="0" borderId="104" xfId="0" applyBorder="1" applyAlignment="1">
      <alignment horizontal="left" vertical="top" wrapText="1"/>
    </xf>
    <xf numFmtId="0" fontId="0" fillId="0" borderId="105" xfId="0" applyBorder="1" applyAlignment="1">
      <alignment horizontal="left" vertical="top" wrapText="1"/>
    </xf>
    <xf numFmtId="9" fontId="87" fillId="0" borderId="56" xfId="11" applyNumberFormat="1" applyFont="1"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9" fontId="87" fillId="0" borderId="57" xfId="11" applyNumberFormat="1" applyFont="1"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74" fillId="0" borderId="0" xfId="11" applyFont="1" applyAlignment="1">
      <alignment vertical="center"/>
    </xf>
    <xf numFmtId="0" fontId="0" fillId="0" borderId="53" xfId="0" applyBorder="1" applyAlignment="1">
      <alignment horizontal="left" vertical="top" wrapText="1"/>
    </xf>
    <xf numFmtId="0" fontId="0" fillId="0" borderId="17" xfId="0" applyBorder="1" applyAlignment="1">
      <alignment horizontal="left" vertical="top" wrapText="1"/>
    </xf>
    <xf numFmtId="0" fontId="0" fillId="0" borderId="158" xfId="0" applyBorder="1" applyAlignment="1">
      <alignment horizontal="left" vertical="top" wrapText="1"/>
    </xf>
    <xf numFmtId="0" fontId="0" fillId="0" borderId="159" xfId="0" applyBorder="1" applyAlignment="1">
      <alignment horizontal="left" vertical="top" wrapText="1"/>
    </xf>
    <xf numFmtId="0" fontId="0" fillId="0" borderId="121" xfId="0" applyBorder="1" applyAlignment="1">
      <alignment horizontal="left" vertical="top" wrapText="1"/>
    </xf>
    <xf numFmtId="0" fontId="0" fillId="0" borderId="100" xfId="0" applyBorder="1" applyAlignment="1">
      <alignment horizontal="left" vertical="top" wrapText="1"/>
    </xf>
    <xf numFmtId="0" fontId="0" fillId="0" borderId="22" xfId="0" applyBorder="1" applyAlignment="1">
      <alignment horizontal="left" vertical="top"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0" borderId="160"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7" fillId="3" borderId="31" xfId="6" applyFont="1" applyFill="1" applyBorder="1" applyAlignment="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0" fontId="49" fillId="0" borderId="53" xfId="22" applyBorder="1" applyAlignment="1">
      <alignment horizontal="center" vertical="center" wrapText="1"/>
    </xf>
    <xf numFmtId="0" fontId="49" fillId="0" borderId="17" xfId="22" applyBorder="1" applyAlignment="1">
      <alignment horizontal="center" vertical="center" wrapText="1"/>
    </xf>
    <xf numFmtId="0" fontId="49" fillId="26" borderId="0" xfId="22" applyFill="1" applyAlignment="1">
      <alignment horizontal="center"/>
    </xf>
    <xf numFmtId="0" fontId="96" fillId="0" borderId="0" xfId="18" applyFont="1" applyAlignment="1">
      <alignment horizontal="left" wrapText="1"/>
    </xf>
    <xf numFmtId="0" fontId="7" fillId="3" borderId="145" xfId="6" applyFont="1" applyFill="1" applyBorder="1" applyAlignment="1">
      <alignment horizontal="center" vertical="center"/>
    </xf>
    <xf numFmtId="0" fontId="7" fillId="3" borderId="269" xfId="6" applyFont="1" applyFill="1" applyBorder="1" applyAlignment="1">
      <alignment horizontal="center" vertical="center"/>
    </xf>
    <xf numFmtId="0" fontId="87" fillId="0" borderId="12" xfId="11" applyFont="1" applyBorder="1" applyAlignment="1">
      <alignment horizontal="left" vertical="top" wrapText="1"/>
    </xf>
    <xf numFmtId="0" fontId="87" fillId="0" borderId="13" xfId="11" applyFont="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87" fillId="0" borderId="6" xfId="11" applyFont="1" applyBorder="1" applyAlignment="1">
      <alignment horizontal="left" vertical="top" wrapText="1"/>
    </xf>
    <xf numFmtId="0" fontId="87" fillId="0" borderId="7" xfId="11" applyFont="1" applyBorder="1" applyAlignment="1">
      <alignment horizontal="left" vertical="top" wrapText="1"/>
    </xf>
    <xf numFmtId="0" fontId="87" fillId="0" borderId="9" xfId="11" applyFont="1" applyBorder="1" applyAlignment="1">
      <alignment horizontal="left" vertical="top" wrapText="1"/>
    </xf>
    <xf numFmtId="0" fontId="87" fillId="0" borderId="10" xfId="11" applyFont="1" applyBorder="1" applyAlignment="1">
      <alignment horizontal="left" vertical="top" wrapText="1"/>
    </xf>
    <xf numFmtId="0" fontId="18" fillId="0" borderId="33" xfId="0" applyFont="1" applyBorder="1" applyAlignment="1">
      <alignment horizontal="left" vertical="center" wrapText="1"/>
    </xf>
    <xf numFmtId="0" fontId="18" fillId="0" borderId="34" xfId="0" applyFont="1" applyBorder="1" applyAlignment="1">
      <alignment horizontal="left" vertical="center" wrapText="1"/>
    </xf>
    <xf numFmtId="0" fontId="18" fillId="0" borderId="35" xfId="0" applyFont="1" applyBorder="1" applyAlignment="1">
      <alignment horizontal="left" vertical="center" wrapText="1"/>
    </xf>
    <xf numFmtId="0" fontId="74" fillId="9" borderId="0" xfId="11" applyFont="1" applyFill="1" applyAlignment="1">
      <alignment vertical="center"/>
    </xf>
    <xf numFmtId="0" fontId="1" fillId="0" borderId="57" xfId="22" applyFont="1" applyBorder="1" applyAlignment="1">
      <alignment wrapText="1"/>
    </xf>
    <xf numFmtId="0" fontId="1" fillId="0" borderId="27" xfId="22" applyFont="1" applyBorder="1" applyAlignment="1">
      <alignment wrapText="1"/>
    </xf>
    <xf numFmtId="0" fontId="7" fillId="3" borderId="35" xfId="11" applyFont="1" applyFill="1" applyBorder="1" applyAlignment="1">
      <alignment vertical="center"/>
    </xf>
    <xf numFmtId="0" fontId="7" fillId="3" borderId="54" xfId="11" applyFont="1" applyFill="1" applyBorder="1" applyAlignment="1">
      <alignment vertical="center"/>
    </xf>
    <xf numFmtId="0" fontId="7" fillId="3" borderId="24" xfId="11" applyFont="1" applyFill="1" applyBorder="1" applyAlignment="1">
      <alignment vertical="center"/>
    </xf>
    <xf numFmtId="0" fontId="23" fillId="0" borderId="38" xfId="6" applyFont="1" applyBorder="1" applyAlignment="1">
      <alignment horizontal="left" vertical="top" wrapText="1"/>
    </xf>
    <xf numFmtId="0" fontId="23" fillId="0" borderId="29" xfId="6" applyFont="1" applyBorder="1" applyAlignment="1">
      <alignment horizontal="left" vertical="top" wrapText="1"/>
    </xf>
    <xf numFmtId="0" fontId="23" fillId="0" borderId="26" xfId="6" applyFont="1" applyBorder="1" applyAlignment="1">
      <alignment horizontal="left" vertical="top" wrapText="1"/>
    </xf>
    <xf numFmtId="0" fontId="23" fillId="0" borderId="40" xfId="6" applyFont="1" applyBorder="1" applyAlignment="1">
      <alignment vertical="top" wrapText="1"/>
    </xf>
    <xf numFmtId="0" fontId="23" fillId="0" borderId="45" xfId="6" applyFont="1" applyBorder="1" applyAlignment="1">
      <alignment vertical="top" wrapText="1"/>
    </xf>
    <xf numFmtId="0" fontId="23" fillId="0" borderId="27" xfId="6" applyFont="1" applyBorder="1" applyAlignment="1">
      <alignment vertical="top" wrapText="1"/>
    </xf>
    <xf numFmtId="0" fontId="23" fillId="0" borderId="38" xfId="6" applyFont="1" applyBorder="1" applyAlignment="1">
      <alignment horizontal="left" vertical="top"/>
    </xf>
    <xf numFmtId="0" fontId="23" fillId="0" borderId="29" xfId="6" applyFont="1" applyBorder="1" applyAlignment="1">
      <alignment horizontal="left" vertical="top"/>
    </xf>
    <xf numFmtId="0" fontId="23" fillId="0" borderId="26" xfId="6" applyFont="1" applyBorder="1" applyAlignment="1">
      <alignment horizontal="left" vertical="top"/>
    </xf>
    <xf numFmtId="0" fontId="23" fillId="0" borderId="36" xfId="6" applyFont="1" applyBorder="1" applyAlignment="1">
      <alignment horizontal="left" vertical="top" wrapText="1"/>
    </xf>
    <xf numFmtId="0" fontId="23" fillId="0" borderId="28" xfId="6" applyFont="1" applyBorder="1" applyAlignment="1">
      <alignment horizontal="left" vertical="top" wrapText="1"/>
    </xf>
    <xf numFmtId="0" fontId="23" fillId="0" borderId="24" xfId="6" applyFont="1" applyBorder="1" applyAlignment="1">
      <alignment horizontal="left" vertical="top" wrapText="1"/>
    </xf>
    <xf numFmtId="0" fontId="0" fillId="0" borderId="34" xfId="0" applyBorder="1" applyAlignment="1"/>
    <xf numFmtId="0" fontId="0" fillId="0" borderId="35" xfId="0" applyBorder="1" applyAlignment="1"/>
    <xf numFmtId="0" fontId="0" fillId="0" borderId="147" xfId="0" applyBorder="1" applyAlignment="1"/>
    <xf numFmtId="0" fontId="0" fillId="0" borderId="148" xfId="0" applyBorder="1" applyAlignment="1"/>
    <xf numFmtId="0" fontId="0" fillId="0" borderId="150" xfId="0" applyBorder="1" applyAlignment="1"/>
    <xf numFmtId="0" fontId="0" fillId="0" borderId="151" xfId="0" applyBorder="1" applyAlignment="1"/>
    <xf numFmtId="0" fontId="0" fillId="0" borderId="153" xfId="0" applyBorder="1" applyAlignment="1"/>
    <xf numFmtId="0" fontId="0" fillId="0" borderId="154" xfId="0" applyBorder="1" applyAlignment="1"/>
    <xf numFmtId="0" fontId="0" fillId="0" borderId="156" xfId="0" applyBorder="1" applyAlignment="1"/>
    <xf numFmtId="0" fontId="0" fillId="0" borderId="157" xfId="0" applyBorder="1" applyAlignment="1"/>
    <xf numFmtId="0" fontId="0" fillId="0" borderId="304" xfId="0" applyBorder="1" applyAlignment="1"/>
    <xf numFmtId="0" fontId="0" fillId="0" borderId="305" xfId="0" applyBorder="1" applyAlignment="1"/>
    <xf numFmtId="0" fontId="0" fillId="0" borderId="53" xfId="0" applyBorder="1" applyAlignment="1"/>
    <xf numFmtId="0" fontId="0" fillId="0" borderId="17" xfId="0" applyBorder="1" applyAlignment="1"/>
    <xf numFmtId="0" fontId="101" fillId="0" borderId="34" xfId="22" applyFont="1" applyBorder="1" applyAlignment="1"/>
    <xf numFmtId="0" fontId="101" fillId="0" borderId="35" xfId="22" applyFont="1" applyBorder="1" applyAlignment="1"/>
    <xf numFmtId="0" fontId="9" fillId="0" borderId="76" xfId="22" applyFont="1" applyBorder="1" applyAlignment="1"/>
    <xf numFmtId="0" fontId="9" fillId="0" borderId="77" xfId="22" applyFont="1" applyBorder="1" applyAlignment="1"/>
    <xf numFmtId="0" fontId="9" fillId="0" borderId="121" xfId="22" applyFont="1" applyBorder="1" applyAlignment="1"/>
    <xf numFmtId="0" fontId="9" fillId="0" borderId="100" xfId="22" applyFont="1" applyBorder="1" applyAlignment="1"/>
    <xf numFmtId="0" fontId="9" fillId="0" borderId="22" xfId="22" applyFont="1" applyBorder="1" applyAlignment="1"/>
  </cellXfs>
  <cellStyles count="34">
    <cellStyle name="Comma" xfId="1" builtinId="3"/>
    <cellStyle name="Comma 2" xfId="10" xr:uid="{00000000-0005-0000-0000-000001000000}"/>
    <cellStyle name="Comma 2 2" xfId="13" xr:uid="{00000000-0005-0000-0000-000002000000}"/>
    <cellStyle name="Comma 2 2 2" xfId="27" xr:uid="{00000000-0005-0000-0000-000003000000}"/>
    <cellStyle name="Comma 2 2 3" xfId="32" xr:uid="{00000000-0005-0000-0000-000004000000}"/>
    <cellStyle name="Comma 2 3" xfId="25" xr:uid="{00000000-0005-0000-0000-000005000000}"/>
    <cellStyle name="Comma 2 4" xfId="30" xr:uid="{00000000-0005-0000-0000-000006000000}"/>
    <cellStyle name="Comma 3" xfId="12" xr:uid="{00000000-0005-0000-0000-000007000000}"/>
    <cellStyle name="Comma 3 2" xfId="26" xr:uid="{00000000-0005-0000-0000-000008000000}"/>
    <cellStyle name="Comma 3 3" xfId="31" xr:uid="{00000000-0005-0000-0000-000009000000}"/>
    <cellStyle name="Comma 4" xfId="24" xr:uid="{00000000-0005-0000-0000-00000A000000}"/>
    <cellStyle name="Comma 4 2" xfId="23" xr:uid="{00000000-0005-0000-0000-00000B000000}"/>
    <cellStyle name="Comma 4 2 2" xfId="28" xr:uid="{00000000-0005-0000-0000-00000C000000}"/>
    <cellStyle name="Comma 4 2 3" xfId="33" xr:uid="{00000000-0005-0000-0000-00000D000000}"/>
    <cellStyle name="Comma 5" xfId="29" xr:uid="{00000000-0005-0000-0000-00000E000000}"/>
    <cellStyle name="Descriptor text" xfId="4" xr:uid="{00000000-0005-0000-0000-00000F000000}"/>
    <cellStyle name="Heading" xfId="3" xr:uid="{00000000-0005-0000-0000-000010000000}"/>
    <cellStyle name="Hyperlink" xfId="5" builtinId="8"/>
    <cellStyle name="Normal" xfId="0" builtinId="0"/>
    <cellStyle name="Normal 10 2" xfId="22" xr:uid="{00000000-0005-0000-0000-000013000000}"/>
    <cellStyle name="Normal 2" xfId="9" xr:uid="{00000000-0005-0000-0000-000014000000}"/>
    <cellStyle name="Normal 2 2" xfId="11" xr:uid="{00000000-0005-0000-0000-000015000000}"/>
    <cellStyle name="Normal 2 3" xfId="14" xr:uid="{00000000-0005-0000-0000-000016000000}"/>
    <cellStyle name="Normal 3" xfId="6" xr:uid="{00000000-0005-0000-0000-000017000000}"/>
    <cellStyle name="Normal 3 2 2" xfId="20" xr:uid="{00000000-0005-0000-0000-000018000000}"/>
    <cellStyle name="Normal 3 3 2" xfId="18" xr:uid="{00000000-0005-0000-0000-000019000000}"/>
    <cellStyle name="Normal 4" xfId="8" xr:uid="{00000000-0005-0000-0000-00001A000000}"/>
    <cellStyle name="Normal 4 2" xfId="15" xr:uid="{00000000-0005-0000-0000-00001B000000}"/>
    <cellStyle name="Normal 5" xfId="17" xr:uid="{00000000-0005-0000-0000-00001C000000}"/>
    <cellStyle name="Normal 5 5" xfId="21" xr:uid="{00000000-0005-0000-0000-00001D000000}"/>
    <cellStyle name="Normal 7" xfId="16" xr:uid="{00000000-0005-0000-0000-00001E000000}"/>
    <cellStyle name="Percent" xfId="2" builtinId="5"/>
    <cellStyle name="Percent 2" xfId="19" xr:uid="{00000000-0005-0000-0000-000020000000}"/>
    <cellStyle name="Validation error" xfId="7" xr:uid="{00000000-0005-0000-0000-000021000000}"/>
  </cellStyles>
  <dxfs count="632">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ill>
        <patternFill>
          <bgColor theme="2"/>
        </patternFill>
      </fill>
    </dxf>
    <dxf>
      <fill>
        <patternFill>
          <bgColor rgb="FFFF0000"/>
        </patternFill>
      </fill>
    </dxf>
    <dxf>
      <fill>
        <patternFill>
          <bgColor rgb="FFFF0000"/>
        </patternFill>
      </fill>
    </dxf>
    <dxf>
      <fill>
        <patternFill>
          <bgColor theme="2"/>
        </patternFill>
      </fill>
    </dxf>
    <dxf>
      <font>
        <strike/>
        <color theme="0"/>
      </font>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ont>
        <color auto="1"/>
      </font>
      <fill>
        <patternFill>
          <bgColor rgb="FFFF0000"/>
        </patternFill>
      </fill>
    </dxf>
    <dxf>
      <fill>
        <patternFill>
          <bgColor theme="2"/>
        </patternFill>
      </fill>
    </dxf>
    <dxf>
      <font>
        <strike/>
        <color theme="0"/>
      </font>
    </dxf>
    <dxf>
      <fill>
        <patternFill>
          <bgColor rgb="FFFF0000"/>
        </patternFill>
      </fill>
    </dxf>
    <dxf>
      <font>
        <color rgb="FF9C0006"/>
      </font>
      <fill>
        <patternFill>
          <bgColor rgb="FFFFC7CE"/>
        </patternFill>
      </fill>
    </dxf>
    <dxf>
      <fill>
        <patternFill>
          <bgColor theme="2"/>
        </patternFill>
      </fill>
    </dxf>
    <dxf>
      <fill>
        <patternFill>
          <bgColor rgb="FFFF0000"/>
        </patternFill>
      </fill>
    </dxf>
    <dxf>
      <fill>
        <patternFill>
          <bgColor theme="2"/>
        </patternFill>
      </fill>
    </dxf>
    <dxf>
      <font>
        <color theme="0"/>
      </font>
      <fill>
        <patternFill>
          <bgColor theme="0"/>
        </patternFill>
      </fill>
    </dxf>
    <dxf>
      <font>
        <color auto="1"/>
      </font>
      <fill>
        <patternFill>
          <bgColor rgb="FFFF0000"/>
        </patternFill>
      </fill>
    </dxf>
    <dxf>
      <font>
        <strike/>
        <color theme="0"/>
      </font>
    </dxf>
    <dxf>
      <fill>
        <patternFill>
          <bgColor rgb="FFFF0000"/>
        </patternFill>
      </fill>
    </dxf>
    <dxf>
      <font>
        <color theme="0"/>
      </font>
      <fill>
        <patternFill>
          <bgColor theme="0"/>
        </patternFill>
      </fill>
    </dxf>
    <dxf>
      <font>
        <color auto="1"/>
      </font>
      <fill>
        <patternFill>
          <bgColor rgb="FFFF0000"/>
        </patternFill>
      </fill>
    </dxf>
    <dxf>
      <font>
        <strike/>
        <color theme="0"/>
      </font>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2"/>
        </patternFill>
      </fill>
    </dxf>
    <dxf>
      <font>
        <color theme="0"/>
      </font>
      <fill>
        <patternFill>
          <bgColor theme="0"/>
        </patternFill>
      </fill>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theme="2"/>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s>
  <tableStyles count="1" defaultTableStyle="TableStyleMedium2" defaultPivotStyle="PivotStyleLight16">
    <tableStyle name="Invisible" pivot="0" table="0" count="0" xr9:uid="{06ECEB2A-D415-4A67-8EB1-D8F82D839DA8}"/>
  </tableStyles>
  <colors>
    <mruColors>
      <color rgb="FFFCEABF"/>
      <color rgb="FF857362"/>
      <color rgb="FFE0DCD8"/>
      <color rgb="FFBFDDF1"/>
      <color rgb="FF003479"/>
      <color rgb="FFF2BFE0"/>
      <color rgb="FF0078C9"/>
      <color rgb="FFB8CA7F"/>
      <color rgb="FF7F99BC"/>
      <color rgb="FF719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16</xdr:col>
      <xdr:colOff>0</xdr:colOff>
      <xdr:row>52</xdr:row>
      <xdr:rowOff>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hawkins\Documentum\Viewed\16.07.2018%20Final%20for%20Ofwat%20-%202017-18%20APR%20excel%20tables%20TTT%20PSV_4_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maddock\OneDrive%20-%20Thames%20Water%20Utilities%20Limited\Desktop\DCTM_FSS\ECM\Program%20Files\Microsoft%20Office\Office14\Documentum\Viewed\2017-18-APR-excel-tables_TMS_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ahawkins\Documentum\Viewed\16.07.2018%20Final%20for%20Ofwat%20-%202017-18%20APR%20excel%20tables%20TTT%20PSV_4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s://www.ofwat.gov.uk/outcomes-definitions-pr19/" TargetMode="Externa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fwat.gov.uk/wp-content/uploads/2017/04/Proforma-tables-2017-18-3.pdf" TargetMode="External"/><Relationship Id="rId7" Type="http://schemas.openxmlformats.org/officeDocument/2006/relationships/printerSettings" Target="../printerSettings/printerSettings3.bin"/><Relationship Id="rId2" Type="http://schemas.openxmlformats.org/officeDocument/2006/relationships/hyperlink" Target="https://www.ofwat.gov.uk/wp-content/uploads/2017/04/IN-17-08-Regulatory-accounting-guidelines-201-18.pdf" TargetMode="External"/><Relationship Id="rId1" Type="http://schemas.openxmlformats.org/officeDocument/2006/relationships/hyperlink" Target="https://www.ofwat.gov.uk/publication/rag-3-10-guideline-format-disclosures-annual-performance-report-2/" TargetMode="External"/><Relationship Id="rId6" Type="http://schemas.openxmlformats.org/officeDocument/2006/relationships/hyperlink" Target="https://www.ofwat.gov.uk/publication/rag-4-07-guideline-table-definitions-annual-performance-report-2/" TargetMode="External"/><Relationship Id="rId5" Type="http://schemas.openxmlformats.org/officeDocument/2006/relationships/hyperlink" Target="https://www.ofwat.gov.uk/publication/18-07-expectations-monopoly-company-annual-performance-reporting-2017-18/" TargetMode="External"/><Relationship Id="rId4" Type="http://schemas.openxmlformats.org/officeDocument/2006/relationships/hyperlink" Target="mailto:PR19@ofwat.gsi.gov.uk"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ofwat.gov.uk/publication/18-07-expectations-monopoly-company-annual-performance-reporting-2017-18/" TargetMode="Externa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2">
    <tabColor rgb="FFFF0000"/>
    <pageSetUpPr fitToPage="1"/>
  </sheetPr>
  <dimension ref="A1:K3655"/>
  <sheetViews>
    <sheetView showGridLines="0" topLeftCell="A1007" workbookViewId="0">
      <selection activeCell="H58" sqref="H58"/>
    </sheetView>
  </sheetViews>
  <sheetFormatPr defaultColWidth="8.625" defaultRowHeight="14.25"/>
  <cols>
    <col min="1" max="1" width="8.125" style="2" customWidth="1"/>
    <col min="2" max="2" width="21.625" style="2" customWidth="1"/>
    <col min="3" max="3" width="88" style="2" customWidth="1"/>
    <col min="4" max="4" width="12.625" style="2" customWidth="1"/>
    <col min="5" max="5" width="21.125" style="2" customWidth="1"/>
    <col min="6" max="6" width="76.625" style="2" customWidth="1"/>
    <col min="7" max="8" width="14.625" style="2" customWidth="1"/>
    <col min="9" max="16384" width="8.625" style="2"/>
  </cols>
  <sheetData>
    <row r="1" spans="1:8">
      <c r="C1" s="1666" t="str">
        <f>"APR_2017-18_"&amp;$A$4</f>
        <v>APR_2017-18_TMS</v>
      </c>
    </row>
    <row r="2" spans="1:8">
      <c r="A2" s="2" t="s">
        <v>0</v>
      </c>
      <c r="B2" s="2" t="s">
        <v>1</v>
      </c>
      <c r="C2" s="2" t="s">
        <v>2</v>
      </c>
      <c r="D2" s="2" t="s">
        <v>3</v>
      </c>
      <c r="E2" s="2" t="s">
        <v>4</v>
      </c>
      <c r="F2" s="2" t="s">
        <v>5</v>
      </c>
      <c r="G2" s="2" t="s">
        <v>6</v>
      </c>
      <c r="H2" s="2" t="s">
        <v>7</v>
      </c>
    </row>
    <row r="3" spans="1:8" ht="15" thickBot="1"/>
    <row r="4" spans="1:8">
      <c r="A4" s="1641" t="str">
        <f>INDEX(Lists!$C$4:$C$24,MATCH(Validation!$B$3,Lists!$B$4:$B$24,0))</f>
        <v>TMS</v>
      </c>
      <c r="B4" s="1643" t="str">
        <f>'1A'!AF6</f>
        <v>BO1180STAT</v>
      </c>
      <c r="C4" s="1667" t="str">
        <f>'1A'!AB6&amp;" - "&amp;'1A'!$AF$3</f>
        <v>Revenue - Statutory</v>
      </c>
      <c r="D4" s="1644" t="s">
        <v>8</v>
      </c>
      <c r="E4" s="1644" t="s">
        <v>9</v>
      </c>
      <c r="F4" s="1641"/>
      <c r="G4" s="1659">
        <f>'1A'!G6</f>
        <v>2044.92</v>
      </c>
      <c r="H4" s="1645"/>
    </row>
    <row r="5" spans="1:8">
      <c r="A5" s="1634" t="str">
        <f>INDEX(Lists!$C$4:$C$24,MATCH(Validation!$B$3,Lists!$B$4:$B$24,0))</f>
        <v>TMS</v>
      </c>
      <c r="B5" s="1646" t="str">
        <f>'1A'!AF7</f>
        <v>BO2560STAT</v>
      </c>
      <c r="C5" s="1668" t="str">
        <f>'1A'!AB7&amp;" - "&amp;'1A'!$AF$3</f>
        <v>Operating costs - Statutory</v>
      </c>
      <c r="D5" s="2" t="s">
        <v>8</v>
      </c>
      <c r="E5" s="2" t="s">
        <v>9</v>
      </c>
      <c r="F5" s="1634"/>
      <c r="G5" s="1635">
        <f>'1A'!G7</f>
        <v>-1595.5050000000001</v>
      </c>
      <c r="H5" s="1636"/>
    </row>
    <row r="6" spans="1:8">
      <c r="A6" s="1634" t="str">
        <f>INDEX(Lists!$C$4:$C$24,MATCH(Validation!$B$3,Lists!$B$4:$B$24,0))</f>
        <v>TMS</v>
      </c>
      <c r="B6" s="1646" t="str">
        <f>'1A'!AF8</f>
        <v>BO1980STAT</v>
      </c>
      <c r="C6" s="1668" t="str">
        <f>'1A'!AB8&amp;" - "&amp;'1A'!$AF$3</f>
        <v>Other operating income - Statutory</v>
      </c>
      <c r="D6" s="2" t="s">
        <v>8</v>
      </c>
      <c r="E6" s="2" t="s">
        <v>9</v>
      </c>
      <c r="F6" s="1634"/>
      <c r="G6" s="1635">
        <f>'1A'!G8</f>
        <v>94.02</v>
      </c>
      <c r="H6" s="1636"/>
    </row>
    <row r="7" spans="1:8">
      <c r="A7" s="1634" t="str">
        <f>INDEX(Lists!$C$4:$C$24,MATCH(Validation!$B$3,Lists!$B$4:$B$24,0))</f>
        <v>TMS</v>
      </c>
      <c r="B7" s="1646" t="str">
        <f>'1A'!AF11</f>
        <v>BO3301STAT</v>
      </c>
      <c r="C7" s="1668" t="str">
        <f>'1A'!AB11&amp;" - "&amp;'1A'!$AF$3</f>
        <v>Other income - Statutory</v>
      </c>
      <c r="D7" s="2" t="s">
        <v>8</v>
      </c>
      <c r="E7" s="2" t="s">
        <v>9</v>
      </c>
      <c r="F7" s="1634"/>
      <c r="G7" s="1635">
        <f>'1A'!G11</f>
        <v>89.71</v>
      </c>
      <c r="H7" s="1636"/>
    </row>
    <row r="8" spans="1:8">
      <c r="A8" s="1634" t="str">
        <f>INDEX(Lists!$C$4:$C$24,MATCH(Validation!$B$3,Lists!$B$4:$B$24,0))</f>
        <v>TMS</v>
      </c>
      <c r="B8" s="1646" t="str">
        <f>'1A'!AF12</f>
        <v>A10008STAT</v>
      </c>
      <c r="C8" s="1668" t="str">
        <f>'1A'!AB12&amp;" - "&amp;'1A'!$AF$3</f>
        <v>Interest income - Statutory</v>
      </c>
      <c r="D8" s="2" t="s">
        <v>8</v>
      </c>
      <c r="E8" s="2" t="s">
        <v>9</v>
      </c>
      <c r="F8" s="1634"/>
      <c r="G8" s="1635">
        <f>'1A'!G12</f>
        <v>102.884</v>
      </c>
      <c r="H8" s="1636"/>
    </row>
    <row r="9" spans="1:8">
      <c r="A9" s="1634" t="str">
        <f>INDEX(Lists!$C$4:$C$24,MATCH(Validation!$B$3,Lists!$B$4:$B$24,0))</f>
        <v>TMS</v>
      </c>
      <c r="B9" s="1646" t="str">
        <f>'1A'!AF13</f>
        <v>A10009STAT</v>
      </c>
      <c r="C9" s="1668" t="str">
        <f>'1A'!AB13&amp;" - "&amp;'1A'!$AF$3</f>
        <v>Interest expense - Statutory</v>
      </c>
      <c r="D9" s="2" t="s">
        <v>8</v>
      </c>
      <c r="E9" s="2" t="s">
        <v>9</v>
      </c>
      <c r="F9" s="1634"/>
      <c r="G9" s="1635">
        <f>'1A'!G13</f>
        <v>-538.55999999999995</v>
      </c>
      <c r="H9" s="1636"/>
    </row>
    <row r="10" spans="1:8">
      <c r="A10" s="1634" t="str">
        <f>INDEX(Lists!$C$4:$C$24,MATCH(Validation!$B$3,Lists!$B$4:$B$24,0))</f>
        <v>TMS</v>
      </c>
      <c r="B10" s="1646" t="str">
        <f>'1A'!AF14</f>
        <v>FT01641STAT</v>
      </c>
      <c r="C10" s="1668" t="str">
        <f>'1A'!AB14&amp;" - "&amp;'1A'!$AF$3</f>
        <v>Other interest expense  - Statutory</v>
      </c>
      <c r="D10" s="2" t="s">
        <v>8</v>
      </c>
      <c r="E10" s="2" t="s">
        <v>9</v>
      </c>
      <c r="F10" s="1634"/>
      <c r="G10" s="1635">
        <f>'1A'!G14</f>
        <v>0</v>
      </c>
      <c r="H10" s="1636"/>
    </row>
    <row r="11" spans="1:8">
      <c r="A11" s="1634" t="str">
        <f>INDEX(Lists!$C$4:$C$24,MATCH(Validation!$B$3,Lists!$B$4:$B$24,0))</f>
        <v>TMS</v>
      </c>
      <c r="B11" s="1646" t="str">
        <f>'1A'!AF17</f>
        <v>A10012STAT</v>
      </c>
      <c r="C11" s="1668" t="str">
        <f>'1A'!AB17&amp;" - "&amp;'1A'!$AF$3</f>
        <v>Fair value gains/(losses) on financial instruments - Statutory</v>
      </c>
      <c r="D11" s="2" t="s">
        <v>8</v>
      </c>
      <c r="E11" s="2" t="s">
        <v>9</v>
      </c>
      <c r="F11" s="1634"/>
      <c r="G11" s="1635">
        <f>'1A'!G17</f>
        <v>-46.695999999999998</v>
      </c>
      <c r="H11" s="1636"/>
    </row>
    <row r="12" spans="1:8">
      <c r="A12" s="1634" t="str">
        <f>INDEX(Lists!$C$4:$C$24,MATCH(Validation!$B$3,Lists!$B$4:$B$24,0))</f>
        <v>TMS</v>
      </c>
      <c r="B12" s="1646" t="str">
        <f>'1A'!AF21</f>
        <v>BO3352STAT</v>
      </c>
      <c r="C12" s="1668" t="str">
        <f>'1A'!AB21&amp;" - "&amp;'1A'!$AF$3</f>
        <v>Deferred tax - Statutory</v>
      </c>
      <c r="D12" s="2" t="s">
        <v>8</v>
      </c>
      <c r="E12" s="2" t="s">
        <v>9</v>
      </c>
      <c r="F12" s="1634"/>
      <c r="G12" s="1635">
        <f>'1A'!G21</f>
        <v>-12.834</v>
      </c>
      <c r="H12" s="1636"/>
    </row>
    <row r="13" spans="1:8">
      <c r="A13" s="1634" t="str">
        <f>INDEX(Lists!$C$4:$C$24,MATCH(Validation!$B$3,Lists!$B$4:$B$24,0))</f>
        <v>TMS</v>
      </c>
      <c r="B13" s="1646" t="str">
        <f>'1A'!AF24</f>
        <v>BO3402STAT</v>
      </c>
      <c r="C13" s="1668" t="str">
        <f>'1A'!AB24&amp;" - "&amp;'1A'!$AF$3</f>
        <v>Dividends - Statutory</v>
      </c>
      <c r="D13" s="2" t="s">
        <v>8</v>
      </c>
      <c r="E13" s="2" t="s">
        <v>9</v>
      </c>
      <c r="F13" s="1634"/>
      <c r="G13" s="1635">
        <f>'1A'!G24</f>
        <v>-55</v>
      </c>
      <c r="H13" s="1636"/>
    </row>
    <row r="14" spans="1:8">
      <c r="A14" s="1634" t="str">
        <f>INDEX(Lists!$C$4:$C$24,MATCH(Validation!$B$3,Lists!$B$4:$B$24,0))</f>
        <v>TMS</v>
      </c>
      <c r="B14" s="1646" t="str">
        <f>'1A'!AF27</f>
        <v>BO3354STAT</v>
      </c>
      <c r="C14" s="1668" t="str">
        <f>'1A'!$AB$26&amp;" - "&amp;'1A'!AB27&amp;" - "&amp;'1A'!$AF$3</f>
        <v>Tax analysis - Current year - Statutory</v>
      </c>
      <c r="D14" s="2" t="s">
        <v>8</v>
      </c>
      <c r="E14" s="2" t="s">
        <v>9</v>
      </c>
      <c r="F14" s="1634"/>
      <c r="G14" s="1635">
        <f>'1A'!G27</f>
        <v>4.3</v>
      </c>
      <c r="H14" s="1636"/>
    </row>
    <row r="15" spans="1:8">
      <c r="A15" s="1634" t="str">
        <f>INDEX(Lists!$C$4:$C$24,MATCH(Validation!$B$3,Lists!$B$4:$B$24,0))</f>
        <v>TMS</v>
      </c>
      <c r="B15" s="1646" t="str">
        <f>'1A'!AF28</f>
        <v>BO3355STAT</v>
      </c>
      <c r="C15" s="1668" t="str">
        <f>'1A'!$AB$26&amp;" - "&amp;'1A'!AB28&amp;" - "&amp;'1A'!$AF$3</f>
        <v>Tax analysis - Adjustments in respect of prior years - Statutory</v>
      </c>
      <c r="D15" s="2" t="s">
        <v>8</v>
      </c>
      <c r="E15" s="2" t="s">
        <v>9</v>
      </c>
      <c r="F15" s="1634"/>
      <c r="G15" s="1635">
        <f>'1A'!G28</f>
        <v>0</v>
      </c>
      <c r="H15" s="1636"/>
    </row>
    <row r="16" spans="1:8">
      <c r="A16" s="1634" t="str">
        <f>INDEX(Lists!$C$4:$C$24,MATCH(Validation!$B$3,Lists!$B$4:$B$24,0))</f>
        <v>TMS</v>
      </c>
      <c r="B16" s="1646" t="str">
        <f>'1A'!AF33</f>
        <v>BO1180NAIS</v>
      </c>
      <c r="C16" s="1668" t="str">
        <f>'1A'!$AB$32&amp;" - "&amp;'1A'!AB33</f>
        <v>Analysis of non-appointed revenue - Imported sludge</v>
      </c>
      <c r="D16" s="2" t="s">
        <v>8</v>
      </c>
      <c r="E16" s="2" t="s">
        <v>9</v>
      </c>
      <c r="F16" s="1634"/>
      <c r="G16" s="1635">
        <f>'1A'!G33</f>
        <v>0</v>
      </c>
      <c r="H16" s="1636"/>
    </row>
    <row r="17" spans="1:8">
      <c r="A17" s="1634" t="str">
        <f>INDEX(Lists!$C$4:$C$24,MATCH(Validation!$B$3,Lists!$B$4:$B$24,0))</f>
        <v>TMS</v>
      </c>
      <c r="B17" s="1646" t="str">
        <f>'1A'!AF34</f>
        <v>BO1180NATW</v>
      </c>
      <c r="C17" s="1668" t="str">
        <f>'1A'!$AB$32&amp;" - "&amp;'1A'!AB34</f>
        <v>Analysis of non-appointed revenue - Tankered waste</v>
      </c>
      <c r="D17" s="2" t="s">
        <v>8</v>
      </c>
      <c r="E17" s="2" t="s">
        <v>9</v>
      </c>
      <c r="F17" s="1634"/>
      <c r="G17" s="1635">
        <f>'1A'!G34</f>
        <v>5.0830000000000002</v>
      </c>
      <c r="H17" s="1636"/>
    </row>
    <row r="18" spans="1:8">
      <c r="A18" s="1637" t="str">
        <f>INDEX(Lists!$C$4:$C$24,MATCH(Validation!$B$3,Lists!$B$4:$B$24,0))</f>
        <v>TMS</v>
      </c>
      <c r="B18" s="1650" t="str">
        <f>'1A'!AF35</f>
        <v>BO1180NAO</v>
      </c>
      <c r="C18" s="1669" t="str">
        <f>'1A'!$AB$32&amp;" - "&amp;'1A'!AB35</f>
        <v>Analysis of non-appointed revenue - Other non-appointed revenue</v>
      </c>
      <c r="D18" s="1651" t="s">
        <v>8</v>
      </c>
      <c r="E18" s="1651" t="s">
        <v>9</v>
      </c>
      <c r="F18" s="1637"/>
      <c r="G18" s="1653">
        <f>'1A'!G35</f>
        <v>46.216999999999999</v>
      </c>
      <c r="H18" s="1652"/>
    </row>
    <row r="19" spans="1:8">
      <c r="A19" s="1634" t="str">
        <f>INDEX(Lists!$C$4:$C$24,MATCH(Validation!$B$3,Lists!$B$4:$B$24,0))</f>
        <v>TMS</v>
      </c>
      <c r="B19" s="1634" t="str">
        <f>'1A'!AG6</f>
        <v>BO1180DSR</v>
      </c>
      <c r="C19" s="1634" t="str">
        <f>'1A'!AB6&amp;" - "&amp;'1A'!$AG$4</f>
        <v>Revenue - Differences between statutory and RAG definitions</v>
      </c>
      <c r="D19" s="2" t="s">
        <v>8</v>
      </c>
      <c r="E19" s="2" t="s">
        <v>9</v>
      </c>
      <c r="F19" s="1634"/>
      <c r="G19" s="1635">
        <f>'1A'!H6</f>
        <v>26.516999999999999</v>
      </c>
      <c r="H19" s="1636"/>
    </row>
    <row r="20" spans="1:8">
      <c r="A20" s="1634" t="str">
        <f>INDEX(Lists!$C$4:$C$24,MATCH(Validation!$B$3,Lists!$B$4:$B$24,0))</f>
        <v>TMS</v>
      </c>
      <c r="B20" s="1634" t="str">
        <f>'1A'!AG7</f>
        <v>BO2560DSR</v>
      </c>
      <c r="C20" s="1668" t="str">
        <f>'1A'!AB7&amp;" - "&amp;'1A'!$AG$4</f>
        <v>Operating costs - Differences between statutory and RAG definitions</v>
      </c>
      <c r="D20" s="2" t="s">
        <v>8</v>
      </c>
      <c r="E20" s="2" t="s">
        <v>9</v>
      </c>
      <c r="F20" s="1634"/>
      <c r="G20" s="1635">
        <f>'1A'!H7</f>
        <v>-15.836</v>
      </c>
      <c r="H20" s="1636"/>
    </row>
    <row r="21" spans="1:8">
      <c r="A21" s="1634" t="str">
        <f>INDEX(Lists!$C$4:$C$24,MATCH(Validation!$B$3,Lists!$B$4:$B$24,0))</f>
        <v>TMS</v>
      </c>
      <c r="B21" s="1634" t="str">
        <f>'1A'!AG8</f>
        <v>BO1980DSR</v>
      </c>
      <c r="C21" s="1668" t="str">
        <f>'1A'!AB8&amp;" - "&amp;'1A'!$AG$4</f>
        <v>Other operating income - Differences between statutory and RAG definitions</v>
      </c>
      <c r="D21" s="2" t="s">
        <v>8</v>
      </c>
      <c r="E21" s="2" t="s">
        <v>9</v>
      </c>
      <c r="F21" s="1634"/>
      <c r="G21" s="1635">
        <f>'1A'!H8</f>
        <v>9.2349999999999994</v>
      </c>
      <c r="H21" s="1636"/>
    </row>
    <row r="22" spans="1:8">
      <c r="A22" s="1634" t="str">
        <f>INDEX(Lists!$C$4:$C$24,MATCH(Validation!$B$3,Lists!$B$4:$B$24,0))</f>
        <v>TMS</v>
      </c>
      <c r="B22" s="1634" t="str">
        <f>'1A'!AG11</f>
        <v>BO3301DSR</v>
      </c>
      <c r="C22" s="1668" t="str">
        <f>'1A'!AB11&amp;" - "&amp;'1A'!$AG$4</f>
        <v>Other income - Differences between statutory and RAG definitions</v>
      </c>
      <c r="D22" s="2" t="s">
        <v>8</v>
      </c>
      <c r="E22" s="2" t="s">
        <v>9</v>
      </c>
      <c r="F22" s="1634"/>
      <c r="G22" s="1635">
        <f>'1A'!H11</f>
        <v>-18.103999999999999</v>
      </c>
      <c r="H22" s="1636"/>
    </row>
    <row r="23" spans="1:8">
      <c r="A23" s="1634" t="str">
        <f>INDEX(Lists!$C$4:$C$24,MATCH(Validation!$B$3,Lists!$B$4:$B$24,0))</f>
        <v>TMS</v>
      </c>
      <c r="B23" s="1634" t="str">
        <f>'1A'!AG12</f>
        <v>A10008DSR</v>
      </c>
      <c r="C23" s="1668" t="str">
        <f>'1A'!AB12&amp;" - "&amp;'1A'!$AG$4</f>
        <v>Interest income - Differences between statutory and RAG definitions</v>
      </c>
      <c r="D23" s="2" t="s">
        <v>8</v>
      </c>
      <c r="E23" s="2" t="s">
        <v>9</v>
      </c>
      <c r="F23" s="1634"/>
      <c r="G23" s="1635">
        <f>'1A'!H12</f>
        <v>0</v>
      </c>
      <c r="H23" s="1636"/>
    </row>
    <row r="24" spans="1:8">
      <c r="A24" s="1634" t="str">
        <f>INDEX(Lists!$C$4:$C$24,MATCH(Validation!$B$3,Lists!$B$4:$B$24,0))</f>
        <v>TMS</v>
      </c>
      <c r="B24" s="1634" t="str">
        <f>'1A'!AG13</f>
        <v>A10009DSR</v>
      </c>
      <c r="C24" s="1668" t="str">
        <f>'1A'!AB13&amp;" - "&amp;'1A'!$AG$4</f>
        <v>Interest expense - Differences between statutory and RAG definitions</v>
      </c>
      <c r="D24" s="2" t="s">
        <v>8</v>
      </c>
      <c r="E24" s="2" t="s">
        <v>9</v>
      </c>
      <c r="F24" s="1634"/>
      <c r="G24" s="1635">
        <f>'1A'!H13</f>
        <v>-91.662000000000006</v>
      </c>
      <c r="H24" s="1636"/>
    </row>
    <row r="25" spans="1:8">
      <c r="A25" s="1634" t="str">
        <f>INDEX(Lists!$C$4:$C$24,MATCH(Validation!$B$3,Lists!$B$4:$B$24,0))</f>
        <v>TMS</v>
      </c>
      <c r="B25" s="1634" t="str">
        <f>'1A'!AG14</f>
        <v>FT01641DSR</v>
      </c>
      <c r="C25" s="1668" t="str">
        <f>'1A'!AB14&amp;" - "&amp;'1A'!$AG$4</f>
        <v>Other interest expense  - Differences between statutory and RAG definitions</v>
      </c>
      <c r="D25" s="2" t="s">
        <v>8</v>
      </c>
      <c r="E25" s="2" t="s">
        <v>9</v>
      </c>
      <c r="F25" s="1634"/>
      <c r="G25" s="1635">
        <f>'1A'!H14</f>
        <v>-9</v>
      </c>
      <c r="H25" s="1636"/>
    </row>
    <row r="26" spans="1:8">
      <c r="A26" s="1634" t="str">
        <f>INDEX(Lists!$C$4:$C$24,MATCH(Validation!$B$3,Lists!$B$4:$B$24,0))</f>
        <v>TMS</v>
      </c>
      <c r="B26" s="1634" t="str">
        <f>'1A'!AG17</f>
        <v>A10012DSR</v>
      </c>
      <c r="C26" s="1668" t="str">
        <f>'1A'!AB17&amp;" - "&amp;'1A'!$AG$4</f>
        <v>Fair value gains/(losses) on financial instruments - Differences between statutory and RAG definitions</v>
      </c>
      <c r="D26" s="2" t="s">
        <v>8</v>
      </c>
      <c r="E26" s="2" t="s">
        <v>9</v>
      </c>
      <c r="F26" s="1634"/>
      <c r="G26" s="1635">
        <f>'1A'!H17</f>
        <v>0</v>
      </c>
      <c r="H26" s="1636"/>
    </row>
    <row r="27" spans="1:8">
      <c r="A27" s="1634" t="str">
        <f>INDEX(Lists!$C$4:$C$24,MATCH(Validation!$B$3,Lists!$B$4:$B$24,0))</f>
        <v>TMS</v>
      </c>
      <c r="B27" s="1634" t="str">
        <f>'1A'!AG21</f>
        <v>BO3352DSR</v>
      </c>
      <c r="C27" s="1668" t="str">
        <f>'1A'!AB21&amp;" - "&amp;'1A'!$AG$4</f>
        <v>Deferred tax - Differences between statutory and RAG definitions</v>
      </c>
      <c r="D27" s="2" t="s">
        <v>8</v>
      </c>
      <c r="E27" s="2" t="s">
        <v>9</v>
      </c>
      <c r="F27" s="1634"/>
      <c r="G27" s="1635">
        <f>'1A'!H21</f>
        <v>0</v>
      </c>
      <c r="H27" s="1636"/>
    </row>
    <row r="28" spans="1:8">
      <c r="A28" s="1634" t="str">
        <f>INDEX(Lists!$C$4:$C$24,MATCH(Validation!$B$3,Lists!$B$4:$B$24,0))</f>
        <v>TMS</v>
      </c>
      <c r="B28" s="1634" t="str">
        <f>'1A'!AG24</f>
        <v>BO3402DSR</v>
      </c>
      <c r="C28" s="1668" t="str">
        <f>'1A'!AB24&amp;" - "&amp;'1A'!$AG$4</f>
        <v>Dividends - Differences between statutory and RAG definitions</v>
      </c>
      <c r="D28" s="2" t="s">
        <v>8</v>
      </c>
      <c r="E28" s="2" t="s">
        <v>9</v>
      </c>
      <c r="F28" s="1634"/>
      <c r="G28" s="1635">
        <f>'1A'!H24</f>
        <v>0</v>
      </c>
      <c r="H28" s="1636"/>
    </row>
    <row r="29" spans="1:8">
      <c r="A29" s="1634" t="str">
        <f>INDEX(Lists!$C$4:$C$24,MATCH(Validation!$B$3,Lists!$B$4:$B$24,0))</f>
        <v>TMS</v>
      </c>
      <c r="B29" s="1634" t="str">
        <f>'1A'!AG27</f>
        <v>BO3354DSR</v>
      </c>
      <c r="C29" s="1660" t="str">
        <f>'1A'!$AB$26&amp;" - "&amp;'1A'!AB27&amp;" - "&amp;'1A'!$AG$4</f>
        <v>Tax analysis - Current year - Differences between statutory and RAG definitions</v>
      </c>
      <c r="D29" s="2" t="s">
        <v>8</v>
      </c>
      <c r="E29" s="2" t="s">
        <v>9</v>
      </c>
      <c r="F29" s="1634"/>
      <c r="G29" s="1635">
        <f>'1A'!H27</f>
        <v>0</v>
      </c>
      <c r="H29" s="1636"/>
    </row>
    <row r="30" spans="1:8">
      <c r="A30" s="1637" t="str">
        <f>INDEX(Lists!$C$4:$C$24,MATCH(Validation!$B$3,Lists!$B$4:$B$24,0))</f>
        <v>TMS</v>
      </c>
      <c r="B30" s="1637" t="str">
        <f>'1A'!AG28</f>
        <v>BO3355DSR</v>
      </c>
      <c r="C30" s="1670" t="str">
        <f>'1A'!$AB$26&amp;" - "&amp;'1A'!AB28&amp;" - "&amp;'1A'!$AG$4</f>
        <v>Tax analysis - Adjustments in respect of prior years - Differences between statutory and RAG definitions</v>
      </c>
      <c r="D30" s="1651" t="s">
        <v>8</v>
      </c>
      <c r="E30" s="1651" t="s">
        <v>9</v>
      </c>
      <c r="F30" s="1637"/>
      <c r="G30" s="1653">
        <f>'1A'!H28</f>
        <v>0</v>
      </c>
      <c r="H30" s="1652"/>
    </row>
    <row r="31" spans="1:8">
      <c r="A31" s="1634" t="str">
        <f>INDEX(Lists!$C$4:$C$24,MATCH(Validation!$B$3,Lists!$B$4:$B$24,0))</f>
        <v>TMS</v>
      </c>
      <c r="B31" s="1634" t="str">
        <f>'1A'!AH6</f>
        <v>BO1180NA</v>
      </c>
      <c r="C31" s="1634" t="str">
        <f>'1A'!AB6&amp;" - "&amp;'1A'!$AH$4</f>
        <v>Revenue - Non-appointed</v>
      </c>
      <c r="D31" s="2" t="s">
        <v>8</v>
      </c>
      <c r="E31" s="2" t="s">
        <v>9</v>
      </c>
      <c r="F31" s="1634"/>
      <c r="G31" s="1635">
        <f>'1A'!I6</f>
        <v>51.3</v>
      </c>
      <c r="H31" s="1636"/>
    </row>
    <row r="32" spans="1:8">
      <c r="A32" s="1634" t="str">
        <f>INDEX(Lists!$C$4:$C$24,MATCH(Validation!$B$3,Lists!$B$4:$B$24,0))</f>
        <v>TMS</v>
      </c>
      <c r="B32" s="1634" t="str">
        <f>'1A'!AH7</f>
        <v>BO2560NA</v>
      </c>
      <c r="C32" s="1668" t="str">
        <f>'1A'!AB7&amp;" - "&amp;'1A'!$AH$4</f>
        <v>Operating costs - Non-appointed</v>
      </c>
      <c r="D32" s="2" t="s">
        <v>8</v>
      </c>
      <c r="E32" s="2" t="s">
        <v>9</v>
      </c>
      <c r="F32" s="1634"/>
      <c r="G32" s="1635">
        <f>'1A'!I7</f>
        <v>-12.746</v>
      </c>
      <c r="H32" s="1636"/>
    </row>
    <row r="33" spans="1:8">
      <c r="A33" s="1634" t="str">
        <f>INDEX(Lists!$C$4:$C$24,MATCH(Validation!$B$3,Lists!$B$4:$B$24,0))</f>
        <v>TMS</v>
      </c>
      <c r="B33" s="1634" t="str">
        <f>'1A'!AH8</f>
        <v>BO1980NA</v>
      </c>
      <c r="C33" s="1668" t="str">
        <f>'1A'!AB8&amp;" - "&amp;'1A'!$AH$4</f>
        <v>Other operating income - Non-appointed</v>
      </c>
      <c r="D33" s="2" t="s">
        <v>8</v>
      </c>
      <c r="E33" s="2" t="s">
        <v>9</v>
      </c>
      <c r="F33" s="1634"/>
      <c r="G33" s="1635">
        <f>'1A'!I8</f>
        <v>0.751</v>
      </c>
      <c r="H33" s="1636"/>
    </row>
    <row r="34" spans="1:8">
      <c r="A34" s="1634" t="str">
        <f>INDEX(Lists!$C$4:$C$24,MATCH(Validation!$B$3,Lists!$B$4:$B$24,0))</f>
        <v>TMS</v>
      </c>
      <c r="B34" s="1634" t="str">
        <f>'1A'!AH11</f>
        <v>BO3301NA</v>
      </c>
      <c r="C34" s="1668" t="str">
        <f>'1A'!AB11&amp;" - "&amp;'1A'!$AH$4</f>
        <v>Other income - Non-appointed</v>
      </c>
      <c r="D34" s="2" t="s">
        <v>8</v>
      </c>
      <c r="E34" s="2" t="s">
        <v>9</v>
      </c>
      <c r="F34" s="1634"/>
      <c r="G34" s="1635">
        <f>'1A'!I11</f>
        <v>0.28799999999999998</v>
      </c>
      <c r="H34" s="1636"/>
    </row>
    <row r="35" spans="1:8">
      <c r="A35" s="1634" t="str">
        <f>INDEX(Lists!$C$4:$C$24,MATCH(Validation!$B$3,Lists!$B$4:$B$24,0))</f>
        <v>TMS</v>
      </c>
      <c r="B35" s="1634" t="str">
        <f>'1A'!AH12</f>
        <v>A10008NA</v>
      </c>
      <c r="C35" s="1668" t="str">
        <f>'1A'!AB12&amp;" - "&amp;'1A'!$AH$4</f>
        <v>Interest income - Non-appointed</v>
      </c>
      <c r="D35" s="2" t="s">
        <v>8</v>
      </c>
      <c r="E35" s="2" t="s">
        <v>9</v>
      </c>
      <c r="F35" s="1634"/>
      <c r="G35" s="1635">
        <f>'1A'!I12</f>
        <v>0</v>
      </c>
      <c r="H35" s="1636"/>
    </row>
    <row r="36" spans="1:8">
      <c r="A36" s="1634" t="str">
        <f>INDEX(Lists!$C$4:$C$24,MATCH(Validation!$B$3,Lists!$B$4:$B$24,0))</f>
        <v>TMS</v>
      </c>
      <c r="B36" s="1634" t="str">
        <f>'1A'!AH13</f>
        <v>A10009NA</v>
      </c>
      <c r="C36" s="1668" t="str">
        <f>'1A'!AB13&amp;" - "&amp;'1A'!$AH$4</f>
        <v>Interest expense - Non-appointed</v>
      </c>
      <c r="D36" s="2" t="s">
        <v>8</v>
      </c>
      <c r="E36" s="2" t="s">
        <v>9</v>
      </c>
      <c r="F36" s="1634"/>
      <c r="G36" s="1635">
        <f>'1A'!I13</f>
        <v>-3.2000000000000001E-2</v>
      </c>
      <c r="H36" s="1636"/>
    </row>
    <row r="37" spans="1:8">
      <c r="A37" s="1634" t="str">
        <f>INDEX(Lists!$C$4:$C$24,MATCH(Validation!$B$3,Lists!$B$4:$B$24,0))</f>
        <v>TMS</v>
      </c>
      <c r="B37" s="1634" t="str">
        <f>'1A'!AH14</f>
        <v>FT01641NA</v>
      </c>
      <c r="C37" s="1668" t="str">
        <f>'1A'!AB14&amp;" - "&amp;'1A'!$AH$4</f>
        <v>Other interest expense  - Non-appointed</v>
      </c>
      <c r="D37" s="2" t="s">
        <v>8</v>
      </c>
      <c r="E37" s="2" t="s">
        <v>9</v>
      </c>
      <c r="F37" s="1634"/>
      <c r="G37" s="1635">
        <f>'1A'!I14</f>
        <v>0</v>
      </c>
      <c r="H37" s="1636"/>
    </row>
    <row r="38" spans="1:8">
      <c r="A38" s="1634" t="str">
        <f>INDEX(Lists!$C$4:$C$24,MATCH(Validation!$B$3,Lists!$B$4:$B$24,0))</f>
        <v>TMS</v>
      </c>
      <c r="B38" s="1634" t="str">
        <f>'1A'!AH17</f>
        <v>A10012NA</v>
      </c>
      <c r="C38" s="1668" t="str">
        <f>'1A'!AB17&amp;" - "&amp;'1A'!$AH$4</f>
        <v>Fair value gains/(losses) on financial instruments - Non-appointed</v>
      </c>
      <c r="D38" s="2" t="s">
        <v>8</v>
      </c>
      <c r="E38" s="2" t="s">
        <v>9</v>
      </c>
      <c r="F38" s="1634"/>
      <c r="G38" s="1635">
        <f>'1A'!I17</f>
        <v>0</v>
      </c>
      <c r="H38" s="1636"/>
    </row>
    <row r="39" spans="1:8">
      <c r="A39" s="1634" t="str">
        <f>INDEX(Lists!$C$4:$C$24,MATCH(Validation!$B$3,Lists!$B$4:$B$24,0))</f>
        <v>TMS</v>
      </c>
      <c r="B39" s="1634" t="str">
        <f>'1A'!AH21</f>
        <v>BO3352NA</v>
      </c>
      <c r="C39" s="1668" t="str">
        <f>'1A'!AB21&amp;" - "&amp;'1A'!$AH$4</f>
        <v>Deferred tax - Non-appointed</v>
      </c>
      <c r="D39" s="2" t="s">
        <v>8</v>
      </c>
      <c r="E39" s="2" t="s">
        <v>9</v>
      </c>
      <c r="F39" s="1634"/>
      <c r="G39" s="1635">
        <f>'1A'!I21</f>
        <v>-0.6</v>
      </c>
      <c r="H39" s="1636"/>
    </row>
    <row r="40" spans="1:8">
      <c r="A40" s="1634" t="str">
        <f>INDEX(Lists!$C$4:$C$24,MATCH(Validation!$B$3,Lists!$B$4:$B$24,0))</f>
        <v>TMS</v>
      </c>
      <c r="B40" s="1634" t="str">
        <f>'1A'!AH24</f>
        <v>BO3402NA</v>
      </c>
      <c r="C40" s="1668" t="str">
        <f>'1A'!AB24&amp;" - "&amp;'1A'!$AH$4</f>
        <v>Dividends - Non-appointed</v>
      </c>
      <c r="D40" s="2" t="s">
        <v>8</v>
      </c>
      <c r="E40" s="2" t="s">
        <v>9</v>
      </c>
      <c r="F40" s="1634"/>
      <c r="G40" s="1635">
        <f>'1A'!I24</f>
        <v>-11.595000000000001</v>
      </c>
      <c r="H40" s="1636"/>
    </row>
    <row r="41" spans="1:8">
      <c r="A41" s="1634" t="str">
        <f>INDEX(Lists!$C$4:$C$24,MATCH(Validation!$B$3,Lists!$B$4:$B$24,0))</f>
        <v>TMS</v>
      </c>
      <c r="B41" s="1634" t="str">
        <f>'1A'!AH27</f>
        <v>BO3354NA</v>
      </c>
      <c r="C41" s="1634" t="str">
        <f>'1A'!$AB$26&amp;" - "&amp;'1A'!AB27&amp;" - "&amp;'1A'!$AH$4</f>
        <v>Tax analysis - Current year - Non-appointed</v>
      </c>
      <c r="D41" s="2" t="s">
        <v>8</v>
      </c>
      <c r="E41" s="2" t="s">
        <v>9</v>
      </c>
      <c r="F41" s="1634"/>
      <c r="G41" s="1635">
        <f>'1A'!I27</f>
        <v>2.4</v>
      </c>
      <c r="H41" s="1636"/>
    </row>
    <row r="42" spans="1:8" ht="15" thickBot="1">
      <c r="A42" s="1634" t="str">
        <f>INDEX(Lists!$C$4:$C$24,MATCH(Validation!$B$3,Lists!$B$4:$B$24,0))</f>
        <v>TMS</v>
      </c>
      <c r="B42" s="1634" t="str">
        <f>'1A'!AH28</f>
        <v>BO3355NA</v>
      </c>
      <c r="C42" s="1634" t="str">
        <f>'1A'!$AB$26&amp;" - "&amp;'1A'!AB28&amp;" - "&amp;'1A'!$AH$4</f>
        <v>Tax analysis - Adjustments in respect of prior years - Non-appointed</v>
      </c>
      <c r="D42" s="2" t="s">
        <v>8</v>
      </c>
      <c r="E42" s="2" t="s">
        <v>9</v>
      </c>
      <c r="F42" s="1634"/>
      <c r="G42" s="1635">
        <f>'1A'!I28</f>
        <v>0</v>
      </c>
      <c r="H42" s="1636"/>
    </row>
    <row r="43" spans="1:8" s="1675" customFormat="1">
      <c r="A43" s="1641" t="str">
        <f>INDEX(Lists!$C$4:$C$24,MATCH(Validation!$B$3,Lists!$B$4:$B$24,0))</f>
        <v>TMS</v>
      </c>
      <c r="B43" s="1672" t="str">
        <f>'1B'!AF7</f>
        <v>BO2550STAT</v>
      </c>
      <c r="C43" s="1671" t="str">
        <f>'1B'!AB7&amp;" - "&amp;'1B'!$AF$3</f>
        <v>Actuarial gains/(losses) on post employment plans - Statutory</v>
      </c>
      <c r="D43" s="1673" t="s">
        <v>8</v>
      </c>
      <c r="E43" s="1673" t="s">
        <v>9</v>
      </c>
      <c r="F43" s="1671"/>
      <c r="G43" s="1659">
        <f>'1B'!G7</f>
        <v>74</v>
      </c>
      <c r="H43" s="1674"/>
    </row>
    <row r="44" spans="1:8">
      <c r="A44" s="1634" t="str">
        <f>INDEX(Lists!$C$4:$C$24,MATCH(Validation!$B$3,Lists!$B$4:$B$24,0))</f>
        <v>TMS</v>
      </c>
      <c r="B44" s="1646" t="str">
        <f>'1B'!AF8</f>
        <v>BO2553STAT</v>
      </c>
      <c r="C44" s="1676" t="str">
        <f>'1B'!AB8&amp;" - "&amp;'1B'!$AF$3</f>
        <v>Other comprehensive income - Statutory</v>
      </c>
      <c r="D44" s="2" t="s">
        <v>8</v>
      </c>
      <c r="E44" s="2" t="s">
        <v>9</v>
      </c>
      <c r="F44" s="1634"/>
      <c r="G44" s="1635">
        <f>'1B'!G8</f>
        <v>70.947000000000003</v>
      </c>
      <c r="H44" s="1636"/>
    </row>
    <row r="45" spans="1:8">
      <c r="A45" s="1634" t="str">
        <f>INDEX(Lists!$C$4:$C$24,MATCH(Validation!$B$3,Lists!$B$4:$B$24,0))</f>
        <v>TMS</v>
      </c>
      <c r="B45" s="1646" t="str">
        <f>'1B'!AG7</f>
        <v>BO2550DSR</v>
      </c>
      <c r="C45" s="1634" t="str">
        <f>'1B'!AB7&amp;" - "&amp;'1B'!$AG$4</f>
        <v>Actuarial gains/(losses) on post employment plans - Differences between statutory and RAG definitions</v>
      </c>
      <c r="D45" s="2" t="s">
        <v>8</v>
      </c>
      <c r="E45" s="2" t="s">
        <v>9</v>
      </c>
      <c r="F45" s="1634"/>
      <c r="G45" s="1635">
        <f>'1B'!H7</f>
        <v>0</v>
      </c>
      <c r="H45" s="1636"/>
    </row>
    <row r="46" spans="1:8">
      <c r="A46" s="1634" t="str">
        <f>INDEX(Lists!$C$4:$C$24,MATCH(Validation!$B$3,Lists!$B$4:$B$24,0))</f>
        <v>TMS</v>
      </c>
      <c r="B46" s="1646" t="str">
        <f>'1B'!AG8</f>
        <v>BO2553DSR</v>
      </c>
      <c r="C46" s="1634" t="str">
        <f>'1B'!AB8&amp;" - "&amp;'1B'!$AG$4</f>
        <v>Other comprehensive income - Differences between statutory and RAG definitions</v>
      </c>
      <c r="D46" s="2" t="s">
        <v>8</v>
      </c>
      <c r="E46" s="2" t="s">
        <v>9</v>
      </c>
      <c r="F46" s="1634"/>
      <c r="G46" s="1635">
        <f>'1B'!H8</f>
        <v>0</v>
      </c>
      <c r="H46" s="1636"/>
    </row>
    <row r="47" spans="1:8">
      <c r="A47" s="1634" t="str">
        <f>INDEX(Lists!$C$4:$C$24,MATCH(Validation!$B$3,Lists!$B$4:$B$24,0))</f>
        <v>TMS</v>
      </c>
      <c r="B47" s="1646" t="str">
        <f>'1B'!AH7</f>
        <v>BO2550NA</v>
      </c>
      <c r="C47" s="1634" t="str">
        <f>'1B'!AB7&amp;" - "&amp;'1B'!$AH$4</f>
        <v>Actuarial gains/(losses) on post employment plans - Non-appointed</v>
      </c>
      <c r="D47" s="2" t="s">
        <v>8</v>
      </c>
      <c r="E47" s="2" t="s">
        <v>9</v>
      </c>
      <c r="F47" s="1634"/>
      <c r="G47" s="1635">
        <f>'1B'!I7</f>
        <v>0</v>
      </c>
      <c r="H47" s="1636"/>
    </row>
    <row r="48" spans="1:8" ht="15" thickBot="1">
      <c r="A48" s="1642" t="str">
        <f>INDEX(Lists!$C$4:$C$24,MATCH(Validation!$B$3,Lists!$B$4:$B$24,0))</f>
        <v>TMS</v>
      </c>
      <c r="B48" s="1647" t="str">
        <f>'1B'!AH8</f>
        <v>BO2553NA</v>
      </c>
      <c r="C48" s="1642" t="str">
        <f>'1B'!AB8&amp;" - "&amp;'1B'!$AH$4</f>
        <v>Other comprehensive income - Non-appointed</v>
      </c>
      <c r="D48" s="1648" t="s">
        <v>8</v>
      </c>
      <c r="E48" s="1648" t="s">
        <v>9</v>
      </c>
      <c r="F48" s="1642"/>
      <c r="G48" s="1658">
        <f>'1B'!I8</f>
        <v>0</v>
      </c>
      <c r="H48" s="1649"/>
    </row>
    <row r="49" spans="1:8">
      <c r="A49" s="1641" t="str">
        <f>INDEX(Lists!$C$4:$C$24,MATCH(Validation!$B$3,Lists!$B$4:$B$24,0))</f>
        <v>TMS</v>
      </c>
      <c r="B49" s="1641" t="str">
        <f>'1C'!AF7</f>
        <v>BO4008STAT</v>
      </c>
      <c r="C49" s="1634" t="str">
        <f>'1C'!AB7&amp;" - "&amp;'1C'!$AF$3</f>
        <v>Fixed assets - Statutory</v>
      </c>
      <c r="D49" s="1644" t="s">
        <v>8</v>
      </c>
      <c r="E49" s="1644" t="s">
        <v>9</v>
      </c>
      <c r="F49" s="1641"/>
      <c r="G49" s="1659">
        <f>'1C'!G7</f>
        <v>14675.311</v>
      </c>
      <c r="H49" s="1645"/>
    </row>
    <row r="50" spans="1:8">
      <c r="A50" s="1634" t="str">
        <f>INDEX(Lists!$C$4:$C$24,MATCH(Validation!$B$3,Lists!$B$4:$B$24,0))</f>
        <v>TMS</v>
      </c>
      <c r="B50" s="1634" t="str">
        <f>'1C'!AF8</f>
        <v>A11002STAT</v>
      </c>
      <c r="C50" s="1634" t="str">
        <f>'1C'!AB8&amp;" - "&amp;'1C'!$AF$3</f>
        <v>Intangible assets - Statutory</v>
      </c>
      <c r="D50" s="2" t="s">
        <v>8</v>
      </c>
      <c r="E50" s="2" t="s">
        <v>9</v>
      </c>
      <c r="F50" s="1634"/>
      <c r="G50" s="1635">
        <f>'1C'!G8</f>
        <v>168.584</v>
      </c>
      <c r="H50" s="1636"/>
    </row>
    <row r="51" spans="1:8">
      <c r="A51" s="1634" t="str">
        <f>INDEX(Lists!$C$4:$C$24,MATCH(Validation!$B$3,Lists!$B$4:$B$24,0))</f>
        <v>TMS</v>
      </c>
      <c r="B51" s="1634" t="str">
        <f>'1C'!AF9</f>
        <v>FT01670STAT</v>
      </c>
      <c r="C51" s="1634" t="str">
        <f>'1C'!AB9&amp;" - "&amp;'1C'!$AF$3</f>
        <v>Investments - loans to group companies - Statutory</v>
      </c>
      <c r="D51" s="2" t="s">
        <v>8</v>
      </c>
      <c r="E51" s="2" t="s">
        <v>9</v>
      </c>
      <c r="F51" s="1634"/>
      <c r="G51" s="1635">
        <f>'1C'!G9</f>
        <v>2274.7449999999999</v>
      </c>
      <c r="H51" s="1636"/>
    </row>
    <row r="52" spans="1:8">
      <c r="A52" s="1634" t="str">
        <f>INDEX(Lists!$C$4:$C$24,MATCH(Validation!$B$3,Lists!$B$4:$B$24,0))</f>
        <v>TMS</v>
      </c>
      <c r="B52" s="1634" t="str">
        <f>'1C'!AF10</f>
        <v>FT01680STAT</v>
      </c>
      <c r="C52" s="1634" t="str">
        <f>'1C'!AB10&amp;" - "&amp;'1C'!$AF$3</f>
        <v>Investments - other - Statutory</v>
      </c>
      <c r="D52" s="2" t="s">
        <v>8</v>
      </c>
      <c r="E52" s="2" t="s">
        <v>9</v>
      </c>
      <c r="F52" s="1634"/>
      <c r="G52" s="1635">
        <f>'1C'!G10</f>
        <v>60.786999999999999</v>
      </c>
      <c r="H52" s="1636"/>
    </row>
    <row r="53" spans="1:8">
      <c r="A53" s="1634" t="str">
        <f>INDEX(Lists!$C$4:$C$24,MATCH(Validation!$B$3,Lists!$B$4:$B$24,0))</f>
        <v>TMS</v>
      </c>
      <c r="B53" s="1634" t="str">
        <f>'1C'!AF11</f>
        <v>A11005STAT</v>
      </c>
      <c r="C53" s="1634" t="str">
        <f>'1C'!AB11&amp;" - "&amp;'1C'!$AF$3</f>
        <v>Financial instruments - Statutory</v>
      </c>
      <c r="D53" s="2" t="s">
        <v>8</v>
      </c>
      <c r="E53" s="2" t="s">
        <v>9</v>
      </c>
      <c r="F53" s="1634"/>
      <c r="G53" s="1635">
        <f>'1C'!G11</f>
        <v>59.311999999999998</v>
      </c>
      <c r="H53" s="1636"/>
    </row>
    <row r="54" spans="1:8">
      <c r="A54" s="1634" t="str">
        <f>INDEX(Lists!$C$4:$C$24,MATCH(Validation!$B$3,Lists!$B$4:$B$24,0))</f>
        <v>TMS</v>
      </c>
      <c r="B54" s="1634" t="str">
        <f>'1C'!AF12</f>
        <v>FT01751STAT</v>
      </c>
      <c r="C54" s="1634" t="str">
        <f>'1C'!AB12&amp;" - "&amp;'1C'!$AF$3</f>
        <v>Retirement benefit assets - Statutory</v>
      </c>
      <c r="D54" s="2" t="s">
        <v>8</v>
      </c>
      <c r="E54" s="2" t="s">
        <v>9</v>
      </c>
      <c r="F54" s="1634"/>
      <c r="G54" s="1635">
        <f>'1C'!G12</f>
        <v>0</v>
      </c>
      <c r="H54" s="1636"/>
    </row>
    <row r="55" spans="1:8">
      <c r="A55" s="1634" t="str">
        <f>INDEX(Lists!$C$4:$C$24,MATCH(Validation!$B$3,Lists!$B$4:$B$24,0))</f>
        <v>TMS</v>
      </c>
      <c r="B55" s="1634" t="str">
        <f>'1C'!AF16</f>
        <v>BO4084STAT</v>
      </c>
      <c r="C55" s="1634" t="str">
        <f>'1C'!AB16&amp;" - "&amp;'1C'!$AF$3</f>
        <v>Inventories - Statutory</v>
      </c>
      <c r="D55" s="2" t="s">
        <v>8</v>
      </c>
      <c r="E55" s="2" t="s">
        <v>9</v>
      </c>
      <c r="F55" s="1634"/>
      <c r="G55" s="1635">
        <f>'1C'!G16</f>
        <v>18.065000000000001</v>
      </c>
      <c r="H55" s="1636"/>
    </row>
    <row r="56" spans="1:8">
      <c r="A56" s="1634" t="str">
        <f>INDEX(Lists!$C$4:$C$24,MATCH(Validation!$B$3,Lists!$B$4:$B$24,0))</f>
        <v>TMS</v>
      </c>
      <c r="B56" s="1634" t="str">
        <f>'1C'!AF17</f>
        <v>A11008STAT</v>
      </c>
      <c r="C56" s="1634" t="str">
        <f>'1C'!AB17&amp;" - "&amp;'1C'!$AF$3</f>
        <v>Trade &amp; other receivables - Statutory</v>
      </c>
      <c r="D56" s="2" t="s">
        <v>8</v>
      </c>
      <c r="E56" s="2" t="s">
        <v>9</v>
      </c>
      <c r="F56" s="1634"/>
      <c r="G56" s="1635">
        <f>'1C'!G17</f>
        <v>639.31500000000005</v>
      </c>
      <c r="H56" s="1636"/>
    </row>
    <row r="57" spans="1:8">
      <c r="A57" s="1634" t="str">
        <f>INDEX(Lists!$C$4:$C$24,MATCH(Validation!$B$3,Lists!$B$4:$B$24,0))</f>
        <v>TMS</v>
      </c>
      <c r="B57" s="1634" t="str">
        <f>'1C'!AF18</f>
        <v>A11009STAT</v>
      </c>
      <c r="C57" s="1634" t="str">
        <f>'1C'!AB18&amp;" - "&amp;'1C'!$AF$3</f>
        <v>Financial instruments - Statutory</v>
      </c>
      <c r="D57" s="2" t="s">
        <v>8</v>
      </c>
      <c r="E57" s="2" t="s">
        <v>9</v>
      </c>
      <c r="F57" s="1634"/>
      <c r="G57" s="1635">
        <f>'1C'!G18</f>
        <v>0</v>
      </c>
      <c r="H57" s="1636"/>
    </row>
    <row r="58" spans="1:8">
      <c r="A58" s="1634" t="str">
        <f>INDEX(Lists!$C$4:$C$24,MATCH(Validation!$B$3,Lists!$B$4:$B$24,0))</f>
        <v>TMS</v>
      </c>
      <c r="B58" s="1634" t="str">
        <f>'1C'!AF19</f>
        <v>A11010STAT</v>
      </c>
      <c r="C58" s="1634" t="str">
        <f>'1C'!AB19&amp;" - "&amp;'1C'!$AF$3</f>
        <v>Cash &amp; cash equivalents - Statutory</v>
      </c>
      <c r="D58" s="2" t="s">
        <v>8</v>
      </c>
      <c r="E58" s="2" t="s">
        <v>9</v>
      </c>
      <c r="F58" s="1634"/>
      <c r="G58" s="1635">
        <f>'1C'!G19</f>
        <v>107</v>
      </c>
      <c r="H58" s="1636"/>
    </row>
    <row r="59" spans="1:8">
      <c r="A59" s="1634" t="str">
        <f>INDEX(Lists!$C$4:$C$24,MATCH(Validation!$B$3,Lists!$B$4:$B$24,0))</f>
        <v>TMS</v>
      </c>
      <c r="B59" s="1634" t="str">
        <f>'1C'!AF23</f>
        <v>A11012STAT</v>
      </c>
      <c r="C59" s="1634" t="str">
        <f>'1C'!AB23&amp;" - "&amp;'1C'!$AF$3</f>
        <v>Trade &amp; other payables - Statutory</v>
      </c>
      <c r="D59" s="2" t="s">
        <v>8</v>
      </c>
      <c r="E59" s="2" t="s">
        <v>9</v>
      </c>
      <c r="F59" s="1634"/>
      <c r="G59" s="1635">
        <f>'1C'!G23</f>
        <v>-813.31299999999999</v>
      </c>
      <c r="H59" s="1636"/>
    </row>
    <row r="60" spans="1:8">
      <c r="A60" s="1634" t="str">
        <f>INDEX(Lists!$C$4:$C$24,MATCH(Validation!$B$3,Lists!$B$4:$B$24,0))</f>
        <v>TMS</v>
      </c>
      <c r="B60" s="1634" t="str">
        <f>'1C'!AF24</f>
        <v>A11013STAT</v>
      </c>
      <c r="C60" s="1634" t="str">
        <f>'1C'!AB24&amp;" - "&amp;'1C'!$AF$3</f>
        <v>Capex creditor - Statutory</v>
      </c>
      <c r="D60" s="2" t="s">
        <v>8</v>
      </c>
      <c r="E60" s="2" t="s">
        <v>9</v>
      </c>
      <c r="F60" s="1634"/>
      <c r="G60" s="1635">
        <f>'1C'!G24</f>
        <v>0</v>
      </c>
      <c r="H60" s="1636"/>
    </row>
    <row r="61" spans="1:8">
      <c r="A61" s="1634" t="str">
        <f>INDEX(Lists!$C$4:$C$24,MATCH(Validation!$B$3,Lists!$B$4:$B$24,0))</f>
        <v>TMS</v>
      </c>
      <c r="B61" s="1634" t="str">
        <f>'1C'!AF25</f>
        <v>BO4093STAT</v>
      </c>
      <c r="C61" s="1634" t="str">
        <f>'1C'!AB25&amp;" - "&amp;'1C'!$AF$3</f>
        <v>Borrowings - Statutory</v>
      </c>
      <c r="D61" s="2" t="s">
        <v>8</v>
      </c>
      <c r="E61" s="2" t="s">
        <v>9</v>
      </c>
      <c r="F61" s="1634"/>
      <c r="G61" s="1635">
        <f>'1C'!G25</f>
        <v>-320.19</v>
      </c>
      <c r="H61" s="1636"/>
    </row>
    <row r="62" spans="1:8">
      <c r="A62" s="1634" t="str">
        <f>INDEX(Lists!$C$4:$C$24,MATCH(Validation!$B$3,Lists!$B$4:$B$24,0))</f>
        <v>TMS</v>
      </c>
      <c r="B62" s="1634" t="str">
        <f>'1C'!AF26</f>
        <v>A11015STAT</v>
      </c>
      <c r="C62" s="1634" t="str">
        <f>'1C'!AB26&amp;" - "&amp;'1C'!$AF$3</f>
        <v>Financial instruments - Statutory</v>
      </c>
      <c r="D62" s="2" t="s">
        <v>8</v>
      </c>
      <c r="E62" s="2" t="s">
        <v>9</v>
      </c>
      <c r="F62" s="1634"/>
      <c r="G62" s="1635">
        <f>'1C'!G26</f>
        <v>-12.287000000000001</v>
      </c>
      <c r="H62" s="1636"/>
    </row>
    <row r="63" spans="1:8">
      <c r="A63" s="1634" t="str">
        <f>INDEX(Lists!$C$4:$C$24,MATCH(Validation!$B$3,Lists!$B$4:$B$24,0))</f>
        <v>TMS</v>
      </c>
      <c r="B63" s="1634" t="str">
        <f>'1C'!AF27</f>
        <v>A11016STAT</v>
      </c>
      <c r="C63" s="1634" t="str">
        <f>'1C'!AB27&amp;" - "&amp;'1C'!$AF$3</f>
        <v>Current tax liabilities - Statutory</v>
      </c>
      <c r="D63" s="2" t="s">
        <v>8</v>
      </c>
      <c r="E63" s="2" t="s">
        <v>9</v>
      </c>
      <c r="F63" s="1634"/>
      <c r="G63" s="1635">
        <f>'1C'!G27</f>
        <v>0</v>
      </c>
      <c r="H63" s="1636"/>
    </row>
    <row r="64" spans="1:8">
      <c r="A64" s="1634" t="str">
        <f>INDEX(Lists!$C$4:$C$24,MATCH(Validation!$B$3,Lists!$B$4:$B$24,0))</f>
        <v>TMS</v>
      </c>
      <c r="B64" s="1634" t="str">
        <f>'1C'!AF28</f>
        <v>A11017STAT</v>
      </c>
      <c r="C64" s="1634" t="str">
        <f>'1C'!AB28&amp;" - "&amp;'1C'!$AF$3</f>
        <v>Provisions - Statutory</v>
      </c>
      <c r="D64" s="2" t="s">
        <v>8</v>
      </c>
      <c r="E64" s="2" t="s">
        <v>9</v>
      </c>
      <c r="F64" s="1634"/>
      <c r="G64" s="1635">
        <f>'1C'!G28</f>
        <v>0</v>
      </c>
      <c r="H64" s="1636"/>
    </row>
    <row r="65" spans="1:8">
      <c r="A65" s="1634" t="str">
        <f>INDEX(Lists!$C$4:$C$24,MATCH(Validation!$B$3,Lists!$B$4:$B$24,0))</f>
        <v>TMS</v>
      </c>
      <c r="B65" s="1634" t="str">
        <f>'1C'!AF34</f>
        <v>A11020STAT</v>
      </c>
      <c r="C65" s="1634" t="str">
        <f>'1C'!AB34&amp;" - "&amp;'1C'!$AF$3</f>
        <v>Trade &amp; other payables - Statutory</v>
      </c>
      <c r="D65" s="2" t="s">
        <v>8</v>
      </c>
      <c r="E65" s="2" t="s">
        <v>9</v>
      </c>
      <c r="F65" s="1634"/>
      <c r="G65" s="1635">
        <f>'1C'!G34</f>
        <v>-445.88799999999998</v>
      </c>
      <c r="H65" s="1636"/>
    </row>
    <row r="66" spans="1:8">
      <c r="A66" s="1634" t="str">
        <f>INDEX(Lists!$C$4:$C$24,MATCH(Validation!$B$3,Lists!$B$4:$B$24,0))</f>
        <v>TMS</v>
      </c>
      <c r="B66" s="1634" t="str">
        <f>'1C'!AF35</f>
        <v>BO4051STAT</v>
      </c>
      <c r="C66" s="1634" t="str">
        <f>'1C'!AB35&amp;" - "&amp;'1C'!$AF$3</f>
        <v>Borrowings - Statutory</v>
      </c>
      <c r="D66" s="2" t="s">
        <v>8</v>
      </c>
      <c r="E66" s="2" t="s">
        <v>9</v>
      </c>
      <c r="F66" s="1634"/>
      <c r="G66" s="1635">
        <f>'1C'!G35</f>
        <v>-11123.040999999999</v>
      </c>
      <c r="H66" s="1636"/>
    </row>
    <row r="67" spans="1:8">
      <c r="A67" s="1634" t="str">
        <f>INDEX(Lists!$C$4:$C$24,MATCH(Validation!$B$3,Lists!$B$4:$B$24,0))</f>
        <v>TMS</v>
      </c>
      <c r="B67" s="1634" t="str">
        <f>'1C'!AF36</f>
        <v>A11022STAT</v>
      </c>
      <c r="C67" s="1634" t="str">
        <f>'1C'!AB36&amp;" - "&amp;'1C'!$AF$3</f>
        <v>Financial instruments - Statutory</v>
      </c>
      <c r="D67" s="2" t="s">
        <v>8</v>
      </c>
      <c r="E67" s="2" t="s">
        <v>9</v>
      </c>
      <c r="F67" s="1634"/>
      <c r="G67" s="1635">
        <f>'1C'!G36</f>
        <v>-809.14499999999998</v>
      </c>
      <c r="H67" s="1636"/>
    </row>
    <row r="68" spans="1:8">
      <c r="A68" s="1634" t="str">
        <f>INDEX(Lists!$C$4:$C$24,MATCH(Validation!$B$3,Lists!$B$4:$B$24,0))</f>
        <v>TMS</v>
      </c>
      <c r="B68" s="1634" t="str">
        <f>'1C'!AF37</f>
        <v>A11023STAT</v>
      </c>
      <c r="C68" s="1634" t="str">
        <f>'1C'!AB37&amp;" - "&amp;'1C'!$AF$3</f>
        <v>Retirement benefit obligations - Statutory</v>
      </c>
      <c r="D68" s="2" t="s">
        <v>8</v>
      </c>
      <c r="E68" s="2" t="s">
        <v>9</v>
      </c>
      <c r="F68" s="1634"/>
      <c r="G68" s="1635">
        <f>'1C'!G37</f>
        <v>-300.8</v>
      </c>
      <c r="H68" s="1636"/>
    </row>
    <row r="69" spans="1:8">
      <c r="A69" s="1634" t="str">
        <f>INDEX(Lists!$C$4:$C$24,MATCH(Validation!$B$3,Lists!$B$4:$B$24,0))</f>
        <v>TMS</v>
      </c>
      <c r="B69" s="1634" t="str">
        <f>'1C'!AF38</f>
        <v>A11024STAT</v>
      </c>
      <c r="C69" s="1634" t="str">
        <f>'1C'!AB38&amp;" - "&amp;'1C'!$AF$3</f>
        <v>Provisions - Statutory</v>
      </c>
      <c r="D69" s="2" t="s">
        <v>8</v>
      </c>
      <c r="E69" s="2" t="s">
        <v>9</v>
      </c>
      <c r="F69" s="1634"/>
      <c r="G69" s="1635">
        <f>'1C'!G38</f>
        <v>-111.31399999999999</v>
      </c>
      <c r="H69" s="1636"/>
    </row>
    <row r="70" spans="1:8">
      <c r="A70" s="1634" t="str">
        <f>INDEX(Lists!$C$4:$C$24,MATCH(Validation!$B$3,Lists!$B$4:$B$24,0))</f>
        <v>TMS</v>
      </c>
      <c r="B70" s="1634" t="str">
        <f>'1C'!AF39</f>
        <v>BO4065STATGC</v>
      </c>
      <c r="C70" s="1634" t="str">
        <f>'1C'!AB39&amp;" - "&amp;'1C'!$AF$3</f>
        <v>Deferred income - G&amp;C's - Statutory</v>
      </c>
      <c r="D70" s="2" t="s">
        <v>8</v>
      </c>
      <c r="E70" s="2" t="s">
        <v>9</v>
      </c>
      <c r="F70" s="1634"/>
      <c r="G70" s="1635">
        <f>'1C'!G39</f>
        <v>0</v>
      </c>
      <c r="H70" s="1636"/>
    </row>
    <row r="71" spans="1:8">
      <c r="A71" s="1634" t="str">
        <f>INDEX(Lists!$C$4:$C$24,MATCH(Validation!$B$3,Lists!$B$4:$B$24,0))</f>
        <v>TMS</v>
      </c>
      <c r="B71" s="1634" t="str">
        <f>'1C'!AF40</f>
        <v>BO4065STATAA</v>
      </c>
      <c r="C71" s="1634" t="str">
        <f>'1C'!AB40&amp;" - "&amp;'1C'!$AF$3</f>
        <v>Deferred income - adopted assets - Statutory</v>
      </c>
      <c r="D71" s="2" t="s">
        <v>8</v>
      </c>
      <c r="E71" s="2" t="s">
        <v>9</v>
      </c>
      <c r="F71" s="1634"/>
      <c r="G71" s="1635">
        <f>'1C'!G40</f>
        <v>0</v>
      </c>
      <c r="H71" s="1636"/>
    </row>
    <row r="72" spans="1:8">
      <c r="A72" s="1634" t="str">
        <f>INDEX(Lists!$C$4:$C$24,MATCH(Validation!$B$3,Lists!$B$4:$B$24,0))</f>
        <v>TMS</v>
      </c>
      <c r="B72" s="1634" t="str">
        <f>'1C'!AF41</f>
        <v>BB1300APSTAT</v>
      </c>
      <c r="C72" s="1634" t="str">
        <f>'1C'!AB41&amp;" - "&amp;'1C'!$AF$3</f>
        <v>Preference share capital - Statutory</v>
      </c>
      <c r="D72" s="2" t="s">
        <v>8</v>
      </c>
      <c r="E72" s="2" t="s">
        <v>9</v>
      </c>
      <c r="F72" s="1634"/>
      <c r="G72" s="1635">
        <f>'1C'!G41</f>
        <v>0</v>
      </c>
      <c r="H72" s="1636"/>
    </row>
    <row r="73" spans="1:8">
      <c r="A73" s="1634" t="str">
        <f>INDEX(Lists!$C$4:$C$24,MATCH(Validation!$B$3,Lists!$B$4:$B$24,0))</f>
        <v>TMS</v>
      </c>
      <c r="B73" s="1634" t="str">
        <f>'1C'!AF42</f>
        <v>BO4063STAT</v>
      </c>
      <c r="C73" s="1634" t="str">
        <f>'1C'!AB42&amp;" - "&amp;'1C'!$AF$3</f>
        <v>Deferred tax - Statutory</v>
      </c>
      <c r="D73" s="2" t="s">
        <v>8</v>
      </c>
      <c r="E73" s="2" t="s">
        <v>9</v>
      </c>
      <c r="F73" s="1634"/>
      <c r="G73" s="1635">
        <f>'1C'!G42</f>
        <v>-919.80200000000002</v>
      </c>
      <c r="H73" s="1636"/>
    </row>
    <row r="74" spans="1:8">
      <c r="A74" s="1634" t="str">
        <f>INDEX(Lists!$C$4:$C$24,MATCH(Validation!$B$3,Lists!$B$4:$B$24,0))</f>
        <v>TMS</v>
      </c>
      <c r="B74" s="1634" t="str">
        <f>'1C'!AF48</f>
        <v>BO4100STAT</v>
      </c>
      <c r="C74" s="1634" t="str">
        <f>'1C'!AB48&amp;" - "&amp;'1C'!$AF$3</f>
        <v>Called up share capital - Statutory</v>
      </c>
      <c r="D74" s="2" t="s">
        <v>8</v>
      </c>
      <c r="E74" s="2" t="s">
        <v>9</v>
      </c>
      <c r="F74" s="1634"/>
      <c r="G74" s="1635">
        <f>'1C'!G48</f>
        <v>29</v>
      </c>
      <c r="H74" s="1636"/>
    </row>
    <row r="75" spans="1:8">
      <c r="A75" s="1637" t="str">
        <f>INDEX(Lists!$C$4:$C$24,MATCH(Validation!$B$3,Lists!$B$4:$B$24,0))</f>
        <v>TMS</v>
      </c>
      <c r="B75" s="1637" t="str">
        <f>'1C'!AF49</f>
        <v>A11030STAT</v>
      </c>
      <c r="C75" s="1637" t="str">
        <f>'1C'!AB49&amp;" - "&amp;'1C'!$AF$3</f>
        <v>Retained earnings &amp; other reserves - Statutory</v>
      </c>
      <c r="D75" s="1651" t="s">
        <v>8</v>
      </c>
      <c r="E75" s="1651" t="s">
        <v>9</v>
      </c>
      <c r="F75" s="1637"/>
      <c r="G75" s="1653">
        <f>'1C'!G49</f>
        <v>3118.3389999999999</v>
      </c>
      <c r="H75" s="1652"/>
    </row>
    <row r="76" spans="1:8">
      <c r="A76" s="1634" t="str">
        <f>INDEX(Lists!$C$4:$C$24,MATCH(Validation!$B$3,Lists!$B$4:$B$24,0))</f>
        <v>TMS</v>
      </c>
      <c r="B76" s="1634" t="str">
        <f>'1C'!AG7</f>
        <v>BO4008DSR</v>
      </c>
      <c r="C76" s="1634" t="str">
        <f>'1C'!AB7&amp;" - "&amp;'1C'!$AG$4</f>
        <v>Fixed assets - Differences between statutory and RAG definitions</v>
      </c>
      <c r="D76" s="2" t="s">
        <v>8</v>
      </c>
      <c r="E76" s="2" t="s">
        <v>9</v>
      </c>
      <c r="F76" s="1634"/>
      <c r="G76" s="1635">
        <f>'1C'!H7</f>
        <v>-361.09300000000002</v>
      </c>
      <c r="H76" s="1636"/>
    </row>
    <row r="77" spans="1:8">
      <c r="A77" s="1634" t="str">
        <f>INDEX(Lists!$C$4:$C$24,MATCH(Validation!$B$3,Lists!$B$4:$B$24,0))</f>
        <v>TMS</v>
      </c>
      <c r="B77" s="1634" t="str">
        <f>'1C'!AG8</f>
        <v>A11002DSR</v>
      </c>
      <c r="C77" s="1634" t="str">
        <f>'1C'!AB8&amp;" - "&amp;'1C'!$AG$4</f>
        <v>Intangible assets - Differences between statutory and RAG definitions</v>
      </c>
      <c r="D77" s="2" t="s">
        <v>8</v>
      </c>
      <c r="E77" s="2" t="s">
        <v>9</v>
      </c>
      <c r="F77" s="1634"/>
      <c r="G77" s="1635">
        <f>'1C'!H8</f>
        <v>-6.4640000000000004</v>
      </c>
      <c r="H77" s="1636"/>
    </row>
    <row r="78" spans="1:8">
      <c r="A78" s="1634" t="str">
        <f>INDEX(Lists!$C$4:$C$24,MATCH(Validation!$B$3,Lists!$B$4:$B$24,0))</f>
        <v>TMS</v>
      </c>
      <c r="B78" s="1634" t="str">
        <f>'1C'!AG9</f>
        <v>FT01670DSR</v>
      </c>
      <c r="C78" s="1634" t="str">
        <f>'1C'!AB9&amp;" - "&amp;'1C'!$AG$4</f>
        <v>Investments - loans to group companies - Differences between statutory and RAG definitions</v>
      </c>
      <c r="D78" s="2" t="s">
        <v>8</v>
      </c>
      <c r="E78" s="2" t="s">
        <v>9</v>
      </c>
      <c r="F78" s="1634"/>
      <c r="G78" s="1635">
        <f>'1C'!H9</f>
        <v>0</v>
      </c>
      <c r="H78" s="1636"/>
    </row>
    <row r="79" spans="1:8">
      <c r="A79" s="1634" t="str">
        <f>INDEX(Lists!$C$4:$C$24,MATCH(Validation!$B$3,Lists!$B$4:$B$24,0))</f>
        <v>TMS</v>
      </c>
      <c r="B79" s="1634" t="str">
        <f>'1C'!AG10</f>
        <v>FT01680DSR</v>
      </c>
      <c r="C79" s="1634" t="str">
        <f>'1C'!AB10&amp;" - "&amp;'1C'!$AG$4</f>
        <v>Investments - other - Differences between statutory and RAG definitions</v>
      </c>
      <c r="D79" s="2" t="s">
        <v>8</v>
      </c>
      <c r="E79" s="2" t="s">
        <v>9</v>
      </c>
      <c r="F79" s="1634"/>
      <c r="G79" s="1635">
        <f>'1C'!H10</f>
        <v>0</v>
      </c>
      <c r="H79" s="1636"/>
    </row>
    <row r="80" spans="1:8">
      <c r="A80" s="1634" t="str">
        <f>INDEX(Lists!$C$4:$C$24,MATCH(Validation!$B$3,Lists!$B$4:$B$24,0))</f>
        <v>TMS</v>
      </c>
      <c r="B80" s="1634" t="str">
        <f>'1C'!AG11</f>
        <v>A11005DSR</v>
      </c>
      <c r="C80" s="1634" t="str">
        <f>'1C'!AB11&amp;" - "&amp;'1C'!$AG$4</f>
        <v>Financial instruments - Differences between statutory and RAG definitions</v>
      </c>
      <c r="D80" s="2" t="s">
        <v>8</v>
      </c>
      <c r="E80" s="2" t="s">
        <v>9</v>
      </c>
      <c r="F80" s="1634"/>
      <c r="G80" s="1635">
        <f>'1C'!H11</f>
        <v>0</v>
      </c>
      <c r="H80" s="1636"/>
    </row>
    <row r="81" spans="1:8">
      <c r="A81" s="1634" t="str">
        <f>INDEX(Lists!$C$4:$C$24,MATCH(Validation!$B$3,Lists!$B$4:$B$24,0))</f>
        <v>TMS</v>
      </c>
      <c r="B81" s="1634" t="str">
        <f>'1C'!AG12</f>
        <v>FT01751DSR</v>
      </c>
      <c r="C81" s="1634" t="str">
        <f>'1C'!AB12&amp;" - "&amp;'1C'!$AG$4</f>
        <v>Retirement benefit assets - Differences between statutory and RAG definitions</v>
      </c>
      <c r="D81" s="2" t="s">
        <v>8</v>
      </c>
      <c r="E81" s="2" t="s">
        <v>9</v>
      </c>
      <c r="F81" s="1634"/>
      <c r="G81" s="1635">
        <f>'1C'!H12</f>
        <v>0</v>
      </c>
      <c r="H81" s="1636"/>
    </row>
    <row r="82" spans="1:8">
      <c r="A82" s="1634" t="str">
        <f>INDEX(Lists!$C$4:$C$24,MATCH(Validation!$B$3,Lists!$B$4:$B$24,0))</f>
        <v>TMS</v>
      </c>
      <c r="B82" s="1634" t="str">
        <f>'1C'!AG16</f>
        <v>BO4084DSR</v>
      </c>
      <c r="C82" s="1634" t="str">
        <f>'1C'!AB16&amp;" - "&amp;'1C'!$AG$4</f>
        <v>Inventories - Differences between statutory and RAG definitions</v>
      </c>
      <c r="D82" s="2" t="s">
        <v>8</v>
      </c>
      <c r="E82" s="2" t="s">
        <v>9</v>
      </c>
      <c r="F82" s="1634"/>
      <c r="G82" s="1635">
        <f>'1C'!H16</f>
        <v>0</v>
      </c>
      <c r="H82" s="1636"/>
    </row>
    <row r="83" spans="1:8">
      <c r="A83" s="1634" t="str">
        <f>INDEX(Lists!$C$4:$C$24,MATCH(Validation!$B$3,Lists!$B$4:$B$24,0))</f>
        <v>TMS</v>
      </c>
      <c r="B83" s="1634" t="str">
        <f>'1C'!AG17</f>
        <v>A11008DSR</v>
      </c>
      <c r="C83" s="1634" t="str">
        <f>'1C'!AB17&amp;" - "&amp;'1C'!$AG$4</f>
        <v>Trade &amp; other receivables - Differences between statutory and RAG definitions</v>
      </c>
      <c r="D83" s="2" t="s">
        <v>8</v>
      </c>
      <c r="E83" s="2" t="s">
        <v>9</v>
      </c>
      <c r="F83" s="1634"/>
      <c r="G83" s="1635">
        <f>'1C'!H17</f>
        <v>0</v>
      </c>
      <c r="H83" s="1636"/>
    </row>
    <row r="84" spans="1:8">
      <c r="A84" s="1634" t="str">
        <f>INDEX(Lists!$C$4:$C$24,MATCH(Validation!$B$3,Lists!$B$4:$B$24,0))</f>
        <v>TMS</v>
      </c>
      <c r="B84" s="1634" t="str">
        <f>'1C'!AG18</f>
        <v>A11009DSR</v>
      </c>
      <c r="C84" s="1634" t="str">
        <f>'1C'!AB18&amp;" - "&amp;'1C'!$AG$4</f>
        <v>Financial instruments - Differences between statutory and RAG definitions</v>
      </c>
      <c r="D84" s="2" t="s">
        <v>8</v>
      </c>
      <c r="E84" s="2" t="s">
        <v>9</v>
      </c>
      <c r="F84" s="1634"/>
      <c r="G84" s="1635">
        <f>'1C'!H18</f>
        <v>0</v>
      </c>
      <c r="H84" s="1636"/>
    </row>
    <row r="85" spans="1:8">
      <c r="A85" s="1634" t="str">
        <f>INDEX(Lists!$C$4:$C$24,MATCH(Validation!$B$3,Lists!$B$4:$B$24,0))</f>
        <v>TMS</v>
      </c>
      <c r="B85" s="1634" t="str">
        <f>'1C'!AG19</f>
        <v>A11010DSR</v>
      </c>
      <c r="C85" s="1634" t="str">
        <f>'1C'!AB19&amp;" - "&amp;'1C'!$AG$4</f>
        <v>Cash &amp; cash equivalents - Differences between statutory and RAG definitions</v>
      </c>
      <c r="D85" s="2" t="s">
        <v>8</v>
      </c>
      <c r="E85" s="2" t="s">
        <v>9</v>
      </c>
      <c r="F85" s="1634"/>
      <c r="G85" s="1635">
        <f>'1C'!H19</f>
        <v>0</v>
      </c>
      <c r="H85" s="1636"/>
    </row>
    <row r="86" spans="1:8">
      <c r="A86" s="1634" t="str">
        <f>INDEX(Lists!$C$4:$C$24,MATCH(Validation!$B$3,Lists!$B$4:$B$24,0))</f>
        <v>TMS</v>
      </c>
      <c r="B86" s="1634" t="str">
        <f>'1C'!AG23</f>
        <v>A11012DSR</v>
      </c>
      <c r="C86" s="1634" t="str">
        <f>'1C'!AB23&amp;" - "&amp;'1C'!$AG$4</f>
        <v>Trade &amp; other payables - Differences between statutory and RAG definitions</v>
      </c>
      <c r="D86" s="2" t="s">
        <v>8</v>
      </c>
      <c r="E86" s="2" t="s">
        <v>9</v>
      </c>
      <c r="F86" s="1634"/>
      <c r="G86" s="1635">
        <f>'1C'!H23</f>
        <v>-52.808999999999997</v>
      </c>
      <c r="H86" s="1636"/>
    </row>
    <row r="87" spans="1:8">
      <c r="A87" s="1634" t="str">
        <f>INDEX(Lists!$C$4:$C$24,MATCH(Validation!$B$3,Lists!$B$4:$B$24,0))</f>
        <v>TMS</v>
      </c>
      <c r="B87" s="1634" t="str">
        <f>'1C'!AG24</f>
        <v>A11013DSR</v>
      </c>
      <c r="C87" s="1634" t="str">
        <f>'1C'!AB24&amp;" - "&amp;'1C'!$AG$4</f>
        <v>Capex creditor - Differences between statutory and RAG definitions</v>
      </c>
      <c r="D87" s="2" t="s">
        <v>8</v>
      </c>
      <c r="E87" s="2" t="s">
        <v>9</v>
      </c>
      <c r="F87" s="1634"/>
      <c r="G87" s="1635">
        <f>'1C'!H24</f>
        <v>-141.072</v>
      </c>
      <c r="H87" s="1636"/>
    </row>
    <row r="88" spans="1:8">
      <c r="A88" s="1634" t="str">
        <f>INDEX(Lists!$C$4:$C$24,MATCH(Validation!$B$3,Lists!$B$4:$B$24,0))</f>
        <v>TMS</v>
      </c>
      <c r="B88" s="1634" t="str">
        <f>'1C'!AG25</f>
        <v>BO4093DSR</v>
      </c>
      <c r="C88" s="1634" t="str">
        <f>'1C'!AB25&amp;" - "&amp;'1C'!$AG$4</f>
        <v>Borrowings - Differences between statutory and RAG definitions</v>
      </c>
      <c r="D88" s="2" t="s">
        <v>8</v>
      </c>
      <c r="E88" s="2" t="s">
        <v>9</v>
      </c>
      <c r="F88" s="1634"/>
      <c r="G88" s="1635">
        <f>'1C'!H25</f>
        <v>196.429</v>
      </c>
      <c r="H88" s="1636"/>
    </row>
    <row r="89" spans="1:8">
      <c r="A89" s="1634" t="str">
        <f>INDEX(Lists!$C$4:$C$24,MATCH(Validation!$B$3,Lists!$B$4:$B$24,0))</f>
        <v>TMS</v>
      </c>
      <c r="B89" s="1634" t="str">
        <f>'1C'!AG26</f>
        <v>A11015DSR</v>
      </c>
      <c r="C89" s="1634" t="str">
        <f>'1C'!AB26&amp;" - "&amp;'1C'!$AG$4</f>
        <v>Financial instruments - Differences between statutory and RAG definitions</v>
      </c>
      <c r="D89" s="2" t="s">
        <v>8</v>
      </c>
      <c r="E89" s="2" t="s">
        <v>9</v>
      </c>
      <c r="F89" s="1634"/>
      <c r="G89" s="1635">
        <f>'1C'!H26</f>
        <v>12.287000000000001</v>
      </c>
      <c r="H89" s="1636"/>
    </row>
    <row r="90" spans="1:8">
      <c r="A90" s="1634" t="str">
        <f>INDEX(Lists!$C$4:$C$24,MATCH(Validation!$B$3,Lists!$B$4:$B$24,0))</f>
        <v>TMS</v>
      </c>
      <c r="B90" s="1634" t="str">
        <f>'1C'!AG27</f>
        <v>A11016DSR</v>
      </c>
      <c r="C90" s="1634" t="str">
        <f>'1C'!AB27&amp;" - "&amp;'1C'!$AG$4</f>
        <v>Current tax liabilities - Differences between statutory and RAG definitions</v>
      </c>
      <c r="D90" s="2" t="s">
        <v>8</v>
      </c>
      <c r="E90" s="2" t="s">
        <v>9</v>
      </c>
      <c r="F90" s="1634"/>
      <c r="G90" s="1635">
        <f>'1C'!H27</f>
        <v>0</v>
      </c>
      <c r="H90" s="1636"/>
    </row>
    <row r="91" spans="1:8">
      <c r="A91" s="1634" t="str">
        <f>INDEX(Lists!$C$4:$C$24,MATCH(Validation!$B$3,Lists!$B$4:$B$24,0))</f>
        <v>TMS</v>
      </c>
      <c r="B91" s="1634" t="str">
        <f>'1C'!AG28</f>
        <v>A11017DSR</v>
      </c>
      <c r="C91" s="1634" t="str">
        <f>'1C'!AB28&amp;" - "&amp;'1C'!$AG$4</f>
        <v>Provisions - Differences between statutory and RAG definitions</v>
      </c>
      <c r="D91" s="2" t="s">
        <v>8</v>
      </c>
      <c r="E91" s="2" t="s">
        <v>9</v>
      </c>
      <c r="F91" s="1634"/>
      <c r="G91" s="1635">
        <f>'1C'!H28</f>
        <v>-16.574999999999999</v>
      </c>
      <c r="H91" s="1636"/>
    </row>
    <row r="92" spans="1:8">
      <c r="A92" s="1634" t="str">
        <f>INDEX(Lists!$C$4:$C$24,MATCH(Validation!$B$3,Lists!$B$4:$B$24,0))</f>
        <v>TMS</v>
      </c>
      <c r="B92" s="1634" t="str">
        <f>'1C'!AG34</f>
        <v>A11020DSR</v>
      </c>
      <c r="C92" s="1634" t="str">
        <f>'1C'!AB34&amp;" - "&amp;'1C'!$AG$4</f>
        <v>Trade &amp; other payables - Differences between statutory and RAG definitions</v>
      </c>
      <c r="D92" s="2" t="s">
        <v>8</v>
      </c>
      <c r="E92" s="2" t="s">
        <v>9</v>
      </c>
      <c r="F92" s="1634"/>
      <c r="G92" s="1635">
        <f>'1C'!H34</f>
        <v>444.09499999999997</v>
      </c>
      <c r="H92" s="1636"/>
    </row>
    <row r="93" spans="1:8">
      <c r="A93" s="1634" t="str">
        <f>INDEX(Lists!$C$4:$C$24,MATCH(Validation!$B$3,Lists!$B$4:$B$24,0))</f>
        <v>TMS</v>
      </c>
      <c r="B93" s="1634" t="str">
        <f>'1C'!AG35</f>
        <v>BO4051DSR</v>
      </c>
      <c r="C93" s="1634" t="str">
        <f>'1C'!AB35&amp;" - "&amp;'1C'!$AG$4</f>
        <v>Borrowings - Differences between statutory and RAG definitions</v>
      </c>
      <c r="D93" s="2" t="s">
        <v>8</v>
      </c>
      <c r="E93" s="2" t="s">
        <v>9</v>
      </c>
      <c r="F93" s="1634"/>
      <c r="G93" s="1635">
        <f>'1C'!H35</f>
        <v>-222.64699999999999</v>
      </c>
      <c r="H93" s="1636"/>
    </row>
    <row r="94" spans="1:8">
      <c r="A94" s="1634" t="str">
        <f>INDEX(Lists!$C$4:$C$24,MATCH(Validation!$B$3,Lists!$B$4:$B$24,0))</f>
        <v>TMS</v>
      </c>
      <c r="B94" s="1634" t="str">
        <f>'1C'!AG36</f>
        <v>A11022DSR</v>
      </c>
      <c r="C94" s="1634" t="str">
        <f>'1C'!AB36&amp;" - "&amp;'1C'!$AG$4</f>
        <v>Financial instruments - Differences between statutory and RAG definitions</v>
      </c>
      <c r="D94" s="2" t="s">
        <v>8</v>
      </c>
      <c r="E94" s="2" t="s">
        <v>9</v>
      </c>
      <c r="F94" s="1634"/>
      <c r="G94" s="1635">
        <f>'1C'!H36</f>
        <v>204.80799999999999</v>
      </c>
      <c r="H94" s="1636"/>
    </row>
    <row r="95" spans="1:8">
      <c r="A95" s="1634" t="str">
        <f>INDEX(Lists!$C$4:$C$24,MATCH(Validation!$B$3,Lists!$B$4:$B$24,0))</f>
        <v>TMS</v>
      </c>
      <c r="B95" s="1634" t="str">
        <f>'1C'!AG37</f>
        <v>A11023DSR</v>
      </c>
      <c r="C95" s="1634" t="str">
        <f>'1C'!AB37&amp;" - "&amp;'1C'!$AG$4</f>
        <v>Retirement benefit obligations - Differences between statutory and RAG definitions</v>
      </c>
      <c r="D95" s="2" t="s">
        <v>8</v>
      </c>
      <c r="E95" s="2" t="s">
        <v>9</v>
      </c>
      <c r="F95" s="1634"/>
      <c r="G95" s="1635">
        <f>'1C'!H37</f>
        <v>0</v>
      </c>
      <c r="H95" s="1636"/>
    </row>
    <row r="96" spans="1:8">
      <c r="A96" s="1634" t="str">
        <f>INDEX(Lists!$C$4:$C$24,MATCH(Validation!$B$3,Lists!$B$4:$B$24,0))</f>
        <v>TMS</v>
      </c>
      <c r="B96" s="1634" t="str">
        <f>'1C'!AG38</f>
        <v>A11024DSR</v>
      </c>
      <c r="C96" s="1634" t="str">
        <f>'1C'!AB38&amp;" - "&amp;'1C'!$AG$4</f>
        <v>Provisions - Differences between statutory and RAG definitions</v>
      </c>
      <c r="D96" s="2" t="s">
        <v>8</v>
      </c>
      <c r="E96" s="2" t="s">
        <v>9</v>
      </c>
      <c r="F96" s="1634"/>
      <c r="G96" s="1635">
        <f>'1C'!H38</f>
        <v>0</v>
      </c>
      <c r="H96" s="1636"/>
    </row>
    <row r="97" spans="1:8">
      <c r="A97" s="1634" t="str">
        <f>INDEX(Lists!$C$4:$C$24,MATCH(Validation!$B$3,Lists!$B$4:$B$24,0))</f>
        <v>TMS</v>
      </c>
      <c r="B97" s="1634" t="str">
        <f>'1C'!AG39</f>
        <v>BO4065DSRGC</v>
      </c>
      <c r="C97" s="1634" t="str">
        <f>'1C'!AB39&amp;" - "&amp;'1C'!$AG$4</f>
        <v>Deferred income - G&amp;C's - Differences between statutory and RAG definitions</v>
      </c>
      <c r="D97" s="2" t="s">
        <v>8</v>
      </c>
      <c r="E97" s="2" t="s">
        <v>9</v>
      </c>
      <c r="F97" s="1634"/>
      <c r="G97" s="1635">
        <f>'1C'!H39</f>
        <v>-337.18700000000001</v>
      </c>
      <c r="H97" s="1636"/>
    </row>
    <row r="98" spans="1:8">
      <c r="A98" s="1634" t="str">
        <f>INDEX(Lists!$C$4:$C$24,MATCH(Validation!$B$3,Lists!$B$4:$B$24,0))</f>
        <v>TMS</v>
      </c>
      <c r="B98" s="1634" t="str">
        <f>'1C'!AG40</f>
        <v>BO4065DSRAA</v>
      </c>
      <c r="C98" s="1634" t="str">
        <f>'1C'!AB40&amp;" - "&amp;'1C'!$AG$4</f>
        <v>Deferred income - adopted assets - Differences between statutory and RAG definitions</v>
      </c>
      <c r="D98" s="2" t="s">
        <v>8</v>
      </c>
      <c r="E98" s="2" t="s">
        <v>9</v>
      </c>
      <c r="F98" s="1634"/>
      <c r="G98" s="1635">
        <f>'1C'!H40</f>
        <v>-89.069000000000003</v>
      </c>
      <c r="H98" s="1636"/>
    </row>
    <row r="99" spans="1:8">
      <c r="A99" s="1634" t="str">
        <f>INDEX(Lists!$C$4:$C$24,MATCH(Validation!$B$3,Lists!$B$4:$B$24,0))</f>
        <v>TMS</v>
      </c>
      <c r="B99" s="1634" t="str">
        <f>'1C'!AG41</f>
        <v>BB1300APDSR</v>
      </c>
      <c r="C99" s="1634" t="str">
        <f>'1C'!AB41&amp;" - "&amp;'1C'!$AG$4</f>
        <v>Preference share capital - Differences between statutory and RAG definitions</v>
      </c>
      <c r="D99" s="2" t="s">
        <v>8</v>
      </c>
      <c r="E99" s="2" t="s">
        <v>9</v>
      </c>
      <c r="F99" s="1634"/>
      <c r="G99" s="1635">
        <f>'1C'!H41</f>
        <v>0</v>
      </c>
      <c r="H99" s="1636"/>
    </row>
    <row r="100" spans="1:8">
      <c r="A100" s="1634" t="str">
        <f>INDEX(Lists!$C$4:$C$24,MATCH(Validation!$B$3,Lists!$B$4:$B$24,0))</f>
        <v>TMS</v>
      </c>
      <c r="B100" s="1634" t="str">
        <f>'1C'!AG42</f>
        <v>BO4063DSR</v>
      </c>
      <c r="C100" s="1634" t="str">
        <f>'1C'!AB42&amp;" - "&amp;'1C'!$AG$4</f>
        <v>Deferred tax - Differences between statutory and RAG definitions</v>
      </c>
      <c r="D100" s="2" t="s">
        <v>8</v>
      </c>
      <c r="E100" s="2" t="s">
        <v>9</v>
      </c>
      <c r="F100" s="1634"/>
      <c r="G100" s="1635">
        <f>'1C'!H42</f>
        <v>0</v>
      </c>
      <c r="H100" s="1636"/>
    </row>
    <row r="101" spans="1:8">
      <c r="A101" s="1634" t="str">
        <f>INDEX(Lists!$C$4:$C$24,MATCH(Validation!$B$3,Lists!$B$4:$B$24,0))</f>
        <v>TMS</v>
      </c>
      <c r="B101" s="1634" t="str">
        <f>'1C'!AG48</f>
        <v>BO4100DSR</v>
      </c>
      <c r="C101" s="1634" t="str">
        <f>'1C'!AB48&amp;" - "&amp;'1C'!$AG$4</f>
        <v>Called up share capital - Differences between statutory and RAG definitions</v>
      </c>
      <c r="D101" s="2" t="s">
        <v>8</v>
      </c>
      <c r="E101" s="2" t="s">
        <v>9</v>
      </c>
      <c r="F101" s="1634"/>
      <c r="G101" s="1635">
        <f>'1C'!H48</f>
        <v>0</v>
      </c>
      <c r="H101" s="1636"/>
    </row>
    <row r="102" spans="1:8">
      <c r="A102" s="1637" t="str">
        <f>INDEX(Lists!$C$4:$C$24,MATCH(Validation!$B$3,Lists!$B$4:$B$24,0))</f>
        <v>TMS</v>
      </c>
      <c r="B102" s="1637" t="str">
        <f>'1C'!AG49</f>
        <v>A11030DSR</v>
      </c>
      <c r="C102" s="1637" t="str">
        <f>'1C'!AB49&amp;" - "&amp;'1C'!$AG$4</f>
        <v>Retained earnings &amp; other reserves - Differences between statutory and RAG definitions</v>
      </c>
      <c r="D102" s="1651" t="s">
        <v>8</v>
      </c>
      <c r="E102" s="1651" t="s">
        <v>9</v>
      </c>
      <c r="F102" s="1637"/>
      <c r="G102" s="1653">
        <f>'1C'!H49</f>
        <v>-369.29700000000003</v>
      </c>
      <c r="H102" s="1652"/>
    </row>
    <row r="103" spans="1:8">
      <c r="A103" s="1634" t="str">
        <f>INDEX(Lists!$C$4:$C$24,MATCH(Validation!$B$3,Lists!$B$4:$B$24,0))</f>
        <v>TMS</v>
      </c>
      <c r="B103" s="1634" t="str">
        <f>'1C'!AH7</f>
        <v>BO4008NA</v>
      </c>
      <c r="C103" s="1634" t="str">
        <f>'1C'!AB7&amp;" - "&amp;'1C'!$AH$4</f>
        <v>Fixed assets - Non-appointed</v>
      </c>
      <c r="D103" s="2" t="s">
        <v>8</v>
      </c>
      <c r="E103" s="2" t="s">
        <v>9</v>
      </c>
      <c r="F103" s="1634"/>
      <c r="G103" s="1635">
        <f>'1C'!I7</f>
        <v>0.97599999999999998</v>
      </c>
      <c r="H103" s="1636"/>
    </row>
    <row r="104" spans="1:8">
      <c r="A104" s="1634" t="str">
        <f>INDEX(Lists!$C$4:$C$24,MATCH(Validation!$B$3,Lists!$B$4:$B$24,0))</f>
        <v>TMS</v>
      </c>
      <c r="B104" s="1634" t="str">
        <f>'1C'!AH8</f>
        <v>A11002NA</v>
      </c>
      <c r="C104" s="1634" t="str">
        <f>'1C'!AB8&amp;" - "&amp;'1C'!$AH$4</f>
        <v>Intangible assets - Non-appointed</v>
      </c>
      <c r="D104" s="2" t="s">
        <v>8</v>
      </c>
      <c r="E104" s="2" t="s">
        <v>9</v>
      </c>
      <c r="F104" s="1634"/>
      <c r="G104" s="1635">
        <f>'1C'!I8</f>
        <v>0</v>
      </c>
      <c r="H104" s="1636"/>
    </row>
    <row r="105" spans="1:8">
      <c r="A105" s="1634" t="str">
        <f>INDEX(Lists!$C$4:$C$24,MATCH(Validation!$B$3,Lists!$B$4:$B$24,0))</f>
        <v>TMS</v>
      </c>
      <c r="B105" s="1634" t="str">
        <f>'1C'!AH9</f>
        <v>FT01670NA</v>
      </c>
      <c r="C105" s="1634" t="str">
        <f>'1C'!AB9&amp;" - "&amp;'1C'!$AH$4</f>
        <v>Investments - loans to group companies - Non-appointed</v>
      </c>
      <c r="D105" s="2" t="s">
        <v>8</v>
      </c>
      <c r="E105" s="2" t="s">
        <v>9</v>
      </c>
      <c r="F105" s="1634"/>
      <c r="G105" s="1635">
        <f>'1C'!I9</f>
        <v>0</v>
      </c>
      <c r="H105" s="1636"/>
    </row>
    <row r="106" spans="1:8">
      <c r="A106" s="1634" t="str">
        <f>INDEX(Lists!$C$4:$C$24,MATCH(Validation!$B$3,Lists!$B$4:$B$24,0))</f>
        <v>TMS</v>
      </c>
      <c r="B106" s="1634" t="str">
        <f>'1C'!AH10</f>
        <v>FT01680NA</v>
      </c>
      <c r="C106" s="1634" t="str">
        <f>'1C'!AB10&amp;" - "&amp;'1C'!$AH$4</f>
        <v>Investments - other - Non-appointed</v>
      </c>
      <c r="D106" s="2" t="s">
        <v>8</v>
      </c>
      <c r="E106" s="2" t="s">
        <v>9</v>
      </c>
      <c r="F106" s="1634"/>
      <c r="G106" s="1635">
        <f>'1C'!I10</f>
        <v>56.716999999999999</v>
      </c>
      <c r="H106" s="1636"/>
    </row>
    <row r="107" spans="1:8">
      <c r="A107" s="1634" t="str">
        <f>INDEX(Lists!$C$4:$C$24,MATCH(Validation!$B$3,Lists!$B$4:$B$24,0))</f>
        <v>TMS</v>
      </c>
      <c r="B107" s="1634" t="str">
        <f>'1C'!AH11</f>
        <v>A11005NA</v>
      </c>
      <c r="C107" s="1634" t="str">
        <f>'1C'!AB11&amp;" - "&amp;'1C'!$AH$4</f>
        <v>Financial instruments - Non-appointed</v>
      </c>
      <c r="D107" s="2" t="s">
        <v>8</v>
      </c>
      <c r="E107" s="2" t="s">
        <v>9</v>
      </c>
      <c r="F107" s="1634"/>
      <c r="G107" s="1635">
        <f>'1C'!I11</f>
        <v>0</v>
      </c>
      <c r="H107" s="1636"/>
    </row>
    <row r="108" spans="1:8">
      <c r="A108" s="1634" t="str">
        <f>INDEX(Lists!$C$4:$C$24,MATCH(Validation!$B$3,Lists!$B$4:$B$24,0))</f>
        <v>TMS</v>
      </c>
      <c r="B108" s="1634" t="str">
        <f>'1C'!AH12</f>
        <v>FT01751NA</v>
      </c>
      <c r="C108" s="1634" t="str">
        <f>'1C'!AB12&amp;" - "&amp;'1C'!$AH$4</f>
        <v>Retirement benefit assets - Non-appointed</v>
      </c>
      <c r="D108" s="2" t="s">
        <v>8</v>
      </c>
      <c r="E108" s="2" t="s">
        <v>9</v>
      </c>
      <c r="F108" s="1634"/>
      <c r="G108" s="1635">
        <f>'1C'!I12</f>
        <v>0</v>
      </c>
      <c r="H108" s="1636"/>
    </row>
    <row r="109" spans="1:8">
      <c r="A109" s="1634" t="str">
        <f>INDEX(Lists!$C$4:$C$24,MATCH(Validation!$B$3,Lists!$B$4:$B$24,0))</f>
        <v>TMS</v>
      </c>
      <c r="B109" s="1634" t="str">
        <f>'1C'!AH16</f>
        <v>BO4084NA</v>
      </c>
      <c r="C109" s="1634" t="str">
        <f>'1C'!AB16&amp;" - "&amp;'1C'!$AH$4</f>
        <v>Inventories - Non-appointed</v>
      </c>
      <c r="D109" s="2" t="s">
        <v>8</v>
      </c>
      <c r="E109" s="2" t="s">
        <v>9</v>
      </c>
      <c r="F109" s="1634"/>
      <c r="G109" s="1635">
        <f>'1C'!I16</f>
        <v>0</v>
      </c>
      <c r="H109" s="1636"/>
    </row>
    <row r="110" spans="1:8">
      <c r="A110" s="1634" t="str">
        <f>INDEX(Lists!$C$4:$C$24,MATCH(Validation!$B$3,Lists!$B$4:$B$24,0))</f>
        <v>TMS</v>
      </c>
      <c r="B110" s="1634" t="str">
        <f>'1C'!AH17</f>
        <v>A11008NA</v>
      </c>
      <c r="C110" s="1634" t="str">
        <f>'1C'!AB17&amp;" - "&amp;'1C'!$AH$4</f>
        <v>Trade &amp; other receivables - Non-appointed</v>
      </c>
      <c r="D110" s="2" t="s">
        <v>8</v>
      </c>
      <c r="E110" s="2" t="s">
        <v>9</v>
      </c>
      <c r="F110" s="1634"/>
      <c r="G110" s="1635">
        <f>'1C'!I17</f>
        <v>6.2990000000000004</v>
      </c>
      <c r="H110" s="1636"/>
    </row>
    <row r="111" spans="1:8">
      <c r="A111" s="1634" t="str">
        <f>INDEX(Lists!$C$4:$C$24,MATCH(Validation!$B$3,Lists!$B$4:$B$24,0))</f>
        <v>TMS</v>
      </c>
      <c r="B111" s="1634" t="str">
        <f>'1C'!AH18</f>
        <v>A11009NA</v>
      </c>
      <c r="C111" s="1634" t="str">
        <f>'1C'!AB18&amp;" - "&amp;'1C'!$AH$4</f>
        <v>Financial instruments - Non-appointed</v>
      </c>
      <c r="D111" s="2" t="s">
        <v>8</v>
      </c>
      <c r="E111" s="2" t="s">
        <v>9</v>
      </c>
      <c r="F111" s="1634"/>
      <c r="G111" s="1635">
        <f>'1C'!I18</f>
        <v>0</v>
      </c>
      <c r="H111" s="1636"/>
    </row>
    <row r="112" spans="1:8">
      <c r="A112" s="1634" t="str">
        <f>INDEX(Lists!$C$4:$C$24,MATCH(Validation!$B$3,Lists!$B$4:$B$24,0))</f>
        <v>TMS</v>
      </c>
      <c r="B112" s="1634" t="str">
        <f>'1C'!AH19</f>
        <v>A11010NA</v>
      </c>
      <c r="C112" s="1634" t="str">
        <f>'1C'!AB19&amp;" - "&amp;'1C'!$AH$4</f>
        <v>Cash &amp; cash equivalents - Non-appointed</v>
      </c>
      <c r="D112" s="2" t="s">
        <v>8</v>
      </c>
      <c r="E112" s="2" t="s">
        <v>9</v>
      </c>
      <c r="F112" s="1634"/>
      <c r="G112" s="1635">
        <f>'1C'!I19</f>
        <v>2.6</v>
      </c>
      <c r="H112" s="1636"/>
    </row>
    <row r="113" spans="1:8">
      <c r="A113" s="1634" t="str">
        <f>INDEX(Lists!$C$4:$C$24,MATCH(Validation!$B$3,Lists!$B$4:$B$24,0))</f>
        <v>TMS</v>
      </c>
      <c r="B113" s="1634" t="str">
        <f>'1C'!AH23</f>
        <v>A11012NA</v>
      </c>
      <c r="C113" s="1634" t="str">
        <f>'1C'!AB23&amp;" - "&amp;'1C'!$AH$4</f>
        <v>Trade &amp; other payables - Non-appointed</v>
      </c>
      <c r="D113" s="2" t="s">
        <v>8</v>
      </c>
      <c r="E113" s="2" t="s">
        <v>9</v>
      </c>
      <c r="F113" s="1634"/>
      <c r="G113" s="1635">
        <f>'1C'!I23</f>
        <v>-11.05</v>
      </c>
      <c r="H113" s="1636"/>
    </row>
    <row r="114" spans="1:8">
      <c r="A114" s="1634" t="str">
        <f>INDEX(Lists!$C$4:$C$24,MATCH(Validation!$B$3,Lists!$B$4:$B$24,0))</f>
        <v>TMS</v>
      </c>
      <c r="B114" s="1634" t="str">
        <f>'1C'!AH24</f>
        <v>A11013NA</v>
      </c>
      <c r="C114" s="1634" t="str">
        <f>'1C'!AB24&amp;" - "&amp;'1C'!$AH$4</f>
        <v>Capex creditor - Non-appointed</v>
      </c>
      <c r="D114" s="2" t="s">
        <v>8</v>
      </c>
      <c r="E114" s="2" t="s">
        <v>9</v>
      </c>
      <c r="F114" s="1634"/>
      <c r="G114" s="1635">
        <f>'1C'!I24</f>
        <v>0</v>
      </c>
      <c r="H114" s="1636"/>
    </row>
    <row r="115" spans="1:8">
      <c r="A115" s="1634" t="str">
        <f>INDEX(Lists!$C$4:$C$24,MATCH(Validation!$B$3,Lists!$B$4:$B$24,0))</f>
        <v>TMS</v>
      </c>
      <c r="B115" s="1634" t="str">
        <f>'1C'!AH25</f>
        <v>BO4093NA</v>
      </c>
      <c r="C115" s="1634" t="str">
        <f>'1C'!AB25&amp;" - "&amp;'1C'!$AH$4</f>
        <v>Borrowings - Non-appointed</v>
      </c>
      <c r="D115" s="2" t="s">
        <v>8</v>
      </c>
      <c r="E115" s="2" t="s">
        <v>9</v>
      </c>
      <c r="F115" s="1634"/>
      <c r="G115" s="1635">
        <f>'1C'!I25</f>
        <v>0</v>
      </c>
      <c r="H115" s="1636"/>
    </row>
    <row r="116" spans="1:8">
      <c r="A116" s="1634" t="str">
        <f>INDEX(Lists!$C$4:$C$24,MATCH(Validation!$B$3,Lists!$B$4:$B$24,0))</f>
        <v>TMS</v>
      </c>
      <c r="B116" s="1634" t="str">
        <f>'1C'!AH26</f>
        <v>A11015NA</v>
      </c>
      <c r="C116" s="1634" t="str">
        <f>'1C'!AB26&amp;" - "&amp;'1C'!$AH$4</f>
        <v>Financial instruments - Non-appointed</v>
      </c>
      <c r="D116" s="2" t="s">
        <v>8</v>
      </c>
      <c r="E116" s="2" t="s">
        <v>9</v>
      </c>
      <c r="F116" s="1634"/>
      <c r="G116" s="1635">
        <f>'1C'!I26</f>
        <v>0</v>
      </c>
      <c r="H116" s="1636"/>
    </row>
    <row r="117" spans="1:8">
      <c r="A117" s="1634" t="str">
        <f>INDEX(Lists!$C$4:$C$24,MATCH(Validation!$B$3,Lists!$B$4:$B$24,0))</f>
        <v>TMS</v>
      </c>
      <c r="B117" s="1634" t="str">
        <f>'1C'!AH27</f>
        <v>A11016NA</v>
      </c>
      <c r="C117" s="1634" t="str">
        <f>'1C'!AB27&amp;" - "&amp;'1C'!$AH$4</f>
        <v>Current tax liabilities - Non-appointed</v>
      </c>
      <c r="D117" s="2" t="s">
        <v>8</v>
      </c>
      <c r="E117" s="2" t="s">
        <v>9</v>
      </c>
      <c r="F117" s="1634"/>
      <c r="G117" s="1635">
        <f>'1C'!I27</f>
        <v>0</v>
      </c>
      <c r="H117" s="1636"/>
    </row>
    <row r="118" spans="1:8">
      <c r="A118" s="1634" t="str">
        <f>INDEX(Lists!$C$4:$C$24,MATCH(Validation!$B$3,Lists!$B$4:$B$24,0))</f>
        <v>TMS</v>
      </c>
      <c r="B118" s="1634" t="str">
        <f>'1C'!AH28</f>
        <v>A11017NA</v>
      </c>
      <c r="C118" s="1634" t="str">
        <f>'1C'!AB28&amp;" - "&amp;'1C'!$AH$4</f>
        <v>Provisions - Non-appointed</v>
      </c>
      <c r="D118" s="2" t="s">
        <v>8</v>
      </c>
      <c r="E118" s="2" t="s">
        <v>9</v>
      </c>
      <c r="F118" s="1634"/>
      <c r="G118" s="1635">
        <f>'1C'!I28</f>
        <v>0</v>
      </c>
      <c r="H118" s="1636"/>
    </row>
    <row r="119" spans="1:8">
      <c r="A119" s="1634" t="str">
        <f>INDEX(Lists!$C$4:$C$24,MATCH(Validation!$B$3,Lists!$B$4:$B$24,0))</f>
        <v>TMS</v>
      </c>
      <c r="B119" s="1634" t="str">
        <f>'1C'!AH34</f>
        <v>A11020NA</v>
      </c>
      <c r="C119" s="1634" t="str">
        <f>'1C'!AB34&amp;" - "&amp;'1C'!$AH$4</f>
        <v>Trade &amp; other payables - Non-appointed</v>
      </c>
      <c r="D119" s="2" t="s">
        <v>8</v>
      </c>
      <c r="E119" s="2" t="s">
        <v>9</v>
      </c>
      <c r="F119" s="1634"/>
      <c r="G119" s="1635">
        <f>'1C'!I34</f>
        <v>0</v>
      </c>
      <c r="H119" s="1636"/>
    </row>
    <row r="120" spans="1:8">
      <c r="A120" s="1634" t="str">
        <f>INDEX(Lists!$C$4:$C$24,MATCH(Validation!$B$3,Lists!$B$4:$B$24,0))</f>
        <v>TMS</v>
      </c>
      <c r="B120" s="1634" t="str">
        <f>'1C'!AH35</f>
        <v>BO4051NA</v>
      </c>
      <c r="C120" s="1634" t="str">
        <f>'1C'!AB35&amp;" - "&amp;'1C'!$AH$4</f>
        <v>Borrowings - Non-appointed</v>
      </c>
      <c r="D120" s="2" t="s">
        <v>8</v>
      </c>
      <c r="E120" s="2" t="s">
        <v>9</v>
      </c>
      <c r="F120" s="1634"/>
      <c r="G120" s="1635">
        <f>'1C'!I35</f>
        <v>0</v>
      </c>
      <c r="H120" s="1636"/>
    </row>
    <row r="121" spans="1:8">
      <c r="A121" s="1634" t="str">
        <f>INDEX(Lists!$C$4:$C$24,MATCH(Validation!$B$3,Lists!$B$4:$B$24,0))</f>
        <v>TMS</v>
      </c>
      <c r="B121" s="1634" t="str">
        <f>'1C'!AH36</f>
        <v>A11022NA</v>
      </c>
      <c r="C121" s="1634" t="str">
        <f>'1C'!AB36&amp;" - "&amp;'1C'!$AH$4</f>
        <v>Financial instruments - Non-appointed</v>
      </c>
      <c r="D121" s="2" t="s">
        <v>8</v>
      </c>
      <c r="E121" s="2" t="s">
        <v>9</v>
      </c>
      <c r="F121" s="1634"/>
      <c r="G121" s="1635">
        <f>'1C'!I36</f>
        <v>0</v>
      </c>
      <c r="H121" s="1636"/>
    </row>
    <row r="122" spans="1:8">
      <c r="A122" s="1634" t="str">
        <f>INDEX(Lists!$C$4:$C$24,MATCH(Validation!$B$3,Lists!$B$4:$B$24,0))</f>
        <v>TMS</v>
      </c>
      <c r="B122" s="1634" t="str">
        <f>'1C'!AH37</f>
        <v>A11023NA</v>
      </c>
      <c r="C122" s="1634" t="str">
        <f>'1C'!AB37&amp;" - "&amp;'1C'!$AH$4</f>
        <v>Retirement benefit obligations - Non-appointed</v>
      </c>
      <c r="D122" s="2" t="s">
        <v>8</v>
      </c>
      <c r="E122" s="2" t="s">
        <v>9</v>
      </c>
      <c r="F122" s="1634"/>
      <c r="G122" s="1635">
        <f>'1C'!I37</f>
        <v>0</v>
      </c>
      <c r="H122" s="1636"/>
    </row>
    <row r="123" spans="1:8">
      <c r="A123" s="1634" t="str">
        <f>INDEX(Lists!$C$4:$C$24,MATCH(Validation!$B$3,Lists!$B$4:$B$24,0))</f>
        <v>TMS</v>
      </c>
      <c r="B123" s="1634" t="str">
        <f>'1C'!AH38</f>
        <v>A11024NA</v>
      </c>
      <c r="C123" s="1634" t="str">
        <f>'1C'!AB38&amp;" - "&amp;'1C'!$AH$4</f>
        <v>Provisions - Non-appointed</v>
      </c>
      <c r="D123" s="2" t="s">
        <v>8</v>
      </c>
      <c r="E123" s="2" t="s">
        <v>9</v>
      </c>
      <c r="F123" s="1634"/>
      <c r="G123" s="1635">
        <f>'1C'!I38</f>
        <v>0</v>
      </c>
      <c r="H123" s="1636"/>
    </row>
    <row r="124" spans="1:8">
      <c r="A124" s="1634" t="str">
        <f>INDEX(Lists!$C$4:$C$24,MATCH(Validation!$B$3,Lists!$B$4:$B$24,0))</f>
        <v>TMS</v>
      </c>
      <c r="B124" s="1634" t="str">
        <f>'1C'!AH39</f>
        <v>BO4065NAGC</v>
      </c>
      <c r="C124" s="1634" t="str">
        <f>'1C'!AB39&amp;" - "&amp;'1C'!$AH$4</f>
        <v>Deferred income - G&amp;C's - Non-appointed</v>
      </c>
      <c r="D124" s="2" t="s">
        <v>8</v>
      </c>
      <c r="E124" s="2" t="s">
        <v>9</v>
      </c>
      <c r="F124" s="1634"/>
      <c r="G124" s="1635">
        <f>'1C'!I39</f>
        <v>0</v>
      </c>
      <c r="H124" s="1636"/>
    </row>
    <row r="125" spans="1:8">
      <c r="A125" s="1634" t="str">
        <f>INDEX(Lists!$C$4:$C$24,MATCH(Validation!$B$3,Lists!$B$4:$B$24,0))</f>
        <v>TMS</v>
      </c>
      <c r="B125" s="1634" t="str">
        <f>'1C'!AH40</f>
        <v>BO4065NAAA</v>
      </c>
      <c r="C125" s="1634" t="str">
        <f>'1C'!AB40&amp;" - "&amp;'1C'!$AH$4</f>
        <v>Deferred income - adopted assets - Non-appointed</v>
      </c>
      <c r="D125" s="2" t="s">
        <v>8</v>
      </c>
      <c r="E125" s="2" t="s">
        <v>9</v>
      </c>
      <c r="F125" s="1634"/>
      <c r="G125" s="1635">
        <f>'1C'!I40</f>
        <v>0</v>
      </c>
      <c r="H125" s="1636"/>
    </row>
    <row r="126" spans="1:8">
      <c r="A126" s="1634" t="str">
        <f>INDEX(Lists!$C$4:$C$24,MATCH(Validation!$B$3,Lists!$B$4:$B$24,0))</f>
        <v>TMS</v>
      </c>
      <c r="B126" s="1634" t="str">
        <f>'1C'!AH41</f>
        <v>BB1300APNA</v>
      </c>
      <c r="C126" s="1634" t="str">
        <f>'1C'!AB41&amp;" - "&amp;'1C'!$AH$4</f>
        <v>Preference share capital - Non-appointed</v>
      </c>
      <c r="D126" s="2" t="s">
        <v>8</v>
      </c>
      <c r="E126" s="2" t="s">
        <v>9</v>
      </c>
      <c r="F126" s="1634"/>
      <c r="G126" s="1635">
        <f>'1C'!I41</f>
        <v>0</v>
      </c>
      <c r="H126" s="1636"/>
    </row>
    <row r="127" spans="1:8">
      <c r="A127" s="1634" t="str">
        <f>INDEX(Lists!$C$4:$C$24,MATCH(Validation!$B$3,Lists!$B$4:$B$24,0))</f>
        <v>TMS</v>
      </c>
      <c r="B127" s="1634" t="str">
        <f>'1C'!AH42</f>
        <v>BO4063NA</v>
      </c>
      <c r="C127" s="1634" t="str">
        <f>'1C'!AB42&amp;" - "&amp;'1C'!$AH$4</f>
        <v>Deferred tax - Non-appointed</v>
      </c>
      <c r="D127" s="2" t="s">
        <v>8</v>
      </c>
      <c r="E127" s="2" t="s">
        <v>9</v>
      </c>
      <c r="F127" s="1634"/>
      <c r="G127" s="1635">
        <f>'1C'!I42</f>
        <v>0</v>
      </c>
      <c r="H127" s="1636"/>
    </row>
    <row r="128" spans="1:8">
      <c r="A128" s="1634" t="str">
        <f>INDEX(Lists!$C$4:$C$24,MATCH(Validation!$B$3,Lists!$B$4:$B$24,0))</f>
        <v>TMS</v>
      </c>
      <c r="B128" s="1634" t="str">
        <f>'1C'!AH48</f>
        <v>BO4100NA</v>
      </c>
      <c r="C128" s="1634" t="str">
        <f>'1C'!AB48&amp;" - "&amp;'1C'!$AH$4</f>
        <v>Called up share capital - Non-appointed</v>
      </c>
      <c r="D128" s="2" t="s">
        <v>8</v>
      </c>
      <c r="E128" s="2" t="s">
        <v>9</v>
      </c>
      <c r="F128" s="1634"/>
      <c r="G128" s="1635">
        <f>'1C'!I48</f>
        <v>0</v>
      </c>
      <c r="H128" s="1636"/>
    </row>
    <row r="129" spans="1:8" ht="15" thickBot="1">
      <c r="A129" s="1642" t="str">
        <f>INDEX(Lists!$C$4:$C$24,MATCH(Validation!$B$3,Lists!$B$4:$B$24,0))</f>
        <v>TMS</v>
      </c>
      <c r="B129" s="1634" t="str">
        <f>'1C'!AH49</f>
        <v>A11030NA</v>
      </c>
      <c r="C129" s="1634" t="str">
        <f>'1C'!AB49&amp;" - "&amp;'1C'!$AH$4</f>
        <v>Retained earnings &amp; other reserves - Non-appointed</v>
      </c>
      <c r="D129" s="1648" t="s">
        <v>8</v>
      </c>
      <c r="E129" s="1648" t="s">
        <v>9</v>
      </c>
      <c r="F129" s="1642"/>
      <c r="G129" s="1658">
        <f>'1C'!I49</f>
        <v>55.542000000000002</v>
      </c>
      <c r="H129" s="1649"/>
    </row>
    <row r="130" spans="1:8">
      <c r="A130" s="1641" t="str">
        <f>INDEX(Lists!$C$4:$C$24,MATCH(Validation!$B$3,Lists!$B$4:$B$24,0))</f>
        <v>TMS</v>
      </c>
      <c r="B130" s="1641" t="str">
        <f>'1D'!AF8</f>
        <v>BO5002STAT</v>
      </c>
      <c r="C130" s="1641" t="str">
        <f>'1D'!AB8&amp;" - "&amp;'1D'!$AF$3</f>
        <v>Other income - Statutory</v>
      </c>
      <c r="D130" s="1644" t="s">
        <v>8</v>
      </c>
      <c r="E130" s="1644" t="s">
        <v>9</v>
      </c>
      <c r="F130" s="1641"/>
      <c r="G130" s="1659">
        <f>'1D'!G8</f>
        <v>89.71</v>
      </c>
      <c r="H130" s="1645"/>
    </row>
    <row r="131" spans="1:8">
      <c r="A131" s="1634" t="str">
        <f>INDEX(Lists!$C$4:$C$24,MATCH(Validation!$B$3,Lists!$B$4:$B$24,0))</f>
        <v>TMS</v>
      </c>
      <c r="B131" s="1634" t="str">
        <f>'1D'!AF9</f>
        <v>A14002STAT</v>
      </c>
      <c r="C131" s="1634" t="str">
        <f>'1D'!AB9&amp;" - "&amp;'1D'!$AF$3</f>
        <v>Depreciation - Statutory</v>
      </c>
      <c r="D131" s="2" t="s">
        <v>8</v>
      </c>
      <c r="E131" s="2" t="s">
        <v>9</v>
      </c>
      <c r="F131" s="1634"/>
      <c r="G131" s="1635">
        <f>'1D'!G9</f>
        <v>526.149</v>
      </c>
      <c r="H131" s="1636"/>
    </row>
    <row r="132" spans="1:8">
      <c r="A132" s="1634" t="str">
        <f>INDEX(Lists!$C$4:$C$24,MATCH(Validation!$B$3,Lists!$B$4:$B$24,0))</f>
        <v>TMS</v>
      </c>
      <c r="B132" s="1634" t="str">
        <f>'1D'!AF10</f>
        <v>A3028STAT</v>
      </c>
      <c r="C132" s="1634" t="str">
        <f>'1D'!AB10&amp;" - "&amp;'1D'!$AF$3</f>
        <v>Amortisation - G&amp;C's - Statutory</v>
      </c>
      <c r="D132" s="2" t="s">
        <v>8</v>
      </c>
      <c r="E132" s="2" t="s">
        <v>9</v>
      </c>
      <c r="F132" s="1634"/>
      <c r="G132" s="1635">
        <f>'1D'!G10</f>
        <v>0</v>
      </c>
      <c r="H132" s="1636"/>
    </row>
    <row r="133" spans="1:8">
      <c r="A133" s="1634" t="str">
        <f>INDEX(Lists!$C$4:$C$24,MATCH(Validation!$B$3,Lists!$B$4:$B$24,0))</f>
        <v>TMS</v>
      </c>
      <c r="B133" s="1634" t="str">
        <f>'1D'!AF11</f>
        <v>FT01810STAT</v>
      </c>
      <c r="C133" s="1634" t="str">
        <f>'1D'!AB11&amp;" - "&amp;'1D'!$AF$3</f>
        <v>Changes in working capital - Statutory</v>
      </c>
      <c r="D133" s="2" t="s">
        <v>8</v>
      </c>
      <c r="E133" s="2" t="s">
        <v>9</v>
      </c>
      <c r="F133" s="1634"/>
      <c r="G133" s="1635">
        <f>'1D'!G11</f>
        <v>-48.756999999999998</v>
      </c>
      <c r="H133" s="1636"/>
    </row>
    <row r="134" spans="1:8">
      <c r="A134" s="1634" t="str">
        <f>INDEX(Lists!$C$4:$C$24,MATCH(Validation!$B$3,Lists!$B$4:$B$24,0))</f>
        <v>TMS</v>
      </c>
      <c r="B134" s="1634" t="str">
        <f>'1D'!AF12</f>
        <v>A14005STAT</v>
      </c>
      <c r="C134" s="1634" t="str">
        <f>'1D'!AB12&amp;" - "&amp;'1D'!$AF$3</f>
        <v>Pension contributions - Statutory</v>
      </c>
      <c r="D134" s="2" t="s">
        <v>8</v>
      </c>
      <c r="E134" s="2" t="s">
        <v>9</v>
      </c>
      <c r="F134" s="1634"/>
      <c r="G134" s="1635">
        <f>'1D'!G12</f>
        <v>-14</v>
      </c>
      <c r="H134" s="1636"/>
    </row>
    <row r="135" spans="1:8">
      <c r="A135" s="1634" t="str">
        <f>INDEX(Lists!$C$4:$C$24,MATCH(Validation!$B$3,Lists!$B$4:$B$24,0))</f>
        <v>TMS</v>
      </c>
      <c r="B135" s="1634" t="str">
        <f>'1D'!AF13</f>
        <v>BO5020STAT</v>
      </c>
      <c r="C135" s="1634" t="str">
        <f>'1D'!AB13&amp;" - "&amp;'1D'!$AF$3</f>
        <v>Movement in provisions - Statutory</v>
      </c>
      <c r="D135" s="2" t="s">
        <v>8</v>
      </c>
      <c r="E135" s="2" t="s">
        <v>9</v>
      </c>
      <c r="F135" s="1634"/>
      <c r="G135" s="1635">
        <f>'1D'!G13</f>
        <v>-1.1779999999999999</v>
      </c>
      <c r="H135" s="1636"/>
    </row>
    <row r="136" spans="1:8">
      <c r="A136" s="1634" t="str">
        <f>INDEX(Lists!$C$4:$C$24,MATCH(Validation!$B$3,Lists!$B$4:$B$24,0))</f>
        <v>TMS</v>
      </c>
      <c r="B136" s="1634" t="str">
        <f>'1D'!AF14</f>
        <v>BO5004STAT</v>
      </c>
      <c r="C136" s="1634" t="str">
        <f>'1D'!AB14&amp;" - "&amp;'1D'!$AF$3</f>
        <v>Profit on sale of fixed assets - Statutory</v>
      </c>
      <c r="D136" s="2" t="s">
        <v>8</v>
      </c>
      <c r="E136" s="2" t="s">
        <v>9</v>
      </c>
      <c r="F136" s="1634"/>
      <c r="G136" s="1635">
        <f>'1D'!G14</f>
        <v>-11.364000000000001</v>
      </c>
      <c r="H136" s="1636"/>
    </row>
    <row r="137" spans="1:8">
      <c r="A137" s="1634" t="str">
        <f>INDEX(Lists!$C$4:$C$24,MATCH(Validation!$B$3,Lists!$B$4:$B$24,0))</f>
        <v>TMS</v>
      </c>
      <c r="B137" s="1634" t="str">
        <f>'1D'!AF17</f>
        <v>A14008STAT</v>
      </c>
      <c r="C137" s="1634" t="str">
        <f>'1D'!AB17&amp;" - "&amp;'1D'!$AF$3</f>
        <v>Net interest paid - Statutory</v>
      </c>
      <c r="D137" s="2" t="s">
        <v>8</v>
      </c>
      <c r="E137" s="2" t="s">
        <v>9</v>
      </c>
      <c r="F137" s="1634"/>
      <c r="G137" s="1635">
        <f>'1D'!G17</f>
        <v>-224.42099999999999</v>
      </c>
      <c r="H137" s="1636"/>
    </row>
    <row r="138" spans="1:8">
      <c r="A138" s="1634" t="str">
        <f>INDEX(Lists!$C$4:$C$24,MATCH(Validation!$B$3,Lists!$B$4:$B$24,0))</f>
        <v>TMS</v>
      </c>
      <c r="B138" s="1634" t="str">
        <f>'1D'!AF18</f>
        <v>BO5070STAT</v>
      </c>
      <c r="C138" s="1634" t="str">
        <f>'1D'!AB18&amp;" - "&amp;'1D'!$AF$3</f>
        <v>Tax paid - Statutory</v>
      </c>
      <c r="D138" s="2" t="s">
        <v>8</v>
      </c>
      <c r="E138" s="2" t="s">
        <v>9</v>
      </c>
      <c r="F138" s="1634"/>
      <c r="G138" s="1635">
        <f>'1D'!G18</f>
        <v>-20.77</v>
      </c>
      <c r="H138" s="1636"/>
    </row>
    <row r="139" spans="1:8">
      <c r="A139" s="1634" t="str">
        <f>INDEX(Lists!$C$4:$C$24,MATCH(Validation!$B$3,Lists!$B$4:$B$24,0))</f>
        <v>TMS</v>
      </c>
      <c r="B139" s="1634" t="str">
        <f>'1D'!AF22</f>
        <v>BO5080STAT</v>
      </c>
      <c r="C139" s="1634" t="str">
        <f>'1D'!AB22&amp;" - "&amp;'1D'!$AF$3</f>
        <v>Capital expenditure - Statutory</v>
      </c>
      <c r="D139" s="2" t="s">
        <v>8</v>
      </c>
      <c r="E139" s="2" t="s">
        <v>9</v>
      </c>
      <c r="F139" s="1634"/>
      <c r="G139" s="1635">
        <f>'1D'!G22</f>
        <v>-1163.0940000000001</v>
      </c>
      <c r="H139" s="1636"/>
    </row>
    <row r="140" spans="1:8">
      <c r="A140" s="1634" t="str">
        <f>INDEX(Lists!$C$4:$C$24,MATCH(Validation!$B$3,Lists!$B$4:$B$24,0))</f>
        <v>TMS</v>
      </c>
      <c r="B140" s="1634" t="str">
        <f>'1D'!AF23</f>
        <v>BO5081STAT</v>
      </c>
      <c r="C140" s="1634" t="str">
        <f>'1D'!AB23&amp;" - "&amp;'1D'!$AF$3</f>
        <v>Grants &amp; Contributions - Statutory</v>
      </c>
      <c r="D140" s="2" t="s">
        <v>8</v>
      </c>
      <c r="E140" s="2" t="s">
        <v>9</v>
      </c>
      <c r="F140" s="1634"/>
      <c r="G140" s="1635">
        <f>'1D'!G23</f>
        <v>0</v>
      </c>
      <c r="H140" s="1636"/>
    </row>
    <row r="141" spans="1:8">
      <c r="A141" s="1634" t="str">
        <f>INDEX(Lists!$C$4:$C$24,MATCH(Validation!$B$3,Lists!$B$4:$B$24,0))</f>
        <v>TMS</v>
      </c>
      <c r="B141" s="1634" t="str">
        <f>'1D'!AF24</f>
        <v>BO5084STAT</v>
      </c>
      <c r="C141" s="1634" t="str">
        <f>'1D'!AB24&amp;" - "&amp;'1D'!$AF$3</f>
        <v>Disposal of fixed assets - Statutory</v>
      </c>
      <c r="D141" s="2" t="s">
        <v>8</v>
      </c>
      <c r="E141" s="2" t="s">
        <v>9</v>
      </c>
      <c r="F141" s="1634"/>
      <c r="G141" s="1635">
        <f>'1D'!G24</f>
        <v>18.821000000000002</v>
      </c>
      <c r="H141" s="1636"/>
    </row>
    <row r="142" spans="1:8">
      <c r="A142" s="1634" t="str">
        <f>INDEX(Lists!$C$4:$C$24,MATCH(Validation!$B$3,Lists!$B$4:$B$24,0))</f>
        <v>TMS</v>
      </c>
      <c r="B142" s="1634" t="str">
        <f>'1D'!AF25</f>
        <v>BO5085STAT</v>
      </c>
      <c r="C142" s="1634" t="str">
        <f>'1D'!AB25&amp;" - "&amp;'1D'!$AF$3</f>
        <v>Other - Statutory</v>
      </c>
      <c r="D142" s="2" t="s">
        <v>8</v>
      </c>
      <c r="E142" s="2" t="s">
        <v>9</v>
      </c>
      <c r="F142" s="1634"/>
      <c r="G142" s="1635">
        <f>'1D'!G25</f>
        <v>1</v>
      </c>
      <c r="H142" s="1636"/>
    </row>
    <row r="143" spans="1:8">
      <c r="A143" s="1634" t="str">
        <f>INDEX(Lists!$C$4:$C$24,MATCH(Validation!$B$3,Lists!$B$4:$B$24,0))</f>
        <v>TMS</v>
      </c>
      <c r="B143" s="1634" t="str">
        <f>'1D'!AF31</f>
        <v>BO5204STAT</v>
      </c>
      <c r="C143" s="1634" t="str">
        <f>'1D'!AB31&amp;" - "&amp;'1D'!$AF$3</f>
        <v>Equity dividends paid - Statutory</v>
      </c>
      <c r="D143" s="2" t="s">
        <v>8</v>
      </c>
      <c r="E143" s="2" t="s">
        <v>9</v>
      </c>
      <c r="F143" s="1634"/>
      <c r="G143" s="1635">
        <f>'1D'!G31</f>
        <v>-55</v>
      </c>
      <c r="H143" s="1636"/>
    </row>
    <row r="144" spans="1:8">
      <c r="A144" s="1634" t="str">
        <f>INDEX(Lists!$C$4:$C$24,MATCH(Validation!$B$3,Lists!$B$4:$B$24,0))</f>
        <v>TMS</v>
      </c>
      <c r="B144" s="1634" t="str">
        <f>'1D'!AF32</f>
        <v>A14019STAT</v>
      </c>
      <c r="C144" s="1634" t="str">
        <f>'1D'!AB32&amp;" - "&amp;'1D'!$AF$3</f>
        <v>Net loans received - Statutory</v>
      </c>
      <c r="D144" s="2" t="s">
        <v>8</v>
      </c>
      <c r="E144" s="2" t="s">
        <v>9</v>
      </c>
      <c r="F144" s="1634"/>
      <c r="G144" s="1635">
        <f>'1D'!G32</f>
        <v>410.01600000000002</v>
      </c>
      <c r="H144" s="1636"/>
    </row>
    <row r="145" spans="1:8">
      <c r="A145" s="1637" t="str">
        <f>INDEX(Lists!$C$4:$C$24,MATCH(Validation!$B$3,Lists!$B$4:$B$24,0))</f>
        <v>TMS</v>
      </c>
      <c r="B145" s="1637" t="str">
        <f>'1D'!AF33</f>
        <v>BO5095STAT</v>
      </c>
      <c r="C145" s="1637" t="str">
        <f>'1D'!AB33&amp;" - "&amp;'1D'!$AF$3</f>
        <v>Cash inflow from equity financing - Statutory</v>
      </c>
      <c r="D145" s="1651" t="s">
        <v>8</v>
      </c>
      <c r="E145" s="1651" t="s">
        <v>9</v>
      </c>
      <c r="F145" s="1637"/>
      <c r="G145" s="1653">
        <f>'1D'!G33</f>
        <v>0</v>
      </c>
      <c r="H145" s="1652"/>
    </row>
    <row r="146" spans="1:8">
      <c r="A146" s="1634" t="str">
        <f>INDEX(Lists!$C$4:$C$24,MATCH(Validation!$B$3,Lists!$B$4:$B$24,0))</f>
        <v>TMS</v>
      </c>
      <c r="B146" s="1634" t="str">
        <f>'1D'!AG8</f>
        <v>BO5002DSR</v>
      </c>
      <c r="C146" s="1634" t="str">
        <f>'1D'!AB8&amp;" - "&amp;'1D'!$AG$4</f>
        <v>Other income - Differences between statutory and RAG definitions</v>
      </c>
      <c r="D146" s="2" t="s">
        <v>8</v>
      </c>
      <c r="E146" s="2" t="s">
        <v>9</v>
      </c>
      <c r="F146" s="1634"/>
      <c r="G146" s="1635">
        <f>'1D'!H8</f>
        <v>-18.103999999999999</v>
      </c>
      <c r="H146" s="1636"/>
    </row>
    <row r="147" spans="1:8">
      <c r="A147" s="1634" t="str">
        <f>INDEX(Lists!$C$4:$C$24,MATCH(Validation!$B$3,Lists!$B$4:$B$24,0))</f>
        <v>TMS</v>
      </c>
      <c r="B147" s="1634" t="str">
        <f>'1D'!AG9</f>
        <v>A14002DSR</v>
      </c>
      <c r="C147" s="1634" t="str">
        <f>'1D'!AB9&amp;" - "&amp;'1D'!$AG$4</f>
        <v>Depreciation - Differences between statutory and RAG definitions</v>
      </c>
      <c r="D147" s="2" t="s">
        <v>8</v>
      </c>
      <c r="E147" s="2" t="s">
        <v>9</v>
      </c>
      <c r="F147" s="1634"/>
      <c r="G147" s="1635">
        <f>'1D'!H9</f>
        <v>-3.161</v>
      </c>
      <c r="H147" s="1636"/>
    </row>
    <row r="148" spans="1:8">
      <c r="A148" s="1634" t="str">
        <f>INDEX(Lists!$C$4:$C$24,MATCH(Validation!$B$3,Lists!$B$4:$B$24,0))</f>
        <v>TMS</v>
      </c>
      <c r="B148" s="1634" t="str">
        <f>'1D'!AG10</f>
        <v>A3028DSR</v>
      </c>
      <c r="C148" s="1634" t="str">
        <f>'1D'!AB10&amp;" - "&amp;'1D'!$AG$4</f>
        <v>Amortisation - G&amp;C's - Differences between statutory and RAG definitions</v>
      </c>
      <c r="D148" s="2" t="s">
        <v>8</v>
      </c>
      <c r="E148" s="2" t="s">
        <v>9</v>
      </c>
      <c r="F148" s="1634"/>
      <c r="G148" s="1635">
        <f>'1D'!H10</f>
        <v>0</v>
      </c>
      <c r="H148" s="1636"/>
    </row>
    <row r="149" spans="1:8">
      <c r="A149" s="1634" t="str">
        <f>INDEX(Lists!$C$4:$C$24,MATCH(Validation!$B$3,Lists!$B$4:$B$24,0))</f>
        <v>TMS</v>
      </c>
      <c r="B149" s="1634" t="str">
        <f>'1D'!AG11</f>
        <v>FT01810DSR</v>
      </c>
      <c r="C149" s="1634" t="str">
        <f>'1D'!AB11&amp;" - "&amp;'1D'!$AG$4</f>
        <v>Changes in working capital - Differences between statutory and RAG definitions</v>
      </c>
      <c r="D149" s="2" t="s">
        <v>8</v>
      </c>
      <c r="E149" s="2" t="s">
        <v>9</v>
      </c>
      <c r="F149" s="1634"/>
      <c r="G149" s="1635">
        <f>'1D'!H11</f>
        <v>1.7410000000000001</v>
      </c>
      <c r="H149" s="1636"/>
    </row>
    <row r="150" spans="1:8">
      <c r="A150" s="1634" t="str">
        <f>INDEX(Lists!$C$4:$C$24,MATCH(Validation!$B$3,Lists!$B$4:$B$24,0))</f>
        <v>TMS</v>
      </c>
      <c r="B150" s="1634" t="str">
        <f>'1D'!AG12</f>
        <v>A14005DSR</v>
      </c>
      <c r="C150" s="1634" t="str">
        <f>'1D'!AB12&amp;" - "&amp;'1D'!$AG$4</f>
        <v>Pension contributions - Differences between statutory and RAG definitions</v>
      </c>
      <c r="D150" s="2" t="s">
        <v>8</v>
      </c>
      <c r="E150" s="2" t="s">
        <v>9</v>
      </c>
      <c r="F150" s="1634"/>
      <c r="G150" s="1635">
        <f>'1D'!H12</f>
        <v>9</v>
      </c>
      <c r="H150" s="1636"/>
    </row>
    <row r="151" spans="1:8">
      <c r="A151" s="1634" t="str">
        <f>INDEX(Lists!$C$4:$C$24,MATCH(Validation!$B$3,Lists!$B$4:$B$24,0))</f>
        <v>TMS</v>
      </c>
      <c r="B151" s="1634" t="str">
        <f>'1D'!AG13</f>
        <v>BO5020DSR</v>
      </c>
      <c r="C151" s="1634" t="str">
        <f>'1D'!AB13&amp;" - "&amp;'1D'!$AG$4</f>
        <v>Movement in provisions - Differences between statutory and RAG definitions</v>
      </c>
      <c r="D151" s="2" t="s">
        <v>8</v>
      </c>
      <c r="E151" s="2" t="s">
        <v>9</v>
      </c>
      <c r="F151" s="1634"/>
      <c r="G151" s="1635">
        <f>'1D'!H13</f>
        <v>0</v>
      </c>
      <c r="H151" s="1636"/>
    </row>
    <row r="152" spans="1:8">
      <c r="A152" s="1634" t="str">
        <f>INDEX(Lists!$C$4:$C$24,MATCH(Validation!$B$3,Lists!$B$4:$B$24,0))</f>
        <v>TMS</v>
      </c>
      <c r="B152" s="1634" t="str">
        <f>'1D'!AG14</f>
        <v>BO5004DSR</v>
      </c>
      <c r="C152" s="1634" t="str">
        <f>'1D'!AB14&amp;" - "&amp;'1D'!$AG$4</f>
        <v>Profit on sale of fixed assets - Differences between statutory and RAG definitions</v>
      </c>
      <c r="D152" s="2" t="s">
        <v>8</v>
      </c>
      <c r="E152" s="2" t="s">
        <v>9</v>
      </c>
      <c r="F152" s="1634"/>
      <c r="G152" s="1635">
        <f>'1D'!H14</f>
        <v>0</v>
      </c>
      <c r="H152" s="1636"/>
    </row>
    <row r="153" spans="1:8">
      <c r="A153" s="1634" t="str">
        <f>INDEX(Lists!$C$4:$C$24,MATCH(Validation!$B$3,Lists!$B$4:$B$24,0))</f>
        <v>TMS</v>
      </c>
      <c r="B153" s="1634" t="str">
        <f>'1D'!AG17</f>
        <v>A14008DSR</v>
      </c>
      <c r="C153" s="1634" t="str">
        <f>'1D'!AB17&amp;" - "&amp;'1D'!$AG$4</f>
        <v>Net interest paid - Differences between statutory and RAG definitions</v>
      </c>
      <c r="D153" s="2" t="s">
        <v>8</v>
      </c>
      <c r="E153" s="2" t="s">
        <v>9</v>
      </c>
      <c r="F153" s="1634"/>
      <c r="G153" s="1635">
        <f>'1D'!H17</f>
        <v>-109.66200000000001</v>
      </c>
      <c r="H153" s="1636"/>
    </row>
    <row r="154" spans="1:8">
      <c r="A154" s="1634" t="str">
        <f>INDEX(Lists!$C$4:$C$24,MATCH(Validation!$B$3,Lists!$B$4:$B$24,0))</f>
        <v>TMS</v>
      </c>
      <c r="B154" s="1634" t="str">
        <f>'1D'!AG18</f>
        <v>BO5070DSR</v>
      </c>
      <c r="C154" s="1634" t="str">
        <f>'1D'!AB18&amp;" - "&amp;'1D'!$AG$4</f>
        <v>Tax paid - Differences between statutory and RAG definitions</v>
      </c>
      <c r="D154" s="2" t="s">
        <v>8</v>
      </c>
      <c r="E154" s="2" t="s">
        <v>9</v>
      </c>
      <c r="F154" s="1634"/>
      <c r="G154" s="1635">
        <f>'1D'!H18</f>
        <v>0</v>
      </c>
      <c r="H154" s="1636"/>
    </row>
    <row r="155" spans="1:8">
      <c r="A155" s="1634" t="str">
        <f>INDEX(Lists!$C$4:$C$24,MATCH(Validation!$B$3,Lists!$B$4:$B$24,0))</f>
        <v>TMS</v>
      </c>
      <c r="B155" s="1634" t="str">
        <f>'1D'!AG22</f>
        <v>BO5080DSR</v>
      </c>
      <c r="C155" s="1634" t="str">
        <f>'1D'!AB22&amp;" - "&amp;'1D'!$AG$4</f>
        <v>Capital expenditure - Differences between statutory and RAG definitions</v>
      </c>
      <c r="D155" s="2" t="s">
        <v>8</v>
      </c>
      <c r="E155" s="2" t="s">
        <v>9</v>
      </c>
      <c r="F155" s="1634"/>
      <c r="G155" s="1635">
        <f>'1D'!H22</f>
        <v>100.271</v>
      </c>
      <c r="H155" s="1636"/>
    </row>
    <row r="156" spans="1:8">
      <c r="A156" s="1634" t="str">
        <f>INDEX(Lists!$C$4:$C$24,MATCH(Validation!$B$3,Lists!$B$4:$B$24,0))</f>
        <v>TMS</v>
      </c>
      <c r="B156" s="1634" t="str">
        <f>'1D'!AG23</f>
        <v>BO5081DSR</v>
      </c>
      <c r="C156" s="1634" t="str">
        <f>'1D'!AB23&amp;" - "&amp;'1D'!$AG$4</f>
        <v>Grants &amp; Contributions - Differences between statutory and RAG definitions</v>
      </c>
      <c r="D156" s="2" t="s">
        <v>8</v>
      </c>
      <c r="E156" s="2" t="s">
        <v>9</v>
      </c>
      <c r="F156" s="1634"/>
      <c r="G156" s="1635">
        <f>'1D'!H23</f>
        <v>0</v>
      </c>
      <c r="H156" s="1636"/>
    </row>
    <row r="157" spans="1:8">
      <c r="A157" s="1634" t="str">
        <f>INDEX(Lists!$C$4:$C$24,MATCH(Validation!$B$3,Lists!$B$4:$B$24,0))</f>
        <v>TMS</v>
      </c>
      <c r="B157" s="1634" t="str">
        <f>'1D'!AG24</f>
        <v>BO5084DSR</v>
      </c>
      <c r="C157" s="1634" t="str">
        <f>'1D'!AB24&amp;" - "&amp;'1D'!$AG$4</f>
        <v>Disposal of fixed assets - Differences between statutory and RAG definitions</v>
      </c>
      <c r="D157" s="2" t="s">
        <v>8</v>
      </c>
      <c r="E157" s="2" t="s">
        <v>9</v>
      </c>
      <c r="F157" s="1634"/>
      <c r="G157" s="1635">
        <f>'1D'!H24</f>
        <v>0</v>
      </c>
      <c r="H157" s="1636"/>
    </row>
    <row r="158" spans="1:8">
      <c r="A158" s="1634" t="str">
        <f>INDEX(Lists!$C$4:$C$24,MATCH(Validation!$B$3,Lists!$B$4:$B$24,0))</f>
        <v>TMS</v>
      </c>
      <c r="B158" s="1634" t="str">
        <f>'1D'!AG25</f>
        <v>BO5085DSR</v>
      </c>
      <c r="C158" s="1634" t="str">
        <f>'1D'!AB25&amp;" - "&amp;'1D'!$AG$4</f>
        <v>Other - Differences between statutory and RAG definitions</v>
      </c>
      <c r="D158" s="2" t="s">
        <v>8</v>
      </c>
      <c r="E158" s="2" t="s">
        <v>9</v>
      </c>
      <c r="F158" s="1634"/>
      <c r="G158" s="1635">
        <f>'1D'!H25</f>
        <v>0</v>
      </c>
      <c r="H158" s="1636"/>
    </row>
    <row r="159" spans="1:8">
      <c r="A159" s="1634" t="str">
        <f>INDEX(Lists!$C$4:$C$24,MATCH(Validation!$B$3,Lists!$B$4:$B$24,0))</f>
        <v>TMS</v>
      </c>
      <c r="B159" s="1634" t="str">
        <f>'1D'!AG31</f>
        <v>BO5204DSR</v>
      </c>
      <c r="C159" s="1634" t="str">
        <f>'1D'!AB31&amp;" - "&amp;'1D'!$AG$4</f>
        <v>Equity dividends paid - Differences between statutory and RAG definitions</v>
      </c>
      <c r="D159" s="2" t="s">
        <v>8</v>
      </c>
      <c r="E159" s="2" t="s">
        <v>9</v>
      </c>
      <c r="F159" s="1634"/>
      <c r="G159" s="1635">
        <f>'1D'!H31</f>
        <v>0</v>
      </c>
      <c r="H159" s="1636"/>
    </row>
    <row r="160" spans="1:8">
      <c r="A160" s="1634" t="str">
        <f>INDEX(Lists!$C$4:$C$24,MATCH(Validation!$B$3,Lists!$B$4:$B$24,0))</f>
        <v>TMS</v>
      </c>
      <c r="B160" s="1634" t="str">
        <f>'1D'!AG32</f>
        <v>A14019DSR</v>
      </c>
      <c r="C160" s="1634" t="str">
        <f>'1D'!AB32&amp;" - "&amp;'1D'!$AG$4</f>
        <v>Net loans received - Differences between statutory and RAG definitions</v>
      </c>
      <c r="D160" s="2" t="s">
        <v>8</v>
      </c>
      <c r="E160" s="2" t="s">
        <v>9</v>
      </c>
      <c r="F160" s="1634"/>
      <c r="G160" s="1635">
        <f>'1D'!H32</f>
        <v>0</v>
      </c>
      <c r="H160" s="1636"/>
    </row>
    <row r="161" spans="1:8">
      <c r="A161" s="1637" t="str">
        <f>INDEX(Lists!$C$4:$C$24,MATCH(Validation!$B$3,Lists!$B$4:$B$24,0))</f>
        <v>TMS</v>
      </c>
      <c r="B161" s="1637" t="str">
        <f>'1D'!AG33</f>
        <v>BO5095DSR</v>
      </c>
      <c r="C161" s="1637" t="str">
        <f>'1D'!AB33&amp;" - "&amp;'1D'!$AG$4</f>
        <v>Cash inflow from equity financing - Differences between statutory and RAG definitions</v>
      </c>
      <c r="D161" s="1651" t="s">
        <v>8</v>
      </c>
      <c r="E161" s="1651" t="s">
        <v>9</v>
      </c>
      <c r="F161" s="1637"/>
      <c r="G161" s="1653">
        <f>'1D'!H33</f>
        <v>0</v>
      </c>
      <c r="H161" s="1652"/>
    </row>
    <row r="162" spans="1:8">
      <c r="A162" s="1634" t="str">
        <f>INDEX(Lists!$C$4:$C$24,MATCH(Validation!$B$3,Lists!$B$4:$B$24,0))</f>
        <v>TMS</v>
      </c>
      <c r="B162" s="1634" t="str">
        <f>'1D'!AH8</f>
        <v>BO5002NA</v>
      </c>
      <c r="C162" s="1634" t="str">
        <f>'1D'!AB8&amp;" - "&amp;'1D'!$AH$4</f>
        <v>Other income - Non-appointed</v>
      </c>
      <c r="D162" s="2" t="s">
        <v>8</v>
      </c>
      <c r="E162" s="2" t="s">
        <v>9</v>
      </c>
      <c r="F162" s="1634"/>
      <c r="G162" s="1635">
        <f>'1D'!I8</f>
        <v>0.28799999999999998</v>
      </c>
      <c r="H162" s="1636"/>
    </row>
    <row r="163" spans="1:8">
      <c r="A163" s="1634" t="str">
        <f>INDEX(Lists!$C$4:$C$24,MATCH(Validation!$B$3,Lists!$B$4:$B$24,0))</f>
        <v>TMS</v>
      </c>
      <c r="B163" s="1634" t="str">
        <f>'1D'!AH9</f>
        <v>A14002NA</v>
      </c>
      <c r="C163" s="1634" t="str">
        <f>'1D'!AB9&amp;" - "&amp;'1D'!$AH$4</f>
        <v>Depreciation - Non-appointed</v>
      </c>
      <c r="D163" s="2" t="s">
        <v>8</v>
      </c>
      <c r="E163" s="2" t="s">
        <v>9</v>
      </c>
      <c r="F163" s="1634"/>
      <c r="G163" s="1635">
        <f>'1D'!I9</f>
        <v>-0.42899999999999999</v>
      </c>
      <c r="H163" s="1636"/>
    </row>
    <row r="164" spans="1:8">
      <c r="A164" s="1634" t="str">
        <f>INDEX(Lists!$C$4:$C$24,MATCH(Validation!$B$3,Lists!$B$4:$B$24,0))</f>
        <v>TMS</v>
      </c>
      <c r="B164" s="1634" t="str">
        <f>'1D'!AH10</f>
        <v>A3028NA</v>
      </c>
      <c r="C164" s="1634" t="str">
        <f>'1D'!AB10&amp;" - "&amp;'1D'!$AH$4</f>
        <v>Amortisation - G&amp;C's - Non-appointed</v>
      </c>
      <c r="D164" s="2" t="s">
        <v>8</v>
      </c>
      <c r="E164" s="2" t="s">
        <v>9</v>
      </c>
      <c r="F164" s="1634"/>
      <c r="G164" s="1635">
        <f>'1D'!I10</f>
        <v>0</v>
      </c>
      <c r="H164" s="1636"/>
    </row>
    <row r="165" spans="1:8">
      <c r="A165" s="1634" t="str">
        <f>INDEX(Lists!$C$4:$C$24,MATCH(Validation!$B$3,Lists!$B$4:$B$24,0))</f>
        <v>TMS</v>
      </c>
      <c r="B165" s="1634" t="str">
        <f>'1D'!AH11</f>
        <v>FT01810NA</v>
      </c>
      <c r="C165" s="1634" t="str">
        <f>'1D'!AB11&amp;" - "&amp;'1D'!$AH$4</f>
        <v>Changes in working capital - Non-appointed</v>
      </c>
      <c r="D165" s="2" t="s">
        <v>8</v>
      </c>
      <c r="E165" s="2" t="s">
        <v>9</v>
      </c>
      <c r="F165" s="1634"/>
      <c r="G165" s="1635">
        <f>'1D'!I11</f>
        <v>-40.305999999999997</v>
      </c>
      <c r="H165" s="1636"/>
    </row>
    <row r="166" spans="1:8">
      <c r="A166" s="1634" t="str">
        <f>INDEX(Lists!$C$4:$C$24,MATCH(Validation!$B$3,Lists!$B$4:$B$24,0))</f>
        <v>TMS</v>
      </c>
      <c r="B166" s="1634" t="str">
        <f>'1D'!AH12</f>
        <v>A14005NA</v>
      </c>
      <c r="C166" s="1634" t="str">
        <f>'1D'!AB12&amp;" - "&amp;'1D'!$AH$4</f>
        <v>Pension contributions - Non-appointed</v>
      </c>
      <c r="D166" s="2" t="s">
        <v>8</v>
      </c>
      <c r="E166" s="2" t="s">
        <v>9</v>
      </c>
      <c r="F166" s="1634"/>
      <c r="G166" s="1635">
        <f>'1D'!I12</f>
        <v>0</v>
      </c>
      <c r="H166" s="1636"/>
    </row>
    <row r="167" spans="1:8">
      <c r="A167" s="1634" t="str">
        <f>INDEX(Lists!$C$4:$C$24,MATCH(Validation!$B$3,Lists!$B$4:$B$24,0))</f>
        <v>TMS</v>
      </c>
      <c r="B167" s="1634" t="str">
        <f>'1D'!AH13</f>
        <v>BO5020NA</v>
      </c>
      <c r="C167" s="1634" t="str">
        <f>'1D'!AB13&amp;" - "&amp;'1D'!$AH$4</f>
        <v>Movement in provisions - Non-appointed</v>
      </c>
      <c r="D167" s="2" t="s">
        <v>8</v>
      </c>
      <c r="E167" s="2" t="s">
        <v>9</v>
      </c>
      <c r="F167" s="1634"/>
      <c r="G167" s="1635">
        <f>'1D'!I13</f>
        <v>0</v>
      </c>
      <c r="H167" s="1636"/>
    </row>
    <row r="168" spans="1:8">
      <c r="A168" s="1634" t="str">
        <f>INDEX(Lists!$C$4:$C$24,MATCH(Validation!$B$3,Lists!$B$4:$B$24,0))</f>
        <v>TMS</v>
      </c>
      <c r="B168" s="1634" t="str">
        <f>'1D'!AH14</f>
        <v>BO5004NA</v>
      </c>
      <c r="C168" s="1634" t="str">
        <f>'1D'!AB14&amp;" - "&amp;'1D'!$AH$4</f>
        <v>Profit on sale of fixed assets - Non-appointed</v>
      </c>
      <c r="D168" s="2" t="s">
        <v>8</v>
      </c>
      <c r="E168" s="2" t="s">
        <v>9</v>
      </c>
      <c r="F168" s="1634"/>
      <c r="G168" s="1635">
        <f>'1D'!I14</f>
        <v>0</v>
      </c>
      <c r="H168" s="1636"/>
    </row>
    <row r="169" spans="1:8">
      <c r="A169" s="1634" t="str">
        <f>INDEX(Lists!$C$4:$C$24,MATCH(Validation!$B$3,Lists!$B$4:$B$24,0))</f>
        <v>TMS</v>
      </c>
      <c r="B169" s="1634" t="str">
        <f>'1D'!AH17</f>
        <v>A14008NA</v>
      </c>
      <c r="C169" s="1634" t="str">
        <f>'1D'!AB17&amp;" - "&amp;'1D'!$AH$4</f>
        <v>Net interest paid - Non-appointed</v>
      </c>
      <c r="D169" s="2" t="s">
        <v>8</v>
      </c>
      <c r="E169" s="2" t="s">
        <v>9</v>
      </c>
      <c r="F169" s="1634"/>
      <c r="G169" s="1635">
        <f>'1D'!I17</f>
        <v>-3.2000000000000001E-2</v>
      </c>
      <c r="H169" s="1636"/>
    </row>
    <row r="170" spans="1:8">
      <c r="A170" s="1634" t="str">
        <f>INDEX(Lists!$C$4:$C$24,MATCH(Validation!$B$3,Lists!$B$4:$B$24,0))</f>
        <v>TMS</v>
      </c>
      <c r="B170" s="1634" t="str">
        <f>'1D'!AH18</f>
        <v>BO5070NA</v>
      </c>
      <c r="C170" s="1634" t="str">
        <f>'1D'!AB18&amp;" - "&amp;'1D'!$AH$4</f>
        <v>Tax paid - Non-appointed</v>
      </c>
      <c r="D170" s="2" t="s">
        <v>8</v>
      </c>
      <c r="E170" s="2" t="s">
        <v>9</v>
      </c>
      <c r="F170" s="1634"/>
      <c r="G170" s="1635">
        <f>'1D'!I18</f>
        <v>0</v>
      </c>
      <c r="H170" s="1636"/>
    </row>
    <row r="171" spans="1:8">
      <c r="A171" s="1634" t="str">
        <f>INDEX(Lists!$C$4:$C$24,MATCH(Validation!$B$3,Lists!$B$4:$B$24,0))</f>
        <v>TMS</v>
      </c>
      <c r="B171" s="1634" t="str">
        <f>'1D'!AH22</f>
        <v>BO5080NA</v>
      </c>
      <c r="C171" s="1634" t="str">
        <f>'1D'!AB22&amp;" - "&amp;'1D'!$AH$4</f>
        <v>Capital expenditure - Non-appointed</v>
      </c>
      <c r="D171" s="2" t="s">
        <v>8</v>
      </c>
      <c r="E171" s="2" t="s">
        <v>9</v>
      </c>
      <c r="F171" s="1634"/>
      <c r="G171" s="1635">
        <f>'1D'!I22</f>
        <v>0</v>
      </c>
      <c r="H171" s="1636"/>
    </row>
    <row r="172" spans="1:8">
      <c r="A172" s="1634" t="str">
        <f>INDEX(Lists!$C$4:$C$24,MATCH(Validation!$B$3,Lists!$B$4:$B$24,0))</f>
        <v>TMS</v>
      </c>
      <c r="B172" s="1634" t="str">
        <f>'1D'!AH23</f>
        <v>BO5081NA</v>
      </c>
      <c r="C172" s="1634" t="str">
        <f>'1D'!AB23&amp;" - "&amp;'1D'!$AH$4</f>
        <v>Grants &amp; Contributions - Non-appointed</v>
      </c>
      <c r="D172" s="2" t="s">
        <v>8</v>
      </c>
      <c r="E172" s="2" t="s">
        <v>9</v>
      </c>
      <c r="F172" s="1634"/>
      <c r="G172" s="1635">
        <f>'1D'!I23</f>
        <v>0</v>
      </c>
      <c r="H172" s="1636"/>
    </row>
    <row r="173" spans="1:8">
      <c r="A173" s="1634" t="str">
        <f>INDEX(Lists!$C$4:$C$24,MATCH(Validation!$B$3,Lists!$B$4:$B$24,0))</f>
        <v>TMS</v>
      </c>
      <c r="B173" s="1634" t="str">
        <f>'1D'!AH24</f>
        <v>BO5084NA</v>
      </c>
      <c r="C173" s="1634" t="str">
        <f>'1D'!AB24&amp;" - "&amp;'1D'!$AH$4</f>
        <v>Disposal of fixed assets - Non-appointed</v>
      </c>
      <c r="D173" s="2" t="s">
        <v>8</v>
      </c>
      <c r="E173" s="2" t="s">
        <v>9</v>
      </c>
      <c r="F173" s="1634"/>
      <c r="G173" s="1635">
        <f>'1D'!I24</f>
        <v>0</v>
      </c>
      <c r="H173" s="1636"/>
    </row>
    <row r="174" spans="1:8">
      <c r="A174" s="1634" t="str">
        <f>INDEX(Lists!$C$4:$C$24,MATCH(Validation!$B$3,Lists!$B$4:$B$24,0))</f>
        <v>TMS</v>
      </c>
      <c r="B174" s="1634" t="str">
        <f>'1D'!AH25</f>
        <v>BO5085NA</v>
      </c>
      <c r="C174" s="1634" t="str">
        <f>'1D'!AB25&amp;" - "&amp;'1D'!$AH$4</f>
        <v>Other - Non-appointed</v>
      </c>
      <c r="D174" s="2" t="s">
        <v>8</v>
      </c>
      <c r="E174" s="2" t="s">
        <v>9</v>
      </c>
      <c r="F174" s="1634"/>
      <c r="G174" s="1635">
        <f>'1D'!I25</f>
        <v>0</v>
      </c>
      <c r="H174" s="1636"/>
    </row>
    <row r="175" spans="1:8">
      <c r="A175" s="1634" t="str">
        <f>INDEX(Lists!$C$4:$C$24,MATCH(Validation!$B$3,Lists!$B$4:$B$24,0))</f>
        <v>TMS</v>
      </c>
      <c r="B175" s="1634" t="str">
        <f>'1D'!AH31</f>
        <v>BO5204NA</v>
      </c>
      <c r="C175" s="1634" t="str">
        <f>'1D'!AB31&amp;" - "&amp;'1D'!$AH$4</f>
        <v>Equity dividends paid - Non-appointed</v>
      </c>
      <c r="D175" s="2" t="s">
        <v>8</v>
      </c>
      <c r="E175" s="2" t="s">
        <v>9</v>
      </c>
      <c r="F175" s="1634"/>
      <c r="G175" s="1635">
        <f>'1D'!I31</f>
        <v>0</v>
      </c>
      <c r="H175" s="1636"/>
    </row>
    <row r="176" spans="1:8">
      <c r="A176" s="1634" t="str">
        <f>INDEX(Lists!$C$4:$C$24,MATCH(Validation!$B$3,Lists!$B$4:$B$24,0))</f>
        <v>TMS</v>
      </c>
      <c r="B176" s="1634" t="str">
        <f>'1D'!AH32</f>
        <v>A14019NA</v>
      </c>
      <c r="C176" s="1634" t="str">
        <f>'1D'!AB32&amp;" - "&amp;'1D'!$AH$4</f>
        <v>Net loans received - Non-appointed</v>
      </c>
      <c r="D176" s="2" t="s">
        <v>8</v>
      </c>
      <c r="E176" s="2" t="s">
        <v>9</v>
      </c>
      <c r="F176" s="1634"/>
      <c r="G176" s="1635">
        <f>'1D'!I32</f>
        <v>0</v>
      </c>
      <c r="H176" s="1636"/>
    </row>
    <row r="177" spans="1:8" ht="15" thickBot="1">
      <c r="A177" s="1642" t="str">
        <f>INDEX(Lists!$C$4:$C$24,MATCH(Validation!$B$3,Lists!$B$4:$B$24,0))</f>
        <v>TMS</v>
      </c>
      <c r="B177" s="1642" t="str">
        <f>'1D'!AH33</f>
        <v>BO5095NA</v>
      </c>
      <c r="C177" s="1642" t="str">
        <f>'1D'!AB33&amp;" - "&amp;'1D'!$AH$4</f>
        <v>Cash inflow from equity financing - Non-appointed</v>
      </c>
      <c r="D177" s="1648" t="s">
        <v>8</v>
      </c>
      <c r="E177" s="1648" t="s">
        <v>9</v>
      </c>
      <c r="F177" s="1642"/>
      <c r="G177" s="1658">
        <f>'1D'!I33</f>
        <v>0</v>
      </c>
      <c r="H177" s="1649"/>
    </row>
    <row r="178" spans="1:8">
      <c r="A178" s="1634" t="str">
        <f>INDEX(Lists!$C$4:$C$24,MATCH(Validation!$B$3,Lists!$B$4:$B$24,0))</f>
        <v>TMS</v>
      </c>
      <c r="B178" s="1634" t="str">
        <f>'1E'!AF6</f>
        <v>BO5332FX</v>
      </c>
      <c r="C178" s="1634" t="str">
        <f>'1E'!AB6&amp;" - "&amp;'1E'!$AF$4</f>
        <v>Borrowings (excluding preference shares) - Fixed rate</v>
      </c>
      <c r="D178" s="2" t="s">
        <v>8</v>
      </c>
      <c r="E178" s="2" t="s">
        <v>9</v>
      </c>
      <c r="F178" s="1634"/>
      <c r="G178" s="1635">
        <f>'1E'!G6</f>
        <v>5681.0820000000003</v>
      </c>
      <c r="H178" s="1636"/>
    </row>
    <row r="179" spans="1:8">
      <c r="A179" s="1634" t="str">
        <f>INDEX(Lists!$C$4:$C$24,MATCH(Validation!$B$3,Lists!$B$4:$B$24,0))</f>
        <v>TMS</v>
      </c>
      <c r="B179" s="1634" t="str">
        <f>'1E'!AF16</f>
        <v>BO130FXI</v>
      </c>
      <c r="C179" s="1634" t="str">
        <f>'1E'!AB16&amp;" - "&amp;'1E'!$AF$4</f>
        <v>Full year equivalent nominal interest cost - Fixed rate</v>
      </c>
      <c r="D179" s="2" t="s">
        <v>8</v>
      </c>
      <c r="E179" s="2" t="s">
        <v>9</v>
      </c>
      <c r="F179" s="1634"/>
      <c r="G179" s="1635">
        <f>'1E'!G16</f>
        <v>286.19200000000001</v>
      </c>
      <c r="H179" s="1636"/>
    </row>
    <row r="180" spans="1:8">
      <c r="A180" s="1634" t="str">
        <f>INDEX(Lists!$C$4:$C$24,MATCH(Validation!$B$3,Lists!$B$4:$B$24,0))</f>
        <v>TMS</v>
      </c>
      <c r="B180" s="1634" t="str">
        <f>'1E'!AF17</f>
        <v>BO135FXI</v>
      </c>
      <c r="C180" s="1634" t="str">
        <f>'1E'!AB17&amp;" - "&amp;'1E'!$AF$4</f>
        <v>Full year equivalent cash interest payment - Fixed rate</v>
      </c>
      <c r="D180" s="2" t="s">
        <v>8</v>
      </c>
      <c r="E180" s="2" t="s">
        <v>9</v>
      </c>
      <c r="F180" s="1634"/>
      <c r="G180" s="1635">
        <f>'1E'!G17</f>
        <v>286.19200000000001</v>
      </c>
      <c r="H180" s="1636"/>
    </row>
    <row r="181" spans="1:8">
      <c r="A181" s="1634" t="str">
        <f>INDEX(Lists!$C$4:$C$24,MATCH(Validation!$B$3,Lists!$B$4:$B$24,0))</f>
        <v>TMS</v>
      </c>
      <c r="B181" s="1677" t="str">
        <f>'1E'!AF20</f>
        <v>FI00500FX</v>
      </c>
      <c r="C181" s="1634" t="str">
        <f>'1E'!AB20&amp;" - "&amp;'1E'!$AF$4</f>
        <v>Indicative weighted average nominal interest rate - Fixed rate</v>
      </c>
      <c r="D181" s="2" t="s">
        <v>10</v>
      </c>
      <c r="E181" s="2" t="s">
        <v>9</v>
      </c>
      <c r="F181" s="1634"/>
      <c r="G181" s="1678">
        <f>'1E'!G20</f>
        <v>4.9801037725555809E-2</v>
      </c>
      <c r="H181" s="1636"/>
    </row>
    <row r="182" spans="1:8">
      <c r="A182" s="1634" t="str">
        <f>INDEX(Lists!$C$4:$C$24,MATCH(Validation!$B$3,Lists!$B$4:$B$24,0))</f>
        <v>TMS</v>
      </c>
      <c r="B182" s="1677" t="str">
        <f>'1E'!AF21</f>
        <v>FI00510FX</v>
      </c>
      <c r="C182" s="1634" t="str">
        <f>'1E'!AB21&amp;" - "&amp;'1E'!$AF$4</f>
        <v>Indicative weighted average cash interest rate - Fixed rate</v>
      </c>
      <c r="D182" s="2" t="s">
        <v>10</v>
      </c>
      <c r="E182" s="2" t="s">
        <v>9</v>
      </c>
      <c r="F182" s="1634"/>
      <c r="G182" s="1678">
        <f>'1E'!G21</f>
        <v>4.9801037725555809E-2</v>
      </c>
      <c r="H182" s="1636"/>
    </row>
    <row r="183" spans="1:8">
      <c r="A183" s="1637" t="str">
        <f>INDEX(Lists!$C$4:$C$24,MATCH(Validation!$B$3,Lists!$B$4:$B$24,0))</f>
        <v>TMS</v>
      </c>
      <c r="B183" s="1679" t="str">
        <f>'1E'!AF23</f>
        <v>FI00560FX</v>
      </c>
      <c r="C183" s="1637" t="str">
        <f>'1E'!AB23&amp;" - "&amp;'1E'!$AF$4</f>
        <v>Weighted average years to maturity - Fixed rate</v>
      </c>
      <c r="D183" s="1651" t="s">
        <v>11</v>
      </c>
      <c r="E183" s="1651" t="s">
        <v>9</v>
      </c>
      <c r="F183" s="1637"/>
      <c r="G183" s="1680">
        <f>'1E'!G23</f>
        <v>12.5</v>
      </c>
      <c r="H183" s="1652"/>
    </row>
    <row r="184" spans="1:8">
      <c r="A184" s="1634" t="str">
        <f>INDEX(Lists!$C$4:$C$24,MATCH(Validation!$B$3,Lists!$B$4:$B$24,0))</f>
        <v>TMS</v>
      </c>
      <c r="B184" s="1634" t="str">
        <f>'1E'!AG6</f>
        <v>BO5332FR</v>
      </c>
      <c r="C184" s="1634" t="str">
        <f>'1E'!AB6&amp;" - "&amp;'1E'!$AG$4</f>
        <v>Borrowings (excluding preference shares) - Floating rate</v>
      </c>
      <c r="D184" s="2" t="s">
        <v>8</v>
      </c>
      <c r="E184" s="2" t="s">
        <v>9</v>
      </c>
      <c r="F184" s="1634"/>
      <c r="G184" s="1635">
        <f>'1E'!H6</f>
        <v>93.418999999999997</v>
      </c>
      <c r="H184" s="1636"/>
    </row>
    <row r="185" spans="1:8">
      <c r="A185" s="1634" t="str">
        <f>INDEX(Lists!$C$4:$C$24,MATCH(Validation!$B$3,Lists!$B$4:$B$24,0))</f>
        <v>TMS</v>
      </c>
      <c r="B185" s="1634" t="str">
        <f>'1E'!AG16</f>
        <v>BO130FRI</v>
      </c>
      <c r="C185" s="1634" t="str">
        <f>'1E'!AB16&amp;" - "&amp;'1E'!$AG$4</f>
        <v>Full year equivalent nominal interest cost - Floating rate</v>
      </c>
      <c r="D185" s="2" t="s">
        <v>8</v>
      </c>
      <c r="E185" s="2" t="s">
        <v>9</v>
      </c>
      <c r="F185" s="1634"/>
      <c r="G185" s="1635">
        <f>'1E'!H16</f>
        <v>2.5049999999999999</v>
      </c>
      <c r="H185" s="1636"/>
    </row>
    <row r="186" spans="1:8">
      <c r="A186" s="1634" t="str">
        <f>INDEX(Lists!$C$4:$C$24,MATCH(Validation!$B$3,Lists!$B$4:$B$24,0))</f>
        <v>TMS</v>
      </c>
      <c r="B186" s="1634" t="str">
        <f>'1E'!AG17</f>
        <v>BO135FRI</v>
      </c>
      <c r="C186" s="1634" t="str">
        <f>'1E'!AB17&amp;" - "&amp;'1E'!$AG$4</f>
        <v>Full year equivalent cash interest payment - Floating rate</v>
      </c>
      <c r="D186" s="2" t="s">
        <v>8</v>
      </c>
      <c r="E186" s="2" t="s">
        <v>9</v>
      </c>
      <c r="F186" s="1634"/>
      <c r="G186" s="1635">
        <f>'1E'!H17</f>
        <v>2.5049999999999999</v>
      </c>
      <c r="H186" s="1636"/>
    </row>
    <row r="187" spans="1:8">
      <c r="A187" s="1634" t="str">
        <f>INDEX(Lists!$C$4:$C$24,MATCH(Validation!$B$3,Lists!$B$4:$B$24,0))</f>
        <v>TMS</v>
      </c>
      <c r="B187" s="1677" t="str">
        <f>'1E'!AG20</f>
        <v>FI00500FR</v>
      </c>
      <c r="C187" s="1634" t="str">
        <f>'1E'!AB20&amp;" - "&amp;'1E'!$AG$4</f>
        <v>Indicative weighted average nominal interest rate - Floating rate</v>
      </c>
      <c r="D187" s="2" t="s">
        <v>10</v>
      </c>
      <c r="E187" s="2" t="s">
        <v>9</v>
      </c>
      <c r="F187" s="1634"/>
      <c r="G187" s="1678">
        <f>'1E'!H20</f>
        <v>2.6771343289925989E-2</v>
      </c>
      <c r="H187" s="1636"/>
    </row>
    <row r="188" spans="1:8">
      <c r="A188" s="1634" t="str">
        <f>INDEX(Lists!$C$4:$C$24,MATCH(Validation!$B$3,Lists!$B$4:$B$24,0))</f>
        <v>TMS</v>
      </c>
      <c r="B188" s="1677" t="str">
        <f>'1E'!AG21</f>
        <v>FI00510FR</v>
      </c>
      <c r="C188" s="1634" t="str">
        <f>'1E'!AB21&amp;" - "&amp;'1E'!$AG$4</f>
        <v>Indicative weighted average cash interest rate - Floating rate</v>
      </c>
      <c r="D188" s="2" t="s">
        <v>10</v>
      </c>
      <c r="E188" s="2" t="s">
        <v>9</v>
      </c>
      <c r="F188" s="1634"/>
      <c r="G188" s="1678">
        <f>'1E'!H21</f>
        <v>2.6771343289925989E-2</v>
      </c>
      <c r="H188" s="1636"/>
    </row>
    <row r="189" spans="1:8">
      <c r="A189" s="1637" t="str">
        <f>INDEX(Lists!$C$4:$C$24,MATCH(Validation!$B$3,Lists!$B$4:$B$24,0))</f>
        <v>TMS</v>
      </c>
      <c r="B189" s="1679" t="str">
        <f>'1E'!AG23</f>
        <v>FI00560FR</v>
      </c>
      <c r="C189" s="1637" t="str">
        <f>'1E'!AB23&amp;" - "&amp;'1E'!$AG$4</f>
        <v>Weighted average years to maturity - Floating rate</v>
      </c>
      <c r="D189" s="1651" t="s">
        <v>11</v>
      </c>
      <c r="E189" s="1651" t="s">
        <v>9</v>
      </c>
      <c r="F189" s="1637"/>
      <c r="G189" s="1680">
        <f>'1E'!H23</f>
        <v>1.9</v>
      </c>
      <c r="H189" s="1652"/>
    </row>
    <row r="190" spans="1:8">
      <c r="A190" s="1634" t="str">
        <f>INDEX(Lists!$C$4:$C$24,MATCH(Validation!$B$3,Lists!$B$4:$B$24,0))</f>
        <v>TMS</v>
      </c>
      <c r="B190" s="1634" t="str">
        <f>'1E'!AH6</f>
        <v>BO5332IL</v>
      </c>
      <c r="C190" s="1634" t="str">
        <f>'1E'!AB6&amp;" - "&amp;'1E'!$AH$4</f>
        <v>Borrowings (excluding preference shares) - Index linked</v>
      </c>
      <c r="D190" s="2" t="s">
        <v>8</v>
      </c>
      <c r="E190" s="2" t="s">
        <v>9</v>
      </c>
      <c r="F190" s="1634"/>
      <c r="G190" s="1635">
        <f>'1E'!I6</f>
        <v>5694.9260000000004</v>
      </c>
      <c r="H190" s="1636"/>
    </row>
    <row r="191" spans="1:8">
      <c r="A191" s="1634" t="str">
        <f>INDEX(Lists!$C$4:$C$24,MATCH(Validation!$B$3,Lists!$B$4:$B$24,0))</f>
        <v>TMS</v>
      </c>
      <c r="B191" s="1634" t="str">
        <f>'1E'!AH16</f>
        <v>BO130ILI</v>
      </c>
      <c r="C191" s="1634" t="str">
        <f>'1E'!AB16&amp;" - "&amp;'1E'!$AH$4</f>
        <v>Full year equivalent nominal interest cost - Index linked</v>
      </c>
      <c r="D191" s="2" t="s">
        <v>8</v>
      </c>
      <c r="E191" s="2" t="s">
        <v>9</v>
      </c>
      <c r="F191" s="1634"/>
      <c r="G191" s="1635">
        <f>'1E'!I16</f>
        <v>313.87700000000001</v>
      </c>
      <c r="H191" s="1636"/>
    </row>
    <row r="192" spans="1:8">
      <c r="A192" s="1634" t="str">
        <f>INDEX(Lists!$C$4:$C$24,MATCH(Validation!$B$3,Lists!$B$4:$B$24,0))</f>
        <v>TMS</v>
      </c>
      <c r="B192" s="1634" t="str">
        <f>'1E'!AH17</f>
        <v>BO135ILI</v>
      </c>
      <c r="C192" s="1634" t="str">
        <f>'1E'!AB17&amp;" - "&amp;'1E'!$AH$4</f>
        <v>Full year equivalent cash interest payment - Index linked</v>
      </c>
      <c r="D192" s="2" t="s">
        <v>8</v>
      </c>
      <c r="E192" s="2" t="s">
        <v>9</v>
      </c>
      <c r="F192" s="1634"/>
      <c r="G192" s="1635">
        <f>'1E'!I17</f>
        <v>91.328000000000003</v>
      </c>
      <c r="H192" s="1636"/>
    </row>
    <row r="193" spans="1:8">
      <c r="A193" s="1634" t="str">
        <f>INDEX(Lists!$C$4:$C$24,MATCH(Validation!$B$3,Lists!$B$4:$B$24,0))</f>
        <v>TMS</v>
      </c>
      <c r="B193" s="1677" t="str">
        <f>'1E'!AH20</f>
        <v>FI00500IL</v>
      </c>
      <c r="C193" s="1634" t="str">
        <f>'1E'!AB20&amp;" - "&amp;'1E'!$AH$4</f>
        <v>Indicative weighted average nominal interest rate - Index linked</v>
      </c>
      <c r="D193" s="2" t="s">
        <v>10</v>
      </c>
      <c r="E193" s="2" t="s">
        <v>9</v>
      </c>
      <c r="F193" s="1634"/>
      <c r="G193" s="1678">
        <f>'1E'!I20</f>
        <v>5.4997593709638519E-2</v>
      </c>
      <c r="H193" s="1636"/>
    </row>
    <row r="194" spans="1:8">
      <c r="A194" s="1634" t="str">
        <f>INDEX(Lists!$C$4:$C$24,MATCH(Validation!$B$3,Lists!$B$4:$B$24,0))</f>
        <v>TMS</v>
      </c>
      <c r="B194" s="1677" t="str">
        <f>'1E'!AH21</f>
        <v>FI00510IL</v>
      </c>
      <c r="C194" s="1634" t="str">
        <f>'1E'!AB21&amp;" - "&amp;'1E'!$AH$4</f>
        <v>Indicative weighted average cash interest rate - Index linked</v>
      </c>
      <c r="D194" s="2" t="s">
        <v>10</v>
      </c>
      <c r="E194" s="2" t="s">
        <v>9</v>
      </c>
      <c r="F194" s="1634"/>
      <c r="G194" s="1678">
        <f>'1E'!I21</f>
        <v>1.6E-2</v>
      </c>
      <c r="H194" s="1636"/>
    </row>
    <row r="195" spans="1:8">
      <c r="A195" s="1637" t="str">
        <f>INDEX(Lists!$C$4:$C$24,MATCH(Validation!$B$3,Lists!$B$4:$B$24,0))</f>
        <v>TMS</v>
      </c>
      <c r="B195" s="1679" t="str">
        <f>'1E'!AH23</f>
        <v>FI00560IL</v>
      </c>
      <c r="C195" s="1637" t="str">
        <f>'1E'!AB23&amp;" - "&amp;'1E'!$AH$4</f>
        <v>Weighted average years to maturity - Index linked</v>
      </c>
      <c r="D195" s="1651" t="s">
        <v>11</v>
      </c>
      <c r="E195" s="1651" t="s">
        <v>9</v>
      </c>
      <c r="F195" s="1637"/>
      <c r="G195" s="1680">
        <f>'1E'!I23</f>
        <v>22.4</v>
      </c>
      <c r="H195" s="1652"/>
    </row>
    <row r="196" spans="1:8">
      <c r="A196" s="1634" t="str">
        <f>INDEX(Lists!$C$4:$C$24,MATCH(Validation!$B$3,Lists!$B$4:$B$24,0))</f>
        <v>TMS</v>
      </c>
      <c r="B196" s="1634" t="str">
        <f>'1E'!AI9</f>
        <v>FT01690</v>
      </c>
      <c r="C196" s="1634" t="str">
        <f>'1E'!AB9&amp;" - "&amp;'1E'!$AI$4</f>
        <v>Cash - Total</v>
      </c>
      <c r="D196" s="2" t="s">
        <v>8</v>
      </c>
      <c r="E196" s="2" t="s">
        <v>9</v>
      </c>
      <c r="F196" s="1634"/>
      <c r="G196" s="1635">
        <f>'1E'!J9</f>
        <v>-104.4</v>
      </c>
      <c r="H196" s="1636"/>
    </row>
    <row r="197" spans="1:8">
      <c r="A197" s="1634" t="str">
        <f>INDEX(Lists!$C$4:$C$24,MATCH(Validation!$B$3,Lists!$B$4:$B$24,0))</f>
        <v>TMS</v>
      </c>
      <c r="B197" s="1634" t="str">
        <f>'1E'!AI10</f>
        <v>PP0021</v>
      </c>
      <c r="C197" s="1634" t="str">
        <f>'1E'!AB10&amp;" - "&amp;'1E'!$AI$4</f>
        <v>Short term deposits - Total</v>
      </c>
      <c r="D197" s="2" t="s">
        <v>8</v>
      </c>
      <c r="E197" s="2" t="s">
        <v>9</v>
      </c>
      <c r="F197" s="1634"/>
      <c r="G197" s="1635">
        <f>'1E'!J10</f>
        <v>0</v>
      </c>
      <c r="H197" s="1636"/>
    </row>
    <row r="198" spans="1:8">
      <c r="A198" s="1634" t="str">
        <f>INDEX(Lists!$C$4:$C$24,MATCH(Validation!$B$3,Lists!$B$4:$B$24,0))</f>
        <v>TMS</v>
      </c>
      <c r="B198" s="1677" t="str">
        <f>'1E'!AI14</f>
        <v>FI00300CV</v>
      </c>
      <c r="C198" s="1634" t="str">
        <f>'1E'!AB14&amp;" - "&amp;'1E'!$AI$4</f>
        <v>Adjusted gearing - Total</v>
      </c>
      <c r="D198" s="2" t="s">
        <v>10</v>
      </c>
      <c r="E198" s="2" t="s">
        <v>9</v>
      </c>
      <c r="F198" s="1634"/>
      <c r="G198" s="1678">
        <f>'1E'!J14</f>
        <v>0.81299999999999994</v>
      </c>
      <c r="H198" s="1636"/>
    </row>
    <row r="199" spans="1:8">
      <c r="A199" s="1634" t="str">
        <f>INDEX(Lists!$C$4:$C$24,MATCH(Validation!$B$3,Lists!$B$4:$B$24,0))</f>
        <v>TMS</v>
      </c>
      <c r="B199" s="1677" t="str">
        <f>'1E'!AI20</f>
        <v>FI00500</v>
      </c>
      <c r="C199" s="1634" t="str">
        <f>'1E'!AB20&amp;" - "&amp;'1E'!$AI$4</f>
        <v>Indicative weighted average nominal interest rate - Total</v>
      </c>
      <c r="D199" s="2" t="s">
        <v>10</v>
      </c>
      <c r="E199" s="2" t="s">
        <v>9</v>
      </c>
      <c r="F199" s="1634"/>
      <c r="G199" s="1678">
        <f>'1E'!J20</f>
        <v>5.219371093928532E-2</v>
      </c>
      <c r="H199" s="1636"/>
    </row>
    <row r="200" spans="1:8">
      <c r="A200" s="1634" t="str">
        <f>INDEX(Lists!$C$4:$C$24,MATCH(Validation!$B$3,Lists!$B$4:$B$24,0))</f>
        <v>TMS</v>
      </c>
      <c r="B200" s="1677" t="str">
        <f>'1E'!AI21</f>
        <v>FI00510</v>
      </c>
      <c r="C200" s="1634" t="str">
        <f>'1E'!AB21&amp;" - "&amp;'1E'!$AI$4</f>
        <v>Indicative weighted average cash interest rate - Total</v>
      </c>
      <c r="D200" s="2" t="s">
        <v>10</v>
      </c>
      <c r="E200" s="2" t="s">
        <v>9</v>
      </c>
      <c r="F200" s="1634"/>
      <c r="G200" s="1678">
        <f>'1E'!J21</f>
        <v>3.2830196933358369E-2</v>
      </c>
      <c r="H200" s="1636"/>
    </row>
    <row r="201" spans="1:8" ht="15" thickBot="1">
      <c r="A201" s="1642" t="str">
        <f>INDEX(Lists!$C$4:$C$24,MATCH(Validation!$B$3,Lists!$B$4:$B$24,0))</f>
        <v>TMS</v>
      </c>
      <c r="B201" s="1681" t="str">
        <f>'1E'!AI23</f>
        <v>FI00560</v>
      </c>
      <c r="C201" s="1634" t="str">
        <f>'1E'!AB23&amp;" - "&amp;'1E'!$AI$4</f>
        <v>Weighted average years to maturity - Total</v>
      </c>
      <c r="D201" s="1648" t="s">
        <v>11</v>
      </c>
      <c r="E201" s="1648" t="s">
        <v>9</v>
      </c>
      <c r="F201" s="1642"/>
      <c r="G201" s="1682">
        <f>'1E'!J23</f>
        <v>17.3</v>
      </c>
      <c r="H201" s="1649"/>
    </row>
    <row r="202" spans="1:8">
      <c r="A202" s="1634" t="str">
        <f>INDEX(Lists!$C$4:$C$24,MATCH(Validation!$B$3,Lists!$B$4:$B$24,0))</f>
        <v>TMS</v>
      </c>
      <c r="B202" s="1641" t="str">
        <f>'2A'!BL6</f>
        <v>A19016RHPC</v>
      </c>
      <c r="C202" s="1641" t="str">
        <f>'2A'!BH6&amp;" - "&amp;'2A'!$BL$3&amp;" ("&amp;'2A'!$BL$4&amp;")"</f>
        <v>Revenue - price control - Retail (Household)</v>
      </c>
      <c r="D202" s="1644" t="s">
        <v>8</v>
      </c>
      <c r="E202" s="1644" t="s">
        <v>9</v>
      </c>
      <c r="F202" s="1641"/>
      <c r="G202" s="1659">
        <f>'2A'!G6</f>
        <v>168.292</v>
      </c>
      <c r="H202" s="1645"/>
    </row>
    <row r="203" spans="1:8">
      <c r="A203" s="1634" t="str">
        <f>INDEX(Lists!$C$4:$C$24,MATCH(Validation!$B$3,Lists!$B$4:$B$24,0))</f>
        <v>TMS</v>
      </c>
      <c r="B203" s="1634" t="str">
        <f>'2A'!BL7</f>
        <v>A19016RHNPC</v>
      </c>
      <c r="C203" s="1634" t="str">
        <f>'2A'!BH7&amp;" - "&amp;'2A'!$BL$3&amp;" ("&amp;'2A'!$BL$4&amp;")"</f>
        <v>Revenue - non price control - Retail (Household)</v>
      </c>
      <c r="D203" s="2" t="s">
        <v>8</v>
      </c>
      <c r="E203" s="2" t="s">
        <v>9</v>
      </c>
      <c r="F203" s="1634"/>
      <c r="G203" s="1635">
        <f>'2A'!G7</f>
        <v>0</v>
      </c>
      <c r="H203" s="1636"/>
    </row>
    <row r="204" spans="1:8">
      <c r="A204" s="1634" t="str">
        <f>INDEX(Lists!$C$4:$C$24,MATCH(Validation!$B$3,Lists!$B$4:$B$24,0))</f>
        <v>TMS</v>
      </c>
      <c r="B204" s="1634" t="str">
        <f>'2A'!BL10</f>
        <v>BM9027H</v>
      </c>
      <c r="C204" s="1634" t="str">
        <f>'2A'!BH10&amp;" - "&amp;'2A'!$BL$3&amp;" ("&amp;'2A'!$BL$4&amp;")"</f>
        <v>Amortisation - intangible fixed assets - Retail (Household)</v>
      </c>
      <c r="D204" s="2" t="s">
        <v>8</v>
      </c>
      <c r="E204" s="2" t="s">
        <v>9</v>
      </c>
      <c r="F204" s="1634"/>
      <c r="G204" s="1635">
        <f>'2A'!G10</f>
        <v>-1.0009999999999999</v>
      </c>
      <c r="H204" s="1636"/>
    </row>
    <row r="205" spans="1:8">
      <c r="A205" s="1634" t="str">
        <f>INDEX(Lists!$C$4:$C$24,MATCH(Validation!$B$3,Lists!$B$4:$B$24,0))</f>
        <v>TMS</v>
      </c>
      <c r="B205" s="1634" t="str">
        <f>'2A'!BL11</f>
        <v>A19015RH</v>
      </c>
      <c r="C205" s="1634" t="str">
        <f>'2A'!BH11&amp;" - "&amp;'2A'!$BL$3&amp;" ("&amp;'2A'!$BL$4&amp;")"</f>
        <v>Other operating income - Retail (Household)</v>
      </c>
      <c r="D205" s="2" t="s">
        <v>8</v>
      </c>
      <c r="E205" s="2" t="s">
        <v>9</v>
      </c>
      <c r="F205" s="1634"/>
      <c r="G205" s="1635">
        <f>'2A'!G11</f>
        <v>5.2999999999999999E-2</v>
      </c>
      <c r="H205" s="1636"/>
    </row>
    <row r="206" spans="1:8">
      <c r="A206" s="1634" t="str">
        <f>INDEX(Lists!$C$4:$C$24,MATCH(Validation!$B$3,Lists!$B$4:$B$24,0))</f>
        <v>TMS</v>
      </c>
      <c r="B206" s="1634" t="str">
        <f>'2A'!BL15</f>
        <v>BM9037</v>
      </c>
      <c r="C206" s="1634" t="str">
        <f>'2A'!BH14&amp;" - "&amp;'2A'!BH15&amp;" - "&amp;'2A'!$BL$3&amp;" ("&amp;'2A'!$BL$4&amp;")"</f>
        <v>Recharges in respect of 'principal use' assets - Recharges from other segments - Retail (Household)</v>
      </c>
      <c r="D206" s="2" t="s">
        <v>8</v>
      </c>
      <c r="E206" s="2" t="s">
        <v>9</v>
      </c>
      <c r="F206" s="1634"/>
      <c r="G206" s="1635">
        <f>'2A'!G15</f>
        <v>0</v>
      </c>
      <c r="H206" s="1636"/>
    </row>
    <row r="207" spans="1:8">
      <c r="A207" s="1637" t="str">
        <f>INDEX(Lists!$C$4:$C$24,MATCH(Validation!$B$3,Lists!$B$4:$B$24,0))</f>
        <v>TMS</v>
      </c>
      <c r="B207" s="1637" t="str">
        <f>'2A'!BL16</f>
        <v>BM9036</v>
      </c>
      <c r="C207" s="1637" t="str">
        <f>'2A'!BH14&amp;" - "&amp;'2A'!BH16&amp;" - "&amp;'2A'!$BL$3&amp;" ("&amp;'2A'!$BL$4&amp;")"</f>
        <v>Recharges in respect of 'principal use' assets - Recharges to other segments - Retail (Household)</v>
      </c>
      <c r="D207" s="1651" t="s">
        <v>8</v>
      </c>
      <c r="E207" s="1651" t="s">
        <v>9</v>
      </c>
      <c r="F207" s="1637"/>
      <c r="G207" s="1653">
        <f>'2A'!G16</f>
        <v>0</v>
      </c>
      <c r="H207" s="1652"/>
    </row>
    <row r="208" spans="1:8">
      <c r="A208" s="1634" t="str">
        <f>INDEX(Lists!$C$4:$C$24,MATCH(Validation!$B$3,Lists!$B$4:$B$24,0))</f>
        <v>TMS</v>
      </c>
      <c r="B208" s="1634" t="str">
        <f>'2A'!BM6</f>
        <v>A19016RNHPC</v>
      </c>
      <c r="C208" s="1634" t="str">
        <f>'2A'!BH6&amp;" - "&amp;'2A'!$BL$3&amp;" ("&amp;'2A'!$BM$4&amp;")"</f>
        <v>Revenue - price control - Retail (Non-Household)</v>
      </c>
      <c r="D208" s="2" t="s">
        <v>8</v>
      </c>
      <c r="E208" s="2" t="s">
        <v>9</v>
      </c>
      <c r="F208" s="1634"/>
      <c r="G208" s="1635">
        <f>'2A'!H6</f>
        <v>-0.82799999999999996</v>
      </c>
      <c r="H208" s="1636"/>
    </row>
    <row r="209" spans="1:8">
      <c r="A209" s="1634" t="str">
        <f>INDEX(Lists!$C$4:$C$24,MATCH(Validation!$B$3,Lists!$B$4:$B$24,0))</f>
        <v>TMS</v>
      </c>
      <c r="B209" s="1634" t="str">
        <f>'2A'!BM7</f>
        <v>A19016RNHNPC</v>
      </c>
      <c r="C209" s="1634" t="str">
        <f>'2A'!BH7&amp;" - "&amp;'2A'!$BL$3&amp;" ("&amp;'2A'!$BM$4&amp;")"</f>
        <v>Revenue - non price control - Retail (Non-Household)</v>
      </c>
      <c r="D209" s="2" t="s">
        <v>8</v>
      </c>
      <c r="E209" s="2" t="s">
        <v>9</v>
      </c>
      <c r="F209" s="1634"/>
      <c r="G209" s="1635">
        <f>'2A'!H7</f>
        <v>0</v>
      </c>
      <c r="H209" s="1636"/>
    </row>
    <row r="210" spans="1:8">
      <c r="A210" s="1634" t="str">
        <f>INDEX(Lists!$C$4:$C$24,MATCH(Validation!$B$3,Lists!$B$4:$B$24,0))</f>
        <v>TMS</v>
      </c>
      <c r="B210" s="1634" t="str">
        <f>'2A'!BM10</f>
        <v>BM9027NH</v>
      </c>
      <c r="C210" s="1634" t="str">
        <f>'2A'!BH10&amp;" - "&amp;'2A'!$BL$3&amp;" ("&amp;'2A'!$BM$4&amp;")"</f>
        <v>Amortisation - intangible fixed assets - Retail (Non-Household)</v>
      </c>
      <c r="D210" s="2" t="s">
        <v>8</v>
      </c>
      <c r="E210" s="2" t="s">
        <v>9</v>
      </c>
      <c r="F210" s="1634"/>
      <c r="G210" s="1635">
        <f>'2A'!H10</f>
        <v>0</v>
      </c>
      <c r="H210" s="1636"/>
    </row>
    <row r="211" spans="1:8">
      <c r="A211" s="1634" t="str">
        <f>INDEX(Lists!$C$4:$C$24,MATCH(Validation!$B$3,Lists!$B$4:$B$24,0))</f>
        <v>TMS</v>
      </c>
      <c r="B211" s="1634" t="str">
        <f>'2A'!BM11</f>
        <v>A19015RNH</v>
      </c>
      <c r="C211" s="1634" t="str">
        <f>'2A'!BH11&amp;" - "&amp;'2A'!$BL$3&amp;" ("&amp;'2A'!$BM$4&amp;")"</f>
        <v>Other operating income - Retail (Non-Household)</v>
      </c>
      <c r="D211" s="2" t="s">
        <v>8</v>
      </c>
      <c r="E211" s="2" t="s">
        <v>9</v>
      </c>
      <c r="F211" s="1634"/>
      <c r="G211" s="1635">
        <f>'2A'!H11</f>
        <v>88.778999999999996</v>
      </c>
      <c r="H211" s="1636"/>
    </row>
    <row r="212" spans="1:8">
      <c r="A212" s="1634" t="str">
        <f>INDEX(Lists!$C$4:$C$24,MATCH(Validation!$B$3,Lists!$B$4:$B$24,0))</f>
        <v>TMS</v>
      </c>
      <c r="B212" s="1634" t="str">
        <f>'2A'!BM15</f>
        <v>BM9337</v>
      </c>
      <c r="C212" s="1634" t="str">
        <f>'2A'!BH14&amp;" - "&amp;'2A'!BH15&amp;" - "&amp;'2A'!$BL$3&amp;" ("&amp;'2A'!$BM$4&amp;")"</f>
        <v>Recharges in respect of 'principal use' assets - Recharges from other segments - Retail (Non-Household)</v>
      </c>
      <c r="D212" s="2" t="s">
        <v>8</v>
      </c>
      <c r="E212" s="2" t="s">
        <v>9</v>
      </c>
      <c r="F212" s="1634"/>
      <c r="G212" s="1635">
        <f>'2A'!H15</f>
        <v>0</v>
      </c>
      <c r="H212" s="1636"/>
    </row>
    <row r="213" spans="1:8">
      <c r="A213" s="1637" t="str">
        <f>INDEX(Lists!$C$4:$C$24,MATCH(Validation!$B$3,Lists!$B$4:$B$24,0))</f>
        <v>TMS</v>
      </c>
      <c r="B213" s="1637" t="str">
        <f>'2A'!BM16</f>
        <v>BM9336</v>
      </c>
      <c r="C213" s="1637" t="str">
        <f>'2A'!BH14&amp;" - "&amp;'2A'!BH16&amp;" - "&amp;'2A'!$BL$3&amp;" ("&amp;'2A'!$BM$4&amp;")"</f>
        <v>Recharges in respect of 'principal use' assets - Recharges to other segments - Retail (Non-Household)</v>
      </c>
      <c r="D213" s="1651" t="s">
        <v>8</v>
      </c>
      <c r="E213" s="1651" t="s">
        <v>9</v>
      </c>
      <c r="F213" s="1637"/>
      <c r="G213" s="1653">
        <f>'2A'!H16</f>
        <v>0</v>
      </c>
      <c r="H213" s="1652"/>
    </row>
    <row r="214" spans="1:8">
      <c r="A214" s="1634" t="str">
        <f>INDEX(Lists!$C$4:$C$24,MATCH(Validation!$B$3,Lists!$B$4:$B$24,0))</f>
        <v>TMS</v>
      </c>
      <c r="B214" s="1634" t="str">
        <f>'2A'!BN10</f>
        <v>BM320WR</v>
      </c>
      <c r="C214" s="1634" t="str">
        <f>'2A'!BH10&amp;" - "&amp;'2A'!$BN$3&amp;" ("&amp;'2A'!$BN$4&amp;")"</f>
        <v>Amortisation - intangible fixed assets - Wholesale (Water resources)</v>
      </c>
      <c r="D214" s="2" t="s">
        <v>8</v>
      </c>
      <c r="E214" s="2" t="s">
        <v>9</v>
      </c>
      <c r="F214" s="1634"/>
      <c r="G214" s="1635">
        <f>'2A'!I10</f>
        <v>-0.19800000000000001</v>
      </c>
      <c r="H214" s="1636"/>
    </row>
    <row r="215" spans="1:8">
      <c r="A215" s="1634" t="str">
        <f>INDEX(Lists!$C$4:$C$24,MATCH(Validation!$B$3,Lists!$B$4:$B$24,0))</f>
        <v>TMS</v>
      </c>
      <c r="B215" s="1634" t="str">
        <f>'2A'!BN11</f>
        <v>A19015WR</v>
      </c>
      <c r="C215" s="1634" t="str">
        <f>'2A'!BH11&amp;" - "&amp;'2A'!$BN$3&amp;" ("&amp;'2A'!$BN$4&amp;")"</f>
        <v>Other operating income - Wholesale (Water resources)</v>
      </c>
      <c r="D215" s="2" t="s">
        <v>8</v>
      </c>
      <c r="E215" s="2" t="s">
        <v>9</v>
      </c>
      <c r="F215" s="1634"/>
      <c r="G215" s="1635">
        <f>'2A'!I11</f>
        <v>7.3999999999999996E-2</v>
      </c>
      <c r="H215" s="1636"/>
    </row>
    <row r="216" spans="1:8">
      <c r="A216" s="1634" t="str">
        <f>INDEX(Lists!$C$4:$C$24,MATCH(Validation!$B$3,Lists!$B$4:$B$24,0))</f>
        <v>TMS</v>
      </c>
      <c r="B216" s="1634" t="str">
        <f>'2A'!BN15</f>
        <v>BM338WR</v>
      </c>
      <c r="C216" s="1634" t="str">
        <f>'2A'!BH14&amp;" - "&amp;'2A'!BH15&amp;" - "&amp;'2A'!$BN$3&amp;" ("&amp;'2A'!$BN$4&amp;")"</f>
        <v>Recharges in respect of 'principal use' assets - Recharges from other segments - Wholesale (Water resources)</v>
      </c>
      <c r="D216" s="2" t="s">
        <v>8</v>
      </c>
      <c r="E216" s="2" t="s">
        <v>9</v>
      </c>
      <c r="F216" s="1634"/>
      <c r="G216" s="1635">
        <f>'2A'!I15</f>
        <v>0</v>
      </c>
      <c r="H216" s="1636"/>
    </row>
    <row r="217" spans="1:8">
      <c r="A217" s="1637" t="str">
        <f>INDEX(Lists!$C$4:$C$24,MATCH(Validation!$B$3,Lists!$B$4:$B$24,0))</f>
        <v>TMS</v>
      </c>
      <c r="B217" s="1637" t="str">
        <f>'2A'!BN16</f>
        <v>BM337WR</v>
      </c>
      <c r="C217" s="1637" t="str">
        <f>'2A'!BH14&amp;" - "&amp;'2A'!BH16&amp;" - "&amp;'2A'!$BN$3&amp;" ("&amp;'2A'!$BN$4&amp;")"</f>
        <v>Recharges in respect of 'principal use' assets - Recharges to other segments - Wholesale (Water resources)</v>
      </c>
      <c r="D217" s="1651" t="s">
        <v>8</v>
      </c>
      <c r="E217" s="1651" t="s">
        <v>9</v>
      </c>
      <c r="F217" s="1637"/>
      <c r="G217" s="1653">
        <f>'2A'!I16</f>
        <v>0.26800000000000002</v>
      </c>
      <c r="H217" s="1652"/>
    </row>
    <row r="218" spans="1:8">
      <c r="A218" s="1634" t="str">
        <f>INDEX(Lists!$C$4:$C$24,MATCH(Validation!$B$3,Lists!$B$4:$B$24,0))</f>
        <v>TMS</v>
      </c>
      <c r="B218" s="1634" t="str">
        <f>'2A'!BO6</f>
        <v>A19030WNPC</v>
      </c>
      <c r="C218" s="1634" t="str">
        <f>'2A'!BH6&amp;" - "&amp;'2A'!$BN$3&amp;" ("&amp;'2A'!$BO$4&amp;")"</f>
        <v>Revenue - price control - Wholesale (Water Network+)</v>
      </c>
      <c r="D218" s="2" t="s">
        <v>8</v>
      </c>
      <c r="E218" s="2" t="s">
        <v>9</v>
      </c>
      <c r="F218" s="1634"/>
      <c r="G218" s="1635">
        <f>'2A'!J6</f>
        <v>842.03599999999994</v>
      </c>
      <c r="H218" s="1636"/>
    </row>
    <row r="219" spans="1:8">
      <c r="A219" s="1634" t="str">
        <f>INDEX(Lists!$C$4:$C$24,MATCH(Validation!$B$3,Lists!$B$4:$B$24,0))</f>
        <v>TMS</v>
      </c>
      <c r="B219" s="1634" t="str">
        <f>'2A'!BO7</f>
        <v>A19030WNNPC</v>
      </c>
      <c r="C219" s="1634" t="str">
        <f>'2A'!BH7&amp;" - "&amp;'2A'!$BN$3&amp;" ("&amp;'2A'!$BO$4&amp;")"</f>
        <v>Revenue - non price control - Wholesale (Water Network+)</v>
      </c>
      <c r="D219" s="2" t="s">
        <v>8</v>
      </c>
      <c r="E219" s="2" t="s">
        <v>9</v>
      </c>
      <c r="F219" s="1634"/>
      <c r="G219" s="1635">
        <f>'2A'!J7</f>
        <v>15.442</v>
      </c>
      <c r="H219" s="1636"/>
    </row>
    <row r="220" spans="1:8">
      <c r="A220" s="1634" t="str">
        <f>INDEX(Lists!$C$4:$C$24,MATCH(Validation!$B$3,Lists!$B$4:$B$24,0))</f>
        <v>TMS</v>
      </c>
      <c r="B220" s="1634" t="str">
        <f>'2A'!BO10</f>
        <v>BM320WN</v>
      </c>
      <c r="C220" s="1634" t="str">
        <f>'2A'!BH10&amp;" - "&amp;'2A'!$BN$3&amp;" ("&amp;'2A'!$BO$4&amp;")"</f>
        <v>Amortisation - intangible fixed assets - Wholesale (Water Network+)</v>
      </c>
      <c r="D220" s="2" t="s">
        <v>8</v>
      </c>
      <c r="E220" s="2" t="s">
        <v>9</v>
      </c>
      <c r="F220" s="1634"/>
      <c r="G220" s="1635">
        <f>'2A'!J10</f>
        <v>-13.324999999999999</v>
      </c>
      <c r="H220" s="1636"/>
    </row>
    <row r="221" spans="1:8">
      <c r="A221" s="1634" t="str">
        <f>INDEX(Lists!$C$4:$C$24,MATCH(Validation!$B$3,Lists!$B$4:$B$24,0))</f>
        <v>TMS</v>
      </c>
      <c r="B221" s="1634" t="str">
        <f>'2A'!BO11</f>
        <v>A19015WN</v>
      </c>
      <c r="C221" s="1634" t="str">
        <f>'2A'!BH11&amp;" - "&amp;'2A'!$BN$3&amp;" ("&amp;'2A'!$BO$4&amp;")"</f>
        <v>Other operating income - Wholesale (Water Network+)</v>
      </c>
      <c r="D221" s="2" t="s">
        <v>8</v>
      </c>
      <c r="E221" s="2" t="s">
        <v>9</v>
      </c>
      <c r="F221" s="1634"/>
      <c r="G221" s="1635">
        <f>'2A'!J11</f>
        <v>0.66900000000000004</v>
      </c>
      <c r="H221" s="1636"/>
    </row>
    <row r="222" spans="1:8">
      <c r="A222" s="1634" t="str">
        <f>INDEX(Lists!$C$4:$C$24,MATCH(Validation!$B$3,Lists!$B$4:$B$24,0))</f>
        <v>TMS</v>
      </c>
      <c r="B222" s="1634" t="str">
        <f>'2A'!BO15</f>
        <v>BM338WN</v>
      </c>
      <c r="C222" s="1634" t="str">
        <f>'2A'!BH14&amp;" - "&amp;'2A'!BH15&amp;" - "&amp;'2A'!$BN$3&amp;" ("&amp;'2A'!$BO$4&amp;")"</f>
        <v>Recharges in respect of 'principal use' assets - Recharges from other segments - Wholesale (Water Network+)</v>
      </c>
      <c r="D222" s="2" t="s">
        <v>8</v>
      </c>
      <c r="E222" s="2" t="s">
        <v>9</v>
      </c>
      <c r="F222" s="1634"/>
      <c r="G222" s="1635">
        <f>'2A'!J15</f>
        <v>0</v>
      </c>
      <c r="H222" s="1636"/>
    </row>
    <row r="223" spans="1:8">
      <c r="A223" s="1637" t="str">
        <f>INDEX(Lists!$C$4:$C$24,MATCH(Validation!$B$3,Lists!$B$4:$B$24,0))</f>
        <v>TMS</v>
      </c>
      <c r="B223" s="1637" t="str">
        <f>'2A'!BO16</f>
        <v>BM337WN</v>
      </c>
      <c r="C223" s="1637" t="str">
        <f>'2A'!BH14&amp;" - "&amp;'2A'!BH16&amp;" - "&amp;'2A'!$BN$3&amp;" ("&amp;'2A'!$BO$4&amp;")"</f>
        <v>Recharges in respect of 'principal use' assets - Recharges to other segments - Wholesale (Water Network+)</v>
      </c>
      <c r="D223" s="1651" t="s">
        <v>8</v>
      </c>
      <c r="E223" s="1651" t="s">
        <v>9</v>
      </c>
      <c r="F223" s="1637"/>
      <c r="G223" s="1653">
        <f>'2A'!J16</f>
        <v>4.2380000000000004</v>
      </c>
      <c r="H223" s="1652"/>
    </row>
    <row r="224" spans="1:8">
      <c r="A224" s="1654" t="str">
        <f>INDEX(Lists!$C$4:$C$24,MATCH(Validation!$B$3,Lists!$B$4:$B$24,0))</f>
        <v>TMS</v>
      </c>
      <c r="B224" s="1654" t="str">
        <f>'2A'!BQ6</f>
        <v>A19030WNKPC</v>
      </c>
      <c r="C224" s="1654" t="str">
        <f>'2A'!BH6&amp;" - "&amp;'2A'!$BN$3&amp;" ("&amp;'2A'!$BQ$3&amp;")"</f>
        <v>Revenue - price control - Wholesale ()</v>
      </c>
      <c r="D224" s="1655" t="s">
        <v>8</v>
      </c>
      <c r="E224" s="1655" t="s">
        <v>9</v>
      </c>
      <c r="F224" s="1654"/>
      <c r="G224" s="1656">
        <f>'2A'!L6</f>
        <v>935.4</v>
      </c>
      <c r="H224" s="1657"/>
    </row>
    <row r="225" spans="1:8">
      <c r="A225" s="1634" t="str">
        <f>INDEX(Lists!$C$4:$C$24,MATCH(Validation!$B$3,Lists!$B$4:$B$24,0))</f>
        <v>TMS</v>
      </c>
      <c r="B225" s="1634" t="str">
        <f>'2A'!BQ7</f>
        <v>A19030WNKNPC</v>
      </c>
      <c r="C225" s="1634" t="str">
        <f>'2A'!BH7&amp;" - "&amp;'2A'!$BN$3&amp;" ("&amp;'2A'!$BQ$3&amp;")"</f>
        <v>Revenue - non price control - Wholesale ()</v>
      </c>
      <c r="D225" s="2" t="s">
        <v>8</v>
      </c>
      <c r="E225" s="2" t="s">
        <v>9</v>
      </c>
      <c r="F225" s="1634"/>
      <c r="G225" s="1635">
        <f>'2A'!L7</f>
        <v>5.444</v>
      </c>
      <c r="H225" s="1636"/>
    </row>
    <row r="226" spans="1:8">
      <c r="A226" s="1634" t="str">
        <f>INDEX(Lists!$C$4:$C$24,MATCH(Validation!$B$3,Lists!$B$4:$B$24,0))</f>
        <v>TMS</v>
      </c>
      <c r="B226" s="1634" t="str">
        <f>'2A'!BQ10</f>
        <v>BM820WNK</v>
      </c>
      <c r="C226" s="1634" t="str">
        <f>'2A'!BH10&amp;" - "&amp;'2A'!$BN$3&amp;" ("&amp;'2A'!$BQ$3&amp;")"</f>
        <v>Amortisation - intangible fixed assets - Wholesale ()</v>
      </c>
      <c r="D226" s="2" t="s">
        <v>8</v>
      </c>
      <c r="E226" s="2" t="s">
        <v>9</v>
      </c>
      <c r="F226" s="1634"/>
      <c r="G226" s="1635">
        <f>'2A'!L10</f>
        <v>-10.241</v>
      </c>
      <c r="H226" s="1636"/>
    </row>
    <row r="227" spans="1:8">
      <c r="A227" s="1634" t="str">
        <f>INDEX(Lists!$C$4:$C$24,MATCH(Validation!$B$3,Lists!$B$4:$B$24,0))</f>
        <v>TMS</v>
      </c>
      <c r="B227" s="1634" t="str">
        <f>'2A'!BQ11</f>
        <v>A19015WNK</v>
      </c>
      <c r="C227" s="1634" t="str">
        <f>'2A'!BH11&amp;" - "&amp;'2A'!$BN$3&amp;" ("&amp;'2A'!$BQ$3&amp;")"</f>
        <v>Other operating income - Wholesale ()</v>
      </c>
      <c r="D227" s="2" t="s">
        <v>8</v>
      </c>
      <c r="E227" s="2" t="s">
        <v>9</v>
      </c>
      <c r="F227" s="1634"/>
      <c r="G227" s="1635">
        <f>'2A'!L11</f>
        <v>12.577999999999999</v>
      </c>
      <c r="H227" s="1636"/>
    </row>
    <row r="228" spans="1:8">
      <c r="A228" s="1634" t="str">
        <f>INDEX(Lists!$C$4:$C$24,MATCH(Validation!$B$3,Lists!$B$4:$B$24,0))</f>
        <v>TMS</v>
      </c>
      <c r="B228" s="1634" t="str">
        <f>'2A'!BQ15</f>
        <v>BM838WNK</v>
      </c>
      <c r="C228" s="1634" t="str">
        <f>'2A'!BH14&amp;" - "&amp;'2A'!BH15&amp;" - "&amp;'2A'!$BN$3&amp;" ("&amp;'2A'!$BQ$3&amp;")"</f>
        <v>Recharges in respect of 'principal use' assets - Recharges from other segments - Wholesale ()</v>
      </c>
      <c r="D228" s="2" t="s">
        <v>8</v>
      </c>
      <c r="E228" s="2" t="s">
        <v>9</v>
      </c>
      <c r="F228" s="1634"/>
      <c r="G228" s="1635">
        <f>'2A'!L15</f>
        <v>-3.617</v>
      </c>
      <c r="H228" s="1636"/>
    </row>
    <row r="229" spans="1:8">
      <c r="A229" s="1637" t="str">
        <f>INDEX(Lists!$C$4:$C$24,MATCH(Validation!$B$3,Lists!$B$4:$B$24,0))</f>
        <v>TMS</v>
      </c>
      <c r="B229" s="1637" t="str">
        <f>'2A'!BQ16</f>
        <v>BM837WNK</v>
      </c>
      <c r="C229" s="1637" t="str">
        <f>'2A'!BH14&amp;" - "&amp;'2A'!BH16&amp;" - "&amp;'2A'!$BN$3&amp;" ("&amp;'2A'!$BQ$3&amp;")"</f>
        <v>Recharges in respect of 'principal use' assets - Recharges to other segments - Wholesale ()</v>
      </c>
      <c r="D229" s="1651" t="s">
        <v>8</v>
      </c>
      <c r="E229" s="1651" t="s">
        <v>9</v>
      </c>
      <c r="F229" s="1637"/>
      <c r="G229" s="1653">
        <f>'2A'!L16</f>
        <v>0</v>
      </c>
      <c r="H229" s="1652"/>
    </row>
    <row r="230" spans="1:8">
      <c r="A230" s="1634" t="str">
        <f>INDEX(Lists!$C$4:$C$24,MATCH(Validation!$B$3,Lists!$B$4:$B$24,0))</f>
        <v>TMS</v>
      </c>
      <c r="B230" s="1634" t="str">
        <f>'2A'!BR10</f>
        <v>BM820SL</v>
      </c>
      <c r="C230" s="1634" t="str">
        <f>'2A'!BH10&amp;" - "&amp;'2A'!$BN$3&amp;" ("&amp;'2A'!$BR$4&amp;")"</f>
        <v>Amortisation - intangible fixed assets - Wholesale (Sludge)</v>
      </c>
      <c r="D230" s="2" t="s">
        <v>8</v>
      </c>
      <c r="E230" s="2" t="s">
        <v>9</v>
      </c>
      <c r="F230" s="1634"/>
      <c r="G230" s="1635">
        <f>'2A'!M10</f>
        <v>-2.7309999999999999</v>
      </c>
      <c r="H230" s="1636"/>
    </row>
    <row r="231" spans="1:8">
      <c r="A231" s="1634" t="str">
        <f>INDEX(Lists!$C$4:$C$24,MATCH(Validation!$B$3,Lists!$B$4:$B$24,0))</f>
        <v>TMS</v>
      </c>
      <c r="B231" s="1634" t="str">
        <f>'2A'!BR11</f>
        <v>A19015SL</v>
      </c>
      <c r="C231" s="1634" t="str">
        <f>'2A'!BH11&amp;" - "&amp;'2A'!$BN$3&amp;" ("&amp;'2A'!$BR$4&amp;")"</f>
        <v>Other operating income - Wholesale (Sludge)</v>
      </c>
      <c r="D231" s="2" t="s">
        <v>8</v>
      </c>
      <c r="E231" s="2" t="s">
        <v>9</v>
      </c>
      <c r="F231" s="1634"/>
      <c r="G231" s="1635">
        <f>'2A'!M11</f>
        <v>0.35</v>
      </c>
      <c r="H231" s="1636"/>
    </row>
    <row r="232" spans="1:8">
      <c r="A232" s="1634" t="str">
        <f>INDEX(Lists!$C$4:$C$24,MATCH(Validation!$B$3,Lists!$B$4:$B$24,0))</f>
        <v>TMS</v>
      </c>
      <c r="B232" s="1634" t="str">
        <f>'2A'!BR15</f>
        <v>BM838SL</v>
      </c>
      <c r="C232" s="1634" t="str">
        <f>'2A'!BH14&amp;" - "&amp;'2A'!BH15&amp;" - "&amp;'2A'!$BN$3&amp;" ("&amp;'2A'!$BR$4&amp;")"</f>
        <v>Recharges in respect of 'principal use' assets - Recharges from other segments - Wholesale (Sludge)</v>
      </c>
      <c r="D232" s="2" t="s">
        <v>8</v>
      </c>
      <c r="E232" s="2" t="s">
        <v>9</v>
      </c>
      <c r="F232" s="1634"/>
      <c r="G232" s="1635">
        <f>'2A'!M15</f>
        <v>-0.88900000000000001</v>
      </c>
      <c r="H232" s="1636"/>
    </row>
    <row r="233" spans="1:8">
      <c r="A233" s="1637" t="str">
        <f>INDEX(Lists!$C$4:$C$24,MATCH(Validation!$B$3,Lists!$B$4:$B$24,0))</f>
        <v>TMS</v>
      </c>
      <c r="B233" s="1637" t="str">
        <f>'2A'!BR16</f>
        <v>BM837SL</v>
      </c>
      <c r="C233" s="1637" t="str">
        <f>'2A'!BH14&amp;" - "&amp;'2A'!BH16&amp;" - "&amp;'2A'!$BN$3&amp;" ("&amp;'2A'!$BR$4&amp;")"</f>
        <v>Recharges in respect of 'principal use' assets - Recharges to other segments - Wholesale (Sludge)</v>
      </c>
      <c r="D233" s="1651" t="s">
        <v>8</v>
      </c>
      <c r="E233" s="1651" t="s">
        <v>9</v>
      </c>
      <c r="F233" s="1637"/>
      <c r="G233" s="1653">
        <f>'2A'!M16</f>
        <v>0</v>
      </c>
      <c r="H233" s="1652"/>
    </row>
    <row r="234" spans="1:8">
      <c r="A234" s="1634" t="str">
        <f>INDEX(Lists!$C$4:$C$24,MATCH(Validation!$B$3,Lists!$B$4:$B$24,0))</f>
        <v>TMS</v>
      </c>
      <c r="B234" s="1634" t="str">
        <f>'2A'!BT6</f>
        <v>A19030TTTPC</v>
      </c>
      <c r="C234" s="1634" t="str">
        <f>'2A'!BH6&amp;" - "&amp;'2A'!$BN$3&amp;" ("&amp;'2A'!$BT$4&amp;")"</f>
        <v>Revenue - price control - Wholesale (TTT)</v>
      </c>
      <c r="D234" s="2" t="s">
        <v>8</v>
      </c>
      <c r="E234" s="2" t="s">
        <v>9</v>
      </c>
      <c r="F234" s="1634"/>
      <c r="G234" s="1635">
        <f>'2A'!O6</f>
        <v>54.351999999999997</v>
      </c>
      <c r="H234" s="1636"/>
    </row>
    <row r="235" spans="1:8">
      <c r="A235" s="1634" t="str">
        <f>INDEX(Lists!$C$4:$C$24,MATCH(Validation!$B$3,Lists!$B$4:$B$24,0))</f>
        <v>TMS</v>
      </c>
      <c r="B235" s="1634" t="str">
        <f>'2A'!BT7</f>
        <v>A19030TTTNPC</v>
      </c>
      <c r="C235" s="1634" t="str">
        <f>'2A'!BH7&amp;" - "&amp;'2A'!$BN$3&amp;" ("&amp;'2A'!$BT$4&amp;")"</f>
        <v>Revenue - non price control - Wholesale (TTT)</v>
      </c>
      <c r="D235" s="2" t="s">
        <v>8</v>
      </c>
      <c r="E235" s="2" t="s">
        <v>9</v>
      </c>
      <c r="F235" s="1634"/>
      <c r="G235" s="1635">
        <f>'2A'!O7</f>
        <v>0</v>
      </c>
      <c r="H235" s="1636"/>
    </row>
    <row r="236" spans="1:8">
      <c r="A236" s="1634" t="str">
        <f>INDEX(Lists!$C$4:$C$24,MATCH(Validation!$B$3,Lists!$B$4:$B$24,0))</f>
        <v>TMS</v>
      </c>
      <c r="B236" s="1634" t="str">
        <f>'2A'!BT10</f>
        <v>BM820TTT</v>
      </c>
      <c r="C236" s="1634" t="str">
        <f>'2A'!BH10&amp;" - "&amp;'2A'!$BN$3&amp;" ("&amp;'2A'!$BT$4&amp;")"</f>
        <v>Amortisation - intangible fixed assets - Wholesale (TTT)</v>
      </c>
      <c r="D236" s="2" t="s">
        <v>8</v>
      </c>
      <c r="E236" s="2" t="s">
        <v>9</v>
      </c>
      <c r="F236" s="1634"/>
      <c r="G236" s="1635">
        <f>'2A'!O10</f>
        <v>0</v>
      </c>
      <c r="H236" s="1636"/>
    </row>
    <row r="237" spans="1:8">
      <c r="A237" s="1634" t="str">
        <f>INDEX(Lists!$C$4:$C$24,MATCH(Validation!$B$3,Lists!$B$4:$B$24,0))</f>
        <v>TMS</v>
      </c>
      <c r="B237" s="1634" t="str">
        <f>'2A'!BT11</f>
        <v>A19015TTT</v>
      </c>
      <c r="C237" s="1634" t="str">
        <f>'2A'!BH11&amp;" - "&amp;'2A'!$BN$3&amp;" ("&amp;'2A'!$BT$4&amp;")"</f>
        <v>Other operating income - Wholesale (TTT)</v>
      </c>
      <c r="D237" s="2" t="s">
        <v>8</v>
      </c>
      <c r="E237" s="2" t="s">
        <v>9</v>
      </c>
      <c r="F237" s="1634"/>
      <c r="G237" s="1635">
        <f>'2A'!O11</f>
        <v>0</v>
      </c>
      <c r="H237" s="1636"/>
    </row>
    <row r="238" spans="1:8">
      <c r="A238" s="1634" t="str">
        <f>INDEX(Lists!$C$4:$C$24,MATCH(Validation!$B$3,Lists!$B$4:$B$24,0))</f>
        <v>TMS</v>
      </c>
      <c r="B238" s="1634" t="str">
        <f>'2A'!BT15</f>
        <v>BM838TTT</v>
      </c>
      <c r="C238" s="1634" t="str">
        <f>'2A'!BH15&amp;" - "&amp;'2A'!$BN$3&amp;" ("&amp;'2A'!$BT$4&amp;")"</f>
        <v>Recharges from other segments - Wholesale (TTT)</v>
      </c>
      <c r="D238" s="2" t="s">
        <v>8</v>
      </c>
      <c r="E238" s="2" t="s">
        <v>9</v>
      </c>
      <c r="F238" s="1634"/>
      <c r="G238" s="1635">
        <f>'2A'!O15</f>
        <v>0</v>
      </c>
      <c r="H238" s="1636"/>
    </row>
    <row r="239" spans="1:8">
      <c r="A239" s="1637" t="str">
        <f>INDEX(Lists!$C$4:$C$24,MATCH(Validation!$B$3,Lists!$B$4:$B$24,0))</f>
        <v>TMS</v>
      </c>
      <c r="B239" s="1637" t="str">
        <f>'2A'!BT16</f>
        <v>BM837TTT</v>
      </c>
      <c r="C239" s="1637" t="str">
        <f>'2A'!BH16&amp;" - "&amp;'2A'!$BN$3&amp;" ("&amp;'2A'!$BT$4&amp;")"</f>
        <v>Recharges to other segments - Wholesale (TTT)</v>
      </c>
      <c r="D239" s="1651" t="s">
        <v>8</v>
      </c>
      <c r="E239" s="1651" t="s">
        <v>9</v>
      </c>
      <c r="F239" s="1637"/>
      <c r="G239" s="1653">
        <f>'2A'!O16</f>
        <v>0</v>
      </c>
      <c r="H239" s="1652"/>
    </row>
    <row r="240" spans="1:8" ht="15" thickBot="1">
      <c r="A240" s="1642" t="str">
        <f>INDEX(Lists!$C$4:$C$24,MATCH(Validation!$B$3,Lists!$B$4:$B$24,0))</f>
        <v>TMS</v>
      </c>
      <c r="B240" s="1642" t="str">
        <f>'2A'!BU20</f>
        <v>BR75033</v>
      </c>
      <c r="C240" s="1642" t="str">
        <f>'2A'!BH20&amp;" - "&amp;'2A'!$BN$3&amp;" ("&amp;'2A'!$BU$3&amp;")"</f>
        <v>Surface water drainage rebates - Wholesale (Total)</v>
      </c>
      <c r="D240" s="1648" t="s">
        <v>8</v>
      </c>
      <c r="E240" s="1648" t="s">
        <v>9</v>
      </c>
      <c r="F240" s="1642"/>
      <c r="G240" s="1658">
        <f>'2A'!P20</f>
        <v>1.3580000000000001</v>
      </c>
      <c r="H240" s="1649"/>
    </row>
    <row r="241" spans="1:8">
      <c r="A241" s="1634" t="str">
        <f>INDEX(Lists!$C$4:$C$24,MATCH(Validation!$B$3,Lists!$B$4:$B$24,0))</f>
        <v>TMS</v>
      </c>
      <c r="B241" s="1634" t="str">
        <f>'2B'!BM6</f>
        <v>BM802TTT</v>
      </c>
      <c r="C241" s="1634" t="str">
        <f>'2B'!BE6&amp;" - "&amp;'2B'!$BM$3</f>
        <v>Power - TTT</v>
      </c>
      <c r="D241" s="1644" t="s">
        <v>8</v>
      </c>
      <c r="E241" s="1644" t="s">
        <v>9</v>
      </c>
      <c r="F241" s="1634"/>
      <c r="G241" s="1635">
        <f>'2B'!K6</f>
        <v>0</v>
      </c>
      <c r="H241" s="1636"/>
    </row>
    <row r="242" spans="1:8">
      <c r="A242" s="1634" t="str">
        <f>INDEX(Lists!$C$4:$C$24,MATCH(Validation!$B$3,Lists!$B$4:$B$24,0))</f>
        <v>TMS</v>
      </c>
      <c r="B242" s="1634" t="str">
        <f>'2B'!BM7</f>
        <v>BM836TTT</v>
      </c>
      <c r="C242" s="1634" t="str">
        <f>'2B'!BE7&amp;" - "&amp;'2B'!$BM$3</f>
        <v>Income treated as negative expenditure - TTT</v>
      </c>
      <c r="D242" s="1646" t="s">
        <v>8</v>
      </c>
      <c r="E242" s="1636" t="s">
        <v>9</v>
      </c>
      <c r="F242" s="1634"/>
      <c r="G242" s="1635">
        <f>'2B'!K7</f>
        <v>0</v>
      </c>
      <c r="H242" s="1636"/>
    </row>
    <row r="243" spans="1:8">
      <c r="A243" s="1634" t="str">
        <f>INDEX(Lists!$C$4:$C$24,MATCH(Validation!$B$3,Lists!$B$4:$B$24,0))</f>
        <v>TMS</v>
      </c>
      <c r="B243" s="1634" t="str">
        <f>'2B'!BM8</f>
        <v>BM831TTT</v>
      </c>
      <c r="C243" s="1634" t="str">
        <f>'2B'!BE8&amp;" - "&amp;'2B'!$BM$3</f>
        <v>Abstraction charges/ discharge consents - TTT</v>
      </c>
      <c r="D243" s="1646" t="s">
        <v>8</v>
      </c>
      <c r="E243" s="1636" t="s">
        <v>9</v>
      </c>
      <c r="F243" s="1634"/>
      <c r="G243" s="1635">
        <f>'2B'!K8</f>
        <v>0</v>
      </c>
      <c r="H243" s="1636"/>
    </row>
    <row r="244" spans="1:8">
      <c r="A244" s="1634" t="str">
        <f>INDEX(Lists!$C$4:$C$24,MATCH(Validation!$B$3,Lists!$B$4:$B$24,0))</f>
        <v>TMS</v>
      </c>
      <c r="B244" s="1634" t="str">
        <f>'2B'!BM9</f>
        <v>BM140TTT</v>
      </c>
      <c r="C244" s="1634" t="str">
        <f>'2B'!BE9&amp;" - "&amp;'2B'!$BM$3</f>
        <v>Bulk supply/ Bulk discharge - TTT</v>
      </c>
      <c r="D244" s="1646" t="s">
        <v>8</v>
      </c>
      <c r="E244" s="1636" t="s">
        <v>9</v>
      </c>
      <c r="F244" s="1634"/>
      <c r="G244" s="1635">
        <f>'2B'!K9</f>
        <v>0</v>
      </c>
      <c r="H244" s="1636"/>
    </row>
    <row r="245" spans="1:8">
      <c r="A245" s="1634" t="str">
        <f>INDEX(Lists!$C$4:$C$24,MATCH(Validation!$B$3,Lists!$B$4:$B$24,0))</f>
        <v>TMS</v>
      </c>
      <c r="B245" s="1634" t="str">
        <f>'2B'!BM10</f>
        <v>BM839TTTIR</v>
      </c>
      <c r="C245" s="1634" t="str">
        <f>'2B'!BE10&amp;" - "&amp;'2B'!$BM$3</f>
        <v>Other operating expenditure - renewals expensed in year (Infrastructure) - TTT</v>
      </c>
      <c r="D245" s="1646" t="s">
        <v>8</v>
      </c>
      <c r="E245" s="1636" t="s">
        <v>9</v>
      </c>
      <c r="F245" s="1634"/>
      <c r="G245" s="1635">
        <f>'2B'!K10</f>
        <v>0</v>
      </c>
      <c r="H245" s="1636"/>
    </row>
    <row r="246" spans="1:8">
      <c r="A246" s="1634" t="str">
        <f>INDEX(Lists!$C$4:$C$24,MATCH(Validation!$B$3,Lists!$B$4:$B$24,0))</f>
        <v>TMS</v>
      </c>
      <c r="B246" s="1634" t="str">
        <f>'2B'!BM11</f>
        <v>BM839TTTNIR</v>
      </c>
      <c r="C246" s="1634" t="str">
        <f>'2B'!BE11&amp;" - "&amp;'2B'!$BM$3</f>
        <v>Other operating expenditure - renewals expensed in year (Non-Infrastructure) - TTT</v>
      </c>
      <c r="D246" s="1646" t="s">
        <v>8</v>
      </c>
      <c r="E246" s="1636" t="s">
        <v>9</v>
      </c>
      <c r="F246" s="1634"/>
      <c r="G246" s="1635">
        <f>'2B'!K11</f>
        <v>0</v>
      </c>
      <c r="H246" s="1636"/>
    </row>
    <row r="247" spans="1:8">
      <c r="A247" s="1634" t="str">
        <f>INDEX(Lists!$C$4:$C$24,MATCH(Validation!$B$3,Lists!$B$4:$B$24,0))</f>
        <v>TMS</v>
      </c>
      <c r="B247" s="1634" t="str">
        <f>'2B'!BM12</f>
        <v>BM839TTTER</v>
      </c>
      <c r="C247" s="1634" t="str">
        <f>'2B'!BE12&amp;" - "&amp;'2B'!$BM$3</f>
        <v>Other operating expenditure - excluding renewals - TTT</v>
      </c>
      <c r="D247" s="1646" t="s">
        <v>8</v>
      </c>
      <c r="E247" s="1636" t="s">
        <v>9</v>
      </c>
      <c r="F247" s="1634"/>
      <c r="G247" s="1635">
        <f>'2B'!K12</f>
        <v>0</v>
      </c>
      <c r="H247" s="1636"/>
    </row>
    <row r="248" spans="1:8">
      <c r="A248" s="1634" t="str">
        <f>INDEX(Lists!$C$4:$C$24,MATCH(Validation!$B$3,Lists!$B$4:$B$24,0))</f>
        <v>TMS</v>
      </c>
      <c r="B248" s="1634" t="str">
        <f>'2B'!BM13</f>
        <v>BM817TTT</v>
      </c>
      <c r="C248" s="1634" t="str">
        <f>'2B'!BE13&amp;" - "&amp;'2B'!$BM$3</f>
        <v>Local authority and Cumulo rates - TTT</v>
      </c>
      <c r="D248" s="1646" t="s">
        <v>8</v>
      </c>
      <c r="E248" s="1636" t="s">
        <v>9</v>
      </c>
      <c r="F248" s="1634"/>
      <c r="G248" s="1635">
        <f>'2B'!K13</f>
        <v>0</v>
      </c>
      <c r="H248" s="1636"/>
    </row>
    <row r="249" spans="1:8">
      <c r="A249" s="1634" t="str">
        <f>INDEX(Lists!$C$4:$C$24,MATCH(Validation!$B$3,Lists!$B$4:$B$24,0))</f>
        <v>TMS</v>
      </c>
      <c r="B249" s="1634" t="str">
        <f>'2B'!BM16</f>
        <v>BM823TTT</v>
      </c>
      <c r="C249" s="1634" t="str">
        <f>'2B'!BE16&amp;" - "&amp;'2B'!$BM$3</f>
        <v>Third party services - TTT</v>
      </c>
      <c r="D249" s="1646" t="s">
        <v>8</v>
      </c>
      <c r="E249" s="1636" t="s">
        <v>9</v>
      </c>
      <c r="F249" s="1634"/>
      <c r="G249" s="1635">
        <f>'2B'!K16</f>
        <v>0</v>
      </c>
      <c r="H249" s="1636"/>
    </row>
    <row r="250" spans="1:8">
      <c r="A250" s="1634" t="str">
        <f>INDEX(Lists!$C$4:$C$24,MATCH(Validation!$B$3,Lists!$B$4:$B$24,0))</f>
        <v>TMS</v>
      </c>
      <c r="B250" s="1634" t="str">
        <f>'2B'!BM20</f>
        <v>BC30945TTT</v>
      </c>
      <c r="C250" s="1634" t="str">
        <f>'2B'!BE20&amp;" - "&amp;'2B'!$BM$3</f>
        <v>Maintaining the long term capability of the assets - infra - TTT</v>
      </c>
      <c r="D250" s="1646" t="s">
        <v>8</v>
      </c>
      <c r="E250" s="1636" t="s">
        <v>9</v>
      </c>
      <c r="F250" s="1634"/>
      <c r="G250" s="1635">
        <f>'2B'!K20</f>
        <v>0</v>
      </c>
      <c r="H250" s="1636"/>
    </row>
    <row r="251" spans="1:8">
      <c r="A251" s="1634" t="str">
        <f>INDEX(Lists!$C$4:$C$24,MATCH(Validation!$B$3,Lists!$B$4:$B$24,0))</f>
        <v>TMS</v>
      </c>
      <c r="B251" s="1634" t="str">
        <f>'2B'!BM21</f>
        <v>CS00036TTT</v>
      </c>
      <c r="C251" s="1634" t="str">
        <f>'2B'!BE21&amp;" - "&amp;'2B'!$BM$3</f>
        <v>Maintaining the long term capability of the assets - non- infra - TTT</v>
      </c>
      <c r="D251" s="1646" t="s">
        <v>8</v>
      </c>
      <c r="E251" s="1636" t="s">
        <v>9</v>
      </c>
      <c r="F251" s="1634"/>
      <c r="G251" s="1635">
        <f>'2B'!K21</f>
        <v>-6.9000000000000006E-2</v>
      </c>
      <c r="H251" s="1636"/>
    </row>
    <row r="252" spans="1:8">
      <c r="A252" s="1634" t="str">
        <f>INDEX(Lists!$C$4:$C$24,MATCH(Validation!$B$3,Lists!$B$4:$B$24,0))</f>
        <v>TMS</v>
      </c>
      <c r="B252" s="1634" t="str">
        <f>'2B'!BM22</f>
        <v>BA2051TTT</v>
      </c>
      <c r="C252" s="1634" t="str">
        <f>'2B'!BE22&amp;" - "&amp;'2B'!$BM$3</f>
        <v>Other capital expenditure - infra - TTT</v>
      </c>
      <c r="D252" s="1646" t="s">
        <v>8</v>
      </c>
      <c r="E252" s="1636" t="s">
        <v>9</v>
      </c>
      <c r="F252" s="1634"/>
      <c r="G252" s="1635">
        <f>'2B'!K22</f>
        <v>36.353999999999999</v>
      </c>
      <c r="H252" s="1636"/>
    </row>
    <row r="253" spans="1:8">
      <c r="A253" s="1634" t="str">
        <f>INDEX(Lists!$C$4:$C$24,MATCH(Validation!$B$3,Lists!$B$4:$B$24,0))</f>
        <v>TMS</v>
      </c>
      <c r="B253" s="1634" t="str">
        <f>'2B'!BM23</f>
        <v>BA2061TTT</v>
      </c>
      <c r="C253" s="1634" t="str">
        <f>'2B'!BE23&amp;" - "&amp;'2B'!$BM$3</f>
        <v>Other capital expenditure - non-infra - TTT</v>
      </c>
      <c r="D253" s="1646" t="s">
        <v>8</v>
      </c>
      <c r="E253" s="1636" t="s">
        <v>9</v>
      </c>
      <c r="F253" s="1634"/>
      <c r="G253" s="1635">
        <f>'2B'!K23</f>
        <v>2.4409999999999998</v>
      </c>
      <c r="H253" s="1636"/>
    </row>
    <row r="254" spans="1:8">
      <c r="A254" s="1634" t="str">
        <f>INDEX(Lists!$C$4:$C$24,MATCH(Validation!$B$3,Lists!$B$4:$B$24,0))</f>
        <v>TMS</v>
      </c>
      <c r="B254" s="1634" t="str">
        <f>'2B'!BM24</f>
        <v>BC30849TTT</v>
      </c>
      <c r="C254" s="1634" t="str">
        <f>'2B'!BE24&amp;" - "&amp;'2B'!$BM$3</f>
        <v>Infrastructure network reinforcement - TTT</v>
      </c>
      <c r="D254" s="1646" t="s">
        <v>8</v>
      </c>
      <c r="E254" s="1636" t="s">
        <v>9</v>
      </c>
      <c r="F254" s="1634"/>
      <c r="G254" s="1635">
        <f>'2B'!K24</f>
        <v>0</v>
      </c>
      <c r="H254" s="1636"/>
    </row>
    <row r="255" spans="1:8">
      <c r="A255" s="1634" t="str">
        <f>INDEX(Lists!$C$4:$C$24,MATCH(Validation!$B$3,Lists!$B$4:$B$24,0))</f>
        <v>TMS</v>
      </c>
      <c r="B255" s="1634" t="str">
        <f>'2B'!BM26</f>
        <v>BM833TTT</v>
      </c>
      <c r="C255" s="1634" t="str">
        <f>'2B'!BE26&amp;" - "&amp;'2B'!$BM$3</f>
        <v>Third party services - TTT</v>
      </c>
      <c r="D255" s="1646" t="s">
        <v>8</v>
      </c>
      <c r="E255" s="1636" t="s">
        <v>9</v>
      </c>
      <c r="F255" s="1634"/>
      <c r="G255" s="1635">
        <f>'2B'!K26</f>
        <v>0</v>
      </c>
      <c r="H255" s="1636"/>
    </row>
    <row r="256" spans="1:8">
      <c r="A256" s="1634" t="str">
        <f>INDEX(Lists!$C$4:$C$24,MATCH(Validation!$B$3,Lists!$B$4:$B$24,0))</f>
        <v>TMS</v>
      </c>
      <c r="B256" s="1634" t="str">
        <f>'2B'!BM30</f>
        <v>BA2090PCTTT</v>
      </c>
      <c r="C256" s="1634" t="str">
        <f>'2B'!BE30&amp;" - "&amp;'2B'!$BM$3</f>
        <v>Grants and contributions - TTT</v>
      </c>
      <c r="D256" s="1646" t="s">
        <v>8</v>
      </c>
      <c r="E256" s="1636" t="s">
        <v>9</v>
      </c>
      <c r="F256" s="1634"/>
      <c r="G256" s="1635">
        <f>'2B'!K30</f>
        <v>0</v>
      </c>
      <c r="H256" s="1636"/>
    </row>
    <row r="257" spans="1:8">
      <c r="A257" s="1634" t="str">
        <f>INDEX(Lists!$C$4:$C$24,MATCH(Validation!$B$3,Lists!$B$4:$B$24,0))</f>
        <v>TMS</v>
      </c>
      <c r="B257" s="1634" t="str">
        <f>'2B'!BM35</f>
        <v>CR0559TTT</v>
      </c>
      <c r="C257" s="1634" t="str">
        <f>'2B'!BE35&amp;" - "&amp;'2B'!$BM$3</f>
        <v>Pension deficit recovery payments - TTT</v>
      </c>
      <c r="D257" s="1646" t="s">
        <v>8</v>
      </c>
      <c r="E257" s="1636" t="s">
        <v>9</v>
      </c>
      <c r="F257" s="1634"/>
      <c r="G257" s="1635">
        <f>'2B'!K35</f>
        <v>0</v>
      </c>
      <c r="H257" s="1636"/>
    </row>
    <row r="258" spans="1:8" ht="15" thickBot="1">
      <c r="A258" s="1642" t="str">
        <f>INDEX(Lists!$C$4:$C$24,MATCH(Validation!$B$3,Lists!$B$4:$B$24,0))</f>
        <v>TMS</v>
      </c>
      <c r="B258" s="1634" t="str">
        <f>'2B'!BM36</f>
        <v>CR00562TTT</v>
      </c>
      <c r="C258" s="1634" t="str">
        <f>'2B'!BE36&amp;" - "&amp;'2B'!$BM$3</f>
        <v>Other cash items - TTT</v>
      </c>
      <c r="D258" s="1647" t="s">
        <v>8</v>
      </c>
      <c r="E258" s="1649" t="s">
        <v>9</v>
      </c>
      <c r="F258" s="1634"/>
      <c r="G258" s="1635">
        <f>'2B'!K36</f>
        <v>0</v>
      </c>
      <c r="H258" s="1636"/>
    </row>
    <row r="259" spans="1:8">
      <c r="A259" s="1634" t="str">
        <f>INDEX(Lists!$C$4:$C$24,MATCH(Validation!$B$3,Lists!$B$4:$B$24,0))</f>
        <v>TMS</v>
      </c>
      <c r="B259" s="1641" t="str">
        <f>'2C'!AF21</f>
        <v>BM9038</v>
      </c>
      <c r="C259" s="1641" t="str">
        <f>'2C'!AB21&amp;" - "&amp;'2C'!$AF$3</f>
        <v>Debt written off - Household</v>
      </c>
      <c r="D259" s="1644" t="s">
        <v>8</v>
      </c>
      <c r="E259" s="1644" t="s">
        <v>9</v>
      </c>
      <c r="F259" s="1641"/>
      <c r="G259" s="1659">
        <f>'2C'!G21</f>
        <v>65.769000000000005</v>
      </c>
      <c r="H259" s="1645"/>
    </row>
    <row r="260" spans="1:8">
      <c r="A260" s="1634" t="str">
        <f>INDEX(Lists!$C$4:$C$24,MATCH(Validation!$B$3,Lists!$B$4:$B$24,0))</f>
        <v>TMS</v>
      </c>
      <c r="B260" s="1634" t="str">
        <f>'2C'!AG6</f>
        <v>BM9031</v>
      </c>
      <c r="C260" s="1660" t="str">
        <f>'2C'!AB6&amp;" - "&amp;'2C'!$AG$3</f>
        <v>Customer services - Non-household</v>
      </c>
      <c r="D260" s="2" t="s">
        <v>8</v>
      </c>
      <c r="E260" s="2" t="s">
        <v>9</v>
      </c>
      <c r="F260" s="1634"/>
      <c r="G260" s="1635">
        <f>'2C'!H6</f>
        <v>0.629</v>
      </c>
      <c r="H260" s="1636"/>
    </row>
    <row r="261" spans="1:8">
      <c r="A261" s="1634" t="str">
        <f>INDEX(Lists!$C$4:$C$24,MATCH(Validation!$B$3,Lists!$B$4:$B$24,0))</f>
        <v>TMS</v>
      </c>
      <c r="B261" s="1634" t="str">
        <f>'2C'!AG7</f>
        <v>BM9202</v>
      </c>
      <c r="C261" s="1634" t="str">
        <f>'2C'!AB7&amp;" - "&amp;'2C'!$AG$3</f>
        <v>Debt management - Non-household</v>
      </c>
      <c r="D261" s="2" t="s">
        <v>8</v>
      </c>
      <c r="E261" s="2" t="s">
        <v>9</v>
      </c>
      <c r="F261" s="1634"/>
      <c r="G261" s="1635">
        <f>'2C'!H7</f>
        <v>0</v>
      </c>
      <c r="H261" s="1636"/>
    </row>
    <row r="262" spans="1:8">
      <c r="A262" s="1634" t="str">
        <f>INDEX(Lists!$C$4:$C$24,MATCH(Validation!$B$3,Lists!$B$4:$B$24,0))</f>
        <v>TMS</v>
      </c>
      <c r="B262" s="1634" t="str">
        <f>'2C'!AG8</f>
        <v>BM9203</v>
      </c>
      <c r="C262" s="1634" t="str">
        <f>'2C'!AB8&amp;" - "&amp;'2C'!$AG$3</f>
        <v>Doubtful debts - Non-household</v>
      </c>
      <c r="D262" s="2" t="s">
        <v>8</v>
      </c>
      <c r="E262" s="2" t="s">
        <v>9</v>
      </c>
      <c r="F262" s="1634"/>
      <c r="G262" s="1635">
        <f>'2C'!H8</f>
        <v>4.5620000000000003</v>
      </c>
      <c r="H262" s="1636"/>
    </row>
    <row r="263" spans="1:8">
      <c r="A263" s="1634" t="str">
        <f>INDEX(Lists!$C$4:$C$24,MATCH(Validation!$B$3,Lists!$B$4:$B$24,0))</f>
        <v>TMS</v>
      </c>
      <c r="B263" s="1634" t="str">
        <f>'2C'!AG9</f>
        <v>BM9207</v>
      </c>
      <c r="C263" s="1634" t="str">
        <f>'2C'!AB9&amp;" - "&amp;'2C'!$AG$3</f>
        <v>Meter reading - Non-household</v>
      </c>
      <c r="D263" s="2" t="s">
        <v>8</v>
      </c>
      <c r="E263" s="2" t="s">
        <v>9</v>
      </c>
      <c r="F263" s="1634"/>
      <c r="G263" s="1635">
        <f>'2C'!H9</f>
        <v>5.0000000000000001E-3</v>
      </c>
      <c r="H263" s="1636"/>
    </row>
    <row r="264" spans="1:8">
      <c r="A264" s="1634" t="str">
        <f>INDEX(Lists!$C$4:$C$24,MATCH(Validation!$B$3,Lists!$B$4:$B$24,0))</f>
        <v>TMS</v>
      </c>
      <c r="B264" s="1634" t="str">
        <f>'2C'!AG10</f>
        <v>BM9230</v>
      </c>
      <c r="C264" s="1634" t="str">
        <f>'2C'!AB10&amp;" - "&amp;'2C'!$AG$3</f>
        <v>Services to developers - Non-household</v>
      </c>
      <c r="D264" s="2" t="s">
        <v>8</v>
      </c>
      <c r="E264" s="2" t="s">
        <v>9</v>
      </c>
      <c r="F264" s="1634"/>
      <c r="G264" s="1635">
        <f>'2C'!H10</f>
        <v>0.69</v>
      </c>
      <c r="H264" s="1636"/>
    </row>
    <row r="265" spans="1:8">
      <c r="A265" s="1634" t="str">
        <f>INDEX(Lists!$C$4:$C$24,MATCH(Validation!$B$3,Lists!$B$4:$B$24,0))</f>
        <v>TMS</v>
      </c>
      <c r="B265" s="1634" t="str">
        <f>'2C'!AG11</f>
        <v>BM9034</v>
      </c>
      <c r="C265" s="1634" t="str">
        <f>'2C'!AB11&amp;" - "&amp;'2C'!$AG$3</f>
        <v>Other operating expenditure - Non-household</v>
      </c>
      <c r="D265" s="2" t="s">
        <v>8</v>
      </c>
      <c r="E265" s="2" t="s">
        <v>9</v>
      </c>
      <c r="F265" s="1634"/>
      <c r="G265" s="1635">
        <f>'2C'!H11</f>
        <v>0.23100000000000001</v>
      </c>
      <c r="H265" s="1636"/>
    </row>
    <row r="266" spans="1:8">
      <c r="A266" s="1634" t="str">
        <f>INDEX(Lists!$C$4:$C$24,MATCH(Validation!$B$3,Lists!$B$4:$B$24,0))</f>
        <v>TMS</v>
      </c>
      <c r="B266" s="1634" t="str">
        <f>'2C'!AG13</f>
        <v>BM9222</v>
      </c>
      <c r="C266" s="1634" t="str">
        <f>'2C'!AB13&amp;" - "&amp;'2C'!$AG$3</f>
        <v>Third party services operating expenditure - Non-household</v>
      </c>
      <c r="D266" s="2" t="s">
        <v>8</v>
      </c>
      <c r="E266" s="2" t="s">
        <v>9</v>
      </c>
      <c r="F266" s="1634"/>
      <c r="G266" s="1635">
        <f>'2C'!H13</f>
        <v>0</v>
      </c>
      <c r="H266" s="1636"/>
    </row>
    <row r="267" spans="1:8">
      <c r="A267" s="1634" t="str">
        <f>INDEX(Lists!$C$4:$C$24,MATCH(Validation!$B$3,Lists!$B$4:$B$24,0))</f>
        <v>TMS</v>
      </c>
      <c r="B267" s="1634" t="str">
        <f>'2C'!AG16</f>
        <v>BM9225</v>
      </c>
      <c r="C267" s="1634" t="str">
        <f>'2C'!AB16&amp;" - "&amp;'2C'!$AG$3</f>
        <v>Depreciation - tangible fixed assets - Non-household</v>
      </c>
      <c r="D267" s="2" t="s">
        <v>8</v>
      </c>
      <c r="E267" s="2" t="s">
        <v>9</v>
      </c>
      <c r="F267" s="1634"/>
      <c r="G267" s="1635">
        <f>'2C'!H16</f>
        <v>0</v>
      </c>
      <c r="H267" s="1636"/>
    </row>
    <row r="268" spans="1:8">
      <c r="A268" s="1634" t="str">
        <f>INDEX(Lists!$C$4:$C$24,MATCH(Validation!$B$3,Lists!$B$4:$B$24,0))</f>
        <v>TMS</v>
      </c>
      <c r="B268" s="1634" t="str">
        <f>'2C'!AG17</f>
        <v>BM9227</v>
      </c>
      <c r="C268" s="1634" t="str">
        <f>'2C'!AB17&amp;" - "&amp;'2C'!$AG$3</f>
        <v>Amortisation - intangible fixed assets - Non-household</v>
      </c>
      <c r="D268" s="2" t="s">
        <v>8</v>
      </c>
      <c r="E268" s="2" t="s">
        <v>9</v>
      </c>
      <c r="F268" s="1634"/>
      <c r="G268" s="1635">
        <f>'2C'!H17</f>
        <v>0</v>
      </c>
      <c r="H268" s="1636"/>
    </row>
    <row r="269" spans="1:8" ht="15" thickBot="1">
      <c r="A269" s="1634" t="str">
        <f>INDEX(Lists!$C$4:$C$24,MATCH(Validation!$B$3,Lists!$B$4:$B$24,0))</f>
        <v>TMS</v>
      </c>
      <c r="B269" s="1642" t="str">
        <f>'2C'!AG21</f>
        <v>BM9338</v>
      </c>
      <c r="C269" s="1634" t="str">
        <f>'2C'!AB21&amp;" - "&amp;'2C'!$AG$3</f>
        <v>Debt written off - Non-household</v>
      </c>
      <c r="D269" s="2" t="s">
        <v>8</v>
      </c>
      <c r="E269" s="2" t="s">
        <v>9</v>
      </c>
      <c r="F269" s="1634"/>
      <c r="G269" s="1658">
        <f>'2C'!H21</f>
        <v>2.1789999999999998</v>
      </c>
      <c r="H269" s="1649"/>
    </row>
    <row r="270" spans="1:8">
      <c r="A270" s="1641" t="str">
        <f>INDEX(Lists!$C$4:$C$24,MATCH(Validation!$B$3,Lists!$B$4:$B$24,0))</f>
        <v>TMS</v>
      </c>
      <c r="B270" s="1641" t="str">
        <f>'2D'!BI7</f>
        <v>BM4012WR</v>
      </c>
      <c r="C270" s="1661" t="str">
        <f>'2D'!$BE$6&amp;" - "&amp;'2D'!BE7&amp;" - "&amp;'2D'!$BI$3&amp;" ("&amp;'2D'!$BI$4&amp;")"</f>
        <v>Cost - At 1 April 2017 - Wholesale (Water Resources)</v>
      </c>
      <c r="D270" s="1643" t="s">
        <v>8</v>
      </c>
      <c r="E270" s="1645" t="s">
        <v>9</v>
      </c>
      <c r="F270" s="1645"/>
      <c r="G270" s="1662">
        <f>'2D'!G7</f>
        <v>261.31</v>
      </c>
      <c r="H270" s="1645"/>
    </row>
    <row r="271" spans="1:8">
      <c r="A271" s="1634" t="str">
        <f>INDEX(Lists!$C$4:$C$24,MATCH(Validation!$B$3,Lists!$B$4:$B$24,0))</f>
        <v>TMS</v>
      </c>
      <c r="B271" s="1634" t="str">
        <f>'2D'!BI8</f>
        <v>BM4016WR</v>
      </c>
      <c r="C271" s="1646" t="str">
        <f>'2D'!$BE$6&amp;" - "&amp;'2D'!BE8&amp;" - "&amp;'2D'!$BI$3&amp;" ("&amp;'2D'!$BI$4&amp;")"</f>
        <v>Cost - Disposals - Wholesale (Water Resources)</v>
      </c>
      <c r="D271" s="1646" t="s">
        <v>8</v>
      </c>
      <c r="E271" s="1636" t="s">
        <v>9</v>
      </c>
      <c r="F271" s="1636"/>
      <c r="G271" s="1663">
        <f>'2D'!G8</f>
        <v>0</v>
      </c>
      <c r="H271" s="1636"/>
    </row>
    <row r="272" spans="1:8">
      <c r="A272" s="1634" t="str">
        <f>INDEX(Lists!$C$4:$C$24,MATCH(Validation!$B$3,Lists!$B$4:$B$24,0))</f>
        <v>TMS</v>
      </c>
      <c r="B272" s="1634" t="str">
        <f>'2D'!BI9</f>
        <v>BM4017WR</v>
      </c>
      <c r="C272" s="1646" t="str">
        <f>'2D'!$BE$6&amp;" - "&amp;'2D'!BE9&amp;" - "&amp;'2D'!$BI$3&amp;" ("&amp;'2D'!$BI$4&amp;")"</f>
        <v>Cost - Additions - Wholesale (Water Resources)</v>
      </c>
      <c r="D272" s="1646" t="s">
        <v>8</v>
      </c>
      <c r="E272" s="1636" t="s">
        <v>9</v>
      </c>
      <c r="F272" s="1636"/>
      <c r="G272" s="1663">
        <f>'2D'!G9</f>
        <v>21.952999999999999</v>
      </c>
      <c r="H272" s="1636"/>
    </row>
    <row r="273" spans="1:8">
      <c r="A273" s="1634" t="str">
        <f>INDEX(Lists!$C$4:$C$24,MATCH(Validation!$B$3,Lists!$B$4:$B$24,0))</f>
        <v>TMS</v>
      </c>
      <c r="B273" s="1634" t="str">
        <f>'2D'!BI10</f>
        <v>BM4021WR</v>
      </c>
      <c r="C273" s="1646" t="str">
        <f>'2D'!$BE$6&amp;" - "&amp;'2D'!BE10&amp;" - "&amp;'2D'!$BI$3&amp;" ("&amp;'2D'!$BI$4&amp;")"</f>
        <v>Cost - Adjustments - Wholesale (Water Resources)</v>
      </c>
      <c r="D273" s="1646" t="s">
        <v>8</v>
      </c>
      <c r="E273" s="1636" t="s">
        <v>9</v>
      </c>
      <c r="F273" s="1636"/>
      <c r="G273" s="1663">
        <f>'2D'!G10</f>
        <v>-0.187</v>
      </c>
      <c r="H273" s="1636"/>
    </row>
    <row r="274" spans="1:8">
      <c r="A274" s="1634" t="str">
        <f>INDEX(Lists!$C$4:$C$24,MATCH(Validation!$B$3,Lists!$B$4:$B$24,0))</f>
        <v>TMS</v>
      </c>
      <c r="B274" s="1634" t="str">
        <f>'2D'!BI11</f>
        <v>BM4019WR</v>
      </c>
      <c r="C274" s="1646" t="str">
        <f>'2D'!$BE$6&amp;" - "&amp;'2D'!BE11&amp;" - "&amp;'2D'!$BI$3&amp;" ("&amp;'2D'!$BI$4&amp;")"</f>
        <v>Cost - Assets adopted at nil cost - Wholesale (Water Resources)</v>
      </c>
      <c r="D274" s="1646" t="s">
        <v>8</v>
      </c>
      <c r="E274" s="1636" t="s">
        <v>9</v>
      </c>
      <c r="F274" s="1636"/>
      <c r="G274" s="1663">
        <f>'2D'!G11</f>
        <v>0</v>
      </c>
      <c r="H274" s="1636"/>
    </row>
    <row r="275" spans="1:8">
      <c r="A275" s="1634" t="str">
        <f>INDEX(Lists!$C$4:$C$24,MATCH(Validation!$B$3,Lists!$B$4:$B$24,0))</f>
        <v>TMS</v>
      </c>
      <c r="B275" s="1634" t="str">
        <f>'2D'!BI15</f>
        <v>BM4041WR</v>
      </c>
      <c r="C275" s="1646" t="str">
        <f>'2D'!$BE$14&amp;" - "&amp;'2D'!BE15&amp;" - "&amp;'2D'!$BI$3&amp;" ("&amp;'2D'!$BI$4&amp;")"</f>
        <v>Depreciation - At 1 April 2017 - Wholesale (Water Resources)</v>
      </c>
      <c r="D275" s="1646" t="s">
        <v>8</v>
      </c>
      <c r="E275" s="1636" t="s">
        <v>9</v>
      </c>
      <c r="F275" s="1636"/>
      <c r="G275" s="1663">
        <f>'2D'!G15</f>
        <v>-68.497</v>
      </c>
      <c r="H275" s="1636"/>
    </row>
    <row r="276" spans="1:8">
      <c r="A276" s="1634" t="str">
        <f>INDEX(Lists!$C$4:$C$24,MATCH(Validation!$B$3,Lists!$B$4:$B$24,0))</f>
        <v>TMS</v>
      </c>
      <c r="B276" s="1634" t="str">
        <f>'2D'!BI16</f>
        <v>BM4045WR</v>
      </c>
      <c r="C276" s="1646" t="str">
        <f>'2D'!$BE$14&amp;" - "&amp;'2D'!BE16&amp;" - "&amp;'2D'!$BI$3&amp;" ("&amp;'2D'!$BI$4&amp;")"</f>
        <v>Depreciation - Disposals - Wholesale (Water Resources)</v>
      </c>
      <c r="D276" s="1646" t="s">
        <v>8</v>
      </c>
      <c r="E276" s="1636" t="s">
        <v>9</v>
      </c>
      <c r="F276" s="1636"/>
      <c r="G276" s="1663">
        <f>'2D'!G16</f>
        <v>0</v>
      </c>
      <c r="H276" s="1636"/>
    </row>
    <row r="277" spans="1:8">
      <c r="A277" s="1634" t="str">
        <f>INDEX(Lists!$C$4:$C$24,MATCH(Validation!$B$3,Lists!$B$4:$B$24,0))</f>
        <v>TMS</v>
      </c>
      <c r="B277" s="1634" t="str">
        <f>'2D'!BI17</f>
        <v>BM4053WR</v>
      </c>
      <c r="C277" s="1646" t="str">
        <f>'2D'!$BE$14&amp;" - "&amp;'2D'!BE17&amp;" - "&amp;'2D'!$BI$3&amp;" ("&amp;'2D'!$BI$4&amp;")"</f>
        <v>Depreciation - Adjustments - Wholesale (Water Resources)</v>
      </c>
      <c r="D277" s="1646" t="s">
        <v>8</v>
      </c>
      <c r="E277" s="1636" t="s">
        <v>9</v>
      </c>
      <c r="F277" s="1636"/>
      <c r="G277" s="1663">
        <f>'2D'!G17</f>
        <v>0</v>
      </c>
      <c r="H277" s="1636"/>
    </row>
    <row r="278" spans="1:8">
      <c r="A278" s="1634" t="str">
        <f>INDEX(Lists!$C$4:$C$24,MATCH(Validation!$B$3,Lists!$B$4:$B$24,0))</f>
        <v>TMS</v>
      </c>
      <c r="B278" s="1634" t="str">
        <f>'2D'!BI18</f>
        <v>BM4046WR</v>
      </c>
      <c r="C278" s="1646" t="str">
        <f>'2D'!$BE$14&amp;" - "&amp;'2D'!BE18&amp;" - "&amp;'2D'!$BI$3&amp;" ("&amp;'2D'!$BI$4&amp;")"</f>
        <v>Depreciation - Charge for the year - Wholesale (Water Resources)</v>
      </c>
      <c r="D278" s="1646" t="s">
        <v>8</v>
      </c>
      <c r="E278" s="1636" t="s">
        <v>9</v>
      </c>
      <c r="F278" s="1636"/>
      <c r="G278" s="1663">
        <f>'2D'!G18</f>
        <v>-4.2190000000000003</v>
      </c>
      <c r="H278" s="1636"/>
    </row>
    <row r="279" spans="1:8">
      <c r="A279" s="1634" t="str">
        <f>INDEX(Lists!$C$4:$C$24,MATCH(Validation!$B$3,Lists!$B$4:$B$24,0))</f>
        <v>TMS</v>
      </c>
      <c r="B279" s="1634" t="str">
        <f>'2D'!BI25</f>
        <v>BM4051WR</v>
      </c>
      <c r="C279" s="1646" t="str">
        <f>'2D'!$BE$24&amp;" - "&amp;'2D'!BE25&amp;" - "&amp;'2D'!$BI$3&amp;" ("&amp;'2D'!$BI$4&amp;")"</f>
        <v>Depreciation charge for year - Principal services - Wholesale (Water Resources)</v>
      </c>
      <c r="D279" s="1646" t="s">
        <v>8</v>
      </c>
      <c r="E279" s="1636" t="s">
        <v>9</v>
      </c>
      <c r="F279" s="1636"/>
      <c r="G279" s="1663">
        <f>'2D'!G25</f>
        <v>-4.2190000000000003</v>
      </c>
      <c r="H279" s="1636"/>
    </row>
    <row r="280" spans="1:8">
      <c r="A280" s="1637" t="str">
        <f>INDEX(Lists!$C$4:$C$24,MATCH(Validation!$B$3,Lists!$B$4:$B$24,0))</f>
        <v>TMS</v>
      </c>
      <c r="B280" s="1637" t="str">
        <f>'2D'!BI26</f>
        <v>BM334WR</v>
      </c>
      <c r="C280" s="1650" t="str">
        <f>'2D'!$BE$24&amp;" - "&amp;'2D'!BE26&amp;" - "&amp;'2D'!$BI$3&amp;" ("&amp;'2D'!$BI$4&amp;")"</f>
        <v>Depreciation charge for year - Third party services - Wholesale (Water Resources)</v>
      </c>
      <c r="D280" s="1650" t="s">
        <v>8</v>
      </c>
      <c r="E280" s="1652" t="s">
        <v>9</v>
      </c>
      <c r="F280" s="1652"/>
      <c r="G280" s="1664">
        <f>'2D'!G26</f>
        <v>0</v>
      </c>
      <c r="H280" s="1652"/>
    </row>
    <row r="281" spans="1:8">
      <c r="A281" s="1634" t="str">
        <f>INDEX(Lists!$C$4:$C$24,MATCH(Validation!$B$3,Lists!$B$4:$B$24,0))</f>
        <v>TMS</v>
      </c>
      <c r="B281" s="1634" t="str">
        <f>'2D'!BJ7</f>
        <v>BM4012WN</v>
      </c>
      <c r="C281" s="1646" t="str">
        <f>'2D'!$BE$6&amp;" - "&amp;'2D'!BE7&amp;" - "&amp;'2D'!$BI$3&amp;" ("&amp;'2D'!$BJ$4&amp;")"</f>
        <v>Cost - At 1 April 2017 - Wholesale (Water Network+)</v>
      </c>
      <c r="D281" s="1646" t="s">
        <v>8</v>
      </c>
      <c r="E281" s="1636" t="s">
        <v>9</v>
      </c>
      <c r="F281" s="1636"/>
      <c r="G281" s="1663">
        <f>'2D'!H7</f>
        <v>8721.2999999999993</v>
      </c>
      <c r="H281" s="1636"/>
    </row>
    <row r="282" spans="1:8">
      <c r="A282" s="1634" t="str">
        <f>INDEX(Lists!$C$4:$C$24,MATCH(Validation!$B$3,Lists!$B$4:$B$24,0))</f>
        <v>TMS</v>
      </c>
      <c r="B282" s="1634" t="str">
        <f>'2D'!BJ8</f>
        <v>BM4016WN</v>
      </c>
      <c r="C282" s="1646" t="str">
        <f>'2D'!$BE$6&amp;" - "&amp;'2D'!BE8&amp;" - "&amp;'2D'!$BI$3&amp;" ("&amp;'2D'!$BJ$4&amp;")"</f>
        <v>Cost - Disposals - Wholesale (Water Network+)</v>
      </c>
      <c r="D282" s="1646" t="s">
        <v>8</v>
      </c>
      <c r="E282" s="1636" t="s">
        <v>9</v>
      </c>
      <c r="F282" s="1636"/>
      <c r="G282" s="1663">
        <f>'2D'!H8</f>
        <v>-8.6750000000000007</v>
      </c>
      <c r="H282" s="1636"/>
    </row>
    <row r="283" spans="1:8">
      <c r="A283" s="1634" t="str">
        <f>INDEX(Lists!$C$4:$C$24,MATCH(Validation!$B$3,Lists!$B$4:$B$24,0))</f>
        <v>TMS</v>
      </c>
      <c r="B283" s="1634" t="str">
        <f>'2D'!BJ9</f>
        <v>BM4017WN</v>
      </c>
      <c r="C283" s="1646" t="str">
        <f>'2D'!$BE$6&amp;" - "&amp;'2D'!BE9&amp;" - "&amp;'2D'!$BI$3&amp;" ("&amp;'2D'!$BJ$4&amp;")"</f>
        <v>Cost - Additions - Wholesale (Water Network+)</v>
      </c>
      <c r="D283" s="1646" t="s">
        <v>8</v>
      </c>
      <c r="E283" s="1636" t="s">
        <v>9</v>
      </c>
      <c r="F283" s="1636"/>
      <c r="G283" s="1663">
        <f>'2D'!H9</f>
        <v>444.23700000000002</v>
      </c>
      <c r="H283" s="1636"/>
    </row>
    <row r="284" spans="1:8">
      <c r="A284" s="1634" t="str">
        <f>INDEX(Lists!$C$4:$C$24,MATCH(Validation!$B$3,Lists!$B$4:$B$24,0))</f>
        <v>TMS</v>
      </c>
      <c r="B284" s="1634" t="str">
        <f>'2D'!BJ10</f>
        <v>BM4021WN</v>
      </c>
      <c r="C284" s="1646" t="str">
        <f>'2D'!$BE$6&amp;" - "&amp;'2D'!BE10&amp;" - "&amp;'2D'!$BI$3&amp;" ("&amp;'2D'!$BJ$4&amp;")"</f>
        <v>Cost - Adjustments - Wholesale (Water Network+)</v>
      </c>
      <c r="D284" s="1646" t="s">
        <v>8</v>
      </c>
      <c r="E284" s="1636" t="s">
        <v>9</v>
      </c>
      <c r="F284" s="1636"/>
      <c r="G284" s="1663">
        <f>'2D'!H10</f>
        <v>-6.0359999999999996</v>
      </c>
      <c r="H284" s="1636"/>
    </row>
    <row r="285" spans="1:8">
      <c r="A285" s="1634" t="str">
        <f>INDEX(Lists!$C$4:$C$24,MATCH(Validation!$B$3,Lists!$B$4:$B$24,0))</f>
        <v>TMS</v>
      </c>
      <c r="B285" s="1634" t="str">
        <f>'2D'!BJ11</f>
        <v>BM4019WN</v>
      </c>
      <c r="C285" s="1646" t="str">
        <f>'2D'!$BE$6&amp;" - "&amp;'2D'!BE11&amp;" - "&amp;'2D'!$BI$3&amp;" ("&amp;'2D'!$BJ$4&amp;")"</f>
        <v>Cost - Assets adopted at nil cost - Wholesale (Water Network+)</v>
      </c>
      <c r="D285" s="1646" t="s">
        <v>8</v>
      </c>
      <c r="E285" s="1636" t="s">
        <v>9</v>
      </c>
      <c r="F285" s="1636"/>
      <c r="G285" s="1663">
        <f>'2D'!H11</f>
        <v>7.8470000000000004</v>
      </c>
      <c r="H285" s="1636"/>
    </row>
    <row r="286" spans="1:8">
      <c r="A286" s="1634" t="str">
        <f>INDEX(Lists!$C$4:$C$24,MATCH(Validation!$B$3,Lists!$B$4:$B$24,0))</f>
        <v>TMS</v>
      </c>
      <c r="B286" s="1634" t="str">
        <f>'2D'!BJ15</f>
        <v>BM4041WN</v>
      </c>
      <c r="C286" s="1646" t="str">
        <f>'2D'!$BE$14&amp;" - "&amp;'2D'!BE15&amp;" - "&amp;'2D'!$BI$3&amp;" ("&amp;'2D'!$BJ$4&amp;")"</f>
        <v>Depreciation - At 1 April 2017 - Wholesale (Water Network+)</v>
      </c>
      <c r="D286" s="1646" t="s">
        <v>8</v>
      </c>
      <c r="E286" s="1636" t="s">
        <v>9</v>
      </c>
      <c r="F286" s="1636"/>
      <c r="G286" s="1663">
        <f>'2D'!H15</f>
        <v>-2274.1889999999999</v>
      </c>
      <c r="H286" s="1636"/>
    </row>
    <row r="287" spans="1:8">
      <c r="A287" s="1634" t="str">
        <f>INDEX(Lists!$C$4:$C$24,MATCH(Validation!$B$3,Lists!$B$4:$B$24,0))</f>
        <v>TMS</v>
      </c>
      <c r="B287" s="1634" t="str">
        <f>'2D'!BJ16</f>
        <v>BM4045WN</v>
      </c>
      <c r="C287" s="1646" t="str">
        <f>'2D'!$BE$14&amp;" - "&amp;'2D'!BE16&amp;" - "&amp;'2D'!$BI$3&amp;" ("&amp;'2D'!$BJ$4&amp;")"</f>
        <v>Depreciation - Disposals - Wholesale (Water Network+)</v>
      </c>
      <c r="D287" s="1646" t="s">
        <v>8</v>
      </c>
      <c r="E287" s="1636" t="s">
        <v>9</v>
      </c>
      <c r="F287" s="1636"/>
      <c r="G287" s="1663">
        <f>'2D'!H16</f>
        <v>4.4859999999999998</v>
      </c>
      <c r="H287" s="1636"/>
    </row>
    <row r="288" spans="1:8">
      <c r="A288" s="1634" t="str">
        <f>INDEX(Lists!$C$4:$C$24,MATCH(Validation!$B$3,Lists!$B$4:$B$24,0))</f>
        <v>TMS</v>
      </c>
      <c r="B288" s="1634" t="str">
        <f>'2D'!BJ17</f>
        <v>BM4053WN</v>
      </c>
      <c r="C288" s="1646" t="str">
        <f>'2D'!$BE$14&amp;" - "&amp;'2D'!BE17&amp;" - "&amp;'2D'!$BI$3&amp;" ("&amp;'2D'!$BJ$4&amp;")"</f>
        <v>Depreciation - Adjustments - Wholesale (Water Network+)</v>
      </c>
      <c r="D288" s="1646" t="s">
        <v>8</v>
      </c>
      <c r="E288" s="1636" t="s">
        <v>9</v>
      </c>
      <c r="F288" s="1636"/>
      <c r="G288" s="1663">
        <f>'2D'!H17</f>
        <v>0</v>
      </c>
      <c r="H288" s="1636"/>
    </row>
    <row r="289" spans="1:8">
      <c r="A289" s="1634" t="str">
        <f>INDEX(Lists!$C$4:$C$24,MATCH(Validation!$B$3,Lists!$B$4:$B$24,0))</f>
        <v>TMS</v>
      </c>
      <c r="B289" s="1634" t="str">
        <f>'2D'!BJ18</f>
        <v>BM4046WN</v>
      </c>
      <c r="C289" s="1646" t="str">
        <f>'2D'!$BE$14&amp;" - "&amp;'2D'!BE18&amp;" - "&amp;'2D'!$BI$3&amp;" ("&amp;'2D'!$BJ$4&amp;")"</f>
        <v>Depreciation - Charge for the year - Wholesale (Water Network+)</v>
      </c>
      <c r="D289" s="1646" t="s">
        <v>8</v>
      </c>
      <c r="E289" s="1636" t="s">
        <v>9</v>
      </c>
      <c r="F289" s="1636"/>
      <c r="G289" s="1663">
        <f>'2D'!H18</f>
        <v>-264.18400000000003</v>
      </c>
      <c r="H289" s="1636"/>
    </row>
    <row r="290" spans="1:8">
      <c r="A290" s="1634" t="str">
        <f>INDEX(Lists!$C$4:$C$24,MATCH(Validation!$B$3,Lists!$B$4:$B$24,0))</f>
        <v>TMS</v>
      </c>
      <c r="B290" s="1634" t="str">
        <f>'2D'!BJ25</f>
        <v>BM4051WN</v>
      </c>
      <c r="C290" s="1646" t="str">
        <f>'2D'!$BE$24&amp;" - "&amp;'2D'!BE25&amp;" - "&amp;'2D'!$BI$3&amp;" ("&amp;'2D'!$BJ$4&amp;")"</f>
        <v>Depreciation charge for year - Principal services - Wholesale (Water Network+)</v>
      </c>
      <c r="D290" s="1646" t="s">
        <v>8</v>
      </c>
      <c r="E290" s="1636" t="s">
        <v>9</v>
      </c>
      <c r="F290" s="1636"/>
      <c r="G290" s="1663">
        <f>'2D'!H25</f>
        <v>-264.18400000000003</v>
      </c>
      <c r="H290" s="1636"/>
    </row>
    <row r="291" spans="1:8">
      <c r="A291" s="1637" t="str">
        <f>INDEX(Lists!$C$4:$C$24,MATCH(Validation!$B$3,Lists!$B$4:$B$24,0))</f>
        <v>TMS</v>
      </c>
      <c r="B291" s="1637" t="str">
        <f>'2D'!BJ26</f>
        <v>BM334WN</v>
      </c>
      <c r="C291" s="1650" t="str">
        <f>'2D'!$BE$24&amp;" - "&amp;'2D'!BE26&amp;" - "&amp;'2D'!$BI$3&amp;" ("&amp;'2D'!$BJ$4&amp;")"</f>
        <v>Depreciation charge for year - Third party services - Wholesale (Water Network+)</v>
      </c>
      <c r="D291" s="1650" t="s">
        <v>8</v>
      </c>
      <c r="E291" s="1652" t="s">
        <v>9</v>
      </c>
      <c r="F291" s="1652"/>
      <c r="G291" s="1664">
        <f>'2D'!H26</f>
        <v>0</v>
      </c>
      <c r="H291" s="1652"/>
    </row>
    <row r="292" spans="1:8">
      <c r="A292" s="1634" t="str">
        <f>INDEX(Lists!$C$4:$C$24,MATCH(Validation!$B$3,Lists!$B$4:$B$24,0))</f>
        <v>TMS</v>
      </c>
      <c r="B292" s="1634" t="str">
        <f>'2D'!BK7</f>
        <v>BM4012WNK</v>
      </c>
      <c r="C292" s="1646" t="str">
        <f>'2D'!$BE$6&amp;" - "&amp;'2D'!BE7&amp;" - "&amp;'2D'!$BI$3&amp;" ("&amp;'2D'!$BK$4&amp;")"</f>
        <v>Cost - At 1 April 2017 - Wholesale (Wastewater Network+)</v>
      </c>
      <c r="D292" s="1646" t="s">
        <v>8</v>
      </c>
      <c r="E292" s="1636" t="s">
        <v>9</v>
      </c>
      <c r="F292" s="1636"/>
      <c r="G292" s="1663">
        <f>'2D'!I7</f>
        <v>7334.2389999999996</v>
      </c>
      <c r="H292" s="1636"/>
    </row>
    <row r="293" spans="1:8">
      <c r="A293" s="1634" t="str">
        <f>INDEX(Lists!$C$4:$C$24,MATCH(Validation!$B$3,Lists!$B$4:$B$24,0))</f>
        <v>TMS</v>
      </c>
      <c r="B293" s="1634" t="str">
        <f>'2D'!BK8</f>
        <v>BM4016WNK</v>
      </c>
      <c r="C293" s="1646" t="str">
        <f>'2D'!$BE$6&amp;" - "&amp;'2D'!BE8&amp;" - "&amp;'2D'!$BI$3&amp;" ("&amp;'2D'!$BK$4&amp;")"</f>
        <v>Cost - Disposals - Wholesale (Wastewater Network+)</v>
      </c>
      <c r="D293" s="1646" t="s">
        <v>8</v>
      </c>
      <c r="E293" s="1636" t="s">
        <v>9</v>
      </c>
      <c r="F293" s="1636"/>
      <c r="G293" s="1663">
        <f>'2D'!I8</f>
        <v>-4.8129999999999997</v>
      </c>
      <c r="H293" s="1636"/>
    </row>
    <row r="294" spans="1:8">
      <c r="A294" s="1634" t="str">
        <f>INDEX(Lists!$C$4:$C$24,MATCH(Validation!$B$3,Lists!$B$4:$B$24,0))</f>
        <v>TMS</v>
      </c>
      <c r="B294" s="1634" t="str">
        <f>'2D'!BK9</f>
        <v>BM4017WNK</v>
      </c>
      <c r="C294" s="1646" t="str">
        <f>'2D'!$BE$6&amp;" - "&amp;'2D'!BE9&amp;" - "&amp;'2D'!$BI$3&amp;" ("&amp;'2D'!$BK$4&amp;")"</f>
        <v>Cost - Additions - Wholesale (Wastewater Network+)</v>
      </c>
      <c r="D294" s="1646" t="s">
        <v>8</v>
      </c>
      <c r="E294" s="1636" t="s">
        <v>9</v>
      </c>
      <c r="F294" s="1636"/>
      <c r="G294" s="1663">
        <f>'2D'!I9</f>
        <v>384.78500000000003</v>
      </c>
      <c r="H294" s="1636"/>
    </row>
    <row r="295" spans="1:8">
      <c r="A295" s="1634" t="str">
        <f>INDEX(Lists!$C$4:$C$24,MATCH(Validation!$B$3,Lists!$B$4:$B$24,0))</f>
        <v>TMS</v>
      </c>
      <c r="B295" s="1634" t="str">
        <f>'2D'!BK10</f>
        <v>BM4021WNK</v>
      </c>
      <c r="C295" s="1646" t="str">
        <f>'2D'!$BE$6&amp;" - "&amp;'2D'!BE10&amp;" - "&amp;'2D'!$BI$3&amp;" ("&amp;'2D'!$BK$4&amp;")"</f>
        <v>Cost - Adjustments - Wholesale (Wastewater Network+)</v>
      </c>
      <c r="D295" s="1646" t="s">
        <v>8</v>
      </c>
      <c r="E295" s="1636" t="s">
        <v>9</v>
      </c>
      <c r="F295" s="1636"/>
      <c r="G295" s="1663">
        <f>'2D'!I10</f>
        <v>-3.6406253500000001</v>
      </c>
      <c r="H295" s="1636"/>
    </row>
    <row r="296" spans="1:8">
      <c r="A296" s="1634" t="str">
        <f>INDEX(Lists!$C$4:$C$24,MATCH(Validation!$B$3,Lists!$B$4:$B$24,0))</f>
        <v>TMS</v>
      </c>
      <c r="B296" s="1634" t="str">
        <f>'2D'!BK11</f>
        <v>BM4019WNK</v>
      </c>
      <c r="C296" s="1646" t="str">
        <f>'2D'!$BE$6&amp;" - "&amp;'2D'!BE11&amp;" - "&amp;'2D'!$BI$3&amp;" ("&amp;'2D'!$BK$4&amp;")"</f>
        <v>Cost - Assets adopted at nil cost - Wholesale (Wastewater Network+)</v>
      </c>
      <c r="D296" s="1646" t="s">
        <v>8</v>
      </c>
      <c r="E296" s="1636" t="s">
        <v>9</v>
      </c>
      <c r="F296" s="1636"/>
      <c r="G296" s="1663">
        <f>'2D'!I11</f>
        <v>14.326000000000001</v>
      </c>
      <c r="H296" s="1636"/>
    </row>
    <row r="297" spans="1:8">
      <c r="A297" s="1634" t="str">
        <f>INDEX(Lists!$C$4:$C$24,MATCH(Validation!$B$3,Lists!$B$4:$B$24,0))</f>
        <v>TMS</v>
      </c>
      <c r="B297" s="1634" t="str">
        <f>'2D'!BK15</f>
        <v>BM4041WNK</v>
      </c>
      <c r="C297" s="1646" t="str">
        <f>'2D'!$BE$14&amp;" - "&amp;'2D'!BE15&amp;" - "&amp;'2D'!$BI$3&amp;" ("&amp;'2D'!$BK$4&amp;")"</f>
        <v>Depreciation - At 1 April 2017 - Wholesale (Wastewater Network+)</v>
      </c>
      <c r="D297" s="1646" t="s">
        <v>8</v>
      </c>
      <c r="E297" s="1636" t="s">
        <v>9</v>
      </c>
      <c r="F297" s="1636"/>
      <c r="G297" s="1663">
        <f>'2D'!I15</f>
        <v>-2013.6289999999999</v>
      </c>
      <c r="H297" s="1636"/>
    </row>
    <row r="298" spans="1:8">
      <c r="A298" s="1634" t="str">
        <f>INDEX(Lists!$C$4:$C$24,MATCH(Validation!$B$3,Lists!$B$4:$B$24,0))</f>
        <v>TMS</v>
      </c>
      <c r="B298" s="1634" t="str">
        <f>'2D'!BK16</f>
        <v>BM4045WNK</v>
      </c>
      <c r="C298" s="1646" t="str">
        <f>'2D'!$BE$14&amp;" - "&amp;'2D'!BE16&amp;" - "&amp;'2D'!$BI$3&amp;" ("&amp;'2D'!$BK$4&amp;")"</f>
        <v>Depreciation - Disposals - Wholesale (Wastewater Network+)</v>
      </c>
      <c r="D298" s="1646" t="s">
        <v>8</v>
      </c>
      <c r="E298" s="1636" t="s">
        <v>9</v>
      </c>
      <c r="F298" s="1636"/>
      <c r="G298" s="1663">
        <f>'2D'!I16</f>
        <v>4.0490000000000004</v>
      </c>
      <c r="H298" s="1636"/>
    </row>
    <row r="299" spans="1:8">
      <c r="A299" s="1634" t="str">
        <f>INDEX(Lists!$C$4:$C$24,MATCH(Validation!$B$3,Lists!$B$4:$B$24,0))</f>
        <v>TMS</v>
      </c>
      <c r="B299" s="1634" t="str">
        <f>'2D'!BK17</f>
        <v>BM4053WWNK</v>
      </c>
      <c r="C299" s="1646" t="str">
        <f>'2D'!$BE$14&amp;" - "&amp;'2D'!BE17&amp;" - "&amp;'2D'!$BI$3&amp;" ("&amp;'2D'!$BK$4&amp;")"</f>
        <v>Depreciation - Adjustments - Wholesale (Wastewater Network+)</v>
      </c>
      <c r="D299" s="1646" t="s">
        <v>8</v>
      </c>
      <c r="E299" s="1636" t="s">
        <v>9</v>
      </c>
      <c r="F299" s="1636"/>
      <c r="G299" s="1663">
        <f>'2D'!I17</f>
        <v>0</v>
      </c>
      <c r="H299" s="1636"/>
    </row>
    <row r="300" spans="1:8">
      <c r="A300" s="1634" t="str">
        <f>INDEX(Lists!$C$4:$C$24,MATCH(Validation!$B$3,Lists!$B$4:$B$24,0))</f>
        <v>TMS</v>
      </c>
      <c r="B300" s="1634" t="str">
        <f>'2D'!BK18</f>
        <v>BM4046WNK</v>
      </c>
      <c r="C300" s="1646" t="str">
        <f>'2D'!$BE$14&amp;" - "&amp;'2D'!BE18&amp;" - "&amp;'2D'!$BI$3&amp;" ("&amp;'2D'!$BK$4&amp;")"</f>
        <v>Depreciation - Charge for the year - Wholesale (Wastewater Network+)</v>
      </c>
      <c r="D300" s="1646" t="s">
        <v>8</v>
      </c>
      <c r="E300" s="1636" t="s">
        <v>9</v>
      </c>
      <c r="F300" s="1636"/>
      <c r="G300" s="1663">
        <f>'2D'!I18</f>
        <v>-177.964</v>
      </c>
      <c r="H300" s="1636"/>
    </row>
    <row r="301" spans="1:8">
      <c r="A301" s="1634" t="str">
        <f>INDEX(Lists!$C$4:$C$24,MATCH(Validation!$B$3,Lists!$B$4:$B$24,0))</f>
        <v>TMS</v>
      </c>
      <c r="B301" s="1634" t="str">
        <f>'2D'!BK25</f>
        <v>BM4051WNK</v>
      </c>
      <c r="C301" s="1646" t="str">
        <f>'2D'!$BE$24&amp;" - "&amp;'2D'!BE25&amp;" - "&amp;'2D'!$BI$3&amp;" ("&amp;'2D'!$BK$4&amp;")"</f>
        <v>Depreciation charge for year - Principal services - Wholesale (Wastewater Network+)</v>
      </c>
      <c r="D301" s="1646" t="s">
        <v>8</v>
      </c>
      <c r="E301" s="1636" t="s">
        <v>9</v>
      </c>
      <c r="F301" s="1636"/>
      <c r="G301" s="1663">
        <f>'2D'!I25</f>
        <v>-177.95400000000001</v>
      </c>
      <c r="H301" s="1636"/>
    </row>
    <row r="302" spans="1:8">
      <c r="A302" s="1637" t="str">
        <f>INDEX(Lists!$C$4:$C$24,MATCH(Validation!$B$3,Lists!$B$4:$B$24,0))</f>
        <v>TMS</v>
      </c>
      <c r="B302" s="1637" t="str">
        <f>'2D'!BK26</f>
        <v>BM334WNK</v>
      </c>
      <c r="C302" s="1650" t="str">
        <f>'2D'!$BE$24&amp;" - "&amp;'2D'!BE26&amp;" - "&amp;'2D'!$BI$3&amp;" ("&amp;'2D'!$BK$4&amp;")"</f>
        <v>Depreciation charge for year - Third party services - Wholesale (Wastewater Network+)</v>
      </c>
      <c r="D302" s="1650" t="s">
        <v>8</v>
      </c>
      <c r="E302" s="1652" t="s">
        <v>9</v>
      </c>
      <c r="F302" s="1652"/>
      <c r="G302" s="1664">
        <f>'2D'!I26</f>
        <v>-0.01</v>
      </c>
      <c r="H302" s="1652"/>
    </row>
    <row r="303" spans="1:8">
      <c r="A303" s="1634" t="str">
        <f>INDEX(Lists!$C$4:$C$24,MATCH(Validation!$B$3,Lists!$B$4:$B$24,0))</f>
        <v>TMS</v>
      </c>
      <c r="B303" s="1634" t="str">
        <f>'2D'!BL7</f>
        <v>BM4012SG</v>
      </c>
      <c r="C303" s="1646" t="str">
        <f>'2D'!$BE$6&amp;" - "&amp;'2D'!BE7&amp;" - "&amp;'2D'!$BI$3&amp;" ("&amp;'2D'!$BL$4&amp;")"</f>
        <v>Cost - At 1 April 2017 - Wholesale (Sludge)</v>
      </c>
      <c r="D303" s="1646" t="s">
        <v>8</v>
      </c>
      <c r="E303" s="1636" t="s">
        <v>9</v>
      </c>
      <c r="F303" s="1636"/>
      <c r="G303" s="1663">
        <f>'2D'!J7</f>
        <v>1332.3340000000001</v>
      </c>
      <c r="H303" s="1636"/>
    </row>
    <row r="304" spans="1:8">
      <c r="A304" s="1634" t="str">
        <f>INDEX(Lists!$C$4:$C$24,MATCH(Validation!$B$3,Lists!$B$4:$B$24,0))</f>
        <v>TMS</v>
      </c>
      <c r="B304" s="1634" t="str">
        <f>'2D'!BL8</f>
        <v>BM4016SG</v>
      </c>
      <c r="C304" s="1646" t="str">
        <f>'2D'!$BE$6&amp;" - "&amp;'2D'!BE8&amp;" - "&amp;'2D'!$BI$3&amp;" ("&amp;'2D'!$BL$4&amp;")"</f>
        <v>Cost - Disposals - Wholesale (Sludge)</v>
      </c>
      <c r="D304" s="1646" t="s">
        <v>8</v>
      </c>
      <c r="E304" s="1636" t="s">
        <v>9</v>
      </c>
      <c r="F304" s="1636"/>
      <c r="G304" s="1663">
        <f>'2D'!J8</f>
        <v>-3.2000000000000001E-2</v>
      </c>
      <c r="H304" s="1636"/>
    </row>
    <row r="305" spans="1:8">
      <c r="A305" s="1634" t="str">
        <f>INDEX(Lists!$C$4:$C$24,MATCH(Validation!$B$3,Lists!$B$4:$B$24,0))</f>
        <v>TMS</v>
      </c>
      <c r="B305" s="1634" t="str">
        <f>'2D'!BL9</f>
        <v>BM4017SG</v>
      </c>
      <c r="C305" s="1646" t="str">
        <f>'2D'!$BE$6&amp;" - "&amp;'2D'!BE9&amp;" - "&amp;'2D'!$BI$3&amp;" ("&amp;'2D'!$BL$4&amp;")"</f>
        <v>Cost - Additions - Wholesale (Sludge)</v>
      </c>
      <c r="D305" s="1646" t="s">
        <v>8</v>
      </c>
      <c r="E305" s="1636" t="s">
        <v>9</v>
      </c>
      <c r="F305" s="1636"/>
      <c r="G305" s="1663">
        <f>'2D'!J9</f>
        <v>82.647999999999996</v>
      </c>
      <c r="H305" s="1636"/>
    </row>
    <row r="306" spans="1:8">
      <c r="A306" s="1634" t="str">
        <f>INDEX(Lists!$C$4:$C$24,MATCH(Validation!$B$3,Lists!$B$4:$B$24,0))</f>
        <v>TMS</v>
      </c>
      <c r="B306" s="1634" t="str">
        <f>'2D'!BL10</f>
        <v>BM4021SG</v>
      </c>
      <c r="C306" s="1646" t="str">
        <f>'2D'!$BE$6&amp;" - "&amp;'2D'!BE10&amp;" - "&amp;'2D'!$BI$3&amp;" ("&amp;'2D'!$BL$4&amp;")"</f>
        <v>Cost - Adjustments - Wholesale (Sludge)</v>
      </c>
      <c r="D306" s="1646" t="s">
        <v>8</v>
      </c>
      <c r="E306" s="1636" t="s">
        <v>9</v>
      </c>
      <c r="F306" s="1636"/>
      <c r="G306" s="1663">
        <f>'2D'!J10</f>
        <v>-0.93200000000000005</v>
      </c>
      <c r="H306" s="1636"/>
    </row>
    <row r="307" spans="1:8">
      <c r="A307" s="1634" t="str">
        <f>INDEX(Lists!$C$4:$C$24,MATCH(Validation!$B$3,Lists!$B$4:$B$24,0))</f>
        <v>TMS</v>
      </c>
      <c r="B307" s="1634" t="str">
        <f>'2D'!BL11</f>
        <v>BM4019SG</v>
      </c>
      <c r="C307" s="1646" t="str">
        <f>'2D'!$BE$6&amp;" - "&amp;'2D'!BE11&amp;" - "&amp;'2D'!$BI$3&amp;" ("&amp;'2D'!$BL$4&amp;")"</f>
        <v>Cost - Assets adopted at nil cost - Wholesale (Sludge)</v>
      </c>
      <c r="D307" s="1646" t="s">
        <v>8</v>
      </c>
      <c r="E307" s="1636" t="s">
        <v>9</v>
      </c>
      <c r="F307" s="1636"/>
      <c r="G307" s="1663">
        <f>'2D'!J11</f>
        <v>0</v>
      </c>
      <c r="H307" s="1636"/>
    </row>
    <row r="308" spans="1:8">
      <c r="A308" s="1634" t="str">
        <f>INDEX(Lists!$C$4:$C$24,MATCH(Validation!$B$3,Lists!$B$4:$B$24,0))</f>
        <v>TMS</v>
      </c>
      <c r="B308" s="1634" t="str">
        <f>'2D'!BL15</f>
        <v>BM4041SG</v>
      </c>
      <c r="C308" s="1646" t="str">
        <f>'2D'!$BE$14&amp;" - "&amp;'2D'!BE15&amp;" - "&amp;'2D'!$BI$3&amp;" ("&amp;'2D'!$BL$4&amp;")"</f>
        <v>Depreciation - At 1 April 2017 - Wholesale (Sludge)</v>
      </c>
      <c r="D308" s="1646" t="s">
        <v>8</v>
      </c>
      <c r="E308" s="1636" t="s">
        <v>9</v>
      </c>
      <c r="F308" s="1636"/>
      <c r="G308" s="1663">
        <f>'2D'!J15</f>
        <v>-561.00900000000001</v>
      </c>
      <c r="H308" s="1636"/>
    </row>
    <row r="309" spans="1:8">
      <c r="A309" s="1634" t="str">
        <f>INDEX(Lists!$C$4:$C$24,MATCH(Validation!$B$3,Lists!$B$4:$B$24,0))</f>
        <v>TMS</v>
      </c>
      <c r="B309" s="1634" t="str">
        <f>'2D'!BL16</f>
        <v>BM4045SG</v>
      </c>
      <c r="C309" s="1646" t="str">
        <f>'2D'!$BE$14&amp;" - "&amp;'2D'!BE16&amp;" - "&amp;'2D'!$BI$3&amp;" ("&amp;'2D'!$BL$4&amp;")"</f>
        <v>Depreciation - Disposals - Wholesale (Sludge)</v>
      </c>
      <c r="D309" s="1646" t="s">
        <v>8</v>
      </c>
      <c r="E309" s="1636" t="s">
        <v>9</v>
      </c>
      <c r="F309" s="1636"/>
      <c r="G309" s="1663">
        <f>'2D'!J16</f>
        <v>6.2E-2</v>
      </c>
      <c r="H309" s="1636"/>
    </row>
    <row r="310" spans="1:8">
      <c r="A310" s="1634" t="str">
        <f>INDEX(Lists!$C$4:$C$24,MATCH(Validation!$B$3,Lists!$B$4:$B$24,0))</f>
        <v>TMS</v>
      </c>
      <c r="B310" s="1634" t="str">
        <f>'2D'!BL17</f>
        <v>BM4053SG</v>
      </c>
      <c r="C310" s="1646" t="str">
        <f>'2D'!$BE$14&amp;" - "&amp;'2D'!BE17&amp;" - "&amp;'2D'!$BI$3&amp;" ("&amp;'2D'!$BL$4&amp;")"</f>
        <v>Depreciation - Adjustments - Wholesale (Sludge)</v>
      </c>
      <c r="D310" s="1646" t="s">
        <v>8</v>
      </c>
      <c r="E310" s="1636" t="s">
        <v>9</v>
      </c>
      <c r="F310" s="1636"/>
      <c r="G310" s="1663">
        <f>'2D'!J17</f>
        <v>0</v>
      </c>
      <c r="H310" s="1636"/>
    </row>
    <row r="311" spans="1:8">
      <c r="A311" s="1634" t="str">
        <f>INDEX(Lists!$C$4:$C$24,MATCH(Validation!$B$3,Lists!$B$4:$B$24,0))</f>
        <v>TMS</v>
      </c>
      <c r="B311" s="1634" t="str">
        <f>'2D'!BL18</f>
        <v>BM4046SG</v>
      </c>
      <c r="C311" s="1646" t="str">
        <f>'2D'!$BE$14&amp;" - "&amp;'2D'!BE18&amp;" - "&amp;'2D'!$BI$3&amp;" ("&amp;'2D'!$BL$4&amp;")"</f>
        <v>Depreciation - Charge for the year - Wholesale (Sludge)</v>
      </c>
      <c r="D311" s="1646" t="s">
        <v>8</v>
      </c>
      <c r="E311" s="1636" t="s">
        <v>9</v>
      </c>
      <c r="F311" s="1636"/>
      <c r="G311" s="1663">
        <f>'2D'!J18</f>
        <v>-46.332999999999998</v>
      </c>
      <c r="H311" s="1636"/>
    </row>
    <row r="312" spans="1:8">
      <c r="A312" s="1634" t="str">
        <f>INDEX(Lists!$C$4:$C$24,MATCH(Validation!$B$3,Lists!$B$4:$B$24,0))</f>
        <v>TMS</v>
      </c>
      <c r="B312" s="1634" t="str">
        <f>'2D'!BL25</f>
        <v>BM4051SG</v>
      </c>
      <c r="C312" s="1646" t="str">
        <f>'2D'!$BE$24&amp;" - "&amp;'2D'!BE25&amp;" - "&amp;'2D'!$BI$3&amp;" ("&amp;'2D'!$BL$4&amp;")"</f>
        <v>Depreciation charge for year - Principal services - Wholesale (Sludge)</v>
      </c>
      <c r="D312" s="1646" t="s">
        <v>8</v>
      </c>
      <c r="E312" s="1636" t="s">
        <v>9</v>
      </c>
      <c r="F312" s="1636"/>
      <c r="G312" s="1663">
        <f>'2D'!J25</f>
        <v>-46.332999999999998</v>
      </c>
      <c r="H312" s="1636"/>
    </row>
    <row r="313" spans="1:8">
      <c r="A313" s="1637" t="str">
        <f>INDEX(Lists!$C$4:$C$24,MATCH(Validation!$B$3,Lists!$B$4:$B$24,0))</f>
        <v>TMS</v>
      </c>
      <c r="B313" s="1637" t="str">
        <f>'2D'!BL26</f>
        <v>BM334SG</v>
      </c>
      <c r="C313" s="1650" t="str">
        <f>'2D'!$BE$24&amp;" - "&amp;'2D'!BE26&amp;" - "&amp;'2D'!$BI$3&amp;" ("&amp;'2D'!$BL$4&amp;")"</f>
        <v>Depreciation charge for year - Third party services - Wholesale (Sludge)</v>
      </c>
      <c r="D313" s="1650" t="s">
        <v>8</v>
      </c>
      <c r="E313" s="1652" t="s">
        <v>9</v>
      </c>
      <c r="F313" s="1652"/>
      <c r="G313" s="1664">
        <f>'2D'!J26</f>
        <v>0</v>
      </c>
      <c r="H313" s="1652"/>
    </row>
    <row r="314" spans="1:8">
      <c r="A314" s="1634" t="str">
        <f>INDEX(Lists!$C$4:$C$24,MATCH(Validation!$B$3,Lists!$B$4:$B$24,0))</f>
        <v>TMS</v>
      </c>
      <c r="B314" s="1634" t="str">
        <f>'2D'!BM7</f>
        <v>BM4012STTT</v>
      </c>
      <c r="C314" s="1646" t="str">
        <f>'2D'!$BE$6&amp;" - "&amp;'2D'!BE7&amp;" - "&amp;'2D'!$BI$3&amp;" ("&amp;'2D'!$BM$4&amp;")"</f>
        <v>Cost - At 1 April 2017 - Wholesale (TTT)</v>
      </c>
      <c r="D314" s="1646" t="s">
        <v>8</v>
      </c>
      <c r="E314" s="1636" t="s">
        <v>9</v>
      </c>
      <c r="F314" s="1636"/>
      <c r="G314" s="1635">
        <f>'2D'!K7</f>
        <v>1074.645</v>
      </c>
      <c r="H314" s="1636"/>
    </row>
    <row r="315" spans="1:8">
      <c r="A315" s="1634" t="str">
        <f>INDEX(Lists!$C$4:$C$24,MATCH(Validation!$B$3,Lists!$B$4:$B$24,0))</f>
        <v>TMS</v>
      </c>
      <c r="B315" s="1634" t="str">
        <f>'2D'!BM8</f>
        <v>BM4016STTT</v>
      </c>
      <c r="C315" s="1646" t="str">
        <f>'2D'!$BE$6&amp;" - "&amp;'2D'!BE8&amp;" - "&amp;'2D'!$BI$3&amp;" ("&amp;'2D'!$BM$4&amp;")"</f>
        <v>Cost - Disposals - Wholesale (TTT)</v>
      </c>
      <c r="D315" s="1646" t="s">
        <v>8</v>
      </c>
      <c r="E315" s="1636" t="s">
        <v>9</v>
      </c>
      <c r="F315" s="1636"/>
      <c r="G315" s="1635">
        <f>'2D'!K8</f>
        <v>0</v>
      </c>
      <c r="H315" s="1636"/>
    </row>
    <row r="316" spans="1:8">
      <c r="A316" s="1634" t="str">
        <f>INDEX(Lists!$C$4:$C$24,MATCH(Validation!$B$3,Lists!$B$4:$B$24,0))</f>
        <v>TMS</v>
      </c>
      <c r="B316" s="1634" t="str">
        <f>'2D'!BM9</f>
        <v>BM4017STTT</v>
      </c>
      <c r="C316" s="1646" t="str">
        <f>'2D'!$BE$6&amp;" - "&amp;'2D'!BE9&amp;" - "&amp;'2D'!$BI$3&amp;" ("&amp;'2D'!$BM$4&amp;")"</f>
        <v>Cost - Additions - Wholesale (TTT)</v>
      </c>
      <c r="D316" s="1646" t="s">
        <v>8</v>
      </c>
      <c r="E316" s="1636" t="s">
        <v>9</v>
      </c>
      <c r="F316" s="1636"/>
      <c r="G316" s="1635">
        <f>'2D'!K9</f>
        <v>38.725999999999999</v>
      </c>
      <c r="H316" s="1636"/>
    </row>
    <row r="317" spans="1:8">
      <c r="A317" s="1634" t="str">
        <f>INDEX(Lists!$C$4:$C$24,MATCH(Validation!$B$3,Lists!$B$4:$B$24,0))</f>
        <v>TMS</v>
      </c>
      <c r="B317" s="1634" t="str">
        <f>'2D'!BM10</f>
        <v>BM4021STTT</v>
      </c>
      <c r="C317" s="1646" t="str">
        <f>'2D'!$BE$6&amp;" - "&amp;'2D'!BE10&amp;" - "&amp;'2D'!$BI$3&amp;" ("&amp;'2D'!$BM$4&amp;")"</f>
        <v>Cost - Adjustments - Wholesale (TTT)</v>
      </c>
      <c r="D317" s="1646" t="s">
        <v>8</v>
      </c>
      <c r="E317" s="1636" t="s">
        <v>9</v>
      </c>
      <c r="F317" s="1636"/>
      <c r="G317" s="1635">
        <f>'2D'!K10</f>
        <v>0</v>
      </c>
      <c r="H317" s="1636"/>
    </row>
    <row r="318" spans="1:8">
      <c r="A318" s="1634" t="str">
        <f>INDEX(Lists!$C$4:$C$24,MATCH(Validation!$B$3,Lists!$B$4:$B$24,0))</f>
        <v>TMS</v>
      </c>
      <c r="B318" s="1634" t="str">
        <f>'2D'!BM11</f>
        <v>BM4019STTT</v>
      </c>
      <c r="C318" s="1646" t="str">
        <f>'2D'!$BE$6&amp;" - "&amp;'2D'!BE11&amp;" - "&amp;'2D'!$BI$3&amp;" ("&amp;'2D'!$BM$4&amp;")"</f>
        <v>Cost - Assets adopted at nil cost - Wholesale (TTT)</v>
      </c>
      <c r="D318" s="1646" t="s">
        <v>8</v>
      </c>
      <c r="E318" s="1636" t="s">
        <v>9</v>
      </c>
      <c r="F318" s="1636"/>
      <c r="G318" s="1635">
        <f>'2D'!K11</f>
        <v>0</v>
      </c>
      <c r="H318" s="1636"/>
    </row>
    <row r="319" spans="1:8">
      <c r="A319" s="1634" t="str">
        <f>INDEX(Lists!$C$4:$C$24,MATCH(Validation!$B$3,Lists!$B$4:$B$24,0))</f>
        <v>TMS</v>
      </c>
      <c r="B319" s="1634" t="str">
        <f>'2D'!BM15</f>
        <v>BM4041STTT</v>
      </c>
      <c r="C319" s="1646" t="str">
        <f>'2D'!$BE$14&amp;" - "&amp;'2D'!BE15&amp;" - "&amp;'2D'!$BI$3&amp;" ("&amp;'2D'!$BM$4&amp;")"</f>
        <v>Depreciation - At 1 April 2017 - Wholesale (TTT)</v>
      </c>
      <c r="D319" s="1646" t="s">
        <v>8</v>
      </c>
      <c r="E319" s="1636" t="s">
        <v>9</v>
      </c>
      <c r="F319" s="1636"/>
      <c r="G319" s="1635">
        <f>'2D'!K15</f>
        <v>-1.9790000000000001</v>
      </c>
      <c r="H319" s="1636"/>
    </row>
    <row r="320" spans="1:8">
      <c r="A320" s="1634" t="str">
        <f>INDEX(Lists!$C$4:$C$24,MATCH(Validation!$B$3,Lists!$B$4:$B$24,0))</f>
        <v>TMS</v>
      </c>
      <c r="B320" s="1634" t="str">
        <f>'2D'!BM16</f>
        <v>BM4045STTT</v>
      </c>
      <c r="C320" s="1646" t="str">
        <f>'2D'!$BE$14&amp;" - "&amp;'2D'!BE16&amp;" - "&amp;'2D'!$BI$3&amp;" ("&amp;'2D'!$BM$4&amp;")"</f>
        <v>Depreciation - Disposals - Wholesale (TTT)</v>
      </c>
      <c r="D320" s="1646" t="s">
        <v>8</v>
      </c>
      <c r="E320" s="1636" t="s">
        <v>9</v>
      </c>
      <c r="F320" s="1636"/>
      <c r="G320" s="1635">
        <f>'2D'!K16</f>
        <v>0</v>
      </c>
      <c r="H320" s="1636"/>
    </row>
    <row r="321" spans="1:8">
      <c r="A321" s="1634" t="str">
        <f>INDEX(Lists!$C$4:$C$24,MATCH(Validation!$B$3,Lists!$B$4:$B$24,0))</f>
        <v>TMS</v>
      </c>
      <c r="B321" s="1634" t="str">
        <f>'2D'!BM17</f>
        <v>BM4053STTT</v>
      </c>
      <c r="C321" s="1646" t="str">
        <f>'2D'!$BE$14&amp;" - "&amp;'2D'!BE17&amp;" - "&amp;'2D'!$BI$3&amp;" ("&amp;'2D'!$BM$4&amp;")"</f>
        <v>Depreciation - Adjustments - Wholesale (TTT)</v>
      </c>
      <c r="D321" s="1646" t="s">
        <v>8</v>
      </c>
      <c r="E321" s="1636" t="s">
        <v>9</v>
      </c>
      <c r="F321" s="1636"/>
      <c r="G321" s="1635">
        <f>'2D'!K17</f>
        <v>0</v>
      </c>
      <c r="H321" s="1636"/>
    </row>
    <row r="322" spans="1:8">
      <c r="A322" s="1634" t="str">
        <f>INDEX(Lists!$C$4:$C$24,MATCH(Validation!$B$3,Lists!$B$4:$B$24,0))</f>
        <v>TMS</v>
      </c>
      <c r="B322" s="1634" t="str">
        <f>'2D'!BM18</f>
        <v>BM4046STTT</v>
      </c>
      <c r="C322" s="1646" t="str">
        <f>'2D'!$BE$14&amp;" - "&amp;'2D'!BE18&amp;" - "&amp;'2D'!$BI$3&amp;" ("&amp;'2D'!$BM$4&amp;")"</f>
        <v>Depreciation - Charge for the year - Wholesale (TTT)</v>
      </c>
      <c r="D322" s="1646" t="s">
        <v>8</v>
      </c>
      <c r="E322" s="1636" t="s">
        <v>9</v>
      </c>
      <c r="F322" s="1636"/>
      <c r="G322" s="1635">
        <f>'2D'!K18</f>
        <v>-0.65300000000000002</v>
      </c>
      <c r="H322" s="1636"/>
    </row>
    <row r="323" spans="1:8">
      <c r="A323" s="1634" t="str">
        <f>INDEX(Lists!$C$4:$C$24,MATCH(Validation!$B$3,Lists!$B$4:$B$24,0))</f>
        <v>TMS</v>
      </c>
      <c r="B323" s="1634" t="str">
        <f>'2D'!BM25</f>
        <v>BM4051STTT</v>
      </c>
      <c r="C323" s="1646" t="str">
        <f>'2D'!$BE$24&amp;" - "&amp;'2D'!BE25&amp;" - "&amp;'2D'!$BI$3&amp;" ("&amp;'2D'!$BM$4&amp;")"</f>
        <v>Depreciation charge for year - Principal services - Wholesale (TTT)</v>
      </c>
      <c r="D323" s="1646" t="s">
        <v>8</v>
      </c>
      <c r="E323" s="1636" t="s">
        <v>9</v>
      </c>
      <c r="F323" s="1636"/>
      <c r="G323" s="1635">
        <f>'2D'!K25</f>
        <v>-0.65300000000000002</v>
      </c>
      <c r="H323" s="1636"/>
    </row>
    <row r="324" spans="1:8">
      <c r="A324" s="1637" t="str">
        <f>INDEX(Lists!$C$4:$C$24,MATCH(Validation!$B$3,Lists!$B$4:$B$24,0))</f>
        <v>TMS</v>
      </c>
      <c r="B324" s="1637" t="str">
        <f>'2D'!BM26</f>
        <v>BM334STTT</v>
      </c>
      <c r="C324" s="1637" t="str">
        <f>'2D'!$BE$24&amp;" - "&amp;'2D'!BE26&amp;" - "&amp;'2D'!$BI$3&amp;" ("&amp;'2D'!$BM$4&amp;")"</f>
        <v>Depreciation charge for year - Third party services - Wholesale (TTT)</v>
      </c>
      <c r="D324" s="1650" t="s">
        <v>8</v>
      </c>
      <c r="E324" s="1652" t="s">
        <v>9</v>
      </c>
      <c r="F324" s="1652"/>
      <c r="G324" s="1653">
        <f>'2D'!K26</f>
        <v>0</v>
      </c>
      <c r="H324" s="1652"/>
    </row>
    <row r="325" spans="1:8">
      <c r="A325" s="1634" t="str">
        <f>INDEX(Lists!$C$4:$C$24,MATCH(Validation!$B$3,Lists!$B$4:$B$24,0))</f>
        <v>TMS</v>
      </c>
      <c r="B325" s="1634" t="str">
        <f>'2D'!BN7</f>
        <v>BM4012H</v>
      </c>
      <c r="C325" s="1646" t="str">
        <f>'2D'!$BE$6&amp;" - "&amp;'2D'!BE7&amp;" - "&amp;'2D'!$BN$3&amp;" ("&amp;'2D'!$BN$4&amp;")"</f>
        <v>Cost - At 1 April 2017 - Retail (Household)</v>
      </c>
      <c r="D325" s="1646" t="s">
        <v>8</v>
      </c>
      <c r="E325" s="1636" t="s">
        <v>9</v>
      </c>
      <c r="F325" s="1636"/>
      <c r="G325" s="1663">
        <f>'2D'!L7</f>
        <v>79.406999999999996</v>
      </c>
      <c r="H325" s="1636"/>
    </row>
    <row r="326" spans="1:8">
      <c r="A326" s="1634" t="str">
        <f>INDEX(Lists!$C$4:$C$24,MATCH(Validation!$B$3,Lists!$B$4:$B$24,0))</f>
        <v>TMS</v>
      </c>
      <c r="B326" s="1634" t="str">
        <f>'2D'!BN8</f>
        <v>BM4016H</v>
      </c>
      <c r="C326" s="1646" t="str">
        <f>'2D'!$BE$6&amp;" - "&amp;'2D'!BE8&amp;" - "&amp;'2D'!$BN$3&amp;" ("&amp;'2D'!$BN$4&amp;")"</f>
        <v>Cost - Disposals - Retail (Household)</v>
      </c>
      <c r="D326" s="1646" t="s">
        <v>8</v>
      </c>
      <c r="E326" s="1636" t="s">
        <v>9</v>
      </c>
      <c r="F326" s="1636"/>
      <c r="G326" s="1663">
        <f>'2D'!L8</f>
        <v>0</v>
      </c>
      <c r="H326" s="1636"/>
    </row>
    <row r="327" spans="1:8">
      <c r="A327" s="1634" t="str">
        <f>INDEX(Lists!$C$4:$C$24,MATCH(Validation!$B$3,Lists!$B$4:$B$24,0))</f>
        <v>TMS</v>
      </c>
      <c r="B327" s="1634" t="str">
        <f>'2D'!BN9</f>
        <v>BM4017H</v>
      </c>
      <c r="C327" s="1646" t="str">
        <f>'2D'!$BE$6&amp;" - "&amp;'2D'!BE9&amp;" - "&amp;'2D'!$BN$3&amp;" ("&amp;'2D'!$BN$4&amp;")"</f>
        <v>Cost - Additions - Retail (Household)</v>
      </c>
      <c r="D327" s="1646" t="s">
        <v>8</v>
      </c>
      <c r="E327" s="1636" t="s">
        <v>9</v>
      </c>
      <c r="F327" s="1636"/>
      <c r="G327" s="1663">
        <f>'2D'!L9</f>
        <v>5.5389999999999997</v>
      </c>
      <c r="H327" s="1636"/>
    </row>
    <row r="328" spans="1:8">
      <c r="A328" s="1634" t="str">
        <f>INDEX(Lists!$C$4:$C$24,MATCH(Validation!$B$3,Lists!$B$4:$B$24,0))</f>
        <v>TMS</v>
      </c>
      <c r="B328" s="1634" t="str">
        <f>'2D'!BN10</f>
        <v>BM4021H</v>
      </c>
      <c r="C328" s="1646" t="str">
        <f>'2D'!$BE$6&amp;" - "&amp;'2D'!BE10&amp;" - "&amp;'2D'!$BN$3&amp;" ("&amp;'2D'!$BN$4&amp;")"</f>
        <v>Cost - Adjustments - Retail (Household)</v>
      </c>
      <c r="D328" s="1646" t="s">
        <v>8</v>
      </c>
      <c r="E328" s="1636" t="s">
        <v>9</v>
      </c>
      <c r="F328" s="1636"/>
      <c r="G328" s="1663">
        <f>'2D'!L10</f>
        <v>0</v>
      </c>
      <c r="H328" s="1636"/>
    </row>
    <row r="329" spans="1:8">
      <c r="A329" s="1634" t="str">
        <f>INDEX(Lists!$C$4:$C$24,MATCH(Validation!$B$3,Lists!$B$4:$B$24,0))</f>
        <v>TMS</v>
      </c>
      <c r="B329" s="1634" t="str">
        <f>'2D'!BN11</f>
        <v>BM4019H</v>
      </c>
      <c r="C329" s="1646" t="str">
        <f>'2D'!$BE$6&amp;" - "&amp;'2D'!BE11&amp;" - "&amp;'2D'!$BN$3&amp;" ("&amp;'2D'!$BN$4&amp;")"</f>
        <v>Cost - Assets adopted at nil cost - Retail (Household)</v>
      </c>
      <c r="D329" s="1646" t="s">
        <v>8</v>
      </c>
      <c r="E329" s="1636" t="s">
        <v>9</v>
      </c>
      <c r="F329" s="1636"/>
      <c r="G329" s="1663">
        <f>'2D'!L11</f>
        <v>0</v>
      </c>
      <c r="H329" s="1636"/>
    </row>
    <row r="330" spans="1:8">
      <c r="A330" s="1634" t="str">
        <f>INDEX(Lists!$C$4:$C$24,MATCH(Validation!$B$3,Lists!$B$4:$B$24,0))</f>
        <v>TMS</v>
      </c>
      <c r="B330" s="1634" t="str">
        <f>'2D'!BN15</f>
        <v>BM4041H</v>
      </c>
      <c r="C330" s="1646" t="str">
        <f>'2D'!$BE$14&amp;" - "&amp;'2D'!BE15&amp;" - "&amp;'2D'!$BN$3&amp;" ("&amp;'2D'!$BN$4&amp;")"</f>
        <v>Depreciation - At 1 April 2017 - Retail (Household)</v>
      </c>
      <c r="D330" s="1646" t="s">
        <v>8</v>
      </c>
      <c r="E330" s="1636" t="s">
        <v>9</v>
      </c>
      <c r="F330" s="1636"/>
      <c r="G330" s="1663">
        <f>'2D'!L15</f>
        <v>-59.429000000000002</v>
      </c>
      <c r="H330" s="1636"/>
    </row>
    <row r="331" spans="1:8">
      <c r="A331" s="1634" t="str">
        <f>INDEX(Lists!$C$4:$C$24,MATCH(Validation!$B$3,Lists!$B$4:$B$24,0))</f>
        <v>TMS</v>
      </c>
      <c r="B331" s="1634" t="str">
        <f>'2D'!BN16</f>
        <v>BM4045H</v>
      </c>
      <c r="C331" s="1646" t="str">
        <f>'2D'!$BE$14&amp;" - "&amp;'2D'!BE16&amp;" - "&amp;'2D'!$BN$3&amp;" ("&amp;'2D'!$BN$4&amp;")"</f>
        <v>Depreciation - Disposals - Retail (Household)</v>
      </c>
      <c r="D331" s="1646" t="s">
        <v>8</v>
      </c>
      <c r="E331" s="1636" t="s">
        <v>9</v>
      </c>
      <c r="F331" s="1636"/>
      <c r="G331" s="1663">
        <f>'2D'!L16</f>
        <v>0</v>
      </c>
      <c r="H331" s="1636"/>
    </row>
    <row r="332" spans="1:8">
      <c r="A332" s="1634" t="str">
        <f>INDEX(Lists!$C$4:$C$24,MATCH(Validation!$B$3,Lists!$B$4:$B$24,0))</f>
        <v>TMS</v>
      </c>
      <c r="B332" s="1634" t="str">
        <f>'2D'!BN17</f>
        <v>BM4053H</v>
      </c>
      <c r="C332" s="1646" t="str">
        <f>'2D'!$BE$14&amp;" - "&amp;'2D'!BE17&amp;" - "&amp;'2D'!$BN$3&amp;" ("&amp;'2D'!$BN$4&amp;")"</f>
        <v>Depreciation - Adjustments - Retail (Household)</v>
      </c>
      <c r="D332" s="1646" t="s">
        <v>8</v>
      </c>
      <c r="E332" s="1636" t="s">
        <v>9</v>
      </c>
      <c r="F332" s="1636"/>
      <c r="G332" s="1663">
        <f>'2D'!L17</f>
        <v>0</v>
      </c>
      <c r="H332" s="1636"/>
    </row>
    <row r="333" spans="1:8">
      <c r="A333" s="1634" t="str">
        <f>INDEX(Lists!$C$4:$C$24,MATCH(Validation!$B$3,Lists!$B$4:$B$24,0))</f>
        <v>TMS</v>
      </c>
      <c r="B333" s="1634" t="str">
        <f>'2D'!BN18</f>
        <v>BM4046H</v>
      </c>
      <c r="C333" s="1646" t="str">
        <f>'2D'!$BE$14&amp;" - "&amp;'2D'!BE18&amp;" - "&amp;'2D'!$BN$3&amp;" ("&amp;'2D'!$BN$4&amp;")"</f>
        <v>Depreciation - Charge for the year - Retail (Household)</v>
      </c>
      <c r="D333" s="1646" t="s">
        <v>8</v>
      </c>
      <c r="E333" s="1636" t="s">
        <v>9</v>
      </c>
      <c r="F333" s="1636"/>
      <c r="G333" s="1663">
        <f>'2D'!L18</f>
        <v>-2.2530000000000001</v>
      </c>
      <c r="H333" s="1636"/>
    </row>
    <row r="334" spans="1:8">
      <c r="A334" s="1634" t="str">
        <f>INDEX(Lists!$C$4:$C$24,MATCH(Validation!$B$3,Lists!$B$4:$B$24,0))</f>
        <v>TMS</v>
      </c>
      <c r="B334" s="1634" t="str">
        <f>'2D'!BN25</f>
        <v>BM4051H</v>
      </c>
      <c r="C334" s="1646" t="str">
        <f>'2D'!$BE$24&amp;" - "&amp;'2D'!BE25&amp;" - "&amp;'2D'!$BN$3&amp;" ("&amp;'2D'!$BN$4&amp;")"</f>
        <v>Depreciation charge for year - Principal services - Retail (Household)</v>
      </c>
      <c r="D334" s="1646" t="s">
        <v>8</v>
      </c>
      <c r="E334" s="1636" t="s">
        <v>9</v>
      </c>
      <c r="F334" s="1636"/>
      <c r="G334" s="1663">
        <f>'2D'!L25</f>
        <v>-2.2530000000000001</v>
      </c>
      <c r="H334" s="1636"/>
    </row>
    <row r="335" spans="1:8">
      <c r="A335" s="1637" t="str">
        <f>INDEX(Lists!$C$4:$C$24,MATCH(Validation!$B$3,Lists!$B$4:$B$24,0))</f>
        <v>TMS</v>
      </c>
      <c r="B335" s="1637" t="str">
        <f>'2D'!BN26</f>
        <v>BM334H</v>
      </c>
      <c r="C335" s="1650" t="str">
        <f>'2D'!$BE$24&amp;" - "&amp;'2D'!BE26&amp;" - "&amp;'2D'!$BN$3&amp;" ("&amp;'2D'!$BN$4&amp;")"</f>
        <v>Depreciation charge for year - Third party services - Retail (Household)</v>
      </c>
      <c r="D335" s="1650" t="s">
        <v>8</v>
      </c>
      <c r="E335" s="1652" t="s">
        <v>9</v>
      </c>
      <c r="F335" s="1652"/>
      <c r="G335" s="1664">
        <f>'2D'!L26</f>
        <v>0</v>
      </c>
      <c r="H335" s="1652"/>
    </row>
    <row r="336" spans="1:8">
      <c r="A336" s="1634" t="str">
        <f>INDEX(Lists!$C$4:$C$24,MATCH(Validation!$B$3,Lists!$B$4:$B$24,0))</f>
        <v>TMS</v>
      </c>
      <c r="B336" s="1634" t="str">
        <f>'2D'!BO7</f>
        <v>BM4012NH</v>
      </c>
      <c r="C336" s="1646" t="str">
        <f>'2D'!$BE$6&amp;" - "&amp;'2D'!BE7&amp;" - "&amp;'2D'!$BN$3&amp;" ("&amp;'2D'!$BO$4&amp;")"</f>
        <v>Cost - At 1 April 2017 - Retail (Non-Household)</v>
      </c>
      <c r="D336" s="1646" t="s">
        <v>8</v>
      </c>
      <c r="E336" s="1636" t="s">
        <v>9</v>
      </c>
      <c r="F336" s="1636"/>
      <c r="G336" s="1663">
        <f>'2D'!M7</f>
        <v>0</v>
      </c>
      <c r="H336" s="1636"/>
    </row>
    <row r="337" spans="1:8">
      <c r="A337" s="1634" t="str">
        <f>INDEX(Lists!$C$4:$C$24,MATCH(Validation!$B$3,Lists!$B$4:$B$24,0))</f>
        <v>TMS</v>
      </c>
      <c r="B337" s="1634" t="str">
        <f>'2D'!BO8</f>
        <v>BM4016NH</v>
      </c>
      <c r="C337" s="1646" t="str">
        <f>'2D'!$BE$6&amp;" - "&amp;'2D'!BE8&amp;" - "&amp;'2D'!$BN$3&amp;" ("&amp;'2D'!$BO$4&amp;")"</f>
        <v>Cost - Disposals - Retail (Non-Household)</v>
      </c>
      <c r="D337" s="1646" t="s">
        <v>8</v>
      </c>
      <c r="E337" s="1636" t="s">
        <v>9</v>
      </c>
      <c r="F337" s="1636"/>
      <c r="G337" s="1663">
        <f>'2D'!M8</f>
        <v>0</v>
      </c>
      <c r="H337" s="1636"/>
    </row>
    <row r="338" spans="1:8">
      <c r="A338" s="1634" t="str">
        <f>INDEX(Lists!$C$4:$C$24,MATCH(Validation!$B$3,Lists!$B$4:$B$24,0))</f>
        <v>TMS</v>
      </c>
      <c r="B338" s="1634" t="str">
        <f>'2D'!BO9</f>
        <v>BM4017NH</v>
      </c>
      <c r="C338" s="1646" t="str">
        <f>'2D'!$BE$6&amp;" - "&amp;'2D'!BE9&amp;" - "&amp;'2D'!$BN$3&amp;" ("&amp;'2D'!$BO$4&amp;")"</f>
        <v>Cost - Additions - Retail (Non-Household)</v>
      </c>
      <c r="D338" s="1646" t="s">
        <v>8</v>
      </c>
      <c r="E338" s="1636" t="s">
        <v>9</v>
      </c>
      <c r="F338" s="1636"/>
      <c r="G338" s="1663">
        <f>'2D'!M9</f>
        <v>0</v>
      </c>
      <c r="H338" s="1636"/>
    </row>
    <row r="339" spans="1:8">
      <c r="A339" s="1634" t="str">
        <f>INDEX(Lists!$C$4:$C$24,MATCH(Validation!$B$3,Lists!$B$4:$B$24,0))</f>
        <v>TMS</v>
      </c>
      <c r="B339" s="1634" t="str">
        <f>'2D'!BO10</f>
        <v>BM4021NH</v>
      </c>
      <c r="C339" s="1646" t="str">
        <f>'2D'!$BE$6&amp;" - "&amp;'2D'!BE10&amp;" - "&amp;'2D'!$BN$3&amp;" ("&amp;'2D'!$BO$4&amp;")"</f>
        <v>Cost - Adjustments - Retail (Non-Household)</v>
      </c>
      <c r="D339" s="1646" t="s">
        <v>8</v>
      </c>
      <c r="E339" s="1636" t="s">
        <v>9</v>
      </c>
      <c r="F339" s="1636"/>
      <c r="G339" s="1663">
        <f>'2D'!M10</f>
        <v>0</v>
      </c>
      <c r="H339" s="1636"/>
    </row>
    <row r="340" spans="1:8">
      <c r="A340" s="1634" t="str">
        <f>INDEX(Lists!$C$4:$C$24,MATCH(Validation!$B$3,Lists!$B$4:$B$24,0))</f>
        <v>TMS</v>
      </c>
      <c r="B340" s="1634" t="str">
        <f>'2D'!BO11</f>
        <v>BM4019NH</v>
      </c>
      <c r="C340" s="1646" t="str">
        <f>'2D'!$BE$6&amp;" - "&amp;'2D'!BE11&amp;" - "&amp;'2D'!$BN$3&amp;" ("&amp;'2D'!$BO$4&amp;")"</f>
        <v>Cost - Assets adopted at nil cost - Retail (Non-Household)</v>
      </c>
      <c r="D340" s="1646" t="s">
        <v>8</v>
      </c>
      <c r="E340" s="1636" t="s">
        <v>9</v>
      </c>
      <c r="F340" s="1636"/>
      <c r="G340" s="1663">
        <f>'2D'!M11</f>
        <v>0</v>
      </c>
      <c r="H340" s="1636"/>
    </row>
    <row r="341" spans="1:8">
      <c r="A341" s="1634" t="str">
        <f>INDEX(Lists!$C$4:$C$24,MATCH(Validation!$B$3,Lists!$B$4:$B$24,0))</f>
        <v>TMS</v>
      </c>
      <c r="B341" s="1634" t="str">
        <f>'2D'!BO15</f>
        <v>BM4041NH</v>
      </c>
      <c r="C341" s="1646" t="str">
        <f>'2D'!$BE$14&amp;" - "&amp;'2D'!BE15&amp;" - "&amp;'2D'!$BN$3&amp;" ("&amp;'2D'!$BO$4&amp;")"</f>
        <v>Depreciation - At 1 April 2017 - Retail (Non-Household)</v>
      </c>
      <c r="D341" s="1646" t="s">
        <v>8</v>
      </c>
      <c r="E341" s="1636" t="s">
        <v>9</v>
      </c>
      <c r="F341" s="1636"/>
      <c r="G341" s="1663">
        <f>'2D'!M15</f>
        <v>0</v>
      </c>
      <c r="H341" s="1636"/>
    </row>
    <row r="342" spans="1:8">
      <c r="A342" s="1634" t="str">
        <f>INDEX(Lists!$C$4:$C$24,MATCH(Validation!$B$3,Lists!$B$4:$B$24,0))</f>
        <v>TMS</v>
      </c>
      <c r="B342" s="1634" t="str">
        <f>'2D'!BO16</f>
        <v>BM4045NH</v>
      </c>
      <c r="C342" s="1646" t="str">
        <f>'2D'!$BE$14&amp;" - "&amp;'2D'!BE16&amp;" - "&amp;'2D'!$BN$3&amp;" ("&amp;'2D'!$BO$4&amp;")"</f>
        <v>Depreciation - Disposals - Retail (Non-Household)</v>
      </c>
      <c r="D342" s="1646" t="s">
        <v>8</v>
      </c>
      <c r="E342" s="1636" t="s">
        <v>9</v>
      </c>
      <c r="F342" s="1636"/>
      <c r="G342" s="1663">
        <f>'2D'!M16</f>
        <v>0</v>
      </c>
      <c r="H342" s="1636"/>
    </row>
    <row r="343" spans="1:8">
      <c r="A343" s="1634" t="str">
        <f>INDEX(Lists!$C$4:$C$24,MATCH(Validation!$B$3,Lists!$B$4:$B$24,0))</f>
        <v>TMS</v>
      </c>
      <c r="B343" s="1634" t="str">
        <f>'2D'!BO17</f>
        <v>BM4053NH</v>
      </c>
      <c r="C343" s="1646" t="str">
        <f>'2D'!$BE$14&amp;" - "&amp;'2D'!BE17&amp;" - "&amp;'2D'!$BN$3&amp;" ("&amp;'2D'!$BO$4&amp;")"</f>
        <v>Depreciation - Adjustments - Retail (Non-Household)</v>
      </c>
      <c r="D343" s="1646" t="s">
        <v>8</v>
      </c>
      <c r="E343" s="1636" t="s">
        <v>9</v>
      </c>
      <c r="F343" s="1636"/>
      <c r="G343" s="1663">
        <f>'2D'!M17</f>
        <v>0</v>
      </c>
      <c r="H343" s="1636"/>
    </row>
    <row r="344" spans="1:8">
      <c r="A344" s="1634" t="str">
        <f>INDEX(Lists!$C$4:$C$24,MATCH(Validation!$B$3,Lists!$B$4:$B$24,0))</f>
        <v>TMS</v>
      </c>
      <c r="B344" s="1634" t="str">
        <f>'2D'!BO18</f>
        <v>BM4046NH</v>
      </c>
      <c r="C344" s="1646" t="str">
        <f>'2D'!$BE$14&amp;" - "&amp;'2D'!BE18&amp;" - "&amp;'2D'!$BN$3&amp;" ("&amp;'2D'!$BO$4&amp;")"</f>
        <v>Depreciation - Charge for the year - Retail (Non-Household)</v>
      </c>
      <c r="D344" s="1646" t="s">
        <v>8</v>
      </c>
      <c r="E344" s="1636" t="s">
        <v>9</v>
      </c>
      <c r="F344" s="1636"/>
      <c r="G344" s="1663">
        <f>'2D'!M18</f>
        <v>0</v>
      </c>
      <c r="H344" s="1636"/>
    </row>
    <row r="345" spans="1:8">
      <c r="A345" s="1634" t="str">
        <f>INDEX(Lists!$C$4:$C$24,MATCH(Validation!$B$3,Lists!$B$4:$B$24,0))</f>
        <v>TMS</v>
      </c>
      <c r="B345" s="1634" t="str">
        <f>'2D'!BO25</f>
        <v>BM4051NH</v>
      </c>
      <c r="C345" s="1646" t="str">
        <f>'2D'!$BE$24&amp;" - "&amp;'2D'!BE25&amp;" - "&amp;'2D'!$BN$3&amp;" ("&amp;'2D'!$BO$4&amp;")"</f>
        <v>Depreciation charge for year - Principal services - Retail (Non-Household)</v>
      </c>
      <c r="D345" s="1646" t="s">
        <v>8</v>
      </c>
      <c r="E345" s="1636" t="s">
        <v>9</v>
      </c>
      <c r="F345" s="1636"/>
      <c r="G345" s="1663">
        <f>'2D'!M25</f>
        <v>0</v>
      </c>
      <c r="H345" s="1636"/>
    </row>
    <row r="346" spans="1:8" ht="15" thickBot="1">
      <c r="A346" s="1642" t="str">
        <f>INDEX(Lists!$C$4:$C$24,MATCH(Validation!$B$3,Lists!$B$4:$B$24,0))</f>
        <v>TMS</v>
      </c>
      <c r="B346" s="1642" t="str">
        <f>'2D'!BO26</f>
        <v>BM334NH</v>
      </c>
      <c r="C346" s="1647" t="str">
        <f>'2D'!$BE$24&amp;" - "&amp;'2D'!BE26&amp;" - "&amp;'2D'!$BN$3&amp;" ("&amp;'2D'!$BO$4&amp;")"</f>
        <v>Depreciation charge for year - Third party services - Retail (Non-Household)</v>
      </c>
      <c r="D346" s="1647" t="s">
        <v>8</v>
      </c>
      <c r="E346" s="1649" t="s">
        <v>9</v>
      </c>
      <c r="F346" s="1649"/>
      <c r="G346" s="1665">
        <f>'2D'!M26</f>
        <v>0</v>
      </c>
      <c r="H346" s="1649"/>
    </row>
    <row r="347" spans="1:8">
      <c r="A347" s="1634" t="str">
        <f>INDEX(Lists!$C$4:$C$24,MATCH(Validation!$B$3,Lists!$B$4:$B$24,0))</f>
        <v>TMS</v>
      </c>
      <c r="B347" s="1634" t="str">
        <f>'2E'!AF7</f>
        <v>BC11271REV</v>
      </c>
      <c r="C347" s="1634" t="str">
        <f>'2E'!$AB$6&amp;" - "&amp;'2E'!AB7&amp;" - "&amp;'2E'!$AF$4</f>
        <v>Grants and contributions - water - Connection charges (s45) - Fully recognised in income statement</v>
      </c>
      <c r="D347" s="2" t="s">
        <v>8</v>
      </c>
      <c r="E347" s="2" t="s">
        <v>9</v>
      </c>
      <c r="F347" s="1634"/>
      <c r="G347" s="1635">
        <f>'2E'!G7</f>
        <v>22.683</v>
      </c>
      <c r="H347" s="1636"/>
    </row>
    <row r="348" spans="1:8">
      <c r="A348" s="1634" t="str">
        <f>INDEX(Lists!$C$4:$C$24,MATCH(Validation!$B$3,Lists!$B$4:$B$24,0))</f>
        <v>TMS</v>
      </c>
      <c r="B348" s="1634" t="str">
        <f>'2E'!AF8</f>
        <v>BC11270REV</v>
      </c>
      <c r="C348" s="1634" t="str">
        <f>'2E'!$AB$6&amp;" - "&amp;'2E'!AB8&amp;" - "&amp;'2E'!$AF$4</f>
        <v>Grants and contributions - water - Infrastructure charge receipts (s146) - Fully recognised in income statement</v>
      </c>
      <c r="D348" s="2" t="s">
        <v>8</v>
      </c>
      <c r="E348" s="2" t="s">
        <v>9</v>
      </c>
      <c r="F348" s="1634"/>
      <c r="G348" s="1635">
        <f>'2E'!G8</f>
        <v>0</v>
      </c>
      <c r="H348" s="1636"/>
    </row>
    <row r="349" spans="1:8">
      <c r="A349" s="1634" t="str">
        <f>INDEX(Lists!$C$4:$C$24,MATCH(Validation!$B$3,Lists!$B$4:$B$24,0))</f>
        <v>TMS</v>
      </c>
      <c r="B349" s="1634" t="str">
        <f>'2E'!AF9</f>
        <v>BC11272REV</v>
      </c>
      <c r="C349" s="1634" t="str">
        <f>'2E'!$AB$6&amp;" - "&amp;'2E'!AB9&amp;" - "&amp;'2E'!$AF$4</f>
        <v>Grants and contributions - water - Requisitioned mains (s43, s55 &amp; s56) - Fully recognised in income statement</v>
      </c>
      <c r="D349" s="2" t="s">
        <v>8</v>
      </c>
      <c r="E349" s="2" t="s">
        <v>9</v>
      </c>
      <c r="F349" s="1634"/>
      <c r="G349" s="1635">
        <f>'2E'!G9</f>
        <v>5.4390000000000001</v>
      </c>
      <c r="H349" s="1636"/>
    </row>
    <row r="350" spans="1:8">
      <c r="A350" s="1634" t="str">
        <f>INDEX(Lists!$C$4:$C$24,MATCH(Validation!$B$3,Lists!$B$4:$B$24,0))</f>
        <v>TMS</v>
      </c>
      <c r="B350" s="1634" t="str">
        <f>'2E'!AF10</f>
        <v>BA1085REVPC</v>
      </c>
      <c r="C350" s="1634" t="str">
        <f>'2E'!$AB$6&amp;" - "&amp;'2E'!AB10&amp;" - "&amp;'2E'!$AF$4</f>
        <v>Grants and contributions - water - Other contributions (price control) - Fully recognised in income statement</v>
      </c>
      <c r="D350" s="2" t="s">
        <v>8</v>
      </c>
      <c r="E350" s="2" t="s">
        <v>9</v>
      </c>
      <c r="F350" s="1634"/>
      <c r="G350" s="1635">
        <f>'2E'!G10</f>
        <v>0.377</v>
      </c>
      <c r="H350" s="1636"/>
    </row>
    <row r="351" spans="1:8">
      <c r="A351" s="1634" t="str">
        <f>INDEX(Lists!$C$4:$C$24,MATCH(Validation!$B$3,Lists!$B$4:$B$24,0))</f>
        <v>TMS</v>
      </c>
      <c r="B351" s="1634" t="str">
        <f>'2E'!AF11</f>
        <v>BC11273REV</v>
      </c>
      <c r="C351" s="1634" t="str">
        <f>'2E'!$AB$6&amp;" - "&amp;'2E'!AB11&amp;" - "&amp;'2E'!$AF$4</f>
        <v>Grants and contributions - water - Diversions (s185) - Fully recognised in income statement</v>
      </c>
      <c r="D351" s="2" t="s">
        <v>8</v>
      </c>
      <c r="E351" s="2" t="s">
        <v>9</v>
      </c>
      <c r="F351" s="1634"/>
      <c r="G351" s="1635">
        <f>'2E'!G11</f>
        <v>4.7359999999999998</v>
      </c>
      <c r="H351" s="1636"/>
    </row>
    <row r="352" spans="1:8">
      <c r="A352" s="1634" t="str">
        <f>INDEX(Lists!$C$4:$C$24,MATCH(Validation!$B$3,Lists!$B$4:$B$24,0))</f>
        <v>TMS</v>
      </c>
      <c r="B352" s="1634" t="str">
        <f>'2E'!AF12</f>
        <v>BA1085REVNPC</v>
      </c>
      <c r="C352" s="1634" t="str">
        <f>'2E'!$AB$6&amp;" - "&amp;'2E'!AB12&amp;" - "&amp;'2E'!$AF$4</f>
        <v>Grants and contributions - water - Other contributions (non-price control) - Fully recognised in income statement</v>
      </c>
      <c r="D352" s="2" t="s">
        <v>8</v>
      </c>
      <c r="E352" s="2" t="s">
        <v>9</v>
      </c>
      <c r="F352" s="1634"/>
      <c r="G352" s="1635">
        <f>'2E'!G12</f>
        <v>5.5090000000000003</v>
      </c>
      <c r="H352" s="1636"/>
    </row>
    <row r="353" spans="1:8">
      <c r="A353" s="1634" t="str">
        <f>INDEX(Lists!$C$4:$C$24,MATCH(Validation!$B$3,Lists!$B$4:$B$24,0))</f>
        <v>TMS</v>
      </c>
      <c r="B353" s="1634" t="str">
        <f>'2E'!AF19</f>
        <v>BC11370REV</v>
      </c>
      <c r="C353" s="1634" t="str">
        <f>'2E'!$AB$18&amp;" - "&amp;'2E'!AB19&amp;" - "&amp;'2E'!$AF$4</f>
        <v>Grants and contributions - wastewater - Infrastructure charge receipts (s146) - Fully recognised in income statement</v>
      </c>
      <c r="D353" s="2" t="s">
        <v>8</v>
      </c>
      <c r="E353" s="2" t="s">
        <v>9</v>
      </c>
      <c r="F353" s="1634"/>
      <c r="G353" s="1635">
        <f>'2E'!G19</f>
        <v>0</v>
      </c>
      <c r="H353" s="1636"/>
    </row>
    <row r="354" spans="1:8">
      <c r="A354" s="1634" t="str">
        <f>INDEX(Lists!$C$4:$C$24,MATCH(Validation!$B$3,Lists!$B$4:$B$24,0))</f>
        <v>TMS</v>
      </c>
      <c r="B354" s="1634" t="str">
        <f>'2E'!AF20</f>
        <v>BC11372REV</v>
      </c>
      <c r="C354" s="1634" t="str">
        <f>'2E'!$AB$18&amp;" - "&amp;'2E'!AB20&amp;" - "&amp;'2E'!$AF$4</f>
        <v>Grants and contributions - wastewater - Requisitioned sewers (s100) - Fully recognised in income statement</v>
      </c>
      <c r="D354" s="2" t="s">
        <v>8</v>
      </c>
      <c r="E354" s="2" t="s">
        <v>9</v>
      </c>
      <c r="F354" s="1634"/>
      <c r="G354" s="1635">
        <f>'2E'!G20</f>
        <v>3.5720000000000001</v>
      </c>
      <c r="H354" s="1636"/>
    </row>
    <row r="355" spans="1:8">
      <c r="A355" s="1634" t="str">
        <f>INDEX(Lists!$C$4:$C$24,MATCH(Validation!$B$3,Lists!$B$4:$B$24,0))</f>
        <v>TMS</v>
      </c>
      <c r="B355" s="1634" t="str">
        <f>'2E'!AF21</f>
        <v>BA2085REVPC</v>
      </c>
      <c r="C355" s="1634" t="str">
        <f>'2E'!$AB$18&amp;" - "&amp;'2E'!AB21&amp;" - "&amp;'2E'!$AF$4</f>
        <v>Grants and contributions - wastewater - Other contributions (price control) - Fully recognised in income statement</v>
      </c>
      <c r="D355" s="2" t="s">
        <v>8</v>
      </c>
      <c r="E355" s="2" t="s">
        <v>9</v>
      </c>
      <c r="F355" s="1634"/>
      <c r="G355" s="1635">
        <f>'2E'!G21</f>
        <v>0.91400000000000003</v>
      </c>
      <c r="H355" s="1636"/>
    </row>
    <row r="356" spans="1:8">
      <c r="A356" s="1634" t="str">
        <f>INDEX(Lists!$C$4:$C$24,MATCH(Validation!$B$3,Lists!$B$4:$B$24,0))</f>
        <v>TMS</v>
      </c>
      <c r="B356" s="1634" t="str">
        <f>'2E'!AF22</f>
        <v>BC11373REV</v>
      </c>
      <c r="C356" s="1634" t="str">
        <f>'2E'!$AB$18&amp;" - "&amp;'2E'!AB22&amp;" - "&amp;'2E'!$AF$4</f>
        <v>Grants and contributions - wastewater - Diversions (s185) - Fully recognised in income statement</v>
      </c>
      <c r="D356" s="2" t="s">
        <v>8</v>
      </c>
      <c r="E356" s="2" t="s">
        <v>9</v>
      </c>
      <c r="F356" s="1634"/>
      <c r="G356" s="1635">
        <f>'2E'!G22</f>
        <v>1.595</v>
      </c>
      <c r="H356" s="1636"/>
    </row>
    <row r="357" spans="1:8">
      <c r="A357" s="1634" t="str">
        <f>INDEX(Lists!$C$4:$C$24,MATCH(Validation!$B$3,Lists!$B$4:$B$24,0))</f>
        <v>TMS</v>
      </c>
      <c r="B357" s="1634" t="str">
        <f>'2E'!AF23</f>
        <v>BA2085REVNPC</v>
      </c>
      <c r="C357" s="1634" t="str">
        <f>'2E'!$AB$18&amp;" - "&amp;'2E'!AB23&amp;" - "&amp;'2E'!$AF$4</f>
        <v>Grants and contributions - wastewater - Other contributions (non-price control) - Fully recognised in income statement</v>
      </c>
      <c r="D357" s="2" t="s">
        <v>8</v>
      </c>
      <c r="E357" s="2" t="s">
        <v>9</v>
      </c>
      <c r="F357" s="1634"/>
      <c r="G357" s="1635">
        <f>'2E'!G23</f>
        <v>5.2750000000000004</v>
      </c>
      <c r="H357" s="1636"/>
    </row>
    <row r="358" spans="1:8">
      <c r="A358" s="1634" t="str">
        <f>INDEX(Lists!$C$4:$C$24,MATCH(Validation!$B$3,Lists!$B$4:$B$24,0))</f>
        <v>TMS</v>
      </c>
      <c r="B358" s="1634" t="str">
        <f>'2E'!AF30</f>
        <v>BC11370TTTREV</v>
      </c>
      <c r="C358" s="1634" t="str">
        <f>'2E'!$AB$29&amp;" - "&amp;'2E'!AB30&amp;" - "&amp;'2E'!$AF$4</f>
        <v>Grants and contributions - TTT - Infrastructure charge receipts (s146) - Fully recognised in income statement</v>
      </c>
      <c r="D358" s="2" t="s">
        <v>8</v>
      </c>
      <c r="E358" s="2" t="s">
        <v>9</v>
      </c>
      <c r="F358" s="1634"/>
      <c r="G358" s="1635">
        <f>'2E'!G30</f>
        <v>0</v>
      </c>
      <c r="H358" s="1636"/>
    </row>
    <row r="359" spans="1:8">
      <c r="A359" s="1634" t="str">
        <f>INDEX(Lists!$C$4:$C$24,MATCH(Validation!$B$3,Lists!$B$4:$B$24,0))</f>
        <v>TMS</v>
      </c>
      <c r="B359" s="1634" t="str">
        <f>'2E'!AF31</f>
        <v>BC11372TTTREV</v>
      </c>
      <c r="C359" s="1634" t="str">
        <f>'2E'!$AB$29&amp;" - "&amp;'2E'!AB31&amp;" - "&amp;'2E'!$AF$4</f>
        <v>Grants and contributions - TTT - Requisitioned sewers (s100) - Fully recognised in income statement</v>
      </c>
      <c r="D359" s="2" t="s">
        <v>8</v>
      </c>
      <c r="E359" s="2" t="s">
        <v>9</v>
      </c>
      <c r="F359" s="1634"/>
      <c r="G359" s="1635">
        <f>'2E'!G31</f>
        <v>0</v>
      </c>
      <c r="H359" s="1636"/>
    </row>
    <row r="360" spans="1:8">
      <c r="A360" s="1634" t="str">
        <f>INDEX(Lists!$C$4:$C$24,MATCH(Validation!$B$3,Lists!$B$4:$B$24,0))</f>
        <v>TMS</v>
      </c>
      <c r="B360" s="1634" t="str">
        <f>'2E'!AF32</f>
        <v>BA2085TTTREVPC</v>
      </c>
      <c r="C360" s="1634" t="str">
        <f>'2E'!$AB$29&amp;" - "&amp;'2E'!AB32&amp;" - "&amp;'2E'!$AF$4</f>
        <v>Grants and contributions - TTT - Other contributions (price control) - Fully recognised in income statement</v>
      </c>
      <c r="D360" s="2" t="s">
        <v>8</v>
      </c>
      <c r="E360" s="2" t="s">
        <v>9</v>
      </c>
      <c r="F360" s="1634"/>
      <c r="G360" s="1635">
        <f>'2E'!G32</f>
        <v>0</v>
      </c>
      <c r="H360" s="1636"/>
    </row>
    <row r="361" spans="1:8">
      <c r="A361" s="1634" t="str">
        <f>INDEX(Lists!$C$4:$C$24,MATCH(Validation!$B$3,Lists!$B$4:$B$24,0))</f>
        <v>TMS</v>
      </c>
      <c r="B361" s="1634" t="str">
        <f>'2E'!AF33</f>
        <v>BC11373TTTREV</v>
      </c>
      <c r="C361" s="1634" t="str">
        <f>'2E'!$AB$29&amp;" - "&amp;'2E'!AB33&amp;" - "&amp;'2E'!$AF$4</f>
        <v>Grants and contributions - TTT - Diversions (s185) - Fully recognised in income statement</v>
      </c>
      <c r="D361" s="2" t="s">
        <v>8</v>
      </c>
      <c r="E361" s="2" t="s">
        <v>9</v>
      </c>
      <c r="F361" s="1634"/>
      <c r="G361" s="1635">
        <f>'2E'!G33</f>
        <v>0</v>
      </c>
      <c r="H361" s="1636"/>
    </row>
    <row r="362" spans="1:8">
      <c r="A362" s="1637" t="str">
        <f>INDEX(Lists!$C$4:$C$24,MATCH(Validation!$B$3,Lists!$B$4:$B$24,0))</f>
        <v>TMS</v>
      </c>
      <c r="B362" s="1637" t="str">
        <f>'2E'!AF34</f>
        <v>BA2085TTTREVNPC</v>
      </c>
      <c r="C362" s="1637" t="str">
        <f>'2E'!$AB$29&amp;" - "&amp;'2E'!AB34&amp;" - "&amp;'2E'!$AF$4</f>
        <v>Grants and contributions - TTT - Other contributions (non-price control) - Fully recognised in income statement</v>
      </c>
      <c r="D362" s="1651" t="s">
        <v>8</v>
      </c>
      <c r="E362" s="1651" t="s">
        <v>9</v>
      </c>
      <c r="F362" s="1637"/>
      <c r="G362" s="1653">
        <f>'2E'!G34</f>
        <v>0</v>
      </c>
      <c r="H362" s="1652"/>
    </row>
    <row r="363" spans="1:8">
      <c r="A363" s="1634" t="str">
        <f>INDEX(Lists!$C$4:$C$24,MATCH(Validation!$B$3,Lists!$B$4:$B$24,0))</f>
        <v>TMS</v>
      </c>
      <c r="B363" s="1634" t="str">
        <f>'2E'!AF43</f>
        <v>BA1090BFWD</v>
      </c>
      <c r="C363" s="1634" t="str">
        <f>'2E'!$AB$42&amp;" - "&amp;'2E'!AB43&amp;" ("&amp;'2E'!$AF$41&amp;")"</f>
        <v>Movements in capitalised grants and contributions - Brought forward (Water)</v>
      </c>
      <c r="D363" s="2" t="s">
        <v>8</v>
      </c>
      <c r="E363" s="2" t="s">
        <v>9</v>
      </c>
      <c r="F363" s="1634"/>
      <c r="G363" s="1635">
        <f>'2E'!G43</f>
        <v>139.40700000000001</v>
      </c>
      <c r="H363" s="1636"/>
    </row>
    <row r="364" spans="1:8">
      <c r="A364" s="1634" t="str">
        <f>INDEX(Lists!$C$4:$C$24,MATCH(Validation!$B$3,Lists!$B$4:$B$24,0))</f>
        <v>TMS</v>
      </c>
      <c r="B364" s="1634" t="str">
        <f>'2E'!AF45</f>
        <v>BA1090AMORT</v>
      </c>
      <c r="C364" s="1634" t="str">
        <f>'2E'!$AB$42&amp;" - "&amp;'2E'!AB45&amp;" ("&amp;'2E'!$AF$41&amp;")"</f>
        <v>Movements in capitalised grants and contributions - Amortisation (in income statement) (Water)</v>
      </c>
      <c r="D364" s="2" t="s">
        <v>8</v>
      </c>
      <c r="E364" s="2" t="s">
        <v>9</v>
      </c>
      <c r="F364" s="1634"/>
      <c r="G364" s="1635">
        <f>'2E'!G45</f>
        <v>-6.9459999999999997</v>
      </c>
      <c r="H364" s="1636"/>
    </row>
    <row r="365" spans="1:8">
      <c r="A365" s="1637" t="str">
        <f>INDEX(Lists!$C$4:$C$24,MATCH(Validation!$B$3,Lists!$B$4:$B$24,0))</f>
        <v>TMS</v>
      </c>
      <c r="B365" s="1637" t="str">
        <f>'2E'!AF49</f>
        <v>BT39301PW</v>
      </c>
      <c r="C365" s="1637" t="str">
        <f>'2E'!$AB$48&amp;" - "&amp;'2E'!AB49&amp;" ("&amp;'2E'!$AF$41&amp;")"</f>
        <v>Land sales - Proceeds from disposals of protected land (Water)</v>
      </c>
      <c r="D365" s="1651" t="s">
        <v>12</v>
      </c>
      <c r="E365" s="1652" t="s">
        <v>9</v>
      </c>
      <c r="F365" s="1637"/>
      <c r="G365" s="1653">
        <f>'2E'!G49</f>
        <v>2.7749999999999999</v>
      </c>
      <c r="H365" s="1652"/>
    </row>
    <row r="366" spans="1:8">
      <c r="A366" s="1634" t="str">
        <f>INDEX(Lists!$C$4:$C$24,MATCH(Validation!$B$3,Lists!$B$4:$B$24,0))</f>
        <v>TMS</v>
      </c>
      <c r="B366" s="1634" t="str">
        <f>'2E'!AG7</f>
        <v>BC11271CAP</v>
      </c>
      <c r="C366" s="1634" t="str">
        <f>'2E'!$AB$6&amp;" - "&amp;'2E'!AB7&amp;" - "&amp;'2E'!$AG$4</f>
        <v>Grants and contributions - water - Connection charges (s45) - Capitalised and amortised (in income statement)</v>
      </c>
      <c r="D366" s="2" t="s">
        <v>8</v>
      </c>
      <c r="E366" s="2" t="s">
        <v>9</v>
      </c>
      <c r="F366" s="1634"/>
      <c r="G366" s="1635">
        <f>'2E'!H7</f>
        <v>0</v>
      </c>
      <c r="H366" s="1636"/>
    </row>
    <row r="367" spans="1:8">
      <c r="A367" s="1634" t="str">
        <f>INDEX(Lists!$C$4:$C$24,MATCH(Validation!$B$3,Lists!$B$4:$B$24,0))</f>
        <v>TMS</v>
      </c>
      <c r="B367" s="1634" t="str">
        <f>'2E'!AG8</f>
        <v>BC11270CAP</v>
      </c>
      <c r="C367" s="1634" t="str">
        <f>'2E'!$AB$6&amp;" - "&amp;'2E'!AB8&amp;" - "&amp;'2E'!$AG$4</f>
        <v>Grants and contributions - water - Infrastructure charge receipts (s146) - Capitalised and amortised (in income statement)</v>
      </c>
      <c r="D367" s="2" t="s">
        <v>8</v>
      </c>
      <c r="E367" s="2" t="s">
        <v>9</v>
      </c>
      <c r="F367" s="1634"/>
      <c r="G367" s="1635">
        <f>'2E'!H8</f>
        <v>14.85</v>
      </c>
      <c r="H367" s="1636"/>
    </row>
    <row r="368" spans="1:8">
      <c r="A368" s="1634" t="str">
        <f>INDEX(Lists!$C$4:$C$24,MATCH(Validation!$B$3,Lists!$B$4:$B$24,0))</f>
        <v>TMS</v>
      </c>
      <c r="B368" s="1634" t="str">
        <f>'2E'!AG9</f>
        <v>BC11272CAP</v>
      </c>
      <c r="C368" s="1634" t="str">
        <f>'2E'!$AB$6&amp;" - "&amp;'2E'!AB9&amp;" - "&amp;'2E'!$AG$4</f>
        <v>Grants and contributions - water - Requisitioned mains (s43, s55 &amp; s56) - Capitalised and amortised (in income statement)</v>
      </c>
      <c r="D368" s="2" t="s">
        <v>8</v>
      </c>
      <c r="E368" s="2" t="s">
        <v>9</v>
      </c>
      <c r="F368" s="1634"/>
      <c r="G368" s="1635">
        <f>'2E'!H9</f>
        <v>0</v>
      </c>
      <c r="H368" s="1636"/>
    </row>
    <row r="369" spans="1:8">
      <c r="A369" s="1634" t="str">
        <f>INDEX(Lists!$C$4:$C$24,MATCH(Validation!$B$3,Lists!$B$4:$B$24,0))</f>
        <v>TMS</v>
      </c>
      <c r="B369" s="1634" t="str">
        <f>'2E'!AG10</f>
        <v>BA1086CAPPC</v>
      </c>
      <c r="C369" s="1634" t="str">
        <f>'2E'!$AB$6&amp;" - "&amp;'2E'!AB10&amp;" - "&amp;'2E'!$AG$4</f>
        <v>Grants and contributions - water - Other contributions (price control) - Capitalised and amortised (in income statement)</v>
      </c>
      <c r="D369" s="2" t="s">
        <v>8</v>
      </c>
      <c r="E369" s="2" t="s">
        <v>9</v>
      </c>
      <c r="F369" s="1634"/>
      <c r="G369" s="1635">
        <f>'2E'!H10</f>
        <v>4.1980000000000004</v>
      </c>
      <c r="H369" s="1636"/>
    </row>
    <row r="370" spans="1:8">
      <c r="A370" s="1634" t="str">
        <f>INDEX(Lists!$C$4:$C$24,MATCH(Validation!$B$3,Lists!$B$4:$B$24,0))</f>
        <v>TMS</v>
      </c>
      <c r="B370" s="1634" t="str">
        <f>'2E'!AG11</f>
        <v>BC11273CAP</v>
      </c>
      <c r="C370" s="1634" t="str">
        <f>'2E'!$AB$6&amp;" - "&amp;'2E'!AB11&amp;" - "&amp;'2E'!$AG$4</f>
        <v>Grants and contributions - water - Diversions (s185) - Capitalised and amortised (in income statement)</v>
      </c>
      <c r="D370" s="2" t="s">
        <v>8</v>
      </c>
      <c r="E370" s="2" t="s">
        <v>9</v>
      </c>
      <c r="F370" s="1634"/>
      <c r="G370" s="1635">
        <f>'2E'!H11</f>
        <v>0</v>
      </c>
      <c r="H370" s="1636"/>
    </row>
    <row r="371" spans="1:8">
      <c r="A371" s="1634" t="str">
        <f>INDEX(Lists!$C$4:$C$24,MATCH(Validation!$B$3,Lists!$B$4:$B$24,0))</f>
        <v>TMS</v>
      </c>
      <c r="B371" s="1634" t="str">
        <f>'2E'!AG12</f>
        <v>BA1086CAPNPC</v>
      </c>
      <c r="C371" s="1634" t="str">
        <f>'2E'!$AB$6&amp;" - "&amp;'2E'!AB12&amp;" - "&amp;'2E'!$AG$4</f>
        <v>Grants and contributions - water - Other contributions (non-price control) - Capitalised and amortised (in income statement)</v>
      </c>
      <c r="D371" s="2" t="s">
        <v>8</v>
      </c>
      <c r="E371" s="2" t="s">
        <v>9</v>
      </c>
      <c r="F371" s="1634"/>
      <c r="G371" s="1635">
        <f>'2E'!H12</f>
        <v>0.65400000000000003</v>
      </c>
      <c r="H371" s="1636"/>
    </row>
    <row r="372" spans="1:8">
      <c r="A372" s="1634" t="str">
        <f>INDEX(Lists!$C$4:$C$24,MATCH(Validation!$B$3,Lists!$B$4:$B$24,0))</f>
        <v>TMS</v>
      </c>
      <c r="B372" s="1634" t="str">
        <f>'2E'!AG15</f>
        <v>BC30460WCAP</v>
      </c>
      <c r="C372" s="1634" t="str">
        <f>'2E'!AB15&amp;" - water - "&amp;'2E'!$AG$4</f>
        <v>Value of adopted assets - water - Capitalised and amortised (in income statement)</v>
      </c>
      <c r="D372" s="2" t="s">
        <v>8</v>
      </c>
      <c r="E372" s="2" t="s">
        <v>9</v>
      </c>
      <c r="F372" s="1634"/>
      <c r="G372" s="1635">
        <f>'2E'!H15</f>
        <v>7.851</v>
      </c>
      <c r="H372" s="1636"/>
    </row>
    <row r="373" spans="1:8">
      <c r="A373" s="1634" t="str">
        <f>INDEX(Lists!$C$4:$C$24,MATCH(Validation!$B$3,Lists!$B$4:$B$24,0))</f>
        <v>TMS</v>
      </c>
      <c r="B373" s="1634" t="str">
        <f>'2E'!AG19</f>
        <v>BC11370CAP</v>
      </c>
      <c r="C373" s="1634" t="str">
        <f>'2E'!$AB$18&amp;" - "&amp;'2E'!AB19&amp;" - "&amp;'2E'!$AG$4</f>
        <v>Grants and contributions - wastewater - Infrastructure charge receipts (s146) - Capitalised and amortised (in income statement)</v>
      </c>
      <c r="D373" s="2" t="s">
        <v>8</v>
      </c>
      <c r="E373" s="2" t="s">
        <v>9</v>
      </c>
      <c r="F373" s="1634"/>
      <c r="G373" s="1635">
        <f>'2E'!H19</f>
        <v>20.605</v>
      </c>
      <c r="H373" s="1636"/>
    </row>
    <row r="374" spans="1:8">
      <c r="A374" s="1634" t="str">
        <f>INDEX(Lists!$C$4:$C$24,MATCH(Validation!$B$3,Lists!$B$4:$B$24,0))</f>
        <v>TMS</v>
      </c>
      <c r="B374" s="1634" t="str">
        <f>'2E'!AG20</f>
        <v>BC11372CAP</v>
      </c>
      <c r="C374" s="1634" t="str">
        <f>'2E'!$AB$18&amp;" - "&amp;'2E'!AB20&amp;" - "&amp;'2E'!$AG$4</f>
        <v>Grants and contributions - wastewater - Requisitioned sewers (s100) - Capitalised and amortised (in income statement)</v>
      </c>
      <c r="D374" s="2" t="s">
        <v>8</v>
      </c>
      <c r="E374" s="2" t="s">
        <v>9</v>
      </c>
      <c r="F374" s="1634"/>
      <c r="G374" s="1635">
        <f>'2E'!H20</f>
        <v>0</v>
      </c>
      <c r="H374" s="1636"/>
    </row>
    <row r="375" spans="1:8">
      <c r="A375" s="1634" t="str">
        <f>INDEX(Lists!$C$4:$C$24,MATCH(Validation!$B$3,Lists!$B$4:$B$24,0))</f>
        <v>TMS</v>
      </c>
      <c r="B375" s="1634" t="str">
        <f>'2E'!AG21</f>
        <v>BA2086CAPPC</v>
      </c>
      <c r="C375" s="1634" t="str">
        <f>'2E'!$AB$18&amp;" - "&amp;'2E'!AB21&amp;" - "&amp;'2E'!$AG$4</f>
        <v>Grants and contributions - wastewater - Other contributions (price control) - Capitalised and amortised (in income statement)</v>
      </c>
      <c r="D375" s="2" t="s">
        <v>8</v>
      </c>
      <c r="E375" s="2" t="s">
        <v>9</v>
      </c>
      <c r="F375" s="1634"/>
      <c r="G375" s="1635">
        <f>'2E'!H21</f>
        <v>3.109</v>
      </c>
      <c r="H375" s="1636"/>
    </row>
    <row r="376" spans="1:8">
      <c r="A376" s="1634" t="str">
        <f>INDEX(Lists!$C$4:$C$24,MATCH(Validation!$B$3,Lists!$B$4:$B$24,0))</f>
        <v>TMS</v>
      </c>
      <c r="B376" s="1634" t="str">
        <f>'2E'!AG22</f>
        <v>BC11373CAP</v>
      </c>
      <c r="C376" s="1634" t="str">
        <f>'2E'!$AB$18&amp;" - "&amp;'2E'!AB22&amp;" - "&amp;'2E'!$AG$4</f>
        <v>Grants and contributions - wastewater - Diversions (s185) - Capitalised and amortised (in income statement)</v>
      </c>
      <c r="D376" s="2" t="s">
        <v>8</v>
      </c>
      <c r="E376" s="2" t="s">
        <v>9</v>
      </c>
      <c r="F376" s="1634"/>
      <c r="G376" s="1635">
        <f>'2E'!H22</f>
        <v>0</v>
      </c>
      <c r="H376" s="1636"/>
    </row>
    <row r="377" spans="1:8">
      <c r="A377" s="1634" t="str">
        <f>INDEX(Lists!$C$4:$C$24,MATCH(Validation!$B$3,Lists!$B$4:$B$24,0))</f>
        <v>TMS</v>
      </c>
      <c r="B377" s="1634" t="str">
        <f>'2E'!AG23</f>
        <v>BA2086CAPNPC</v>
      </c>
      <c r="C377" s="1634" t="str">
        <f>'2E'!$AB$18&amp;" - "&amp;'2E'!AB23&amp;" - "&amp;'2E'!$AG$4</f>
        <v>Grants and contributions - wastewater - Other contributions (non-price control) - Capitalised and amortised (in income statement)</v>
      </c>
      <c r="D377" s="2" t="s">
        <v>8</v>
      </c>
      <c r="E377" s="2" t="s">
        <v>9</v>
      </c>
      <c r="F377" s="1634"/>
      <c r="G377" s="1635">
        <f>'2E'!H23</f>
        <v>0.40400000000000003</v>
      </c>
      <c r="H377" s="1636"/>
    </row>
    <row r="378" spans="1:8">
      <c r="A378" s="1634" t="str">
        <f>INDEX(Lists!$C$4:$C$24,MATCH(Validation!$B$3,Lists!$B$4:$B$24,0))</f>
        <v>TMS</v>
      </c>
      <c r="B378" s="1634" t="str">
        <f>'2E'!AG26</f>
        <v>BC30460WWCAP</v>
      </c>
      <c r="C378" s="1634" t="str">
        <f>'2E'!AB26&amp;" - wastewater - "&amp;'2E'!$AG$4</f>
        <v>Value of adopted assets - wastewater - Capitalised and amortised (in income statement)</v>
      </c>
      <c r="D378" s="2" t="s">
        <v>8</v>
      </c>
      <c r="E378" s="2" t="s">
        <v>9</v>
      </c>
      <c r="F378" s="1634"/>
      <c r="G378" s="1635">
        <f>'2E'!H26</f>
        <v>14.581</v>
      </c>
      <c r="H378" s="1636"/>
    </row>
    <row r="379" spans="1:8">
      <c r="A379" s="1634" t="str">
        <f>INDEX(Lists!$C$4:$C$24,MATCH(Validation!$B$3,Lists!$B$4:$B$24,0))</f>
        <v>TMS</v>
      </c>
      <c r="B379" s="1634" t="str">
        <f>'2E'!AG30</f>
        <v>BC11370TTTCAP</v>
      </c>
      <c r="C379" s="1634" t="str">
        <f>'2E'!$AB$29&amp;" - "&amp;'2E'!AB30&amp;" - "&amp;'2E'!$AG$4</f>
        <v>Grants and contributions - TTT - Infrastructure charge receipts (s146) - Capitalised and amortised (in income statement)</v>
      </c>
      <c r="D379" s="2" t="s">
        <v>8</v>
      </c>
      <c r="E379" s="2" t="s">
        <v>9</v>
      </c>
      <c r="F379" s="1634"/>
      <c r="G379" s="1635">
        <f>'2E'!H30</f>
        <v>0</v>
      </c>
      <c r="H379" s="1636"/>
    </row>
    <row r="380" spans="1:8">
      <c r="A380" s="1634" t="str">
        <f>INDEX(Lists!$C$4:$C$24,MATCH(Validation!$B$3,Lists!$B$4:$B$24,0))</f>
        <v>TMS</v>
      </c>
      <c r="B380" s="1634" t="str">
        <f>'2E'!AG31</f>
        <v>BC11372TTTCAP</v>
      </c>
      <c r="C380" s="1634" t="str">
        <f>'2E'!$AB$29&amp;" - "&amp;'2E'!AB31&amp;" - "&amp;'2E'!$AG$4</f>
        <v>Grants and contributions - TTT - Requisitioned sewers (s100) - Capitalised and amortised (in income statement)</v>
      </c>
      <c r="D380" s="2" t="s">
        <v>8</v>
      </c>
      <c r="E380" s="2" t="s">
        <v>9</v>
      </c>
      <c r="F380" s="1634"/>
      <c r="G380" s="1635">
        <f>'2E'!H31</f>
        <v>0</v>
      </c>
      <c r="H380" s="1636"/>
    </row>
    <row r="381" spans="1:8">
      <c r="A381" s="1634" t="str">
        <f>INDEX(Lists!$C$4:$C$24,MATCH(Validation!$B$3,Lists!$B$4:$B$24,0))</f>
        <v>TMS</v>
      </c>
      <c r="B381" s="1634" t="str">
        <f>'2E'!AG32</f>
        <v>BA2086TTTCAPPC</v>
      </c>
      <c r="C381" s="1634" t="str">
        <f>'2E'!$AB$29&amp;" - "&amp;'2E'!AB32&amp;" - "&amp;'2E'!$AG$4</f>
        <v>Grants and contributions - TTT - Other contributions (price control) - Capitalised and amortised (in income statement)</v>
      </c>
      <c r="D381" s="2" t="s">
        <v>8</v>
      </c>
      <c r="E381" s="2" t="s">
        <v>9</v>
      </c>
      <c r="F381" s="1634"/>
      <c r="G381" s="1635">
        <f>'2E'!H32</f>
        <v>0</v>
      </c>
      <c r="H381" s="1636"/>
    </row>
    <row r="382" spans="1:8">
      <c r="A382" s="1634" t="str">
        <f>INDEX(Lists!$C$4:$C$24,MATCH(Validation!$B$3,Lists!$B$4:$B$24,0))</f>
        <v>TMS</v>
      </c>
      <c r="B382" s="1634" t="str">
        <f>'2E'!AG33</f>
        <v>BC11373TTTCAP</v>
      </c>
      <c r="C382" s="1634" t="str">
        <f>'2E'!$AB$29&amp;" - "&amp;'2E'!AB33&amp;" - "&amp;'2E'!$AG$4</f>
        <v>Grants and contributions - TTT - Diversions (s185) - Capitalised and amortised (in income statement)</v>
      </c>
      <c r="D382" s="2" t="s">
        <v>8</v>
      </c>
      <c r="E382" s="2" t="s">
        <v>9</v>
      </c>
      <c r="F382" s="1634"/>
      <c r="G382" s="1635">
        <f>'2E'!H33</f>
        <v>0</v>
      </c>
      <c r="H382" s="1636"/>
    </row>
    <row r="383" spans="1:8">
      <c r="A383" s="1634" t="str">
        <f>INDEX(Lists!$C$4:$C$24,MATCH(Validation!$B$3,Lists!$B$4:$B$24,0))</f>
        <v>TMS</v>
      </c>
      <c r="B383" s="1634" t="str">
        <f>'2E'!AG34</f>
        <v>BA2086TTTCAPNPC</v>
      </c>
      <c r="C383" s="1634" t="str">
        <f>'2E'!$AB$29&amp;" - "&amp;'2E'!AB34&amp;" - "&amp;'2E'!$AG$4</f>
        <v>Grants and contributions - TTT - Other contributions (non-price control) - Capitalised and amortised (in income statement)</v>
      </c>
      <c r="D383" s="2" t="s">
        <v>8</v>
      </c>
      <c r="E383" s="2" t="s">
        <v>9</v>
      </c>
      <c r="F383" s="1634"/>
      <c r="G383" s="1635">
        <f>'2E'!H34</f>
        <v>0</v>
      </c>
      <c r="H383" s="1636"/>
    </row>
    <row r="384" spans="1:8">
      <c r="A384" s="1634" t="str">
        <f>INDEX(Lists!$C$4:$C$24,MATCH(Validation!$B$3,Lists!$B$4:$B$24,0))</f>
        <v>TMS</v>
      </c>
      <c r="B384" s="1634" t="str">
        <f>'2E'!AG37</f>
        <v>BC30460TTTCAP</v>
      </c>
      <c r="C384" s="1634" t="str">
        <f>'2E'!AB37&amp;" - TTT - "&amp;'2E'!$AG$4</f>
        <v>Value of adopted assets - TTT - Capitalised and amortised (in income statement)</v>
      </c>
      <c r="D384" s="2" t="s">
        <v>8</v>
      </c>
      <c r="E384" s="2" t="s">
        <v>9</v>
      </c>
      <c r="F384" s="1634"/>
      <c r="G384" s="1635">
        <f>'2E'!H37</f>
        <v>0</v>
      </c>
      <c r="H384" s="1636"/>
    </row>
    <row r="385" spans="1:8">
      <c r="A385" s="1634" t="str">
        <f>INDEX(Lists!$C$4:$C$24,MATCH(Validation!$B$3,Lists!$B$4:$B$24,0))</f>
        <v>TMS</v>
      </c>
      <c r="B385" s="1634" t="str">
        <f>'2E'!AG43</f>
        <v>BA2090BFWD</v>
      </c>
      <c r="C385" s="1634" t="str">
        <f>'2E'!$AB$42&amp;" - "&amp;'2E'!AB43&amp;" ("&amp;'2E'!$AG$41&amp;")"</f>
        <v>Movements in capitalised grants and contributions - Brought forward (Wastewater)</v>
      </c>
      <c r="D385" s="2" t="s">
        <v>8</v>
      </c>
      <c r="E385" s="2" t="s">
        <v>9</v>
      </c>
      <c r="F385" s="1634"/>
      <c r="G385" s="1635">
        <f>'2E'!H43</f>
        <v>186.81399999999999</v>
      </c>
      <c r="H385" s="1636"/>
    </row>
    <row r="386" spans="1:8">
      <c r="A386" s="1634" t="str">
        <f>INDEX(Lists!$C$4:$C$24,MATCH(Validation!$B$3,Lists!$B$4:$B$24,0))</f>
        <v>TMS</v>
      </c>
      <c r="B386" s="1634" t="str">
        <f>'2E'!AG45</f>
        <v>BA2090AMORT</v>
      </c>
      <c r="C386" s="1634" t="str">
        <f>'2E'!$AB$42&amp;" - "&amp;'2E'!AB45&amp;" ("&amp;'2E'!$AG$41&amp;")"</f>
        <v>Movements in capitalised grants and contributions - Amortisation (in income statement) (Wastewater)</v>
      </c>
      <c r="D386" s="2" t="s">
        <v>8</v>
      </c>
      <c r="E386" s="2" t="s">
        <v>9</v>
      </c>
      <c r="F386" s="1634"/>
      <c r="G386" s="1635">
        <f>'2E'!H45</f>
        <v>-9.4809999999999999</v>
      </c>
      <c r="H386" s="1636"/>
    </row>
    <row r="387" spans="1:8">
      <c r="A387" s="1637" t="str">
        <f>INDEX(Lists!$C$4:$C$24,MATCH(Validation!$B$3,Lists!$B$4:$B$24,0))</f>
        <v>TMS</v>
      </c>
      <c r="B387" s="1637" t="str">
        <f>'2E'!AG49</f>
        <v>BT39301PS</v>
      </c>
      <c r="C387" s="1637" t="str">
        <f>'2E'!$AB$48&amp;" - "&amp;'2E'!AB49&amp;" ("&amp;'2E'!$AG$41&amp;")"</f>
        <v>Land sales - Proceeds from disposals of protected land (Wastewater)</v>
      </c>
      <c r="D387" s="1651" t="s">
        <v>12</v>
      </c>
      <c r="E387" s="1652" t="s">
        <v>9</v>
      </c>
      <c r="F387" s="1637"/>
      <c r="G387" s="1653">
        <f>'2E'!H49</f>
        <v>11.153</v>
      </c>
      <c r="H387" s="1652"/>
    </row>
    <row r="388" spans="1:8">
      <c r="A388" s="1634" t="str">
        <f>INDEX(Lists!$C$4:$C$24,MATCH(Validation!$B$3,Lists!$B$4:$B$24,0))</f>
        <v>TMS</v>
      </c>
      <c r="B388" s="1634" t="str">
        <f>'2E'!AH7</f>
        <v>BC11271NET</v>
      </c>
      <c r="C388" s="1634" t="str">
        <f>'2E'!$AB$6&amp;" - "&amp;'2E'!AB7&amp;" - "&amp;'2E'!$AH$4</f>
        <v>Grants and contributions - water - Connection charges (s45) - Fully netted off capex</v>
      </c>
      <c r="D388" s="2" t="s">
        <v>8</v>
      </c>
      <c r="E388" s="2" t="s">
        <v>9</v>
      </c>
      <c r="F388" s="1634"/>
      <c r="G388" s="1635">
        <f>'2E'!I7</f>
        <v>0</v>
      </c>
      <c r="H388" s="1636"/>
    </row>
    <row r="389" spans="1:8">
      <c r="A389" s="1634" t="str">
        <f>INDEX(Lists!$C$4:$C$24,MATCH(Validation!$B$3,Lists!$B$4:$B$24,0))</f>
        <v>TMS</v>
      </c>
      <c r="B389" s="1634" t="str">
        <f>'2E'!AH8</f>
        <v>BC11270NET</v>
      </c>
      <c r="C389" s="1634" t="str">
        <f>'2E'!$AB$6&amp;" - "&amp;'2E'!AB8&amp;" - "&amp;'2E'!$AH$4</f>
        <v>Grants and contributions - water - Infrastructure charge receipts (s146) - Fully netted off capex</v>
      </c>
      <c r="D389" s="2" t="s">
        <v>8</v>
      </c>
      <c r="E389" s="2" t="s">
        <v>9</v>
      </c>
      <c r="F389" s="1634"/>
      <c r="G389" s="1635">
        <f>'2E'!I8</f>
        <v>0</v>
      </c>
      <c r="H389" s="1636"/>
    </row>
    <row r="390" spans="1:8">
      <c r="A390" s="1634" t="str">
        <f>INDEX(Lists!$C$4:$C$24,MATCH(Validation!$B$3,Lists!$B$4:$B$24,0))</f>
        <v>TMS</v>
      </c>
      <c r="B390" s="1634" t="str">
        <f>'2E'!AH9</f>
        <v>BC11272NET</v>
      </c>
      <c r="C390" s="1634" t="str">
        <f>'2E'!$AB$6&amp;" - "&amp;'2E'!AB9&amp;" - "&amp;'2E'!$AH$4</f>
        <v>Grants and contributions - water - Requisitioned mains (s43, s55 &amp; s56) - Fully netted off capex</v>
      </c>
      <c r="D390" s="2" t="s">
        <v>8</v>
      </c>
      <c r="E390" s="2" t="s">
        <v>9</v>
      </c>
      <c r="F390" s="1634"/>
      <c r="G390" s="1635">
        <f>'2E'!I9</f>
        <v>0</v>
      </c>
      <c r="H390" s="1636"/>
    </row>
    <row r="391" spans="1:8">
      <c r="A391" s="1634" t="str">
        <f>INDEX(Lists!$C$4:$C$24,MATCH(Validation!$B$3,Lists!$B$4:$B$24,0))</f>
        <v>TMS</v>
      </c>
      <c r="B391" s="1634" t="str">
        <f>'2E'!AH10</f>
        <v>BA1085NETPC</v>
      </c>
      <c r="C391" s="1634" t="str">
        <f>'2E'!$AB$6&amp;" - "&amp;'2E'!AB10&amp;" - "&amp;'2E'!$AH$4</f>
        <v>Grants and contributions - water - Other contributions (price control) - Fully netted off capex</v>
      </c>
      <c r="D391" s="2" t="s">
        <v>8</v>
      </c>
      <c r="E391" s="2" t="s">
        <v>9</v>
      </c>
      <c r="F391" s="1634"/>
      <c r="G391" s="1635">
        <f>'2E'!I10</f>
        <v>0</v>
      </c>
      <c r="H391" s="1636"/>
    </row>
    <row r="392" spans="1:8">
      <c r="A392" s="1634" t="str">
        <f>INDEX(Lists!$C$4:$C$24,MATCH(Validation!$B$3,Lists!$B$4:$B$24,0))</f>
        <v>TMS</v>
      </c>
      <c r="B392" s="1634" t="str">
        <f>'2E'!AH11</f>
        <v>BC11273NET</v>
      </c>
      <c r="C392" s="1634" t="str">
        <f>'2E'!$AB$6&amp;" - "&amp;'2E'!AB11&amp;" - "&amp;'2E'!$AH$4</f>
        <v>Grants and contributions - water - Diversions (s185) - Fully netted off capex</v>
      </c>
      <c r="D392" s="2" t="s">
        <v>8</v>
      </c>
      <c r="E392" s="2" t="s">
        <v>9</v>
      </c>
      <c r="F392" s="1634"/>
      <c r="G392" s="1635">
        <f>'2E'!I11</f>
        <v>0</v>
      </c>
      <c r="H392" s="1636"/>
    </row>
    <row r="393" spans="1:8">
      <c r="A393" s="1634" t="str">
        <f>INDEX(Lists!$C$4:$C$24,MATCH(Validation!$B$3,Lists!$B$4:$B$24,0))</f>
        <v>TMS</v>
      </c>
      <c r="B393" s="1634" t="str">
        <f>'2E'!AH12</f>
        <v>BA1085NETNPC</v>
      </c>
      <c r="C393" s="1634" t="str">
        <f>'2E'!$AB$6&amp;" - "&amp;'2E'!AB12&amp;" - "&amp;'2E'!$AH$4</f>
        <v>Grants and contributions - water - Other contributions (non-price control) - Fully netted off capex</v>
      </c>
      <c r="D393" s="2" t="s">
        <v>8</v>
      </c>
      <c r="E393" s="2" t="s">
        <v>9</v>
      </c>
      <c r="F393" s="1634"/>
      <c r="G393" s="1635">
        <f>'2E'!I12</f>
        <v>0</v>
      </c>
      <c r="H393" s="1636"/>
    </row>
    <row r="394" spans="1:8">
      <c r="A394" s="1634" t="str">
        <f>INDEX(Lists!$C$4:$C$24,MATCH(Validation!$B$3,Lists!$B$4:$B$24,0))</f>
        <v>TMS</v>
      </c>
      <c r="B394" s="1634" t="str">
        <f>'2E'!AH19</f>
        <v>BC11370NET</v>
      </c>
      <c r="C394" s="1634" t="str">
        <f>'2E'!$AB$18&amp;" - "&amp;'2E'!AB19&amp;" - "&amp;'2E'!$AH$4</f>
        <v>Grants and contributions - wastewater - Infrastructure charge receipts (s146) - Fully netted off capex</v>
      </c>
      <c r="D394" s="2" t="s">
        <v>8</v>
      </c>
      <c r="E394" s="2" t="s">
        <v>9</v>
      </c>
      <c r="F394" s="1634"/>
      <c r="G394" s="1635">
        <f>'2E'!I19</f>
        <v>0</v>
      </c>
      <c r="H394" s="1636"/>
    </row>
    <row r="395" spans="1:8">
      <c r="A395" s="1634" t="str">
        <f>INDEX(Lists!$C$4:$C$24,MATCH(Validation!$B$3,Lists!$B$4:$B$24,0))</f>
        <v>TMS</v>
      </c>
      <c r="B395" s="1634" t="str">
        <f>'2E'!AH20</f>
        <v>BC11372NET</v>
      </c>
      <c r="C395" s="1634" t="str">
        <f>'2E'!$AB$18&amp;" - "&amp;'2E'!AB20&amp;" - "&amp;'2E'!$AH$4</f>
        <v>Grants and contributions - wastewater - Requisitioned sewers (s100) - Fully netted off capex</v>
      </c>
      <c r="D395" s="2" t="s">
        <v>8</v>
      </c>
      <c r="E395" s="2" t="s">
        <v>9</v>
      </c>
      <c r="F395" s="1634"/>
      <c r="G395" s="1635">
        <f>'2E'!I20</f>
        <v>0</v>
      </c>
      <c r="H395" s="1636"/>
    </row>
    <row r="396" spans="1:8">
      <c r="A396" s="1634" t="str">
        <f>INDEX(Lists!$C$4:$C$24,MATCH(Validation!$B$3,Lists!$B$4:$B$24,0))</f>
        <v>TMS</v>
      </c>
      <c r="B396" s="1634" t="str">
        <f>'2E'!AH21</f>
        <v>BA2085NETPC</v>
      </c>
      <c r="C396" s="1634" t="str">
        <f>'2E'!$AB$18&amp;" - "&amp;'2E'!AB21&amp;" - "&amp;'2E'!$AH$4</f>
        <v>Grants and contributions - wastewater - Other contributions (price control) - Fully netted off capex</v>
      </c>
      <c r="D396" s="2" t="s">
        <v>8</v>
      </c>
      <c r="E396" s="2" t="s">
        <v>9</v>
      </c>
      <c r="F396" s="1634"/>
      <c r="G396" s="1635">
        <f>'2E'!I21</f>
        <v>0</v>
      </c>
      <c r="H396" s="1636"/>
    </row>
    <row r="397" spans="1:8">
      <c r="A397" s="1634" t="str">
        <f>INDEX(Lists!$C$4:$C$24,MATCH(Validation!$B$3,Lists!$B$4:$B$24,0))</f>
        <v>TMS</v>
      </c>
      <c r="B397" s="1634" t="str">
        <f>'2E'!AH22</f>
        <v>BC11373NET</v>
      </c>
      <c r="C397" s="1634" t="str">
        <f>'2E'!$AB$18&amp;" - "&amp;'2E'!AB22&amp;" - "&amp;'2E'!$AH$4</f>
        <v>Grants and contributions - wastewater - Diversions (s185) - Fully netted off capex</v>
      </c>
      <c r="D397" s="2" t="s">
        <v>8</v>
      </c>
      <c r="E397" s="2" t="s">
        <v>9</v>
      </c>
      <c r="F397" s="1634"/>
      <c r="G397" s="1635">
        <f>'2E'!I22</f>
        <v>0</v>
      </c>
      <c r="H397" s="1636"/>
    </row>
    <row r="398" spans="1:8">
      <c r="A398" s="1634" t="str">
        <f>INDEX(Lists!$C$4:$C$24,MATCH(Validation!$B$3,Lists!$B$4:$B$24,0))</f>
        <v>TMS</v>
      </c>
      <c r="B398" s="1634" t="str">
        <f>'2E'!AH23</f>
        <v>BA2085NETNPC</v>
      </c>
      <c r="C398" s="1634" t="str">
        <f>'2E'!$AB$18&amp;" - "&amp;'2E'!AB23&amp;" - "&amp;'2E'!$AH$4</f>
        <v>Grants and contributions - wastewater - Other contributions (non-price control) - Fully netted off capex</v>
      </c>
      <c r="D398" s="2" t="s">
        <v>8</v>
      </c>
      <c r="E398" s="2" t="s">
        <v>9</v>
      </c>
      <c r="F398" s="1634"/>
      <c r="G398" s="1635">
        <f>'2E'!I23</f>
        <v>0</v>
      </c>
      <c r="H398" s="1636"/>
    </row>
    <row r="399" spans="1:8">
      <c r="A399" s="1634" t="str">
        <f>INDEX(Lists!$C$4:$C$24,MATCH(Validation!$B$3,Lists!$B$4:$B$24,0))</f>
        <v>TMS</v>
      </c>
      <c r="B399" s="1634" t="str">
        <f>'2E'!AH30</f>
        <v>BC11370TTTNET</v>
      </c>
      <c r="C399" s="1634" t="str">
        <f>'2E'!$AB$29&amp;" - "&amp;'2E'!AB30&amp;" - "&amp;'2E'!$AH$4</f>
        <v>Grants and contributions - TTT - Infrastructure charge receipts (s146) - Fully netted off capex</v>
      </c>
      <c r="D399" s="2" t="s">
        <v>8</v>
      </c>
      <c r="E399" s="2" t="s">
        <v>9</v>
      </c>
      <c r="F399" s="1634"/>
      <c r="G399" s="1635">
        <f>'2E'!I30</f>
        <v>0</v>
      </c>
      <c r="H399" s="1636"/>
    </row>
    <row r="400" spans="1:8">
      <c r="A400" s="1634" t="str">
        <f>INDEX(Lists!$C$4:$C$24,MATCH(Validation!$B$3,Lists!$B$4:$B$24,0))</f>
        <v>TMS</v>
      </c>
      <c r="B400" s="1634" t="str">
        <f>'2E'!AH31</f>
        <v>BC11372TTTNET</v>
      </c>
      <c r="C400" s="1634" t="str">
        <f>'2E'!$AB$29&amp;" - "&amp;'2E'!AB31&amp;" - "&amp;'2E'!$AH$4</f>
        <v>Grants and contributions - TTT - Requisitioned sewers (s100) - Fully netted off capex</v>
      </c>
      <c r="D400" s="2" t="s">
        <v>8</v>
      </c>
      <c r="E400" s="2" t="s">
        <v>9</v>
      </c>
      <c r="F400" s="1634"/>
      <c r="G400" s="1635">
        <f>'2E'!I31</f>
        <v>0</v>
      </c>
      <c r="H400" s="1636"/>
    </row>
    <row r="401" spans="1:8">
      <c r="A401" s="1634" t="str">
        <f>INDEX(Lists!$C$4:$C$24,MATCH(Validation!$B$3,Lists!$B$4:$B$24,0))</f>
        <v>TMS</v>
      </c>
      <c r="B401" s="1634" t="str">
        <f>'2E'!AH32</f>
        <v>BA2085TTTNETPC</v>
      </c>
      <c r="C401" s="1634" t="str">
        <f>'2E'!$AB$29&amp;" - "&amp;'2E'!AB32&amp;" - "&amp;'2E'!$AH$4</f>
        <v>Grants and contributions - TTT - Other contributions (price control) - Fully netted off capex</v>
      </c>
      <c r="D401" s="2" t="s">
        <v>8</v>
      </c>
      <c r="E401" s="2" t="s">
        <v>9</v>
      </c>
      <c r="F401" s="1634"/>
      <c r="G401" s="1635">
        <f>'2E'!I32</f>
        <v>0</v>
      </c>
      <c r="H401" s="1636"/>
    </row>
    <row r="402" spans="1:8">
      <c r="A402" s="1634" t="str">
        <f>INDEX(Lists!$C$4:$C$24,MATCH(Validation!$B$3,Lists!$B$4:$B$24,0))</f>
        <v>TMS</v>
      </c>
      <c r="B402" s="1634" t="str">
        <f>'2E'!AH33</f>
        <v>BC11373TTTNET</v>
      </c>
      <c r="C402" s="1634" t="str">
        <f>'2E'!$AB$29&amp;" - "&amp;'2E'!AB33&amp;" - "&amp;'2E'!$AH$4</f>
        <v>Grants and contributions - TTT - Diversions (s185) - Fully netted off capex</v>
      </c>
      <c r="D402" s="2" t="s">
        <v>8</v>
      </c>
      <c r="E402" s="2" t="s">
        <v>9</v>
      </c>
      <c r="F402" s="1634"/>
      <c r="G402" s="1635">
        <f>'2E'!I33</f>
        <v>0</v>
      </c>
      <c r="H402" s="1636"/>
    </row>
    <row r="403" spans="1:8">
      <c r="A403" s="1634" t="str">
        <f>INDEX(Lists!$C$4:$C$24,MATCH(Validation!$B$3,Lists!$B$4:$B$24,0))</f>
        <v>TMS</v>
      </c>
      <c r="B403" s="1634" t="str">
        <f>'2E'!AH34</f>
        <v>BA2085TTTNETNPC</v>
      </c>
      <c r="C403" s="1634" t="str">
        <f>'2E'!$AB$29&amp;" - "&amp;'2E'!AB34&amp;" - "&amp;'2E'!$AH$4</f>
        <v>Grants and contributions - TTT - Other contributions (non-price control) - Fully netted off capex</v>
      </c>
      <c r="D403" s="2" t="s">
        <v>8</v>
      </c>
      <c r="E403" s="2" t="s">
        <v>9</v>
      </c>
      <c r="F403" s="1634"/>
      <c r="G403" s="1635">
        <f>'2E'!I34</f>
        <v>0</v>
      </c>
      <c r="H403" s="1636"/>
    </row>
    <row r="404" spans="1:8">
      <c r="A404" s="1634" t="str">
        <f>INDEX(Lists!$C$4:$C$24,MATCH(Validation!$B$3,Lists!$B$4:$B$24,0))</f>
        <v>TMS</v>
      </c>
      <c r="B404" s="1634" t="str">
        <f>'2E'!AH43</f>
        <v>BA2090TTTBFWD</v>
      </c>
      <c r="C404" s="1634" t="str">
        <f>'2E'!$AB$42&amp;" - "&amp;'2E'!AB43&amp;" ("&amp;'2E'!$AH$41&amp;")"</f>
        <v>Movements in capitalised grants and contributions - Brought forward (TTT)</v>
      </c>
      <c r="D404" s="2" t="s">
        <v>8</v>
      </c>
      <c r="E404" s="2" t="s">
        <v>9</v>
      </c>
      <c r="F404" s="1634"/>
      <c r="G404" s="1635">
        <f>'2E'!I43</f>
        <v>0</v>
      </c>
      <c r="H404" s="1636"/>
    </row>
    <row r="405" spans="1:8">
      <c r="A405" s="1634" t="str">
        <f>INDEX(Lists!$C$4:$C$24,MATCH(Validation!$B$3,Lists!$B$4:$B$24,0))</f>
        <v>TMS</v>
      </c>
      <c r="B405" s="1634" t="str">
        <f>'2E'!AH45</f>
        <v>BA2090TTTAMORT</v>
      </c>
      <c r="C405" s="1634" t="str">
        <f>'2E'!$AB$42&amp;" - "&amp;'2E'!AB45&amp;" ("&amp;'2E'!$AH$41&amp;")"</f>
        <v>Movements in capitalised grants and contributions - Amortisation (in income statement) (TTT)</v>
      </c>
      <c r="D405" s="2" t="s">
        <v>8</v>
      </c>
      <c r="E405" s="2" t="s">
        <v>9</v>
      </c>
      <c r="F405" s="1634"/>
      <c r="G405" s="1635">
        <f>'2E'!I45</f>
        <v>0</v>
      </c>
      <c r="H405" s="1636"/>
    </row>
    <row r="406" spans="1:8" ht="15" thickBot="1">
      <c r="A406" s="1634" t="str">
        <f>INDEX(Lists!$C$4:$C$24,MATCH(Validation!$B$3,Lists!$B$4:$B$24,0))</f>
        <v>TMS</v>
      </c>
      <c r="B406" s="1634" t="str">
        <f>'2E'!AH49</f>
        <v>BT39301PTTT</v>
      </c>
      <c r="C406" s="1642" t="str">
        <f>'2E'!$AB$48&amp;" - "&amp;'2E'!AB49&amp;" ("&amp;'2E'!$AH$41&amp;")"</f>
        <v>Land sales - Proceeds from disposals of protected land (TTT)</v>
      </c>
      <c r="D406" s="1651" t="s">
        <v>12</v>
      </c>
      <c r="E406" s="1651" t="s">
        <v>9</v>
      </c>
      <c r="F406" s="1637"/>
      <c r="G406" s="1635">
        <f>'2E'!I49</f>
        <v>0</v>
      </c>
      <c r="H406" s="1652"/>
    </row>
    <row r="407" spans="1:8">
      <c r="A407" s="1641" t="str">
        <f>INDEX(Lists!$C$4:$C$24,MATCH(Validation!$B$3,Lists!$B$4:$B$24,0))</f>
        <v>TMS</v>
      </c>
      <c r="B407" s="1644" t="str">
        <f>'2F'!AD5</f>
        <v>R3017WCR</v>
      </c>
      <c r="C407" s="1634" t="str">
        <f>'2F'!C5&amp;" - "&amp;'2F'!$E$3</f>
        <v>Unmeasured water only customer - Wholesale charges revenue £m</v>
      </c>
      <c r="D407" s="1644" t="s">
        <v>8</v>
      </c>
      <c r="E407" s="1644" t="s">
        <v>9</v>
      </c>
      <c r="F407" s="1641"/>
      <c r="G407" s="1659">
        <f>'2F'!E5</f>
        <v>6.3609999999999998</v>
      </c>
      <c r="H407" s="1645"/>
    </row>
    <row r="408" spans="1:8">
      <c r="A408" s="1634" t="str">
        <f>INDEX(Lists!$C$4:$C$24,MATCH(Validation!$B$3,Lists!$B$4:$B$24,0))</f>
        <v>TMS</v>
      </c>
      <c r="B408" s="2" t="str">
        <f>'2F'!AD6</f>
        <v>R3019WCR</v>
      </c>
      <c r="C408" s="1634" t="str">
        <f>'2F'!C6&amp;" - "&amp;'2F'!$E$3</f>
        <v>Unmeasured wastewater only customer - Wholesale charges revenue £m</v>
      </c>
      <c r="D408" s="2" t="s">
        <v>8</v>
      </c>
      <c r="E408" s="2" t="s">
        <v>9</v>
      </c>
      <c r="F408" s="1634"/>
      <c r="G408" s="1635">
        <f>'2F'!E6</f>
        <v>145.078</v>
      </c>
      <c r="H408" s="1636"/>
    </row>
    <row r="409" spans="1:8">
      <c r="A409" s="1634" t="str">
        <f>INDEX(Lists!$C$4:$C$24,MATCH(Validation!$B$3,Lists!$B$4:$B$24,0))</f>
        <v>TMS</v>
      </c>
      <c r="B409" s="2" t="str">
        <f>'2F'!AD7</f>
        <v>R3021WCR</v>
      </c>
      <c r="C409" s="1634" t="str">
        <f>'2F'!C7&amp;" - "&amp;'2F'!$E$3</f>
        <v>Unmeasured water and wastewater customer - Wholesale charges revenue £m</v>
      </c>
      <c r="D409" s="2" t="s">
        <v>8</v>
      </c>
      <c r="E409" s="2" t="s">
        <v>9</v>
      </c>
      <c r="F409" s="1634"/>
      <c r="G409" s="1635">
        <f>'2F'!E7</f>
        <v>740.74</v>
      </c>
      <c r="H409" s="1636"/>
    </row>
    <row r="410" spans="1:8">
      <c r="A410" s="1634" t="str">
        <f>INDEX(Lists!$C$4:$C$24,MATCH(Validation!$B$3,Lists!$B$4:$B$24,0))</f>
        <v>TMS</v>
      </c>
      <c r="B410" s="2" t="str">
        <f>'2F'!AD8</f>
        <v>R3018WCR</v>
      </c>
      <c r="C410" s="1634" t="str">
        <f>'2F'!C8&amp;" - "&amp;'2F'!$E$3</f>
        <v>Measured water only customer - Wholesale charges revenue £m</v>
      </c>
      <c r="D410" s="2" t="s">
        <v>8</v>
      </c>
      <c r="E410" s="2" t="s">
        <v>9</v>
      </c>
      <c r="F410" s="1634"/>
      <c r="G410" s="1635">
        <f>'2F'!E8</f>
        <v>5.734</v>
      </c>
      <c r="H410" s="1636"/>
    </row>
    <row r="411" spans="1:8">
      <c r="A411" s="1634" t="str">
        <f>INDEX(Lists!$C$4:$C$24,MATCH(Validation!$B$3,Lists!$B$4:$B$24,0))</f>
        <v>TMS</v>
      </c>
      <c r="B411" s="2" t="str">
        <f>'2F'!AD9</f>
        <v>R3020WCR</v>
      </c>
      <c r="C411" s="1634" t="str">
        <f>'2F'!C9&amp;" - "&amp;'2F'!$E$3</f>
        <v>Measured wastewater only customer - Wholesale charges revenue £m</v>
      </c>
      <c r="D411" s="2" t="s">
        <v>8</v>
      </c>
      <c r="E411" s="2" t="s">
        <v>9</v>
      </c>
      <c r="F411" s="1634"/>
      <c r="G411" s="1635">
        <f>'2F'!E9</f>
        <v>147.63800000000001</v>
      </c>
      <c r="H411" s="1636"/>
    </row>
    <row r="412" spans="1:8">
      <c r="A412" s="1634" t="str">
        <f>INDEX(Lists!$C$4:$C$24,MATCH(Validation!$B$3,Lists!$B$4:$B$24,0))</f>
        <v>TMS</v>
      </c>
      <c r="B412" s="2" t="str">
        <f>'2F'!AD10</f>
        <v>R3022WCR</v>
      </c>
      <c r="C412" s="1634" t="str">
        <f>'2F'!C10&amp;" - "&amp;'2F'!$E$3</f>
        <v>Measured water and wastewater customer - Wholesale charges revenue £m</v>
      </c>
      <c r="D412" s="2" t="s">
        <v>8</v>
      </c>
      <c r="E412" s="2" t="s">
        <v>9</v>
      </c>
      <c r="F412" s="1634"/>
      <c r="G412" s="1635">
        <f>'2F'!E10</f>
        <v>384.45600000000002</v>
      </c>
      <c r="H412" s="1636"/>
    </row>
    <row r="413" spans="1:8">
      <c r="A413" s="1634" t="str">
        <f>INDEX(Lists!$C$4:$C$24,MATCH(Validation!$B$3,Lists!$B$4:$B$24,0))</f>
        <v>TMS</v>
      </c>
      <c r="B413" s="2" t="str">
        <f>'2F'!AE5</f>
        <v>R3017RR</v>
      </c>
      <c r="C413" s="1634" t="str">
        <f>'2F'!C5&amp;" - "&amp;'2F'!$F$3</f>
        <v>Unmeasured water only customer - Retail revenue 
£m</v>
      </c>
      <c r="D413" s="2" t="s">
        <v>8</v>
      </c>
      <c r="E413" s="2" t="s">
        <v>9</v>
      </c>
      <c r="F413" s="1634"/>
      <c r="G413" s="1635">
        <f>'2F'!F5</f>
        <v>0.42899999999999999</v>
      </c>
      <c r="H413" s="1636"/>
    </row>
    <row r="414" spans="1:8">
      <c r="A414" s="1634" t="str">
        <f>INDEX(Lists!$C$4:$C$24,MATCH(Validation!$B$3,Lists!$B$4:$B$24,0))</f>
        <v>TMS</v>
      </c>
      <c r="B414" s="2" t="str">
        <f>'2F'!AE6</f>
        <v>R3019RR</v>
      </c>
      <c r="C414" s="1634" t="str">
        <f>'2F'!C6&amp;" - "&amp;'2F'!$F$3</f>
        <v>Unmeasured wastewater only customer - Retail revenue 
£m</v>
      </c>
      <c r="D414" s="2" t="s">
        <v>8</v>
      </c>
      <c r="E414" s="2" t="s">
        <v>9</v>
      </c>
      <c r="F414" s="1634"/>
      <c r="G414" s="1635">
        <f>'2F'!F6</f>
        <v>17.529</v>
      </c>
      <c r="H414" s="1636"/>
    </row>
    <row r="415" spans="1:8">
      <c r="A415" s="1634" t="str">
        <f>INDEX(Lists!$C$4:$C$24,MATCH(Validation!$B$3,Lists!$B$4:$B$24,0))</f>
        <v>TMS</v>
      </c>
      <c r="B415" s="2" t="str">
        <f>'2F'!AE7</f>
        <v>R3021RR</v>
      </c>
      <c r="C415" s="1634" t="str">
        <f>'2F'!C7&amp;" - "&amp;'2F'!$F$3</f>
        <v>Unmeasured water and wastewater customer - Retail revenue 
£m</v>
      </c>
      <c r="D415" s="2" t="s">
        <v>8</v>
      </c>
      <c r="E415" s="2" t="s">
        <v>9</v>
      </c>
      <c r="F415" s="1634"/>
      <c r="G415" s="1635">
        <f>'2F'!F7</f>
        <v>73.224999999999994</v>
      </c>
      <c r="H415" s="1636"/>
    </row>
    <row r="416" spans="1:8">
      <c r="A416" s="1634" t="str">
        <f>INDEX(Lists!$C$4:$C$24,MATCH(Validation!$B$3,Lists!$B$4:$B$24,0))</f>
        <v>TMS</v>
      </c>
      <c r="B416" s="2" t="str">
        <f>'2F'!AE8</f>
        <v>R3018RR</v>
      </c>
      <c r="C416" s="1634" t="str">
        <f>'2F'!C8&amp;" - "&amp;'2F'!$F$3</f>
        <v>Measured water only customer - Retail revenue 
£m</v>
      </c>
      <c r="D416" s="2" t="s">
        <v>8</v>
      </c>
      <c r="E416" s="2" t="s">
        <v>9</v>
      </c>
      <c r="F416" s="1634"/>
      <c r="G416" s="1635">
        <f>'2F'!F8</f>
        <v>0.45100000000000001</v>
      </c>
      <c r="H416" s="1636"/>
    </row>
    <row r="417" spans="1:8">
      <c r="A417" s="1634" t="str">
        <f>INDEX(Lists!$C$4:$C$24,MATCH(Validation!$B$3,Lists!$B$4:$B$24,0))</f>
        <v>TMS</v>
      </c>
      <c r="B417" s="2" t="str">
        <f>'2F'!AE9</f>
        <v>R3020RR</v>
      </c>
      <c r="C417" s="1634" t="str">
        <f>'2F'!C9&amp;" - "&amp;'2F'!$F$3</f>
        <v>Measured wastewater only customer - Retail revenue 
£m</v>
      </c>
      <c r="D417" s="2" t="s">
        <v>8</v>
      </c>
      <c r="E417" s="2" t="s">
        <v>9</v>
      </c>
      <c r="F417" s="1634"/>
      <c r="G417" s="1635">
        <f>'2F'!F9</f>
        <v>26.085000000000001</v>
      </c>
      <c r="H417" s="1636"/>
    </row>
    <row r="418" spans="1:8">
      <c r="A418" s="1634" t="str">
        <f>INDEX(Lists!$C$4:$C$24,MATCH(Validation!$B$3,Lists!$B$4:$B$24,0))</f>
        <v>TMS</v>
      </c>
      <c r="B418" s="2" t="str">
        <f>'2F'!AE10</f>
        <v>R3022RR</v>
      </c>
      <c r="C418" s="1634" t="str">
        <f>'2F'!C10&amp;" - "&amp;'2F'!$F$3</f>
        <v>Measured water and wastewater customer - Retail revenue 
£m</v>
      </c>
      <c r="D418" s="2" t="s">
        <v>8</v>
      </c>
      <c r="E418" s="2" t="s">
        <v>9</v>
      </c>
      <c r="F418" s="1634"/>
      <c r="G418" s="1635">
        <f>'2F'!F10</f>
        <v>50.572000000000003</v>
      </c>
      <c r="H418" s="1636"/>
    </row>
    <row r="419" spans="1:8">
      <c r="A419" s="1634" t="str">
        <f>INDEX(Lists!$C$4:$C$24,MATCH(Validation!$B$3,Lists!$B$4:$B$24,0))</f>
        <v>TMS</v>
      </c>
      <c r="B419" s="2" t="str">
        <f>'2F'!AG5</f>
        <v>R3017</v>
      </c>
      <c r="C419" s="1634" t="str">
        <f>'2F'!C5&amp;" - "&amp;'2F'!$H$3</f>
        <v>Unmeasured water only customer - Number of customers 
(000s)</v>
      </c>
      <c r="D419" s="2" t="s">
        <v>13</v>
      </c>
      <c r="E419" s="2" t="s">
        <v>9</v>
      </c>
      <c r="F419" s="1634"/>
      <c r="G419" s="1635">
        <f>'2F'!H5</f>
        <v>25.661999999999999</v>
      </c>
      <c r="H419" s="1636"/>
    </row>
    <row r="420" spans="1:8">
      <c r="A420" s="1634" t="str">
        <f>INDEX(Lists!$C$4:$C$24,MATCH(Validation!$B$3,Lists!$B$4:$B$24,0))</f>
        <v>TMS</v>
      </c>
      <c r="B420" s="2" t="str">
        <f>'2F'!AG6</f>
        <v>R3019</v>
      </c>
      <c r="C420" s="1634" t="str">
        <f>'2F'!C6&amp;" - "&amp;'2F'!$H$3</f>
        <v>Unmeasured wastewater only customer - Number of customers 
(000s)</v>
      </c>
      <c r="D420" s="2" t="s">
        <v>13</v>
      </c>
      <c r="E420" s="2" t="s">
        <v>9</v>
      </c>
      <c r="F420" s="1634"/>
      <c r="G420" s="1635">
        <f>'2F'!H6</f>
        <v>866.52700000000004</v>
      </c>
      <c r="H420" s="1636"/>
    </row>
    <row r="421" spans="1:8">
      <c r="A421" s="1634" t="str">
        <f>INDEX(Lists!$C$4:$C$24,MATCH(Validation!$B$3,Lists!$B$4:$B$24,0))</f>
        <v>TMS</v>
      </c>
      <c r="B421" s="2" t="str">
        <f>'2F'!AG7</f>
        <v>R3021</v>
      </c>
      <c r="C421" s="1634" t="str">
        <f>'2F'!C7&amp;" - "&amp;'2F'!$H$3</f>
        <v>Unmeasured water and wastewater customer - Number of customers 
(000s)</v>
      </c>
      <c r="D421" s="2" t="s">
        <v>13</v>
      </c>
      <c r="E421" s="2" t="s">
        <v>9</v>
      </c>
      <c r="F421" s="1634"/>
      <c r="G421" s="1635">
        <f>'2F'!H7</f>
        <v>2091.8150000000001</v>
      </c>
      <c r="H421" s="1636"/>
    </row>
    <row r="422" spans="1:8">
      <c r="A422" s="1634" t="str">
        <f>INDEX(Lists!$C$4:$C$24,MATCH(Validation!$B$3,Lists!$B$4:$B$24,0))</f>
        <v>TMS</v>
      </c>
      <c r="B422" s="2" t="str">
        <f>'2F'!AG8</f>
        <v>R3018</v>
      </c>
      <c r="C422" s="1634" t="str">
        <f>'2F'!C8&amp;" - "&amp;'2F'!$H$3</f>
        <v>Measured water only customer - Number of customers 
(000s)</v>
      </c>
      <c r="D422" s="2" t="s">
        <v>13</v>
      </c>
      <c r="E422" s="2" t="s">
        <v>9</v>
      </c>
      <c r="F422" s="1634"/>
      <c r="G422" s="1635">
        <f>'2F'!H8</f>
        <v>22.045999999999999</v>
      </c>
      <c r="H422" s="1636"/>
    </row>
    <row r="423" spans="1:8">
      <c r="A423" s="1634" t="str">
        <f>INDEX(Lists!$C$4:$C$24,MATCH(Validation!$B$3,Lists!$B$4:$B$24,0))</f>
        <v>TMS</v>
      </c>
      <c r="B423" s="2" t="str">
        <f>'2F'!AG9</f>
        <v>R3020</v>
      </c>
      <c r="C423" s="1634" t="str">
        <f>'2F'!C9&amp;" - "&amp;'2F'!$H$3</f>
        <v>Measured wastewater only customer - Number of customers 
(000s)</v>
      </c>
      <c r="D423" s="2" t="s">
        <v>13</v>
      </c>
      <c r="E423" s="2" t="s">
        <v>9</v>
      </c>
      <c r="F423" s="1634"/>
      <c r="G423" s="1635">
        <f>'2F'!H9</f>
        <v>1067.268</v>
      </c>
      <c r="H423" s="1636"/>
    </row>
    <row r="424" spans="1:8" ht="15" thickBot="1">
      <c r="A424" s="1642" t="str">
        <f>INDEX(Lists!$C$4:$C$24,MATCH(Validation!$B$3,Lists!$B$4:$B$24,0))</f>
        <v>TMS</v>
      </c>
      <c r="B424" s="1649" t="str">
        <f>'2F'!AG10</f>
        <v>R3022</v>
      </c>
      <c r="C424" s="1634" t="str">
        <f>'2F'!C10&amp;" - "&amp;'2F'!$H$3</f>
        <v>Measured water and wastewater customer - Number of customers 
(000s)</v>
      </c>
      <c r="D424" s="1648" t="s">
        <v>13</v>
      </c>
      <c r="E424" s="1648" t="s">
        <v>9</v>
      </c>
      <c r="F424" s="1642"/>
      <c r="G424" s="1658">
        <f>'2F'!H10</f>
        <v>1336.3230000000001</v>
      </c>
      <c r="H424" s="1649"/>
    </row>
    <row r="425" spans="1:8">
      <c r="A425" s="1634" t="str">
        <f>INDEX(Lists!$C$4:$C$24,MATCH(Validation!$B$3,Lists!$B$4:$B$24,0))</f>
        <v>TMS</v>
      </c>
      <c r="B425" s="2" t="str">
        <f>'2G'!AD6</f>
        <v>CR1001WWCR</v>
      </c>
      <c r="C425" s="1641" t="str">
        <f>'2G'!C6&amp;" - "&amp;'2G'!$E$3</f>
        <v>Total non-default tariffs - Wholesale charges revenue 
£m</v>
      </c>
      <c r="D425" s="1644" t="s">
        <v>8</v>
      </c>
      <c r="E425" s="1644" t="s">
        <v>9</v>
      </c>
      <c r="F425" s="1641"/>
      <c r="G425" s="1659">
        <f>'2G'!E6</f>
        <v>0</v>
      </c>
      <c r="H425" s="1645"/>
    </row>
    <row r="426" spans="1:8">
      <c r="A426" s="1634" t="str">
        <f>INDEX(Lists!$C$4:$C$24,MATCH(Validation!$B$3,Lists!$B$4:$B$24,0))</f>
        <v>TMS</v>
      </c>
      <c r="B426" s="2" t="str">
        <f>'2G'!AD9</f>
        <v>CR1002WWCR</v>
      </c>
      <c r="C426" s="1634" t="str">
        <f>'2G'!$C$8&amp;" - "&amp;'2G'!$E$3</f>
        <v>Default tariffs - Wholesale charges revenue 
£m</v>
      </c>
      <c r="D426" s="2" t="s">
        <v>8</v>
      </c>
      <c r="E426" s="2" t="s">
        <v>9</v>
      </c>
      <c r="F426" s="1683" t="str">
        <f>IF(ISBLANK('2G'!$C$9), "", '2G'!$C$9)</f>
        <v>[0 - 500]  [0 - 500m3] [water] [metered]</v>
      </c>
      <c r="G426" s="1635">
        <f>'2G'!E9</f>
        <v>28.824999999999999</v>
      </c>
      <c r="H426" s="1636"/>
    </row>
    <row r="427" spans="1:8">
      <c r="A427" s="1634" t="str">
        <f>INDEX(Lists!$C$4:$C$24,MATCH(Validation!$B$3,Lists!$B$4:$B$24,0))</f>
        <v>TMS</v>
      </c>
      <c r="B427" s="2" t="str">
        <f>'2G'!AD10</f>
        <v>CR1003WWCR</v>
      </c>
      <c r="C427" s="1634" t="str">
        <f>'2G'!$C$8&amp;" - "&amp;'2G'!$E$3</f>
        <v>Default tariffs - Wholesale charges revenue 
£m</v>
      </c>
      <c r="D427" s="2" t="s">
        <v>8</v>
      </c>
      <c r="E427" s="2" t="s">
        <v>9</v>
      </c>
      <c r="F427" s="1683" t="str">
        <f>IF(ISBLANK('2G'!$C$10), "", '2G'!$C$10)</f>
        <v>[500 - 1,000]  [500 - 1,000m3] [water] [metered]</v>
      </c>
      <c r="G427" s="1635">
        <f>'2G'!E10</f>
        <v>13.909000000000001</v>
      </c>
      <c r="H427" s="1636"/>
    </row>
    <row r="428" spans="1:8">
      <c r="A428" s="1634" t="str">
        <f>INDEX(Lists!$C$4:$C$24,MATCH(Validation!$B$3,Lists!$B$4:$B$24,0))</f>
        <v>TMS</v>
      </c>
      <c r="B428" s="2" t="str">
        <f>'2G'!AD11</f>
        <v>CR1004WWCR</v>
      </c>
      <c r="C428" s="1634" t="str">
        <f>'2G'!$C$8&amp;" - "&amp;'2G'!$E$3</f>
        <v>Default tariffs - Wholesale charges revenue 
£m</v>
      </c>
      <c r="D428" s="2" t="s">
        <v>8</v>
      </c>
      <c r="E428" s="2" t="s">
        <v>9</v>
      </c>
      <c r="F428" s="1683" t="str">
        <f>IF(ISBLANK('2G'!$C$11), "", '2G'!$C$11)</f>
        <v>[1,000 - 5,000]  [1,000 - 5,000m3] [water] [metered]</v>
      </c>
      <c r="G428" s="1635">
        <f>'2G'!E11</f>
        <v>52.506999999999998</v>
      </c>
      <c r="H428" s="1636"/>
    </row>
    <row r="429" spans="1:8">
      <c r="A429" s="1634" t="str">
        <f>INDEX(Lists!$C$4:$C$24,MATCH(Validation!$B$3,Lists!$B$4:$B$24,0))</f>
        <v>TMS</v>
      </c>
      <c r="B429" s="2" t="str">
        <f>'2G'!AD12</f>
        <v>CR1005WWCR</v>
      </c>
      <c r="C429" s="1634" t="str">
        <f>'2G'!$C$8&amp;" - "&amp;'2G'!$E$3</f>
        <v>Default tariffs - Wholesale charges revenue 
£m</v>
      </c>
      <c r="D429" s="2" t="s">
        <v>8</v>
      </c>
      <c r="E429" s="2" t="s">
        <v>9</v>
      </c>
      <c r="F429" s="1683" t="str">
        <f>IF(ISBLANK('2G'!$C$12), "", '2G'!$C$12)</f>
        <v>n/a</v>
      </c>
      <c r="G429" s="1635">
        <f>'2G'!E12</f>
        <v>46.231999999999999</v>
      </c>
      <c r="H429" s="1636"/>
    </row>
    <row r="430" spans="1:8">
      <c r="A430" s="1634" t="str">
        <f>INDEX(Lists!$C$4:$C$24,MATCH(Validation!$B$3,Lists!$B$4:$B$24,0))</f>
        <v>TMS</v>
      </c>
      <c r="B430" s="2" t="str">
        <f>'2G'!AD13</f>
        <v>CR1006WWCR</v>
      </c>
      <c r="C430" s="1634" t="str">
        <f>'2G'!$C$8&amp;" - "&amp;'2G'!$E$3</f>
        <v>Default tariffs - Wholesale charges revenue 
£m</v>
      </c>
      <c r="D430" s="2" t="s">
        <v>8</v>
      </c>
      <c r="E430" s="2" t="s">
        <v>9</v>
      </c>
      <c r="F430" s="1683" t="str">
        <f>IF(ISBLANK('2G'!$C$13), "", '2G'!$C$13)</f>
        <v>n/a</v>
      </c>
      <c r="G430" s="1635">
        <f>'2G'!E13</f>
        <v>23.376999999999999</v>
      </c>
      <c r="H430" s="1636"/>
    </row>
    <row r="431" spans="1:8">
      <c r="A431" s="1634" t="str">
        <f>INDEX(Lists!$C$4:$C$24,MATCH(Validation!$B$3,Lists!$B$4:$B$24,0))</f>
        <v>TMS</v>
      </c>
      <c r="B431" s="2" t="str">
        <f>'2G'!AD14</f>
        <v>CR1007WWCR</v>
      </c>
      <c r="C431" s="1634" t="str">
        <f>'2G'!$C$8&amp;" - "&amp;'2G'!$E$3</f>
        <v>Default tariffs - Wholesale charges revenue 
£m</v>
      </c>
      <c r="D431" s="2" t="s">
        <v>8</v>
      </c>
      <c r="E431" s="2" t="s">
        <v>9</v>
      </c>
      <c r="F431" s="1683" t="str">
        <f>IF(ISBLANK('2G'!$C$14), "", '2G'!$C$14)</f>
        <v>n/a</v>
      </c>
      <c r="G431" s="1635">
        <f>'2G'!E14</f>
        <v>26.809000000000001</v>
      </c>
      <c r="H431" s="1636"/>
    </row>
    <row r="432" spans="1:8">
      <c r="A432" s="1634" t="str">
        <f>INDEX(Lists!$C$4:$C$24,MATCH(Validation!$B$3,Lists!$B$4:$B$24,0))</f>
        <v>TMS</v>
      </c>
      <c r="B432" s="2" t="str">
        <f>'2G'!AD15</f>
        <v>CR1008WWCR</v>
      </c>
      <c r="C432" s="1634" t="str">
        <f>'2G'!$C$8&amp;" - "&amp;'2G'!$E$3</f>
        <v>Default tariffs - Wholesale charges revenue 
£m</v>
      </c>
      <c r="D432" s="2" t="s">
        <v>8</v>
      </c>
      <c r="E432" s="2" t="s">
        <v>9</v>
      </c>
      <c r="F432" s="1683" t="str">
        <f>IF(ISBLANK('2G'!$C$15), "", '2G'!$C$15)</f>
        <v>n/a</v>
      </c>
      <c r="G432" s="1635">
        <f>'2G'!E15</f>
        <v>8.3940000000000001</v>
      </c>
      <c r="H432" s="1636"/>
    </row>
    <row r="433" spans="1:8">
      <c r="A433" s="1634" t="str">
        <f>INDEX(Lists!$C$4:$C$24,MATCH(Validation!$B$3,Lists!$B$4:$B$24,0))</f>
        <v>TMS</v>
      </c>
      <c r="B433" s="2" t="str">
        <f>'2G'!AD16</f>
        <v>CR1009WWCR</v>
      </c>
      <c r="C433" s="1634" t="str">
        <f>'2G'!$C$8&amp;" - "&amp;'2G'!$E$3</f>
        <v>Default tariffs - Wholesale charges revenue 
£m</v>
      </c>
      <c r="D433" s="2" t="s">
        <v>8</v>
      </c>
      <c r="E433" s="2" t="s">
        <v>9</v>
      </c>
      <c r="F433" s="1683" t="str">
        <f>IF(ISBLANK('2G'!$C$16), "", '2G'!$C$16)</f>
        <v>[0 - 500 Business Assessed]  [0 - 500m3] [water] [unmetered]</v>
      </c>
      <c r="G433" s="1635">
        <f>'2G'!E16</f>
        <v>6.2430000000000003</v>
      </c>
      <c r="H433" s="1636"/>
    </row>
    <row r="434" spans="1:8">
      <c r="A434" s="1634" t="str">
        <f>INDEX(Lists!$C$4:$C$24,MATCH(Validation!$B$3,Lists!$B$4:$B$24,0))</f>
        <v>TMS</v>
      </c>
      <c r="B434" s="2" t="str">
        <f>'2G'!AD17</f>
        <v>CR1010WWCR</v>
      </c>
      <c r="C434" s="1634" t="str">
        <f>'2G'!$C$8&amp;" - "&amp;'2G'!$E$3</f>
        <v>Default tariffs - Wholesale charges revenue 
£m</v>
      </c>
      <c r="D434" s="2" t="s">
        <v>8</v>
      </c>
      <c r="E434" s="2" t="s">
        <v>9</v>
      </c>
      <c r="F434" s="1683" t="str">
        <f>IF(ISBLANK('2G'!$C$17), "", '2G'!$C$17)</f>
        <v>[500 - 1,000 Business Assessed]  [500 - 1,000m3] [water] [unmetered]</v>
      </c>
      <c r="G434" s="1635">
        <f>'2G'!E17</f>
        <v>1.6950000000000001</v>
      </c>
      <c r="H434" s="1636"/>
    </row>
    <row r="435" spans="1:8">
      <c r="A435" s="1634" t="str">
        <f>INDEX(Lists!$C$4:$C$24,MATCH(Validation!$B$3,Lists!$B$4:$B$24,0))</f>
        <v>TMS</v>
      </c>
      <c r="B435" s="2" t="str">
        <f>'2G'!AD18</f>
        <v>CR1011WWCR</v>
      </c>
      <c r="C435" s="1634" t="str">
        <f>'2G'!$C$8&amp;" - "&amp;'2G'!$E$3</f>
        <v>Default tariffs - Wholesale charges revenue 
£m</v>
      </c>
      <c r="D435" s="2" t="s">
        <v>8</v>
      </c>
      <c r="E435" s="2" t="s">
        <v>9</v>
      </c>
      <c r="F435" s="1683" t="str">
        <f>IF(ISBLANK('2G'!$C$18), "", '2G'!$C$18)</f>
        <v>[1,000 - 5,000 Business Assessed]  [1,000 - 5,000m3] [water] [unmetered]</v>
      </c>
      <c r="G435" s="1635">
        <f>'2G'!E18</f>
        <v>3.0430000000000001</v>
      </c>
      <c r="H435" s="1636"/>
    </row>
    <row r="436" spans="1:8">
      <c r="A436" s="1634" t="str">
        <f>INDEX(Lists!$C$4:$C$24,MATCH(Validation!$B$3,Lists!$B$4:$B$24,0))</f>
        <v>TMS</v>
      </c>
      <c r="B436" s="2" t="str">
        <f>'2G'!AD19</f>
        <v>CR1012WWCR</v>
      </c>
      <c r="C436" s="1634" t="str">
        <f>'2G'!$C$8&amp;" - "&amp;'2G'!$E$3</f>
        <v>Default tariffs - Wholesale charges revenue 
£m</v>
      </c>
      <c r="D436" s="2" t="s">
        <v>8</v>
      </c>
      <c r="E436" s="2" t="s">
        <v>9</v>
      </c>
      <c r="F436" s="1683" t="str">
        <f>IF(ISBLANK('2G'!$C$19), "", '2G'!$C$19)</f>
        <v>n/a</v>
      </c>
      <c r="G436" s="1635">
        <f>'2G'!E19</f>
        <v>0.66700000000000004</v>
      </c>
      <c r="H436" s="1636"/>
    </row>
    <row r="437" spans="1:8">
      <c r="A437" s="1634" t="str">
        <f>INDEX(Lists!$C$4:$C$24,MATCH(Validation!$B$3,Lists!$B$4:$B$24,0))</f>
        <v>TMS</v>
      </c>
      <c r="B437" s="2" t="str">
        <f>'2G'!AD20</f>
        <v>CR1013WWCR</v>
      </c>
      <c r="C437" s="1634" t="str">
        <f>'2G'!$C$8&amp;" - "&amp;'2G'!$E$3</f>
        <v>Default tariffs - Wholesale charges revenue 
£m</v>
      </c>
      <c r="D437" s="2" t="s">
        <v>8</v>
      </c>
      <c r="E437" s="2" t="s">
        <v>9</v>
      </c>
      <c r="F437" s="1683" t="str">
        <f>IF(ISBLANK('2G'!$C$20), "", '2G'!$C$20)</f>
        <v>[Unmeasured RV + Fixed]  [N/A] [water] [unmetered]</v>
      </c>
      <c r="G437" s="1635">
        <f>'2G'!E20</f>
        <v>2.3109999999999999</v>
      </c>
      <c r="H437" s="1636"/>
    </row>
    <row r="438" spans="1:8">
      <c r="A438" s="1634" t="str">
        <f>INDEX(Lists!$C$4:$C$24,MATCH(Validation!$B$3,Lists!$B$4:$B$24,0))</f>
        <v>TMS</v>
      </c>
      <c r="B438" s="2" t="str">
        <f>'2G'!AD21</f>
        <v>CR1014WWCR</v>
      </c>
      <c r="C438" s="1634" t="str">
        <f>'2G'!$C$8&amp;" - "&amp;'2G'!$E$3</f>
        <v>Default tariffs - Wholesale charges revenue 
£m</v>
      </c>
      <c r="D438" s="2" t="s">
        <v>8</v>
      </c>
      <c r="E438" s="2" t="s">
        <v>9</v>
      </c>
      <c r="F438" s="1683" t="str">
        <f>IF(ISBLANK('2G'!$C$21), "", '2G'!$C$21)</f>
        <v>Water supplies 5 to 50 MI</v>
      </c>
      <c r="G438" s="1635">
        <f>'2G'!E21</f>
        <v>0</v>
      </c>
      <c r="H438" s="1636"/>
    </row>
    <row r="439" spans="1:8">
      <c r="A439" s="1634" t="str">
        <f>INDEX(Lists!$C$4:$C$24,MATCH(Validation!$B$3,Lists!$B$4:$B$24,0))</f>
        <v>TMS</v>
      </c>
      <c r="B439" s="2" t="str">
        <f>'2G'!AD22</f>
        <v>CR1015WWCR</v>
      </c>
      <c r="C439" s="1634" t="str">
        <f>'2G'!$C$8&amp;" - "&amp;'2G'!$E$3</f>
        <v>Default tariffs - Wholesale charges revenue 
£m</v>
      </c>
      <c r="D439" s="2" t="s">
        <v>8</v>
      </c>
      <c r="E439" s="2" t="s">
        <v>9</v>
      </c>
      <c r="F439" s="1683" t="str">
        <f>IF(ISBLANK('2G'!$C$22), "", '2G'!$C$22)</f>
        <v>Water supplies 50 MI and over</v>
      </c>
      <c r="G439" s="1635">
        <f>'2G'!E22</f>
        <v>0</v>
      </c>
      <c r="H439" s="1636"/>
    </row>
    <row r="440" spans="1:8">
      <c r="A440" s="1634" t="str">
        <f>INDEX(Lists!$C$4:$C$24,MATCH(Validation!$B$3,Lists!$B$4:$B$24,0))</f>
        <v>TMS</v>
      </c>
      <c r="B440" s="2" t="str">
        <f>'2G'!AD23</f>
        <v>CR1016WWCR</v>
      </c>
      <c r="C440" s="1634" t="str">
        <f>'2G'!$C$8&amp;" - "&amp;'2G'!$E$3</f>
        <v>Default tariffs - Wholesale charges revenue 
£m</v>
      </c>
      <c r="D440" s="2" t="s">
        <v>8</v>
      </c>
      <c r="E440" s="2" t="s">
        <v>9</v>
      </c>
      <c r="F440" s="1683" t="str">
        <f>IF(ISBLANK('2G'!$C$23), "", '2G'!$C$23)</f>
        <v/>
      </c>
      <c r="G440" s="1635">
        <f>'2G'!E23</f>
        <v>0</v>
      </c>
      <c r="H440" s="1636"/>
    </row>
    <row r="441" spans="1:8">
      <c r="A441" s="1634" t="str">
        <f>INDEX(Lists!$C$4:$C$24,MATCH(Validation!$B$3,Lists!$B$4:$B$24,0))</f>
        <v>TMS</v>
      </c>
      <c r="B441" s="2" t="str">
        <f>'2G'!AD24</f>
        <v>CR1017WWCR</v>
      </c>
      <c r="C441" s="1634" t="str">
        <f>'2G'!$C$8&amp;" - "&amp;'2G'!$E$3</f>
        <v>Default tariffs - Wholesale charges revenue 
£m</v>
      </c>
      <c r="D441" s="2" t="s">
        <v>8</v>
      </c>
      <c r="E441" s="2" t="s">
        <v>9</v>
      </c>
      <c r="F441" s="1683" t="str">
        <f>IF(ISBLANK('2G'!$C$24), "", '2G'!$C$24)</f>
        <v/>
      </c>
      <c r="G441" s="1635">
        <f>'2G'!E24</f>
        <v>0</v>
      </c>
      <c r="H441" s="1636"/>
    </row>
    <row r="442" spans="1:8">
      <c r="A442" s="1634" t="str">
        <f>INDEX(Lists!$C$4:$C$24,MATCH(Validation!$B$3,Lists!$B$4:$B$24,0))</f>
        <v>TMS</v>
      </c>
      <c r="B442" s="2" t="str">
        <f>'2G'!AD25</f>
        <v>CR1018WWCR</v>
      </c>
      <c r="C442" s="1634" t="str">
        <f>'2G'!$C$8&amp;" - "&amp;'2G'!$E$3</f>
        <v>Default tariffs - Wholesale charges revenue 
£m</v>
      </c>
      <c r="D442" s="2" t="s">
        <v>8</v>
      </c>
      <c r="E442" s="2" t="s">
        <v>9</v>
      </c>
      <c r="F442" s="1683" t="str">
        <f>IF(ISBLANK('2G'!$C$25), "", '2G'!$C$25)</f>
        <v/>
      </c>
      <c r="G442" s="1635">
        <f>'2G'!E25</f>
        <v>0</v>
      </c>
      <c r="H442" s="1636"/>
    </row>
    <row r="443" spans="1:8">
      <c r="A443" s="1634" t="str">
        <f>INDEX(Lists!$C$4:$C$24,MATCH(Validation!$B$3,Lists!$B$4:$B$24,0))</f>
        <v>TMS</v>
      </c>
      <c r="B443" s="2" t="str">
        <f>'2G'!AD26</f>
        <v>CR1019WWCR</v>
      </c>
      <c r="C443" s="1634" t="str">
        <f>'2G'!$C$8&amp;" - "&amp;'2G'!$E$3</f>
        <v>Default tariffs - Wholesale charges revenue 
£m</v>
      </c>
      <c r="D443" s="2" t="s">
        <v>8</v>
      </c>
      <c r="E443" s="2" t="s">
        <v>9</v>
      </c>
      <c r="F443" s="1683" t="str">
        <f>IF(ISBLANK('2G'!$C$26), "", '2G'!$C$26)</f>
        <v/>
      </c>
      <c r="G443" s="1635">
        <f>'2G'!E26</f>
        <v>0</v>
      </c>
      <c r="H443" s="1636"/>
    </row>
    <row r="444" spans="1:8">
      <c r="A444" s="1637" t="str">
        <f>INDEX(Lists!$C$4:$C$24,MATCH(Validation!$B$3,Lists!$B$4:$B$24,0))</f>
        <v>TMS</v>
      </c>
      <c r="B444" s="1651" t="str">
        <f>'2G'!AD27</f>
        <v>CR1020WWCR</v>
      </c>
      <c r="C444" s="1637" t="str">
        <f>'2G'!$C$8&amp;" - "&amp;'2G'!$E$3</f>
        <v>Default tariffs - Wholesale charges revenue 
£m</v>
      </c>
      <c r="D444" s="1651" t="s">
        <v>8</v>
      </c>
      <c r="E444" s="1651" t="s">
        <v>9</v>
      </c>
      <c r="F444" s="1684" t="str">
        <f>IF(ISBLANK('2G'!$C$27), "", '2G'!$C$27)</f>
        <v/>
      </c>
      <c r="G444" s="1653">
        <f>'2G'!E27</f>
        <v>0</v>
      </c>
      <c r="H444" s="1652"/>
    </row>
    <row r="445" spans="1:8">
      <c r="A445" s="1634" t="str">
        <f>INDEX(Lists!$C$4:$C$24,MATCH(Validation!$B$3,Lists!$B$4:$B$24,0))</f>
        <v>TMS</v>
      </c>
      <c r="B445" s="2" t="str">
        <f>'2G'!AE6</f>
        <v>CR1001WRR</v>
      </c>
      <c r="C445" s="1634" t="str">
        <f>'2G'!C6&amp;" - "&amp;'2G'!$F$3</f>
        <v>Total non-default tariffs - Retail revenue £m</v>
      </c>
      <c r="D445" s="2" t="s">
        <v>8</v>
      </c>
      <c r="E445" s="2" t="s">
        <v>9</v>
      </c>
      <c r="F445" s="1634"/>
      <c r="G445" s="1635">
        <f>'2G'!F6</f>
        <v>0</v>
      </c>
      <c r="H445" s="1636"/>
    </row>
    <row r="446" spans="1:8">
      <c r="A446" s="1634" t="str">
        <f>INDEX(Lists!$C$4:$C$24,MATCH(Validation!$B$3,Lists!$B$4:$B$24,0))</f>
        <v>TMS</v>
      </c>
      <c r="B446" s="2" t="str">
        <f>'2G'!AE9</f>
        <v>CR1002WRR</v>
      </c>
      <c r="C446" s="1634" t="str">
        <f>'2G'!$C$8&amp;" - "&amp;'2G'!$F$3</f>
        <v>Default tariffs - Retail revenue £m</v>
      </c>
      <c r="D446" s="2" t="s">
        <v>8</v>
      </c>
      <c r="E446" s="2" t="s">
        <v>9</v>
      </c>
      <c r="F446" s="1683" t="str">
        <f>IF(ISBLANK('2G'!$C$9), "", '2G'!$C$9)</f>
        <v>[0 - 500]  [0 - 500m3] [water] [metered]</v>
      </c>
      <c r="G446" s="1635">
        <f>'2G'!F9</f>
        <v>-0.36899999999999999</v>
      </c>
      <c r="H446" s="1636"/>
    </row>
    <row r="447" spans="1:8">
      <c r="A447" s="1634" t="str">
        <f>INDEX(Lists!$C$4:$C$24,MATCH(Validation!$B$3,Lists!$B$4:$B$24,0))</f>
        <v>TMS</v>
      </c>
      <c r="B447" s="2" t="str">
        <f>'2G'!AE10</f>
        <v>CR1003WRR</v>
      </c>
      <c r="C447" s="1634" t="str">
        <f>'2G'!$C$8&amp;" - "&amp;'2G'!$F$3</f>
        <v>Default tariffs - Retail revenue £m</v>
      </c>
      <c r="D447" s="2" t="s">
        <v>8</v>
      </c>
      <c r="E447" s="2" t="s">
        <v>9</v>
      </c>
      <c r="F447" s="1683" t="str">
        <f>IF(ISBLANK('2G'!$C$10), "", '2G'!$C$10)</f>
        <v>[500 - 1,000]  [500 - 1,000m3] [water] [metered]</v>
      </c>
      <c r="G447" s="1635">
        <f>'2G'!F10</f>
        <v>-9.9000000000000005E-2</v>
      </c>
      <c r="H447" s="1636"/>
    </row>
    <row r="448" spans="1:8">
      <c r="A448" s="1634" t="str">
        <f>INDEX(Lists!$C$4:$C$24,MATCH(Validation!$B$3,Lists!$B$4:$B$24,0))</f>
        <v>TMS</v>
      </c>
      <c r="B448" s="2" t="str">
        <f>'2G'!AE11</f>
        <v>CR1004WRR</v>
      </c>
      <c r="C448" s="1634" t="str">
        <f>'2G'!$C$8&amp;" - "&amp;'2G'!$F$3</f>
        <v>Default tariffs - Retail revenue £m</v>
      </c>
      <c r="D448" s="2" t="s">
        <v>8</v>
      </c>
      <c r="E448" s="2" t="s">
        <v>9</v>
      </c>
      <c r="F448" s="1683" t="str">
        <f>IF(ISBLANK('2G'!$C$11), "", '2G'!$C$11)</f>
        <v>[1,000 - 5,000]  [1,000 - 5,000m3] [water] [metered]</v>
      </c>
      <c r="G448" s="1635">
        <f>'2G'!F11</f>
        <v>-0.17799999999999999</v>
      </c>
      <c r="H448" s="1636"/>
    </row>
    <row r="449" spans="1:8">
      <c r="A449" s="1634" t="str">
        <f>INDEX(Lists!$C$4:$C$24,MATCH(Validation!$B$3,Lists!$B$4:$B$24,0))</f>
        <v>TMS</v>
      </c>
      <c r="B449" s="2" t="str">
        <f>'2G'!AE12</f>
        <v>CR1005WRR</v>
      </c>
      <c r="C449" s="1634" t="str">
        <f>'2G'!$C$8&amp;" - "&amp;'2G'!$F$3</f>
        <v>Default tariffs - Retail revenue £m</v>
      </c>
      <c r="D449" s="2" t="s">
        <v>8</v>
      </c>
      <c r="E449" s="2" t="s">
        <v>9</v>
      </c>
      <c r="F449" s="1683" t="str">
        <f>IF(ISBLANK('2G'!$C$12), "", '2G'!$C$12)</f>
        <v>n/a</v>
      </c>
      <c r="G449" s="1635">
        <f>'2G'!F12</f>
        <v>-7.6999999999999999E-2</v>
      </c>
      <c r="H449" s="1636"/>
    </row>
    <row r="450" spans="1:8">
      <c r="A450" s="1634" t="str">
        <f>INDEX(Lists!$C$4:$C$24,MATCH(Validation!$B$3,Lists!$B$4:$B$24,0))</f>
        <v>TMS</v>
      </c>
      <c r="B450" s="2" t="str">
        <f>'2G'!AE13</f>
        <v>CR1006WRR</v>
      </c>
      <c r="C450" s="1634" t="str">
        <f>'2G'!$C$8&amp;" - "&amp;'2G'!$F$3</f>
        <v>Default tariffs - Retail revenue £m</v>
      </c>
      <c r="D450" s="2" t="s">
        <v>8</v>
      </c>
      <c r="E450" s="2" t="s">
        <v>9</v>
      </c>
      <c r="F450" s="1683" t="str">
        <f>IF(ISBLANK('2G'!$C$13), "", '2G'!$C$13)</f>
        <v>n/a</v>
      </c>
      <c r="G450" s="1635">
        <f>'2G'!F13</f>
        <v>-1.2999999999999999E-2</v>
      </c>
      <c r="H450" s="1636"/>
    </row>
    <row r="451" spans="1:8">
      <c r="A451" s="1634" t="str">
        <f>INDEX(Lists!$C$4:$C$24,MATCH(Validation!$B$3,Lists!$B$4:$B$24,0))</f>
        <v>TMS</v>
      </c>
      <c r="B451" s="2" t="str">
        <f>'2G'!AE14</f>
        <v>CR1007WRR</v>
      </c>
      <c r="C451" s="1634" t="str">
        <f>'2G'!$C$8&amp;" - "&amp;'2G'!$F$3</f>
        <v>Default tariffs - Retail revenue £m</v>
      </c>
      <c r="D451" s="2" t="s">
        <v>8</v>
      </c>
      <c r="E451" s="2" t="s">
        <v>9</v>
      </c>
      <c r="F451" s="1683" t="str">
        <f>IF(ISBLANK('2G'!$C$14), "", '2G'!$C$14)</f>
        <v>n/a</v>
      </c>
      <c r="G451" s="1635">
        <f>'2G'!F14</f>
        <v>8.0000000000000002E-3</v>
      </c>
      <c r="H451" s="1636"/>
    </row>
    <row r="452" spans="1:8">
      <c r="A452" s="1634" t="str">
        <f>INDEX(Lists!$C$4:$C$24,MATCH(Validation!$B$3,Lists!$B$4:$B$24,0))</f>
        <v>TMS</v>
      </c>
      <c r="B452" s="2" t="str">
        <f>'2G'!AE15</f>
        <v>CR1008WRR</v>
      </c>
      <c r="C452" s="1634" t="str">
        <f>'2G'!$C$8&amp;" - "&amp;'2G'!$F$3</f>
        <v>Default tariffs - Retail revenue £m</v>
      </c>
      <c r="D452" s="2" t="s">
        <v>8</v>
      </c>
      <c r="E452" s="2" t="s">
        <v>9</v>
      </c>
      <c r="F452" s="1683" t="str">
        <f>IF(ISBLANK('2G'!$C$15), "", '2G'!$C$15)</f>
        <v>n/a</v>
      </c>
      <c r="G452" s="1635">
        <f>'2G'!F15</f>
        <v>1.0999999999999999E-2</v>
      </c>
      <c r="H452" s="1636"/>
    </row>
    <row r="453" spans="1:8">
      <c r="A453" s="1634" t="str">
        <f>INDEX(Lists!$C$4:$C$24,MATCH(Validation!$B$3,Lists!$B$4:$B$24,0))</f>
        <v>TMS</v>
      </c>
      <c r="B453" s="2" t="str">
        <f>'2G'!AE16</f>
        <v>CR1009WRR</v>
      </c>
      <c r="C453" s="1634" t="str">
        <f>'2G'!$C$8&amp;" - "&amp;'2G'!$F$3</f>
        <v>Default tariffs - Retail revenue £m</v>
      </c>
      <c r="D453" s="2" t="s">
        <v>8</v>
      </c>
      <c r="E453" s="2" t="s">
        <v>9</v>
      </c>
      <c r="F453" s="1683" t="str">
        <f>IF(ISBLANK('2G'!$C$16), "", '2G'!$C$16)</f>
        <v>[0 - 500 Business Assessed]  [0 - 500m3] [water] [unmetered]</v>
      </c>
      <c r="G453" s="1635">
        <f>'2G'!F16</f>
        <v>0.56100000000000005</v>
      </c>
      <c r="H453" s="1636"/>
    </row>
    <row r="454" spans="1:8">
      <c r="A454" s="1634" t="str">
        <f>INDEX(Lists!$C$4:$C$24,MATCH(Validation!$B$3,Lists!$B$4:$B$24,0))</f>
        <v>TMS</v>
      </c>
      <c r="B454" s="2" t="str">
        <f>'2G'!AE17</f>
        <v>CR1010WRR</v>
      </c>
      <c r="C454" s="1634" t="str">
        <f>'2G'!$C$8&amp;" - "&amp;'2G'!$F$3</f>
        <v>Default tariffs - Retail revenue £m</v>
      </c>
      <c r="D454" s="2" t="s">
        <v>8</v>
      </c>
      <c r="E454" s="2" t="s">
        <v>9</v>
      </c>
      <c r="F454" s="1683" t="str">
        <f>IF(ISBLANK('2G'!$C$17), "", '2G'!$C$17)</f>
        <v>[500 - 1,000 Business Assessed]  [500 - 1,000m3] [water] [unmetered]</v>
      </c>
      <c r="G454" s="1635">
        <f>'2G'!F17</f>
        <v>5.1999999999999998E-2</v>
      </c>
      <c r="H454" s="1636"/>
    </row>
    <row r="455" spans="1:8">
      <c r="A455" s="1634" t="str">
        <f>INDEX(Lists!$C$4:$C$24,MATCH(Validation!$B$3,Lists!$B$4:$B$24,0))</f>
        <v>TMS</v>
      </c>
      <c r="B455" s="2" t="str">
        <f>'2G'!AE18</f>
        <v>CR1011WRR</v>
      </c>
      <c r="C455" s="1634" t="str">
        <f>'2G'!$C$8&amp;" - "&amp;'2G'!$F$3</f>
        <v>Default tariffs - Retail revenue £m</v>
      </c>
      <c r="D455" s="2" t="s">
        <v>8</v>
      </c>
      <c r="E455" s="2" t="s">
        <v>9</v>
      </c>
      <c r="F455" s="1683" t="str">
        <f>IF(ISBLANK('2G'!$C$18), "", '2G'!$C$18)</f>
        <v>[1,000 - 5,000 Business Assessed]  [1,000 - 5,000m3] [water] [unmetered]</v>
      </c>
      <c r="G455" s="1635">
        <f>'2G'!F18</f>
        <v>0.09</v>
      </c>
      <c r="H455" s="1636"/>
    </row>
    <row r="456" spans="1:8">
      <c r="A456" s="1634" t="str">
        <f>INDEX(Lists!$C$4:$C$24,MATCH(Validation!$B$3,Lists!$B$4:$B$24,0))</f>
        <v>TMS</v>
      </c>
      <c r="B456" s="2" t="str">
        <f>'2G'!AE19</f>
        <v>CR1012WRR</v>
      </c>
      <c r="C456" s="1634" t="str">
        <f>'2G'!$C$8&amp;" - "&amp;'2G'!$F$3</f>
        <v>Default tariffs - Retail revenue £m</v>
      </c>
      <c r="D456" s="2" t="s">
        <v>8</v>
      </c>
      <c r="E456" s="2" t="s">
        <v>9</v>
      </c>
      <c r="F456" s="1683" t="str">
        <f>IF(ISBLANK('2G'!$C$19), "", '2G'!$C$19)</f>
        <v>n/a</v>
      </c>
      <c r="G456" s="1635">
        <f>'2G'!F19</f>
        <v>0.01</v>
      </c>
      <c r="H456" s="1636"/>
    </row>
    <row r="457" spans="1:8">
      <c r="A457" s="1634" t="str">
        <f>INDEX(Lists!$C$4:$C$24,MATCH(Validation!$B$3,Lists!$B$4:$B$24,0))</f>
        <v>TMS</v>
      </c>
      <c r="B457" s="2" t="str">
        <f>'2G'!AE20</f>
        <v>CR1013WRR</v>
      </c>
      <c r="C457" s="1634" t="str">
        <f>'2G'!$C$8&amp;" - "&amp;'2G'!$F$3</f>
        <v>Default tariffs - Retail revenue £m</v>
      </c>
      <c r="D457" s="2" t="s">
        <v>8</v>
      </c>
      <c r="E457" s="2" t="s">
        <v>9</v>
      </c>
      <c r="F457" s="1683" t="str">
        <f>IF(ISBLANK('2G'!$C$20), "", '2G'!$C$20)</f>
        <v>[Unmeasured RV + Fixed]  [N/A] [water] [unmetered]</v>
      </c>
      <c r="G457" s="1635">
        <f>'2G'!F20</f>
        <v>5.0000000000000001E-3</v>
      </c>
      <c r="H457" s="1636"/>
    </row>
    <row r="458" spans="1:8">
      <c r="A458" s="1634" t="str">
        <f>INDEX(Lists!$C$4:$C$24,MATCH(Validation!$B$3,Lists!$B$4:$B$24,0))</f>
        <v>TMS</v>
      </c>
      <c r="B458" s="2" t="str">
        <f>'2G'!AE21</f>
        <v>CR1014WRR</v>
      </c>
      <c r="C458" s="1634" t="str">
        <f>'2G'!$C$8&amp;" - "&amp;'2G'!$F$3</f>
        <v>Default tariffs - Retail revenue £m</v>
      </c>
      <c r="D458" s="2" t="s">
        <v>8</v>
      </c>
      <c r="E458" s="2" t="s">
        <v>9</v>
      </c>
      <c r="F458" s="1683" t="str">
        <f>IF(ISBLANK('2G'!$C$21), "", '2G'!$C$21)</f>
        <v>Water supplies 5 to 50 MI</v>
      </c>
      <c r="G458" s="1635">
        <f>'2G'!F21</f>
        <v>0</v>
      </c>
      <c r="H458" s="1636"/>
    </row>
    <row r="459" spans="1:8">
      <c r="A459" s="1634" t="str">
        <f>INDEX(Lists!$C$4:$C$24,MATCH(Validation!$B$3,Lists!$B$4:$B$24,0))</f>
        <v>TMS</v>
      </c>
      <c r="B459" s="2" t="str">
        <f>'2G'!AE22</f>
        <v>CR1015WRR</v>
      </c>
      <c r="C459" s="1634" t="str">
        <f>'2G'!$C$8&amp;" - "&amp;'2G'!$F$3</f>
        <v>Default tariffs - Retail revenue £m</v>
      </c>
      <c r="D459" s="2" t="s">
        <v>8</v>
      </c>
      <c r="E459" s="2" t="s">
        <v>9</v>
      </c>
      <c r="F459" s="1683" t="str">
        <f>IF(ISBLANK('2G'!$C$22), "", '2G'!$C$22)</f>
        <v>Water supplies 50 MI and over</v>
      </c>
      <c r="G459" s="1635">
        <f>'2G'!F22</f>
        <v>0</v>
      </c>
      <c r="H459" s="1636"/>
    </row>
    <row r="460" spans="1:8">
      <c r="A460" s="1634" t="str">
        <f>INDEX(Lists!$C$4:$C$24,MATCH(Validation!$B$3,Lists!$B$4:$B$24,0))</f>
        <v>TMS</v>
      </c>
      <c r="B460" s="2" t="str">
        <f>'2G'!AE23</f>
        <v>CR1016WRR</v>
      </c>
      <c r="C460" s="1634" t="str">
        <f>'2G'!$C$8&amp;" - "&amp;'2G'!$F$3</f>
        <v>Default tariffs - Retail revenue £m</v>
      </c>
      <c r="D460" s="2" t="s">
        <v>8</v>
      </c>
      <c r="E460" s="2" t="s">
        <v>9</v>
      </c>
      <c r="F460" s="1683" t="str">
        <f>IF(ISBLANK('2G'!$C$23), "", '2G'!$C$23)</f>
        <v/>
      </c>
      <c r="G460" s="1635">
        <f>'2G'!F23</f>
        <v>0</v>
      </c>
      <c r="H460" s="1636"/>
    </row>
    <row r="461" spans="1:8">
      <c r="A461" s="1634" t="str">
        <f>INDEX(Lists!$C$4:$C$24,MATCH(Validation!$B$3,Lists!$B$4:$B$24,0))</f>
        <v>TMS</v>
      </c>
      <c r="B461" s="2" t="str">
        <f>'2G'!AE24</f>
        <v>CR1017WRR</v>
      </c>
      <c r="C461" s="1634" t="str">
        <f>'2G'!$C$8&amp;" - "&amp;'2G'!$F$3</f>
        <v>Default tariffs - Retail revenue £m</v>
      </c>
      <c r="D461" s="2" t="s">
        <v>8</v>
      </c>
      <c r="E461" s="2" t="s">
        <v>9</v>
      </c>
      <c r="F461" s="1683" t="str">
        <f>IF(ISBLANK('2G'!$C$24), "", '2G'!$C$24)</f>
        <v/>
      </c>
      <c r="G461" s="1635">
        <f>'2G'!F24</f>
        <v>0</v>
      </c>
      <c r="H461" s="1636"/>
    </row>
    <row r="462" spans="1:8">
      <c r="A462" s="1634" t="str">
        <f>INDEX(Lists!$C$4:$C$24,MATCH(Validation!$B$3,Lists!$B$4:$B$24,0))</f>
        <v>TMS</v>
      </c>
      <c r="B462" s="2" t="str">
        <f>'2G'!AE25</f>
        <v>CR1018WRR</v>
      </c>
      <c r="C462" s="1634" t="str">
        <f>'2G'!$C$8&amp;" - "&amp;'2G'!$F$3</f>
        <v>Default tariffs - Retail revenue £m</v>
      </c>
      <c r="D462" s="2" t="s">
        <v>8</v>
      </c>
      <c r="E462" s="2" t="s">
        <v>9</v>
      </c>
      <c r="F462" s="1683" t="str">
        <f>IF(ISBLANK('2G'!$C$25), "", '2G'!$C$25)</f>
        <v/>
      </c>
      <c r="G462" s="1635">
        <f>'2G'!F25</f>
        <v>0</v>
      </c>
      <c r="H462" s="1636"/>
    </row>
    <row r="463" spans="1:8">
      <c r="A463" s="1634" t="str">
        <f>INDEX(Lists!$C$4:$C$24,MATCH(Validation!$B$3,Lists!$B$4:$B$24,0))</f>
        <v>TMS</v>
      </c>
      <c r="B463" s="2" t="str">
        <f>'2G'!AE26</f>
        <v>CR1019WRR</v>
      </c>
      <c r="C463" s="1634" t="str">
        <f>'2G'!$C$8&amp;" - "&amp;'2G'!$F$3</f>
        <v>Default tariffs - Retail revenue £m</v>
      </c>
      <c r="D463" s="2" t="s">
        <v>8</v>
      </c>
      <c r="E463" s="2" t="s">
        <v>9</v>
      </c>
      <c r="F463" s="1683" t="str">
        <f>IF(ISBLANK('2G'!$C$26), "", '2G'!$C$26)</f>
        <v/>
      </c>
      <c r="G463" s="1635">
        <f>'2G'!F26</f>
        <v>0</v>
      </c>
      <c r="H463" s="1636"/>
    </row>
    <row r="464" spans="1:8">
      <c r="A464" s="1637" t="str">
        <f>INDEX(Lists!$C$4:$C$24,MATCH(Validation!$B$3,Lists!$B$4:$B$24,0))</f>
        <v>TMS</v>
      </c>
      <c r="B464" s="1652" t="str">
        <f>'2G'!AE27</f>
        <v>CR1020WRR</v>
      </c>
      <c r="C464" s="1637" t="str">
        <f>'2G'!$C$8&amp;" - "&amp;'2G'!$F$3</f>
        <v>Default tariffs - Retail revenue £m</v>
      </c>
      <c r="D464" s="1651" t="s">
        <v>8</v>
      </c>
      <c r="E464" s="1651" t="s">
        <v>9</v>
      </c>
      <c r="F464" s="1684" t="str">
        <f>IF(ISBLANK('2G'!$C$27), "", '2G'!$C$27)</f>
        <v/>
      </c>
      <c r="G464" s="1653">
        <f>'2G'!F27</f>
        <v>0</v>
      </c>
      <c r="H464" s="1652"/>
    </row>
    <row r="465" spans="1:8">
      <c r="A465" s="1634" t="str">
        <f>INDEX(Lists!$C$4:$C$24,MATCH(Validation!$B$3,Lists!$B$4:$B$24,0))</f>
        <v>TMS</v>
      </c>
      <c r="B465" s="1636" t="str">
        <f>'2G'!AG6</f>
        <v>CR1041WCO</v>
      </c>
      <c r="C465" s="1634" t="str">
        <f>'2G'!C6&amp;" - "&amp;'2G'!$H$3</f>
        <v>Total non-default tariffs - Number of connections (000s)</v>
      </c>
      <c r="D465" s="2" t="s">
        <v>13</v>
      </c>
      <c r="E465" s="2" t="s">
        <v>9</v>
      </c>
      <c r="F465" s="1634"/>
      <c r="G465" s="1635">
        <f>'2G'!H6</f>
        <v>0</v>
      </c>
      <c r="H465" s="1636"/>
    </row>
    <row r="466" spans="1:8">
      <c r="A466" s="1634" t="str">
        <f>INDEX(Lists!$C$4:$C$24,MATCH(Validation!$B$3,Lists!$B$4:$B$24,0))</f>
        <v>TMS</v>
      </c>
      <c r="B466" s="1636" t="str">
        <f>'2G'!AG9</f>
        <v>CR1042WCO</v>
      </c>
      <c r="C466" s="1634" t="str">
        <f>'2G'!$C$8&amp;" - "&amp;'2G'!$H$3</f>
        <v>Default tariffs - Number of connections (000s)</v>
      </c>
      <c r="D466" s="2" t="s">
        <v>13</v>
      </c>
      <c r="E466" s="2" t="s">
        <v>9</v>
      </c>
      <c r="F466" s="1683" t="str">
        <f>IF(ISBLANK('2G'!$C$9), "", '2G'!$C$9)</f>
        <v>[0 - 500]  [0 - 500m3] [water] [metered]</v>
      </c>
      <c r="G466" s="1635">
        <f>'2G'!H9</f>
        <v>110.093</v>
      </c>
      <c r="H466" s="1636"/>
    </row>
    <row r="467" spans="1:8">
      <c r="A467" s="1634" t="str">
        <f>INDEX(Lists!$C$4:$C$24,MATCH(Validation!$B$3,Lists!$B$4:$B$24,0))</f>
        <v>TMS</v>
      </c>
      <c r="B467" s="1636" t="str">
        <f>'2G'!AG10</f>
        <v>CR1043WCO</v>
      </c>
      <c r="C467" s="1634" t="str">
        <f>'2G'!$C$8&amp;" - "&amp;'2G'!$H$3</f>
        <v>Default tariffs - Number of connections (000s)</v>
      </c>
      <c r="D467" s="2" t="s">
        <v>13</v>
      </c>
      <c r="E467" s="2" t="s">
        <v>9</v>
      </c>
      <c r="F467" s="1683" t="str">
        <f>IF(ISBLANK('2G'!$C$10), "", '2G'!$C$10)</f>
        <v>[500 - 1,000]  [500 - 1,000m3] [water] [metered]</v>
      </c>
      <c r="G467" s="1635">
        <f>'2G'!H10</f>
        <v>15.31</v>
      </c>
      <c r="H467" s="1636"/>
    </row>
    <row r="468" spans="1:8">
      <c r="A468" s="1634" t="str">
        <f>INDEX(Lists!$C$4:$C$24,MATCH(Validation!$B$3,Lists!$B$4:$B$24,0))</f>
        <v>TMS</v>
      </c>
      <c r="B468" s="1636" t="str">
        <f>'2G'!AG11</f>
        <v>CR1044WCO</v>
      </c>
      <c r="C468" s="1634" t="str">
        <f>'2G'!$C$8&amp;" - "&amp;'2G'!$H$3</f>
        <v>Default tariffs - Number of connections (000s)</v>
      </c>
      <c r="D468" s="2" t="s">
        <v>13</v>
      </c>
      <c r="E468" s="2" t="s">
        <v>9</v>
      </c>
      <c r="F468" s="1683" t="str">
        <f>IF(ISBLANK('2G'!$C$11), "", '2G'!$C$11)</f>
        <v>[1,000 - 5,000]  [1,000 - 5,000m3] [water] [metered]</v>
      </c>
      <c r="G468" s="1635">
        <f>'2G'!H11</f>
        <v>18.712</v>
      </c>
      <c r="H468" s="1636"/>
    </row>
    <row r="469" spans="1:8">
      <c r="A469" s="1634" t="str">
        <f>INDEX(Lists!$C$4:$C$24,MATCH(Validation!$B$3,Lists!$B$4:$B$24,0))</f>
        <v>TMS</v>
      </c>
      <c r="B469" s="1636" t="str">
        <f>'2G'!AG12</f>
        <v>CR1045WCO</v>
      </c>
      <c r="C469" s="1634" t="str">
        <f>'2G'!$C$8&amp;" - "&amp;'2G'!$H$3</f>
        <v>Default tariffs - Number of connections (000s)</v>
      </c>
      <c r="D469" s="2" t="s">
        <v>13</v>
      </c>
      <c r="E469" s="2" t="s">
        <v>9</v>
      </c>
      <c r="F469" s="1683" t="str">
        <f>IF(ISBLANK('2G'!$C$12), "", '2G'!$C$12)</f>
        <v>n/a</v>
      </c>
      <c r="G469" s="1635">
        <f>'2G'!H12</f>
        <v>4.0599999999999996</v>
      </c>
      <c r="H469" s="1636"/>
    </row>
    <row r="470" spans="1:8">
      <c r="A470" s="1634" t="str">
        <f>INDEX(Lists!$C$4:$C$24,MATCH(Validation!$B$3,Lists!$B$4:$B$24,0))</f>
        <v>TMS</v>
      </c>
      <c r="B470" s="1636" t="str">
        <f>'2G'!AG13</f>
        <v>CR1046WCO</v>
      </c>
      <c r="C470" s="1634" t="str">
        <f>'2G'!$C$8&amp;" - "&amp;'2G'!$H$3</f>
        <v>Default tariffs - Number of connections (000s)</v>
      </c>
      <c r="D470" s="2" t="s">
        <v>13</v>
      </c>
      <c r="E470" s="2" t="s">
        <v>9</v>
      </c>
      <c r="F470" s="1683" t="str">
        <f>IF(ISBLANK('2G'!$C$13), "", '2G'!$C$13)</f>
        <v>n/a</v>
      </c>
      <c r="G470" s="1635">
        <f>'2G'!H13</f>
        <v>0.65500000000000003</v>
      </c>
      <c r="H470" s="1636"/>
    </row>
    <row r="471" spans="1:8">
      <c r="A471" s="1634" t="str">
        <f>INDEX(Lists!$C$4:$C$24,MATCH(Validation!$B$3,Lists!$B$4:$B$24,0))</f>
        <v>TMS</v>
      </c>
      <c r="B471" s="1636" t="str">
        <f>'2G'!AG14</f>
        <v>CR1047WCO</v>
      </c>
      <c r="C471" s="1634" t="str">
        <f>'2G'!$C$8&amp;" - "&amp;'2G'!$H$3</f>
        <v>Default tariffs - Number of connections (000s)</v>
      </c>
      <c r="D471" s="2" t="s">
        <v>13</v>
      </c>
      <c r="E471" s="2" t="s">
        <v>9</v>
      </c>
      <c r="F471" s="1683" t="str">
        <f>IF(ISBLANK('2G'!$C$14), "", '2G'!$C$14)</f>
        <v>n/a</v>
      </c>
      <c r="G471" s="1635">
        <f>'2G'!H14</f>
        <v>0.41599999999999998</v>
      </c>
      <c r="H471" s="1636"/>
    </row>
    <row r="472" spans="1:8">
      <c r="A472" s="1634" t="str">
        <f>INDEX(Lists!$C$4:$C$24,MATCH(Validation!$B$3,Lists!$B$4:$B$24,0))</f>
        <v>TMS</v>
      </c>
      <c r="B472" s="1636" t="str">
        <f>'2G'!AG15</f>
        <v>CR1048WCO</v>
      </c>
      <c r="C472" s="1634" t="str">
        <f>'2G'!$C$8&amp;" - "&amp;'2G'!$H$3</f>
        <v>Default tariffs - Number of connections (000s)</v>
      </c>
      <c r="D472" s="2" t="s">
        <v>13</v>
      </c>
      <c r="E472" s="2" t="s">
        <v>9</v>
      </c>
      <c r="F472" s="1683" t="str">
        <f>IF(ISBLANK('2G'!$C$15), "", '2G'!$C$15)</f>
        <v>n/a</v>
      </c>
      <c r="G472" s="1635">
        <f>'2G'!H15</f>
        <v>0.05</v>
      </c>
      <c r="H472" s="1636"/>
    </row>
    <row r="473" spans="1:8">
      <c r="A473" s="1634" t="str">
        <f>INDEX(Lists!$C$4:$C$24,MATCH(Validation!$B$3,Lists!$B$4:$B$24,0))</f>
        <v>TMS</v>
      </c>
      <c r="B473" s="1636" t="str">
        <f>'2G'!AG16</f>
        <v>CR1049WCO</v>
      </c>
      <c r="C473" s="1634" t="str">
        <f>'2G'!$C$8&amp;" - "&amp;'2G'!$H$3</f>
        <v>Default tariffs - Number of connections (000s)</v>
      </c>
      <c r="D473" s="2" t="s">
        <v>13</v>
      </c>
      <c r="E473" s="2" t="s">
        <v>9</v>
      </c>
      <c r="F473" s="1683" t="str">
        <f>IF(ISBLANK('2G'!$C$16), "", '2G'!$C$16)</f>
        <v>[0 - 500 Business Assessed]  [0 - 500m3] [water] [unmetered]</v>
      </c>
      <c r="G473" s="1635">
        <f>'2G'!H16</f>
        <v>22.536000000000001</v>
      </c>
      <c r="H473" s="1636"/>
    </row>
    <row r="474" spans="1:8">
      <c r="A474" s="1634" t="str">
        <f>INDEX(Lists!$C$4:$C$24,MATCH(Validation!$B$3,Lists!$B$4:$B$24,0))</f>
        <v>TMS</v>
      </c>
      <c r="B474" s="1636" t="str">
        <f>'2G'!AG17</f>
        <v>CR1050WCO</v>
      </c>
      <c r="C474" s="1634" t="str">
        <f>'2G'!$C$8&amp;" - "&amp;'2G'!$H$3</f>
        <v>Default tariffs - Number of connections (000s)</v>
      </c>
      <c r="D474" s="2" t="s">
        <v>13</v>
      </c>
      <c r="E474" s="2" t="s">
        <v>9</v>
      </c>
      <c r="F474" s="1683" t="str">
        <f>IF(ISBLANK('2G'!$C$17), "", '2G'!$C$17)</f>
        <v>[500 - 1,000 Business Assessed]  [500 - 1,000m3] [water] [unmetered]</v>
      </c>
      <c r="G474" s="1635">
        <f>'2G'!H17</f>
        <v>0.98199999999999998</v>
      </c>
      <c r="H474" s="1636"/>
    </row>
    <row r="475" spans="1:8">
      <c r="A475" s="1634" t="str">
        <f>INDEX(Lists!$C$4:$C$24,MATCH(Validation!$B$3,Lists!$B$4:$B$24,0))</f>
        <v>TMS</v>
      </c>
      <c r="B475" s="1636" t="str">
        <f>'2G'!AG18</f>
        <v>CR1051WCO</v>
      </c>
      <c r="C475" s="1634" t="str">
        <f>'2G'!$C$8&amp;" - "&amp;'2G'!$H$3</f>
        <v>Default tariffs - Number of connections (000s)</v>
      </c>
      <c r="D475" s="2" t="s">
        <v>13</v>
      </c>
      <c r="E475" s="2" t="s">
        <v>9</v>
      </c>
      <c r="F475" s="1683" t="str">
        <f>IF(ISBLANK('2G'!$C$18), "", '2G'!$C$18)</f>
        <v>[1,000 - 5,000 Business Assessed]  [1,000 - 5,000m3] [water] [unmetered]</v>
      </c>
      <c r="G475" s="1635">
        <f>'2G'!H18</f>
        <v>0.55000000000000004</v>
      </c>
      <c r="H475" s="1636"/>
    </row>
    <row r="476" spans="1:8">
      <c r="A476" s="1634" t="str">
        <f>INDEX(Lists!$C$4:$C$24,MATCH(Validation!$B$3,Lists!$B$4:$B$24,0))</f>
        <v>TMS</v>
      </c>
      <c r="B476" s="1636" t="str">
        <f>'2G'!AG19</f>
        <v>CR1052WCO</v>
      </c>
      <c r="C476" s="1634" t="str">
        <f>'2G'!$C$8&amp;" - "&amp;'2G'!$H$3</f>
        <v>Default tariffs - Number of connections (000s)</v>
      </c>
      <c r="D476" s="2" t="s">
        <v>13</v>
      </c>
      <c r="E476" s="2" t="s">
        <v>9</v>
      </c>
      <c r="F476" s="1683" t="str">
        <f>IF(ISBLANK('2G'!$C$19), "", '2G'!$C$19)</f>
        <v>n/a</v>
      </c>
      <c r="G476" s="1635">
        <f>'2G'!H19</f>
        <v>3.4000000000000002E-2</v>
      </c>
      <c r="H476" s="1636"/>
    </row>
    <row r="477" spans="1:8">
      <c r="A477" s="1634" t="str">
        <f>INDEX(Lists!$C$4:$C$24,MATCH(Validation!$B$3,Lists!$B$4:$B$24,0))</f>
        <v>TMS</v>
      </c>
      <c r="B477" s="1636" t="str">
        <f>'2G'!AG20</f>
        <v>CR1053WCO</v>
      </c>
      <c r="C477" s="1634" t="str">
        <f>'2G'!$C$8&amp;" - "&amp;'2G'!$H$3</f>
        <v>Default tariffs - Number of connections (000s)</v>
      </c>
      <c r="D477" s="2" t="s">
        <v>13</v>
      </c>
      <c r="E477" s="2" t="s">
        <v>9</v>
      </c>
      <c r="F477" s="1683" t="str">
        <f>IF(ISBLANK('2G'!$C$20), "", '2G'!$C$20)</f>
        <v>[Unmeasured RV + Fixed]  [N/A] [water] [unmetered]</v>
      </c>
      <c r="G477" s="1635">
        <f>'2G'!H20</f>
        <v>8.3179999999999996</v>
      </c>
      <c r="H477" s="1636"/>
    </row>
    <row r="478" spans="1:8">
      <c r="A478" s="1634" t="str">
        <f>INDEX(Lists!$C$4:$C$24,MATCH(Validation!$B$3,Lists!$B$4:$B$24,0))</f>
        <v>TMS</v>
      </c>
      <c r="B478" s="1636" t="str">
        <f>'2G'!AG21</f>
        <v>CR1054WCO</v>
      </c>
      <c r="C478" s="1634" t="str">
        <f>'2G'!$C$8&amp;" - "&amp;'2G'!$H$3</f>
        <v>Default tariffs - Number of connections (000s)</v>
      </c>
      <c r="D478" s="2" t="s">
        <v>13</v>
      </c>
      <c r="E478" s="2" t="s">
        <v>9</v>
      </c>
      <c r="F478" s="1683" t="str">
        <f>IF(ISBLANK('2G'!$C$21), "", '2G'!$C$21)</f>
        <v>Water supplies 5 to 50 MI</v>
      </c>
      <c r="G478" s="1635">
        <f>'2G'!H21</f>
        <v>0</v>
      </c>
      <c r="H478" s="1636"/>
    </row>
    <row r="479" spans="1:8">
      <c r="A479" s="1634" t="str">
        <f>INDEX(Lists!$C$4:$C$24,MATCH(Validation!$B$3,Lists!$B$4:$B$24,0))</f>
        <v>TMS</v>
      </c>
      <c r="B479" s="1636" t="str">
        <f>'2G'!AG22</f>
        <v>CR1055WCO</v>
      </c>
      <c r="C479" s="1634" t="str">
        <f>'2G'!$C$8&amp;" - "&amp;'2G'!$H$3</f>
        <v>Default tariffs - Number of connections (000s)</v>
      </c>
      <c r="D479" s="2" t="s">
        <v>13</v>
      </c>
      <c r="E479" s="2" t="s">
        <v>9</v>
      </c>
      <c r="F479" s="1683" t="str">
        <f>IF(ISBLANK('2G'!$C$22), "", '2G'!$C$22)</f>
        <v>Water supplies 50 MI and over</v>
      </c>
      <c r="G479" s="1635">
        <f>'2G'!H22</f>
        <v>0</v>
      </c>
      <c r="H479" s="1636"/>
    </row>
    <row r="480" spans="1:8">
      <c r="A480" s="1634" t="str">
        <f>INDEX(Lists!$C$4:$C$24,MATCH(Validation!$B$3,Lists!$B$4:$B$24,0))</f>
        <v>TMS</v>
      </c>
      <c r="B480" s="1636" t="str">
        <f>'2G'!AG23</f>
        <v>CR1056WCO</v>
      </c>
      <c r="C480" s="1634" t="str">
        <f>'2G'!$C$8&amp;" - "&amp;'2G'!$H$3</f>
        <v>Default tariffs - Number of connections (000s)</v>
      </c>
      <c r="D480" s="2" t="s">
        <v>13</v>
      </c>
      <c r="E480" s="2" t="s">
        <v>9</v>
      </c>
      <c r="F480" s="1683" t="str">
        <f>IF(ISBLANK('2G'!$C$23), "", '2G'!$C$23)</f>
        <v/>
      </c>
      <c r="G480" s="1635">
        <f>'2G'!H23</f>
        <v>0</v>
      </c>
      <c r="H480" s="1636"/>
    </row>
    <row r="481" spans="1:8">
      <c r="A481" s="1634" t="str">
        <f>INDEX(Lists!$C$4:$C$24,MATCH(Validation!$B$3,Lists!$B$4:$B$24,0))</f>
        <v>TMS</v>
      </c>
      <c r="B481" s="1636" t="str">
        <f>'2G'!AG24</f>
        <v>CR1057WCO</v>
      </c>
      <c r="C481" s="1634" t="str">
        <f>'2G'!$C$8&amp;" - "&amp;'2G'!$H$3</f>
        <v>Default tariffs - Number of connections (000s)</v>
      </c>
      <c r="D481" s="2" t="s">
        <v>13</v>
      </c>
      <c r="E481" s="2" t="s">
        <v>9</v>
      </c>
      <c r="F481" s="1683" t="str">
        <f>IF(ISBLANK('2G'!$C$24), "", '2G'!$C$24)</f>
        <v/>
      </c>
      <c r="G481" s="1635">
        <f>'2G'!H24</f>
        <v>0</v>
      </c>
      <c r="H481" s="1636"/>
    </row>
    <row r="482" spans="1:8">
      <c r="A482" s="1634" t="str">
        <f>INDEX(Lists!$C$4:$C$24,MATCH(Validation!$B$3,Lists!$B$4:$B$24,0))</f>
        <v>TMS</v>
      </c>
      <c r="B482" s="1636" t="str">
        <f>'2G'!AG25</f>
        <v>CR1058WCO</v>
      </c>
      <c r="C482" s="1634" t="str">
        <f>'2G'!$C$8&amp;" - "&amp;'2G'!$H$3</f>
        <v>Default tariffs - Number of connections (000s)</v>
      </c>
      <c r="D482" s="2" t="s">
        <v>13</v>
      </c>
      <c r="E482" s="2" t="s">
        <v>9</v>
      </c>
      <c r="F482" s="1683" t="str">
        <f>IF(ISBLANK('2G'!$C$25), "", '2G'!$C$25)</f>
        <v/>
      </c>
      <c r="G482" s="1635">
        <f>'2G'!H25</f>
        <v>0</v>
      </c>
      <c r="H482" s="1636"/>
    </row>
    <row r="483" spans="1:8">
      <c r="A483" s="1634" t="str">
        <f>INDEX(Lists!$C$4:$C$24,MATCH(Validation!$B$3,Lists!$B$4:$B$24,0))</f>
        <v>TMS</v>
      </c>
      <c r="B483" s="1636" t="str">
        <f>'2G'!AG26</f>
        <v>CR1059WCO</v>
      </c>
      <c r="C483" s="1634" t="str">
        <f>'2G'!$C$8&amp;" - "&amp;'2G'!$H$3</f>
        <v>Default tariffs - Number of connections (000s)</v>
      </c>
      <c r="D483" s="2" t="s">
        <v>13</v>
      </c>
      <c r="E483" s="2" t="s">
        <v>9</v>
      </c>
      <c r="F483" s="1683" t="str">
        <f>IF(ISBLANK('2G'!$C$26), "", '2G'!$C$26)</f>
        <v/>
      </c>
      <c r="G483" s="1635">
        <f>'2G'!H26</f>
        <v>0</v>
      </c>
      <c r="H483" s="1636"/>
    </row>
    <row r="484" spans="1:8">
      <c r="A484" s="1634" t="str">
        <f>INDEX(Lists!$C$4:$C$24,MATCH(Validation!$B$3,Lists!$B$4:$B$24,0))</f>
        <v>TMS</v>
      </c>
      <c r="B484" s="1636" t="str">
        <f>'2G'!AG27</f>
        <v>CR1060WCO</v>
      </c>
      <c r="C484" s="1634" t="str">
        <f>'2G'!$C$8&amp;" - "&amp;'2G'!$H$3</f>
        <v>Default tariffs - Number of connections (000s)</v>
      </c>
      <c r="D484" s="2" t="s">
        <v>13</v>
      </c>
      <c r="E484" s="2" t="s">
        <v>9</v>
      </c>
      <c r="F484" s="1683" t="str">
        <f>IF(ISBLANK('2G'!$C$27), "", '2G'!$C$27)</f>
        <v/>
      </c>
      <c r="G484" s="1635">
        <f>'2G'!H27</f>
        <v>0</v>
      </c>
      <c r="H484" s="1636"/>
    </row>
    <row r="485" spans="1:8" ht="15" thickBot="1">
      <c r="A485" s="1642" t="str">
        <f>INDEX(Lists!$C$4:$C$24,MATCH(Validation!$B$3,Lists!$B$4:$B$24,0))</f>
        <v>TMS</v>
      </c>
      <c r="B485" s="1649" t="str">
        <f>'2G'!AG34</f>
        <v>CR1030WCU</v>
      </c>
      <c r="C485" s="1685" t="str">
        <f>'2G'!$C$34&amp;" - "&amp;'2G'!$H$32</f>
        <v>Total - Number of customers (000s)</v>
      </c>
      <c r="D485" s="1648" t="s">
        <v>13</v>
      </c>
      <c r="E485" s="1648" t="s">
        <v>9</v>
      </c>
      <c r="F485" s="1642"/>
      <c r="G485" s="1658">
        <f>'2G'!H34</f>
        <v>181.71600000000001</v>
      </c>
      <c r="H485" s="1649"/>
    </row>
    <row r="486" spans="1:8">
      <c r="A486" s="1634" t="str">
        <f>INDEX(Lists!$C$4:$C$24,MATCH(Validation!$B$3,Lists!$B$4:$B$24,0))</f>
        <v>TMS</v>
      </c>
      <c r="B486" s="2" t="str">
        <f>'2H'!AD6</f>
        <v>CR1001SWCR</v>
      </c>
      <c r="C486" s="1641" t="str">
        <f>'2H'!C6&amp;" - "&amp;'2H'!$E$3</f>
        <v>Total non-default tariffs - Wholesale charges revenue 
£m</v>
      </c>
      <c r="D486" s="1644" t="s">
        <v>8</v>
      </c>
      <c r="E486" s="1644" t="s">
        <v>9</v>
      </c>
      <c r="F486" s="1641"/>
      <c r="G486" s="1659">
        <f>'2H'!E6</f>
        <v>0</v>
      </c>
      <c r="H486" s="1645"/>
    </row>
    <row r="487" spans="1:8">
      <c r="A487" s="1634" t="str">
        <f>INDEX(Lists!$C$4:$C$24,MATCH(Validation!$B$3,Lists!$B$4:$B$24,0))</f>
        <v>TMS</v>
      </c>
      <c r="B487" s="2" t="str">
        <f>'2H'!AD9</f>
        <v>CR1002SWCR</v>
      </c>
      <c r="C487" s="1634" t="str">
        <f>'2H'!$C$8&amp;" - "&amp;'2H'!$E$3</f>
        <v>Default tariffs - Wholesale charges revenue 
£m</v>
      </c>
      <c r="D487" s="2" t="s">
        <v>8</v>
      </c>
      <c r="E487" s="2" t="s">
        <v>9</v>
      </c>
      <c r="F487" s="1683" t="str">
        <f>IF(ISBLANK('2H'!$C$9), "", '2H'!$C$9)</f>
        <v>[0 - 500]  [0 - 500m3] [sewerage] [metered]</v>
      </c>
      <c r="G487" s="1635">
        <f>'2H'!E9</f>
        <v>30.292000000000002</v>
      </c>
      <c r="H487" s="1636"/>
    </row>
    <row r="488" spans="1:8">
      <c r="A488" s="1634" t="str">
        <f>INDEX(Lists!$C$4:$C$24,MATCH(Validation!$B$3,Lists!$B$4:$B$24,0))</f>
        <v>TMS</v>
      </c>
      <c r="B488" s="2" t="str">
        <f>'2H'!AD10</f>
        <v>CR1003SWCR</v>
      </c>
      <c r="C488" s="1634" t="str">
        <f>'2H'!$C$8&amp;" - "&amp;'2H'!$E$3</f>
        <v>Default tariffs - Wholesale charges revenue 
£m</v>
      </c>
      <c r="D488" s="2" t="s">
        <v>8</v>
      </c>
      <c r="E488" s="2" t="s">
        <v>9</v>
      </c>
      <c r="F488" s="1683" t="str">
        <f>IF(ISBLANK('2H'!$C$10), "", '2H'!$C$10)</f>
        <v>[500 - 1,000]  [500 - 1,000m3] [sewerage] [metered]</v>
      </c>
      <c r="G488" s="1635">
        <f>'2H'!E10</f>
        <v>11.478</v>
      </c>
      <c r="H488" s="1636"/>
    </row>
    <row r="489" spans="1:8">
      <c r="A489" s="1634" t="str">
        <f>INDEX(Lists!$C$4:$C$24,MATCH(Validation!$B$3,Lists!$B$4:$B$24,0))</f>
        <v>TMS</v>
      </c>
      <c r="B489" s="2" t="str">
        <f>'2H'!AD11</f>
        <v>CR1004SWCR</v>
      </c>
      <c r="C489" s="1634" t="str">
        <f>'2H'!$C$8&amp;" - "&amp;'2H'!$E$3</f>
        <v>Default tariffs - Wholesale charges revenue 
£m</v>
      </c>
      <c r="D489" s="2" t="s">
        <v>8</v>
      </c>
      <c r="E489" s="2" t="s">
        <v>9</v>
      </c>
      <c r="F489" s="1683" t="str">
        <f>IF(ISBLANK('2H'!$C$11), "", '2H'!$C$11)</f>
        <v>[1,000 - 5,000]  [1,000 - 5,000m3] [sewerage] [metered]</v>
      </c>
      <c r="G489" s="1635">
        <f>'2H'!E11</f>
        <v>45.683999999999997</v>
      </c>
      <c r="H489" s="1636"/>
    </row>
    <row r="490" spans="1:8">
      <c r="A490" s="1634" t="str">
        <f>INDEX(Lists!$C$4:$C$24,MATCH(Validation!$B$3,Lists!$B$4:$B$24,0))</f>
        <v>TMS</v>
      </c>
      <c r="B490" s="2" t="str">
        <f>'2H'!AD12</f>
        <v>CR1005SWCR</v>
      </c>
      <c r="C490" s="1634" t="str">
        <f>'2H'!$C$8&amp;" - "&amp;'2H'!$E$3</f>
        <v>Default tariffs - Wholesale charges revenue 
£m</v>
      </c>
      <c r="D490" s="2" t="s">
        <v>8</v>
      </c>
      <c r="E490" s="2" t="s">
        <v>9</v>
      </c>
      <c r="F490" s="1683" t="str">
        <f>IF(ISBLANK('2H'!$C$12), "", '2H'!$C$12)</f>
        <v>n/a</v>
      </c>
      <c r="G490" s="1635">
        <f>'2H'!E12</f>
        <v>34.503</v>
      </c>
      <c r="H490" s="1636"/>
    </row>
    <row r="491" spans="1:8">
      <c r="A491" s="1634" t="str">
        <f>INDEX(Lists!$C$4:$C$24,MATCH(Validation!$B$3,Lists!$B$4:$B$24,0))</f>
        <v>TMS</v>
      </c>
      <c r="B491" s="2" t="str">
        <f>'2H'!AD13</f>
        <v>CR1006SWCR</v>
      </c>
      <c r="C491" s="1634" t="str">
        <f>'2H'!$C$8&amp;" - "&amp;'2H'!$E$3</f>
        <v>Default tariffs - Wholesale charges revenue 
£m</v>
      </c>
      <c r="D491" s="2" t="s">
        <v>8</v>
      </c>
      <c r="E491" s="2" t="s">
        <v>9</v>
      </c>
      <c r="F491" s="1683" t="str">
        <f>IF(ISBLANK('2H'!$C$13), "", '2H'!$C$13)</f>
        <v>n/a</v>
      </c>
      <c r="G491" s="1635">
        <f>'2H'!E13</f>
        <v>15.452</v>
      </c>
      <c r="H491" s="1636"/>
    </row>
    <row r="492" spans="1:8">
      <c r="A492" s="1634" t="str">
        <f>INDEX(Lists!$C$4:$C$24,MATCH(Validation!$B$3,Lists!$B$4:$B$24,0))</f>
        <v>TMS</v>
      </c>
      <c r="B492" s="2" t="str">
        <f>'2H'!AD14</f>
        <v>CR1007SWCR</v>
      </c>
      <c r="C492" s="1634" t="str">
        <f>'2H'!$C$8&amp;" - "&amp;'2H'!$E$3</f>
        <v>Default tariffs - Wholesale charges revenue 
£m</v>
      </c>
      <c r="D492" s="2" t="s">
        <v>8</v>
      </c>
      <c r="E492" s="2" t="s">
        <v>9</v>
      </c>
      <c r="F492" s="1683" t="str">
        <f>IF(ISBLANK('2H'!$C$14), "", '2H'!$C$14)</f>
        <v>n/a</v>
      </c>
      <c r="G492" s="1635">
        <f>'2H'!E14</f>
        <v>17.344999999999999</v>
      </c>
      <c r="H492" s="1636"/>
    </row>
    <row r="493" spans="1:8">
      <c r="A493" s="1634" t="str">
        <f>INDEX(Lists!$C$4:$C$24,MATCH(Validation!$B$3,Lists!$B$4:$B$24,0))</f>
        <v>TMS</v>
      </c>
      <c r="B493" s="2" t="str">
        <f>'2H'!AD15</f>
        <v>CR1008SWCR</v>
      </c>
      <c r="C493" s="1634" t="str">
        <f>'2H'!$C$8&amp;" - "&amp;'2H'!$E$3</f>
        <v>Default tariffs - Wholesale charges revenue 
£m</v>
      </c>
      <c r="D493" s="2" t="s">
        <v>8</v>
      </c>
      <c r="E493" s="2" t="s">
        <v>9</v>
      </c>
      <c r="F493" s="1683" t="str">
        <f>IF(ISBLANK('2H'!$C$15), "", '2H'!$C$15)</f>
        <v>n/a</v>
      </c>
      <c r="G493" s="1635">
        <f>'2H'!E15</f>
        <v>5.0039999999999996</v>
      </c>
      <c r="H493" s="1636"/>
    </row>
    <row r="494" spans="1:8">
      <c r="A494" s="1634" t="str">
        <f>INDEX(Lists!$C$4:$C$24,MATCH(Validation!$B$3,Lists!$B$4:$B$24,0))</f>
        <v>TMS</v>
      </c>
      <c r="B494" s="2" t="str">
        <f>'2H'!AD16</f>
        <v>CR1009SWCR</v>
      </c>
      <c r="C494" s="1634" t="str">
        <f>'2H'!$C$8&amp;" - "&amp;'2H'!$E$3</f>
        <v>Default tariffs - Wholesale charges revenue 
£m</v>
      </c>
      <c r="D494" s="2" t="s">
        <v>8</v>
      </c>
      <c r="E494" s="2" t="s">
        <v>9</v>
      </c>
      <c r="F494" s="1683" t="str">
        <f>IF(ISBLANK('2H'!$C$16), "", '2H'!$C$16)</f>
        <v>[0 - 500]  [0 - 500m3] [trade effluent] [metered]</v>
      </c>
      <c r="G494" s="1635">
        <f>'2H'!E16</f>
        <v>0.68400000000000005</v>
      </c>
      <c r="H494" s="1636"/>
    </row>
    <row r="495" spans="1:8">
      <c r="A495" s="1634" t="str">
        <f>INDEX(Lists!$C$4:$C$24,MATCH(Validation!$B$3,Lists!$B$4:$B$24,0))</f>
        <v>TMS</v>
      </c>
      <c r="B495" s="2" t="str">
        <f>'2H'!AD17</f>
        <v>CR1010SWCR</v>
      </c>
      <c r="C495" s="1634" t="str">
        <f>'2H'!$C$8&amp;" - "&amp;'2H'!$E$3</f>
        <v>Default tariffs - Wholesale charges revenue 
£m</v>
      </c>
      <c r="D495" s="2" t="s">
        <v>8</v>
      </c>
      <c r="E495" s="2" t="s">
        <v>9</v>
      </c>
      <c r="F495" s="1683" t="str">
        <f>IF(ISBLANK('2H'!$C$17), "", '2H'!$C$17)</f>
        <v>[500 - 1,000]  [500 - 1,000m3] [trade effluent] [metered]</v>
      </c>
      <c r="G495" s="1635">
        <f>'2H'!E17</f>
        <v>0.105</v>
      </c>
      <c r="H495" s="1636"/>
    </row>
    <row r="496" spans="1:8">
      <c r="A496" s="1634" t="str">
        <f>INDEX(Lists!$C$4:$C$24,MATCH(Validation!$B$3,Lists!$B$4:$B$24,0))</f>
        <v>TMS</v>
      </c>
      <c r="B496" s="2" t="str">
        <f>'2H'!AD18</f>
        <v>CR1011SWCR</v>
      </c>
      <c r="C496" s="1634" t="str">
        <f>'2H'!$C$8&amp;" - "&amp;'2H'!$E$3</f>
        <v>Default tariffs - Wholesale charges revenue 
£m</v>
      </c>
      <c r="D496" s="2" t="s">
        <v>8</v>
      </c>
      <c r="E496" s="2" t="s">
        <v>9</v>
      </c>
      <c r="F496" s="1683" t="str">
        <f>IF(ISBLANK('2H'!$C$18), "", '2H'!$C$18)</f>
        <v>[1,000 - 5,000]  [1,000 - 5,000m3] [trade effluent] [metered]</v>
      </c>
      <c r="G496" s="1635">
        <f>'2H'!E18</f>
        <v>1.218</v>
      </c>
      <c r="H496" s="1636"/>
    </row>
    <row r="497" spans="1:8">
      <c r="A497" s="1634" t="str">
        <f>INDEX(Lists!$C$4:$C$24,MATCH(Validation!$B$3,Lists!$B$4:$B$24,0))</f>
        <v>TMS</v>
      </c>
      <c r="B497" s="2" t="str">
        <f>'2H'!AD19</f>
        <v>CR1012SWCR</v>
      </c>
      <c r="C497" s="1634" t="str">
        <f>'2H'!$C$8&amp;" - "&amp;'2H'!$E$3</f>
        <v>Default tariffs - Wholesale charges revenue 
£m</v>
      </c>
      <c r="D497" s="2" t="s">
        <v>8</v>
      </c>
      <c r="E497" s="2" t="s">
        <v>9</v>
      </c>
      <c r="F497" s="1683" t="str">
        <f>IF(ISBLANK('2H'!$C$19), "", '2H'!$C$19)</f>
        <v>n/a</v>
      </c>
      <c r="G497" s="1635">
        <f>'2H'!E19</f>
        <v>2.0830000000000002</v>
      </c>
      <c r="H497" s="1636"/>
    </row>
    <row r="498" spans="1:8">
      <c r="A498" s="1634" t="str">
        <f>INDEX(Lists!$C$4:$C$24,MATCH(Validation!$B$3,Lists!$B$4:$B$24,0))</f>
        <v>TMS</v>
      </c>
      <c r="B498" s="2" t="str">
        <f>'2H'!AD20</f>
        <v>CR1013SWCR</v>
      </c>
      <c r="C498" s="1634" t="str">
        <f>'2H'!$C$8&amp;" - "&amp;'2H'!$E$3</f>
        <v>Default tariffs - Wholesale charges revenue 
£m</v>
      </c>
      <c r="D498" s="2" t="s">
        <v>8</v>
      </c>
      <c r="E498" s="2" t="s">
        <v>9</v>
      </c>
      <c r="F498" s="1683" t="str">
        <f>IF(ISBLANK('2H'!$C$20), "", '2H'!$C$20)</f>
        <v>n/a</v>
      </c>
      <c r="G498" s="1635">
        <f>'2H'!E20</f>
        <v>3.34</v>
      </c>
      <c r="H498" s="1636"/>
    </row>
    <row r="499" spans="1:8">
      <c r="A499" s="1634" t="str">
        <f>INDEX(Lists!$C$4:$C$24,MATCH(Validation!$B$3,Lists!$B$4:$B$24,0))</f>
        <v>TMS</v>
      </c>
      <c r="B499" s="2" t="str">
        <f>'2H'!AD21</f>
        <v>CR1014SWCR</v>
      </c>
      <c r="C499" s="1634" t="str">
        <f>'2H'!$C$8&amp;" - "&amp;'2H'!$E$3</f>
        <v>Default tariffs - Wholesale charges revenue 
£m</v>
      </c>
      <c r="D499" s="2" t="s">
        <v>8</v>
      </c>
      <c r="E499" s="2" t="s">
        <v>9</v>
      </c>
      <c r="F499" s="1683" t="str">
        <f>IF(ISBLANK('2H'!$C$21), "", '2H'!$C$21)</f>
        <v>n/a</v>
      </c>
      <c r="G499" s="1635">
        <f>'2H'!E21</f>
        <v>4.0259999999999998</v>
      </c>
      <c r="H499" s="1636"/>
    </row>
    <row r="500" spans="1:8">
      <c r="A500" s="1634" t="str">
        <f>INDEX(Lists!$C$4:$C$24,MATCH(Validation!$B$3,Lists!$B$4:$B$24,0))</f>
        <v>TMS</v>
      </c>
      <c r="B500" s="2" t="str">
        <f>'2H'!AD22</f>
        <v>CR1015SWCR</v>
      </c>
      <c r="C500" s="1634" t="str">
        <f>'2H'!$C$8&amp;" - "&amp;'2H'!$E$3</f>
        <v>Default tariffs - Wholesale charges revenue 
£m</v>
      </c>
      <c r="D500" s="2" t="s">
        <v>8</v>
      </c>
      <c r="E500" s="2" t="s">
        <v>9</v>
      </c>
      <c r="F500" s="1683" t="str">
        <f>IF(ISBLANK('2H'!$C$22), "", '2H'!$C$22)</f>
        <v>n/a</v>
      </c>
      <c r="G500" s="1635">
        <f>'2H'!E22</f>
        <v>0.65700000000000003</v>
      </c>
      <c r="H500" s="1636"/>
    </row>
    <row r="501" spans="1:8">
      <c r="A501" s="1634" t="str">
        <f>INDEX(Lists!$C$4:$C$24,MATCH(Validation!$B$3,Lists!$B$4:$B$24,0))</f>
        <v>TMS</v>
      </c>
      <c r="B501" s="2" t="str">
        <f>'2H'!AD23</f>
        <v>CR1016SWCR</v>
      </c>
      <c r="C501" s="1634" t="str">
        <f>'2H'!$C$8&amp;" - "&amp;'2H'!$E$3</f>
        <v>Default tariffs - Wholesale charges revenue 
£m</v>
      </c>
      <c r="D501" s="2" t="s">
        <v>8</v>
      </c>
      <c r="E501" s="2" t="s">
        <v>9</v>
      </c>
      <c r="F501" s="1683" t="str">
        <f>IF(ISBLANK('2H'!$C$23), "", '2H'!$C$23)</f>
        <v>[0 - 500 Business Assessed]  [0 - 500m3] [sewerage] [unmetered]</v>
      </c>
      <c r="G501" s="1635">
        <f>'2H'!E23</f>
        <v>5.7720000000000002</v>
      </c>
      <c r="H501" s="1636"/>
    </row>
    <row r="502" spans="1:8">
      <c r="A502" s="1634" t="str">
        <f>INDEX(Lists!$C$4:$C$24,MATCH(Validation!$B$3,Lists!$B$4:$B$24,0))</f>
        <v>TMS</v>
      </c>
      <c r="B502" s="2" t="str">
        <f>'2H'!AD24</f>
        <v>CR1017SWCR</v>
      </c>
      <c r="C502" s="1634" t="str">
        <f>'2H'!$C$8&amp;" - "&amp;'2H'!$E$3</f>
        <v>Default tariffs - Wholesale charges revenue 
£m</v>
      </c>
      <c r="D502" s="2" t="s">
        <v>8</v>
      </c>
      <c r="E502" s="2" t="s">
        <v>9</v>
      </c>
      <c r="F502" s="1683" t="str">
        <f>IF(ISBLANK('2H'!$C$24), "", '2H'!$C$24)</f>
        <v>[500 - 1,000 Business Assessed]  [500 - 1,000m3] [sewerage] [unmetered]</v>
      </c>
      <c r="G502" s="1635">
        <f>'2H'!E24</f>
        <v>1.103</v>
      </c>
      <c r="H502" s="1636"/>
    </row>
    <row r="503" spans="1:8">
      <c r="A503" s="1634" t="str">
        <f>INDEX(Lists!$C$4:$C$24,MATCH(Validation!$B$3,Lists!$B$4:$B$24,0))</f>
        <v>TMS</v>
      </c>
      <c r="B503" s="2" t="str">
        <f>'2H'!AD25</f>
        <v>CR1018SWCR</v>
      </c>
      <c r="C503" s="1634" t="str">
        <f>'2H'!$C$8&amp;" - "&amp;'2H'!$E$3</f>
        <v>Default tariffs - Wholesale charges revenue 
£m</v>
      </c>
      <c r="D503" s="2" t="s">
        <v>8</v>
      </c>
      <c r="E503" s="2" t="s">
        <v>9</v>
      </c>
      <c r="F503" s="1683" t="str">
        <f>IF(ISBLANK('2H'!$C$25), "", '2H'!$C$25)</f>
        <v>[1,000 - 5,000 Business Assessed]  [1,000 - 5,000m3] [sewerage] [unmetered]</v>
      </c>
      <c r="G503" s="1635">
        <f>'2H'!E25</f>
        <v>1.9079999999999999</v>
      </c>
      <c r="H503" s="1636"/>
    </row>
    <row r="504" spans="1:8">
      <c r="A504" s="1634" t="str">
        <f>INDEX(Lists!$C$4:$C$24,MATCH(Validation!$B$3,Lists!$B$4:$B$24,0))</f>
        <v>TMS</v>
      </c>
      <c r="B504" s="2" t="str">
        <f>'2H'!AD26</f>
        <v>CR1019SWCR</v>
      </c>
      <c r="C504" s="1634" t="str">
        <f>'2H'!$C$8&amp;" - "&amp;'2H'!$E$3</f>
        <v>Default tariffs - Wholesale charges revenue 
£m</v>
      </c>
      <c r="D504" s="2" t="s">
        <v>8</v>
      </c>
      <c r="E504" s="2" t="s">
        <v>9</v>
      </c>
      <c r="F504" s="1683" t="str">
        <f>IF(ISBLANK('2H'!$C$26), "", '2H'!$C$26)</f>
        <v>n/a</v>
      </c>
      <c r="G504" s="1635">
        <f>'2H'!E26</f>
        <v>0.40100000000000002</v>
      </c>
      <c r="H504" s="1636"/>
    </row>
    <row r="505" spans="1:8">
      <c r="A505" s="1634" t="str">
        <f>INDEX(Lists!$C$4:$C$24,MATCH(Validation!$B$3,Lists!$B$4:$B$24,0))</f>
        <v>TMS</v>
      </c>
      <c r="B505" s="2" t="str">
        <f>'2H'!AD27</f>
        <v>CR1020SWCR</v>
      </c>
      <c r="C505" s="1634" t="str">
        <f>'2H'!$C$8&amp;" - "&amp;'2H'!$E$3</f>
        <v>Default tariffs - Wholesale charges revenue 
£m</v>
      </c>
      <c r="D505" s="2" t="s">
        <v>8</v>
      </c>
      <c r="E505" s="2" t="s">
        <v>9</v>
      </c>
      <c r="F505" s="1683" t="str">
        <f>IF(ISBLANK('2H'!$C$27), "", '2H'!$C$27)</f>
        <v>[Unmeasured RV + Fixed]  [N/A] [sewerage] [unmetered]</v>
      </c>
      <c r="G505" s="1635">
        <f>'2H'!E27</f>
        <v>6.7110000000000003</v>
      </c>
      <c r="H505" s="1636"/>
    </row>
    <row r="506" spans="1:8">
      <c r="A506" s="1634" t="str">
        <f>INDEX(Lists!$C$4:$C$24,MATCH(Validation!$B$3,Lists!$B$4:$B$24,0))</f>
        <v>TMS</v>
      </c>
      <c r="B506" s="2" t="str">
        <f>'2H'!AD28</f>
        <v>CR1021SWCR</v>
      </c>
      <c r="C506" s="1634" t="str">
        <f>'2H'!$C$8&amp;" - "&amp;'2H'!$E$3</f>
        <v>Default tariffs - Wholesale charges revenue 
£m</v>
      </c>
      <c r="D506" s="2" t="s">
        <v>8</v>
      </c>
      <c r="E506" s="2" t="s">
        <v>9</v>
      </c>
      <c r="F506" s="1683" t="str">
        <f>IF(ISBLANK('2H'!$C$28), "", '2H'!$C$28)</f>
        <v>Wastewater services 5 to 50 MI</v>
      </c>
      <c r="G506" s="1635">
        <f>'2H'!E28</f>
        <v>0</v>
      </c>
      <c r="H506" s="1636"/>
    </row>
    <row r="507" spans="1:8">
      <c r="A507" s="1634" t="str">
        <f>INDEX(Lists!$C$4:$C$24,MATCH(Validation!$B$3,Lists!$B$4:$B$24,0))</f>
        <v>TMS</v>
      </c>
      <c r="B507" s="2" t="str">
        <f>'2H'!AD29</f>
        <v>CR1022SWCR</v>
      </c>
      <c r="C507" s="1634" t="str">
        <f>'2H'!$C$8&amp;" - "&amp;'2H'!$E$3</f>
        <v>Default tariffs - Wholesale charges revenue 
£m</v>
      </c>
      <c r="D507" s="2" t="s">
        <v>8</v>
      </c>
      <c r="E507" s="2" t="s">
        <v>9</v>
      </c>
      <c r="F507" s="1683" t="str">
        <f>IF(ISBLANK('2H'!$C$29), "", '2H'!$C$29)</f>
        <v>Wastewater services 50 MI and over</v>
      </c>
      <c r="G507" s="1635">
        <f>'2H'!E29</f>
        <v>0</v>
      </c>
      <c r="H507" s="1636"/>
    </row>
    <row r="508" spans="1:8">
      <c r="A508" s="1637" t="str">
        <f>INDEX(Lists!$C$4:$C$24,MATCH(Validation!$B$3,Lists!$B$4:$B$24,0))</f>
        <v>TMS</v>
      </c>
      <c r="B508" s="1651" t="str">
        <f>'2H'!AD30</f>
        <v>CR1023SWCR</v>
      </c>
      <c r="C508" s="1637" t="str">
        <f>'2H'!$C$8&amp;" - "&amp;'2H'!$E$3</f>
        <v>Default tariffs - Wholesale charges revenue 
£m</v>
      </c>
      <c r="D508" s="1651" t="s">
        <v>8</v>
      </c>
      <c r="E508" s="1651" t="s">
        <v>9</v>
      </c>
      <c r="F508" s="1684" t="str">
        <f>IF(ISBLANK('2H'!$C$30), "", '2H'!$C$30)</f>
        <v/>
      </c>
      <c r="G508" s="1653">
        <f>'2H'!E30</f>
        <v>0</v>
      </c>
      <c r="H508" s="1652"/>
    </row>
    <row r="509" spans="1:8">
      <c r="A509" s="1686" t="str">
        <f>INDEX(Lists!$C$4:$C$24,MATCH(Validation!$B$3,Lists!$B$4:$B$24,0))</f>
        <v>TMS</v>
      </c>
      <c r="B509" s="1687" t="str">
        <f>'2H'!AE6</f>
        <v>CR1001SRR</v>
      </c>
      <c r="C509" s="1634" t="str">
        <f>'2H'!C6&amp;" - "&amp;'2H'!$F$3</f>
        <v>Total non-default tariffs - Retail revenue £m</v>
      </c>
      <c r="D509" s="2" t="s">
        <v>8</v>
      </c>
      <c r="E509" s="2" t="s">
        <v>9</v>
      </c>
      <c r="F509" s="1634"/>
      <c r="G509" s="1635">
        <f>'2H'!F6</f>
        <v>0</v>
      </c>
      <c r="H509" s="1636"/>
    </row>
    <row r="510" spans="1:8">
      <c r="A510" s="1686" t="str">
        <f>INDEX(Lists!$C$4:$C$24,MATCH(Validation!$B$3,Lists!$B$4:$B$24,0))</f>
        <v>TMS</v>
      </c>
      <c r="B510" s="1687" t="str">
        <f>'2H'!AE9</f>
        <v>CR1002SRR</v>
      </c>
      <c r="C510" s="1634" t="str">
        <f>'2H'!$C$8&amp;" - "&amp;'2H'!$F$3</f>
        <v>Default tariffs - Retail revenue £m</v>
      </c>
      <c r="D510" s="2" t="s">
        <v>8</v>
      </c>
      <c r="E510" s="2" t="s">
        <v>9</v>
      </c>
      <c r="F510" s="1683" t="str">
        <f>IF(ISBLANK('2H'!$C$9), "", '2H'!$C$9)</f>
        <v>[0 - 500]  [0 - 500m3] [sewerage] [metered]</v>
      </c>
      <c r="G510" s="1635">
        <f>'2H'!F9</f>
        <v>-1.4219999999999999</v>
      </c>
      <c r="H510" s="1636"/>
    </row>
    <row r="511" spans="1:8">
      <c r="A511" s="1686" t="str">
        <f>INDEX(Lists!$C$4:$C$24,MATCH(Validation!$B$3,Lists!$B$4:$B$24,0))</f>
        <v>TMS</v>
      </c>
      <c r="B511" s="1687" t="str">
        <f>'2H'!AE10</f>
        <v>CR1003SRR</v>
      </c>
      <c r="C511" s="1634" t="str">
        <f>'2H'!$C$8&amp;" - "&amp;'2H'!$F$3</f>
        <v>Default tariffs - Retail revenue £m</v>
      </c>
      <c r="D511" s="2" t="s">
        <v>8</v>
      </c>
      <c r="E511" s="2" t="s">
        <v>9</v>
      </c>
      <c r="F511" s="1683" t="str">
        <f>IF(ISBLANK('2H'!$C$10), "", '2H'!$C$10)</f>
        <v>[500 - 1,000]  [500 - 1,000m3] [sewerage] [metered]</v>
      </c>
      <c r="G511" s="1635">
        <f>'2H'!F10</f>
        <v>-0.14099999999999999</v>
      </c>
      <c r="H511" s="1636"/>
    </row>
    <row r="512" spans="1:8">
      <c r="A512" s="1686" t="str">
        <f>INDEX(Lists!$C$4:$C$24,MATCH(Validation!$B$3,Lists!$B$4:$B$24,0))</f>
        <v>TMS</v>
      </c>
      <c r="B512" s="1687" t="str">
        <f>'2H'!AE11</f>
        <v>CR1004SRR</v>
      </c>
      <c r="C512" s="1634" t="str">
        <f>'2H'!$C$8&amp;" - "&amp;'2H'!$F$3</f>
        <v>Default tariffs - Retail revenue £m</v>
      </c>
      <c r="D512" s="2" t="s">
        <v>8</v>
      </c>
      <c r="E512" s="2" t="s">
        <v>9</v>
      </c>
      <c r="F512" s="1683" t="str">
        <f>IF(ISBLANK('2H'!$C$11), "", '2H'!$C$11)</f>
        <v>[1,000 - 5,000]  [1,000 - 5,000m3] [sewerage] [metered]</v>
      </c>
      <c r="G512" s="1635">
        <f>'2H'!F11</f>
        <v>-0.14299999999999999</v>
      </c>
      <c r="H512" s="1636"/>
    </row>
    <row r="513" spans="1:8">
      <c r="A513" s="1686" t="str">
        <f>INDEX(Lists!$C$4:$C$24,MATCH(Validation!$B$3,Lists!$B$4:$B$24,0))</f>
        <v>TMS</v>
      </c>
      <c r="B513" s="1687" t="str">
        <f>'2H'!AE12</f>
        <v>CR1005SRR</v>
      </c>
      <c r="C513" s="1634" t="str">
        <f>'2H'!$C$8&amp;" - "&amp;'2H'!$F$3</f>
        <v>Default tariffs - Retail revenue £m</v>
      </c>
      <c r="D513" s="2" t="s">
        <v>8</v>
      </c>
      <c r="E513" s="2" t="s">
        <v>9</v>
      </c>
      <c r="F513" s="1683" t="str">
        <f>IF(ISBLANK('2H'!$C$12), "", '2H'!$C$12)</f>
        <v>n/a</v>
      </c>
      <c r="G513" s="1635">
        <f>'2H'!F12</f>
        <v>-3.1E-2</v>
      </c>
      <c r="H513" s="1636"/>
    </row>
    <row r="514" spans="1:8">
      <c r="A514" s="1686" t="str">
        <f>INDEX(Lists!$C$4:$C$24,MATCH(Validation!$B$3,Lists!$B$4:$B$24,0))</f>
        <v>TMS</v>
      </c>
      <c r="B514" s="1687" t="str">
        <f>'2H'!AE13</f>
        <v>CR1006SRR</v>
      </c>
      <c r="C514" s="1634" t="str">
        <f>'2H'!$C$8&amp;" - "&amp;'2H'!$F$3</f>
        <v>Default tariffs - Retail revenue £m</v>
      </c>
      <c r="D514" s="2" t="s">
        <v>8</v>
      </c>
      <c r="E514" s="2" t="s">
        <v>9</v>
      </c>
      <c r="F514" s="1683" t="str">
        <f>IF(ISBLANK('2H'!$C$13), "", '2H'!$C$13)</f>
        <v>n/a</v>
      </c>
      <c r="G514" s="1635">
        <f>'2H'!F13</f>
        <v>-4.0000000000000001E-3</v>
      </c>
      <c r="H514" s="1636"/>
    </row>
    <row r="515" spans="1:8">
      <c r="A515" s="1686" t="str">
        <f>INDEX(Lists!$C$4:$C$24,MATCH(Validation!$B$3,Lists!$B$4:$B$24,0))</f>
        <v>TMS</v>
      </c>
      <c r="B515" s="1687" t="str">
        <f>'2H'!AE14</f>
        <v>CR1007SRR</v>
      </c>
      <c r="C515" s="1634" t="str">
        <f>'2H'!$C$8&amp;" - "&amp;'2H'!$F$3</f>
        <v>Default tariffs - Retail revenue £m</v>
      </c>
      <c r="D515" s="2" t="s">
        <v>8</v>
      </c>
      <c r="E515" s="2" t="s">
        <v>9</v>
      </c>
      <c r="F515" s="1683" t="str">
        <f>IF(ISBLANK('2H'!$C$14), "", '2H'!$C$14)</f>
        <v>n/a</v>
      </c>
      <c r="G515" s="1635">
        <f>'2H'!F14</f>
        <v>-2.4E-2</v>
      </c>
      <c r="H515" s="1636"/>
    </row>
    <row r="516" spans="1:8">
      <c r="A516" s="1686" t="str">
        <f>INDEX(Lists!$C$4:$C$24,MATCH(Validation!$B$3,Lists!$B$4:$B$24,0))</f>
        <v>TMS</v>
      </c>
      <c r="B516" s="1687" t="str">
        <f>'2H'!AE15</f>
        <v>CR1008SRR</v>
      </c>
      <c r="C516" s="1634" t="str">
        <f>'2H'!$C$8&amp;" - "&amp;'2H'!$F$3</f>
        <v>Default tariffs - Retail revenue £m</v>
      </c>
      <c r="D516" s="2" t="s">
        <v>8</v>
      </c>
      <c r="E516" s="2" t="s">
        <v>9</v>
      </c>
      <c r="F516" s="1683" t="str">
        <f>IF(ISBLANK('2H'!$C$15), "", '2H'!$C$15)</f>
        <v>n/a</v>
      </c>
      <c r="G516" s="1635">
        <f>'2H'!F15</f>
        <v>-1.2E-2</v>
      </c>
      <c r="H516" s="1636"/>
    </row>
    <row r="517" spans="1:8">
      <c r="A517" s="1686" t="str">
        <f>INDEX(Lists!$C$4:$C$24,MATCH(Validation!$B$3,Lists!$B$4:$B$24,0))</f>
        <v>TMS</v>
      </c>
      <c r="B517" s="1687" t="str">
        <f>'2H'!AE16</f>
        <v>CR1009SRR</v>
      </c>
      <c r="C517" s="1634" t="str">
        <f>'2H'!$C$8&amp;" - "&amp;'2H'!$F$3</f>
        <v>Default tariffs - Retail revenue £m</v>
      </c>
      <c r="D517" s="2" t="s">
        <v>8</v>
      </c>
      <c r="E517" s="2" t="s">
        <v>9</v>
      </c>
      <c r="F517" s="1683" t="str">
        <f>IF(ISBLANK('2H'!$C$16), "", '2H'!$C$16)</f>
        <v>[0 - 500]  [0 - 500m3] [trade effluent] [metered]</v>
      </c>
      <c r="G517" s="1635">
        <f>'2H'!F16</f>
        <v>-1.2E-2</v>
      </c>
      <c r="H517" s="1636"/>
    </row>
    <row r="518" spans="1:8">
      <c r="A518" s="1686" t="str">
        <f>INDEX(Lists!$C$4:$C$24,MATCH(Validation!$B$3,Lists!$B$4:$B$24,0))</f>
        <v>TMS</v>
      </c>
      <c r="B518" s="1687" t="str">
        <f>'2H'!AE17</f>
        <v>CR1010SRR</v>
      </c>
      <c r="C518" s="1634" t="str">
        <f>'2H'!$C$8&amp;" - "&amp;'2H'!$F$3</f>
        <v>Default tariffs - Retail revenue £m</v>
      </c>
      <c r="D518" s="2" t="s">
        <v>8</v>
      </c>
      <c r="E518" s="2" t="s">
        <v>9</v>
      </c>
      <c r="F518" s="1683" t="str">
        <f>IF(ISBLANK('2H'!$C$17), "", '2H'!$C$17)</f>
        <v>[500 - 1,000]  [500 - 1,000m3] [trade effluent] [metered]</v>
      </c>
      <c r="G518" s="1635">
        <f>'2H'!F17</f>
        <v>-2.5000000000000001E-2</v>
      </c>
      <c r="H518" s="1636"/>
    </row>
    <row r="519" spans="1:8">
      <c r="A519" s="1686" t="str">
        <f>INDEX(Lists!$C$4:$C$24,MATCH(Validation!$B$3,Lists!$B$4:$B$24,0))</f>
        <v>TMS</v>
      </c>
      <c r="B519" s="1687" t="str">
        <f>'2H'!AE18</f>
        <v>CR1011SRR</v>
      </c>
      <c r="C519" s="1634" t="str">
        <f>'2H'!$C$8&amp;" - "&amp;'2H'!$F$3</f>
        <v>Default tariffs - Retail revenue £m</v>
      </c>
      <c r="D519" s="2" t="s">
        <v>8</v>
      </c>
      <c r="E519" s="2" t="s">
        <v>9</v>
      </c>
      <c r="F519" s="1683" t="str">
        <f>IF(ISBLANK('2H'!$C$18), "", '2H'!$C$18)</f>
        <v>[1,000 - 5,000]  [1,000 - 5,000m3] [trade effluent] [metered]</v>
      </c>
      <c r="G519" s="1635">
        <f>'2H'!F18</f>
        <v>-8.0000000000000002E-3</v>
      </c>
      <c r="H519" s="1636"/>
    </row>
    <row r="520" spans="1:8">
      <c r="A520" s="1686" t="str">
        <f>INDEX(Lists!$C$4:$C$24,MATCH(Validation!$B$3,Lists!$B$4:$B$24,0))</f>
        <v>TMS</v>
      </c>
      <c r="B520" s="1687" t="str">
        <f>'2H'!AE19</f>
        <v>CR1012SRR</v>
      </c>
      <c r="C520" s="1634" t="str">
        <f>'2H'!$C$8&amp;" - "&amp;'2H'!$F$3</f>
        <v>Default tariffs - Retail revenue £m</v>
      </c>
      <c r="D520" s="2" t="s">
        <v>8</v>
      </c>
      <c r="E520" s="2" t="s">
        <v>9</v>
      </c>
      <c r="F520" s="1683" t="str">
        <f>IF(ISBLANK('2H'!$C$19), "", '2H'!$C$19)</f>
        <v>n/a</v>
      </c>
      <c r="G520" s="1635">
        <f>'2H'!F19</f>
        <v>-3.0000000000000001E-3</v>
      </c>
      <c r="H520" s="1636"/>
    </row>
    <row r="521" spans="1:8">
      <c r="A521" s="1686" t="str">
        <f>INDEX(Lists!$C$4:$C$24,MATCH(Validation!$B$3,Lists!$B$4:$B$24,0))</f>
        <v>TMS</v>
      </c>
      <c r="B521" s="1687" t="str">
        <f>'2H'!AE20</f>
        <v>CR1013SRR</v>
      </c>
      <c r="C521" s="1634" t="str">
        <f>'2H'!$C$8&amp;" - "&amp;'2H'!$F$3</f>
        <v>Default tariffs - Retail revenue £m</v>
      </c>
      <c r="D521" s="2" t="s">
        <v>8</v>
      </c>
      <c r="E521" s="2" t="s">
        <v>9</v>
      </c>
      <c r="F521" s="1683" t="str">
        <f>IF(ISBLANK('2H'!$C$20), "", '2H'!$C$20)</f>
        <v>n/a</v>
      </c>
      <c r="G521" s="1635">
        <f>'2H'!F20</f>
        <v>-5.0000000000000001E-3</v>
      </c>
      <c r="H521" s="1636"/>
    </row>
    <row r="522" spans="1:8">
      <c r="A522" s="1686" t="str">
        <f>INDEX(Lists!$C$4:$C$24,MATCH(Validation!$B$3,Lists!$B$4:$B$24,0))</f>
        <v>TMS</v>
      </c>
      <c r="B522" s="1687" t="str">
        <f>'2H'!AE21</f>
        <v>CR1014SRR</v>
      </c>
      <c r="C522" s="1634" t="str">
        <f>'2H'!$C$8&amp;" - "&amp;'2H'!$F$3</f>
        <v>Default tariffs - Retail revenue £m</v>
      </c>
      <c r="D522" s="2" t="s">
        <v>8</v>
      </c>
      <c r="E522" s="2" t="s">
        <v>9</v>
      </c>
      <c r="F522" s="1683" t="str">
        <f>IF(ISBLANK('2H'!$C$21), "", '2H'!$C$21)</f>
        <v>n/a</v>
      </c>
      <c r="G522" s="1635">
        <f>'2H'!F21</f>
        <v>0</v>
      </c>
      <c r="H522" s="1636"/>
    </row>
    <row r="523" spans="1:8">
      <c r="A523" s="1686" t="str">
        <f>INDEX(Lists!$C$4:$C$24,MATCH(Validation!$B$3,Lists!$B$4:$B$24,0))</f>
        <v>TMS</v>
      </c>
      <c r="B523" s="1687" t="str">
        <f>'2H'!AE22</f>
        <v>CR1015SRR</v>
      </c>
      <c r="C523" s="1634" t="str">
        <f>'2H'!$C$8&amp;" - "&amp;'2H'!$F$3</f>
        <v>Default tariffs - Retail revenue £m</v>
      </c>
      <c r="D523" s="2" t="s">
        <v>8</v>
      </c>
      <c r="E523" s="2" t="s">
        <v>9</v>
      </c>
      <c r="F523" s="1683" t="str">
        <f>IF(ISBLANK('2H'!$C$22), "", '2H'!$C$22)</f>
        <v>n/a</v>
      </c>
      <c r="G523" s="1635">
        <f>'2H'!F22</f>
        <v>1.7999999999999999E-2</v>
      </c>
      <c r="H523" s="1636"/>
    </row>
    <row r="524" spans="1:8">
      <c r="A524" s="1686" t="str">
        <f>INDEX(Lists!$C$4:$C$24,MATCH(Validation!$B$3,Lists!$B$4:$B$24,0))</f>
        <v>TMS</v>
      </c>
      <c r="B524" s="1687" t="str">
        <f>'2H'!AE23</f>
        <v>CR1016SRR</v>
      </c>
      <c r="C524" s="1634" t="str">
        <f>'2H'!$C$8&amp;" - "&amp;'2H'!$F$3</f>
        <v>Default tariffs - Retail revenue £m</v>
      </c>
      <c r="D524" s="2" t="s">
        <v>8</v>
      </c>
      <c r="E524" s="2" t="s">
        <v>9</v>
      </c>
      <c r="F524" s="1683" t="str">
        <f>IF(ISBLANK('2H'!$C$23), "", '2H'!$C$23)</f>
        <v>[0 - 500 Business Assessed]  [0 - 500m3] [sewerage] [unmetered]</v>
      </c>
      <c r="G524" s="1635">
        <f>'2H'!F23</f>
        <v>0.76100000000000001</v>
      </c>
      <c r="H524" s="1636"/>
    </row>
    <row r="525" spans="1:8">
      <c r="A525" s="1686" t="str">
        <f>INDEX(Lists!$C$4:$C$24,MATCH(Validation!$B$3,Lists!$B$4:$B$24,0))</f>
        <v>TMS</v>
      </c>
      <c r="B525" s="1687" t="str">
        <f>'2H'!AE24</f>
        <v>CR1017SRR</v>
      </c>
      <c r="C525" s="1634" t="str">
        <f>'2H'!$C$8&amp;" - "&amp;'2H'!$F$3</f>
        <v>Default tariffs - Retail revenue £m</v>
      </c>
      <c r="D525" s="2" t="s">
        <v>8</v>
      </c>
      <c r="E525" s="2" t="s">
        <v>9</v>
      </c>
      <c r="F525" s="1683" t="str">
        <f>IF(ISBLANK('2H'!$C$24), "", '2H'!$C$24)</f>
        <v>[500 - 1,000 Business Assessed]  [500 - 1,000m3] [sewerage] [unmetered]</v>
      </c>
      <c r="G525" s="1635">
        <f>'2H'!F24</f>
        <v>5.7000000000000002E-2</v>
      </c>
      <c r="H525" s="1636"/>
    </row>
    <row r="526" spans="1:8">
      <c r="A526" s="1686" t="str">
        <f>INDEX(Lists!$C$4:$C$24,MATCH(Validation!$B$3,Lists!$B$4:$B$24,0))</f>
        <v>TMS</v>
      </c>
      <c r="B526" s="1687" t="str">
        <f>'2H'!AE25</f>
        <v>CR1018SRR</v>
      </c>
      <c r="C526" s="1634" t="str">
        <f>'2H'!$C$8&amp;" - "&amp;'2H'!$F$3</f>
        <v>Default tariffs - Retail revenue £m</v>
      </c>
      <c r="D526" s="2" t="s">
        <v>8</v>
      </c>
      <c r="E526" s="2" t="s">
        <v>9</v>
      </c>
      <c r="F526" s="1683" t="str">
        <f>IF(ISBLANK('2H'!$C$25), "", '2H'!$C$25)</f>
        <v>[1,000 - 5,000 Business Assessed]  [1,000 - 5,000m3] [sewerage] [unmetered]</v>
      </c>
      <c r="G526" s="1635">
        <f>'2H'!F25</f>
        <v>8.7999999999999995E-2</v>
      </c>
      <c r="H526" s="1636"/>
    </row>
    <row r="527" spans="1:8">
      <c r="A527" s="1686" t="str">
        <f>INDEX(Lists!$C$4:$C$24,MATCH(Validation!$B$3,Lists!$B$4:$B$24,0))</f>
        <v>TMS</v>
      </c>
      <c r="B527" s="1687" t="str">
        <f>'2H'!AE26</f>
        <v>CR1019SRR</v>
      </c>
      <c r="C527" s="1634" t="str">
        <f>'2H'!$C$8&amp;" - "&amp;'2H'!$F$3</f>
        <v>Default tariffs - Retail revenue £m</v>
      </c>
      <c r="D527" s="2" t="s">
        <v>8</v>
      </c>
      <c r="E527" s="2" t="s">
        <v>9</v>
      </c>
      <c r="F527" s="1683" t="str">
        <f>IF(ISBLANK('2H'!$C$26), "", '2H'!$C$26)</f>
        <v>n/a</v>
      </c>
      <c r="G527" s="1635">
        <f>'2H'!F26</f>
        <v>8.0000000000000002E-3</v>
      </c>
      <c r="H527" s="1636"/>
    </row>
    <row r="528" spans="1:8">
      <c r="A528" s="1686" t="str">
        <f>INDEX(Lists!$C$4:$C$24,MATCH(Validation!$B$3,Lists!$B$4:$B$24,0))</f>
        <v>TMS</v>
      </c>
      <c r="B528" s="1687" t="str">
        <f>'2H'!AE27</f>
        <v>CR1020SRR</v>
      </c>
      <c r="C528" s="1634" t="str">
        <f>'2H'!$C$8&amp;" - "&amp;'2H'!$F$3</f>
        <v>Default tariffs - Retail revenue £m</v>
      </c>
      <c r="D528" s="2" t="s">
        <v>8</v>
      </c>
      <c r="E528" s="2" t="s">
        <v>9</v>
      </c>
      <c r="F528" s="1683" t="str">
        <f>IF(ISBLANK('2H'!$C$27), "", '2H'!$C$27)</f>
        <v>[Unmeasured RV + Fixed]  [N/A] [sewerage] [unmetered]</v>
      </c>
      <c r="G528" s="1635">
        <f>'2H'!F27</f>
        <v>2.9000000000000001E-2</v>
      </c>
      <c r="H528" s="1636"/>
    </row>
    <row r="529" spans="1:8">
      <c r="A529" s="1686" t="str">
        <f>INDEX(Lists!$C$4:$C$24,MATCH(Validation!$B$3,Lists!$B$4:$B$24,0))</f>
        <v>TMS</v>
      </c>
      <c r="B529" s="1687" t="str">
        <f>'2H'!AE28</f>
        <v>CR1021SRR</v>
      </c>
      <c r="C529" s="1634" t="str">
        <f>'2H'!$C$8&amp;" - "&amp;'2H'!$F$3</f>
        <v>Default tariffs - Retail revenue £m</v>
      </c>
      <c r="D529" s="2" t="s">
        <v>8</v>
      </c>
      <c r="E529" s="2" t="s">
        <v>9</v>
      </c>
      <c r="F529" s="1683" t="str">
        <f>IF(ISBLANK('2H'!$C$28), "", '2H'!$C$28)</f>
        <v>Wastewater services 5 to 50 MI</v>
      </c>
      <c r="G529" s="1635">
        <f>'2H'!F28</f>
        <v>0</v>
      </c>
      <c r="H529" s="1636"/>
    </row>
    <row r="530" spans="1:8">
      <c r="A530" s="1686" t="str">
        <f>INDEX(Lists!$C$4:$C$24,MATCH(Validation!$B$3,Lists!$B$4:$B$24,0))</f>
        <v>TMS</v>
      </c>
      <c r="B530" s="1687" t="str">
        <f>'2H'!AE29</f>
        <v>CR1022SRR</v>
      </c>
      <c r="C530" s="1634" t="str">
        <f>'2H'!$C$8&amp;" - "&amp;'2H'!$F$3</f>
        <v>Default tariffs - Retail revenue £m</v>
      </c>
      <c r="D530" s="2" t="s">
        <v>8</v>
      </c>
      <c r="E530" s="2" t="s">
        <v>9</v>
      </c>
      <c r="F530" s="1683" t="str">
        <f>IF(ISBLANK('2H'!$C$29), "", '2H'!$C$29)</f>
        <v>Wastewater services 50 MI and over</v>
      </c>
      <c r="G530" s="1635">
        <f>'2H'!F29</f>
        <v>0</v>
      </c>
      <c r="H530" s="1636"/>
    </row>
    <row r="531" spans="1:8">
      <c r="A531" s="1688" t="str">
        <f>INDEX(Lists!$C$4:$C$24,MATCH(Validation!$B$3,Lists!$B$4:$B$24,0))</f>
        <v>TMS</v>
      </c>
      <c r="B531" s="1864" t="str">
        <f>'2H'!AE30</f>
        <v>CR1023SRR</v>
      </c>
      <c r="C531" s="1637" t="str">
        <f>'2H'!$C$8&amp;" - "&amp;'2H'!$F$3</f>
        <v>Default tariffs - Retail revenue £m</v>
      </c>
      <c r="D531" s="1651" t="s">
        <v>8</v>
      </c>
      <c r="E531" s="1651" t="s">
        <v>9</v>
      </c>
      <c r="F531" s="1684" t="str">
        <f>IF(ISBLANK('2H'!$C$30), "", '2H'!$C$30)</f>
        <v/>
      </c>
      <c r="G531" s="1653">
        <f>'2H'!F30</f>
        <v>0</v>
      </c>
      <c r="H531" s="1652"/>
    </row>
    <row r="532" spans="1:8">
      <c r="A532" s="1634" t="str">
        <f>INDEX(Lists!$C$4:$C$24,MATCH(Validation!$B$3,Lists!$B$4:$B$24,0))</f>
        <v>TMS</v>
      </c>
      <c r="B532" s="2" t="str">
        <f>'2H'!AG6</f>
        <v>CR1041SCO</v>
      </c>
      <c r="C532" s="1634" t="str">
        <f>'2H'!C6&amp;" - "&amp;'2H'!$H$3</f>
        <v>Total non-default tariffs - Number of connections (000s)</v>
      </c>
      <c r="D532" s="2" t="s">
        <v>13</v>
      </c>
      <c r="E532" s="2" t="s">
        <v>9</v>
      </c>
      <c r="F532" s="1634"/>
      <c r="G532" s="1635">
        <f>'2H'!H6</f>
        <v>0</v>
      </c>
      <c r="H532" s="1636"/>
    </row>
    <row r="533" spans="1:8">
      <c r="A533" s="1634" t="str">
        <f>INDEX(Lists!$C$4:$C$24,MATCH(Validation!$B$3,Lists!$B$4:$B$24,0))</f>
        <v>TMS</v>
      </c>
      <c r="B533" s="2" t="str">
        <f>'2H'!AG9</f>
        <v>CR1042SCO</v>
      </c>
      <c r="C533" s="1634" t="str">
        <f>'2H'!$C$8&amp;" - "&amp;'2H'!$H$3</f>
        <v>Default tariffs - Number of connections (000s)</v>
      </c>
      <c r="D533" s="2" t="s">
        <v>13</v>
      </c>
      <c r="E533" s="2" t="s">
        <v>9</v>
      </c>
      <c r="F533" s="1683" t="str">
        <f>IF(ISBLANK('2H'!$C$9), "", '2H'!$C$9)</f>
        <v>[0 - 500]  [0 - 500m3] [sewerage] [metered]</v>
      </c>
      <c r="G533" s="1635">
        <f>'2H'!H9</f>
        <v>152.43899999999999</v>
      </c>
      <c r="H533" s="1636"/>
    </row>
    <row r="534" spans="1:8">
      <c r="A534" s="1634" t="str">
        <f>INDEX(Lists!$C$4:$C$24,MATCH(Validation!$B$3,Lists!$B$4:$B$24,0))</f>
        <v>TMS</v>
      </c>
      <c r="B534" s="2" t="str">
        <f>'2H'!AG10</f>
        <v>CR1043SCO</v>
      </c>
      <c r="C534" s="1634" t="str">
        <f>'2H'!$C$8&amp;" - "&amp;'2H'!$H$3</f>
        <v>Default tariffs - Number of connections (000s)</v>
      </c>
      <c r="D534" s="2" t="s">
        <v>13</v>
      </c>
      <c r="E534" s="2" t="s">
        <v>9</v>
      </c>
      <c r="F534" s="1683" t="str">
        <f>IF(ISBLANK('2H'!$C$10), "", '2H'!$C$10)</f>
        <v>[500 - 1,000]  [500 - 1,000m3] [sewerage] [metered]</v>
      </c>
      <c r="G534" s="1635">
        <f>'2H'!H10</f>
        <v>17.658999999999999</v>
      </c>
      <c r="H534" s="1636"/>
    </row>
    <row r="535" spans="1:8">
      <c r="A535" s="1634" t="str">
        <f>INDEX(Lists!$C$4:$C$24,MATCH(Validation!$B$3,Lists!$B$4:$B$24,0))</f>
        <v>TMS</v>
      </c>
      <c r="B535" s="2" t="str">
        <f>'2H'!AG11</f>
        <v>CR1044SCO</v>
      </c>
      <c r="C535" s="1634" t="str">
        <f>'2H'!$C$8&amp;" - "&amp;'2H'!$H$3</f>
        <v>Default tariffs - Number of connections (000s)</v>
      </c>
      <c r="D535" s="2" t="s">
        <v>13</v>
      </c>
      <c r="E535" s="2" t="s">
        <v>9</v>
      </c>
      <c r="F535" s="1683" t="str">
        <f>IF(ISBLANK('2H'!$C$11), "", '2H'!$C$11)</f>
        <v>[1,000 - 5,000]  [1,000 - 5,000m3] [sewerage] [metered]</v>
      </c>
      <c r="G535" s="1635">
        <f>'2H'!H11</f>
        <v>26.481000000000002</v>
      </c>
      <c r="H535" s="1636"/>
    </row>
    <row r="536" spans="1:8">
      <c r="A536" s="1634" t="str">
        <f>INDEX(Lists!$C$4:$C$24,MATCH(Validation!$B$3,Lists!$B$4:$B$24,0))</f>
        <v>TMS</v>
      </c>
      <c r="B536" s="2" t="str">
        <f>'2H'!AG12</f>
        <v>CR1045SCO</v>
      </c>
      <c r="C536" s="1634" t="str">
        <f>'2H'!$C$8&amp;" - "&amp;'2H'!$H$3</f>
        <v>Default tariffs - Number of connections (000s)</v>
      </c>
      <c r="D536" s="2" t="s">
        <v>13</v>
      </c>
      <c r="E536" s="2" t="s">
        <v>9</v>
      </c>
      <c r="F536" s="1683" t="str">
        <f>IF(ISBLANK('2H'!$C$12), "", '2H'!$C$12)</f>
        <v>n/a</v>
      </c>
      <c r="G536" s="1635">
        <f>'2H'!H12</f>
        <v>4.7469999999999999</v>
      </c>
      <c r="H536" s="1636"/>
    </row>
    <row r="537" spans="1:8">
      <c r="A537" s="1634" t="str">
        <f>INDEX(Lists!$C$4:$C$24,MATCH(Validation!$B$3,Lists!$B$4:$B$24,0))</f>
        <v>TMS</v>
      </c>
      <c r="B537" s="2" t="str">
        <f>'2H'!AG13</f>
        <v>CR1046SCO</v>
      </c>
      <c r="C537" s="1634" t="str">
        <f>'2H'!$C$8&amp;" - "&amp;'2H'!$H$3</f>
        <v>Default tariffs - Number of connections (000s)</v>
      </c>
      <c r="D537" s="2" t="s">
        <v>13</v>
      </c>
      <c r="E537" s="2" t="s">
        <v>9</v>
      </c>
      <c r="F537" s="1683" t="str">
        <f>IF(ISBLANK('2H'!$C$13), "", '2H'!$C$13)</f>
        <v>n/a</v>
      </c>
      <c r="G537" s="1635">
        <f>'2H'!H13</f>
        <v>0.68400000000000005</v>
      </c>
      <c r="H537" s="1636"/>
    </row>
    <row r="538" spans="1:8">
      <c r="A538" s="1634" t="str">
        <f>INDEX(Lists!$C$4:$C$24,MATCH(Validation!$B$3,Lists!$B$4:$B$24,0))</f>
        <v>TMS</v>
      </c>
      <c r="B538" s="2" t="str">
        <f>'2H'!AG14</f>
        <v>CR1047SCO</v>
      </c>
      <c r="C538" s="1634" t="str">
        <f>'2H'!$C$8&amp;" - "&amp;'2H'!$H$3</f>
        <v>Default tariffs - Number of connections (000s)</v>
      </c>
      <c r="D538" s="2" t="s">
        <v>13</v>
      </c>
      <c r="E538" s="2" t="s">
        <v>9</v>
      </c>
      <c r="F538" s="1683" t="str">
        <f>IF(ISBLANK('2H'!$C$14), "", '2H'!$C$14)</f>
        <v>n/a</v>
      </c>
      <c r="G538" s="1635">
        <f>'2H'!H14</f>
        <v>0.42399999999999999</v>
      </c>
      <c r="H538" s="1636"/>
    </row>
    <row r="539" spans="1:8">
      <c r="A539" s="1634" t="str">
        <f>INDEX(Lists!$C$4:$C$24,MATCH(Validation!$B$3,Lists!$B$4:$B$24,0))</f>
        <v>TMS</v>
      </c>
      <c r="B539" s="2" t="str">
        <f>'2H'!AG15</f>
        <v>CR1048SCO</v>
      </c>
      <c r="C539" s="1634" t="str">
        <f>'2H'!$C$8&amp;" - "&amp;'2H'!$H$3</f>
        <v>Default tariffs - Number of connections (000s)</v>
      </c>
      <c r="D539" s="2" t="s">
        <v>13</v>
      </c>
      <c r="E539" s="2" t="s">
        <v>9</v>
      </c>
      <c r="F539" s="1683" t="str">
        <f>IF(ISBLANK('2H'!$C$15), "", '2H'!$C$15)</f>
        <v>n/a</v>
      </c>
      <c r="G539" s="1635">
        <f>'2H'!H15</f>
        <v>8.4000000000000005E-2</v>
      </c>
      <c r="H539" s="1636"/>
    </row>
    <row r="540" spans="1:8">
      <c r="A540" s="1634" t="str">
        <f>INDEX(Lists!$C$4:$C$24,MATCH(Validation!$B$3,Lists!$B$4:$B$24,0))</f>
        <v>TMS</v>
      </c>
      <c r="B540" s="2" t="str">
        <f>'2H'!AG16</f>
        <v>CR1049SCO</v>
      </c>
      <c r="C540" s="1634" t="str">
        <f>'2H'!$C$8&amp;" - "&amp;'2H'!$H$3</f>
        <v>Default tariffs - Number of connections (000s)</v>
      </c>
      <c r="D540" s="2" t="s">
        <v>13</v>
      </c>
      <c r="E540" s="2" t="s">
        <v>9</v>
      </c>
      <c r="F540" s="1683" t="str">
        <f>IF(ISBLANK('2H'!$C$16), "", '2H'!$C$16)</f>
        <v>[0 - 500]  [0 - 500m3] [trade effluent] [metered]</v>
      </c>
      <c r="G540" s="1635">
        <f>'2H'!H16</f>
        <v>0.89600000000000002</v>
      </c>
      <c r="H540" s="1636"/>
    </row>
    <row r="541" spans="1:8">
      <c r="A541" s="1634" t="str">
        <f>INDEX(Lists!$C$4:$C$24,MATCH(Validation!$B$3,Lists!$B$4:$B$24,0))</f>
        <v>TMS</v>
      </c>
      <c r="B541" s="2" t="str">
        <f>'2H'!AG17</f>
        <v>CR1050SCO</v>
      </c>
      <c r="C541" s="1634" t="str">
        <f>'2H'!$C$8&amp;" - "&amp;'2H'!$H$3</f>
        <v>Default tariffs - Number of connections (000s)</v>
      </c>
      <c r="D541" s="2" t="s">
        <v>13</v>
      </c>
      <c r="E541" s="2" t="s">
        <v>9</v>
      </c>
      <c r="F541" s="1683" t="str">
        <f>IF(ISBLANK('2H'!$C$17), "", '2H'!$C$17)</f>
        <v>[500 - 1,000]  [500 - 1,000m3] [trade effluent] [metered]</v>
      </c>
      <c r="G541" s="1635">
        <f>'2H'!H17</f>
        <v>0.44900000000000001</v>
      </c>
      <c r="H541" s="1636"/>
    </row>
    <row r="542" spans="1:8">
      <c r="A542" s="1634" t="str">
        <f>INDEX(Lists!$C$4:$C$24,MATCH(Validation!$B$3,Lists!$B$4:$B$24,0))</f>
        <v>TMS</v>
      </c>
      <c r="B542" s="2" t="str">
        <f>'2H'!AG18</f>
        <v>CR1051SCO</v>
      </c>
      <c r="C542" s="1634" t="str">
        <f>'2H'!$C$8&amp;" - "&amp;'2H'!$H$3</f>
        <v>Default tariffs - Number of connections (000s)</v>
      </c>
      <c r="D542" s="2" t="s">
        <v>13</v>
      </c>
      <c r="E542" s="2" t="s">
        <v>9</v>
      </c>
      <c r="F542" s="1683" t="str">
        <f>IF(ISBLANK('2H'!$C$18), "", '2H'!$C$18)</f>
        <v>[1,000 - 5,000]  [1,000 - 5,000m3] [trade effluent] [metered]</v>
      </c>
      <c r="G542" s="1635">
        <f>'2H'!H18</f>
        <v>1.089</v>
      </c>
      <c r="H542" s="1636"/>
    </row>
    <row r="543" spans="1:8">
      <c r="A543" s="1634" t="str">
        <f>INDEX(Lists!$C$4:$C$24,MATCH(Validation!$B$3,Lists!$B$4:$B$24,0))</f>
        <v>TMS</v>
      </c>
      <c r="B543" s="2" t="str">
        <f>'2H'!AG19</f>
        <v>CR1052SCO</v>
      </c>
      <c r="C543" s="1634" t="str">
        <f>'2H'!$C$8&amp;" - "&amp;'2H'!$H$3</f>
        <v>Default tariffs - Number of connections (000s)</v>
      </c>
      <c r="D543" s="2" t="s">
        <v>13</v>
      </c>
      <c r="E543" s="2" t="s">
        <v>9</v>
      </c>
      <c r="F543" s="1683" t="str">
        <f>IF(ISBLANK('2H'!$C$19), "", '2H'!$C$19)</f>
        <v>n/a</v>
      </c>
      <c r="G543" s="1635">
        <f>'2H'!H19</f>
        <v>0.41899999999999998</v>
      </c>
      <c r="H543" s="1636"/>
    </row>
    <row r="544" spans="1:8">
      <c r="A544" s="1634" t="str">
        <f>INDEX(Lists!$C$4:$C$24,MATCH(Validation!$B$3,Lists!$B$4:$B$24,0))</f>
        <v>TMS</v>
      </c>
      <c r="B544" s="2" t="str">
        <f>'2H'!AG20</f>
        <v>CR1053SCO</v>
      </c>
      <c r="C544" s="1634" t="str">
        <f>'2H'!$C$8&amp;" - "&amp;'2H'!$H$3</f>
        <v>Default tariffs - Number of connections (000s)</v>
      </c>
      <c r="D544" s="2" t="s">
        <v>13</v>
      </c>
      <c r="E544" s="2" t="s">
        <v>9</v>
      </c>
      <c r="F544" s="1683" t="str">
        <f>IF(ISBLANK('2H'!$C$20), "", '2H'!$C$20)</f>
        <v>n/a</v>
      </c>
      <c r="G544" s="1635">
        <f>'2H'!H20</f>
        <v>0.151</v>
      </c>
      <c r="H544" s="1636"/>
    </row>
    <row r="545" spans="1:8">
      <c r="A545" s="1634" t="str">
        <f>INDEX(Lists!$C$4:$C$24,MATCH(Validation!$B$3,Lists!$B$4:$B$24,0))</f>
        <v>TMS</v>
      </c>
      <c r="B545" s="2" t="str">
        <f>'2H'!AG21</f>
        <v>CR1054SCO</v>
      </c>
      <c r="C545" s="1634" t="str">
        <f>'2H'!$C$8&amp;" - "&amp;'2H'!$H$3</f>
        <v>Default tariffs - Number of connections (000s)</v>
      </c>
      <c r="D545" s="2" t="s">
        <v>13</v>
      </c>
      <c r="E545" s="2" t="s">
        <v>9</v>
      </c>
      <c r="F545" s="1683" t="str">
        <f>IF(ISBLANK('2H'!$C$21), "", '2H'!$C$21)</f>
        <v>n/a</v>
      </c>
      <c r="G545" s="1635">
        <f>'2H'!H21</f>
        <v>2.5999999999999999E-2</v>
      </c>
      <c r="H545" s="1636"/>
    </row>
    <row r="546" spans="1:8">
      <c r="A546" s="1634" t="str">
        <f>INDEX(Lists!$C$4:$C$24,MATCH(Validation!$B$3,Lists!$B$4:$B$24,0))</f>
        <v>TMS</v>
      </c>
      <c r="B546" s="2" t="str">
        <f>'2H'!AG22</f>
        <v>CR1055SCO</v>
      </c>
      <c r="C546" s="1634" t="str">
        <f>'2H'!$C$8&amp;" - "&amp;'2H'!$H$3</f>
        <v>Default tariffs - Number of connections (000s)</v>
      </c>
      <c r="D546" s="2" t="s">
        <v>13</v>
      </c>
      <c r="E546" s="2" t="s">
        <v>9</v>
      </c>
      <c r="F546" s="1683" t="str">
        <f>IF(ISBLANK('2H'!$C$22), "", '2H'!$C$22)</f>
        <v>n/a</v>
      </c>
      <c r="G546" s="1635">
        <f>'2H'!H22</f>
        <v>2E-3</v>
      </c>
      <c r="H546" s="1636"/>
    </row>
    <row r="547" spans="1:8">
      <c r="A547" s="1634" t="str">
        <f>INDEX(Lists!$C$4:$C$24,MATCH(Validation!$B$3,Lists!$B$4:$B$24,0))</f>
        <v>TMS</v>
      </c>
      <c r="B547" s="2" t="str">
        <f>'2H'!AG23</f>
        <v>CR1056SCO</v>
      </c>
      <c r="C547" s="1634" t="str">
        <f>'2H'!$C$8&amp;" - "&amp;'2H'!$H$3</f>
        <v>Default tariffs - Number of connections (000s)</v>
      </c>
      <c r="D547" s="2" t="s">
        <v>13</v>
      </c>
      <c r="E547" s="2" t="s">
        <v>9</v>
      </c>
      <c r="F547" s="1683" t="str">
        <f>IF(ISBLANK('2H'!$C$23), "", '2H'!$C$23)</f>
        <v>[0 - 500 Business Assessed]  [0 - 500m3] [sewerage] [unmetered]</v>
      </c>
      <c r="G547" s="1635">
        <f>'2H'!H23</f>
        <v>25.474</v>
      </c>
      <c r="H547" s="1636"/>
    </row>
    <row r="548" spans="1:8">
      <c r="A548" s="1634" t="str">
        <f>INDEX(Lists!$C$4:$C$24,MATCH(Validation!$B$3,Lists!$B$4:$B$24,0))</f>
        <v>TMS</v>
      </c>
      <c r="B548" s="2" t="str">
        <f>'2H'!AG24</f>
        <v>CR1057SCO</v>
      </c>
      <c r="C548" s="1634" t="str">
        <f>'2H'!$C$8&amp;" - "&amp;'2H'!$H$3</f>
        <v>Default tariffs - Number of connections (000s)</v>
      </c>
      <c r="D548" s="2" t="s">
        <v>13</v>
      </c>
      <c r="E548" s="2" t="s">
        <v>9</v>
      </c>
      <c r="F548" s="1683" t="str">
        <f>IF(ISBLANK('2H'!$C$24), "", '2H'!$C$24)</f>
        <v>[500 - 1,000 Business Assessed]  [500 - 1,000m3] [sewerage] [unmetered]</v>
      </c>
      <c r="G548" s="1635">
        <f>'2H'!H24</f>
        <v>1.03</v>
      </c>
      <c r="H548" s="1636"/>
    </row>
    <row r="549" spans="1:8">
      <c r="A549" s="1634" t="str">
        <f>INDEX(Lists!$C$4:$C$24,MATCH(Validation!$B$3,Lists!$B$4:$B$24,0))</f>
        <v>TMS</v>
      </c>
      <c r="B549" s="2" t="str">
        <f>'2H'!AG25</f>
        <v>CR1058SCO</v>
      </c>
      <c r="C549" s="1634" t="str">
        <f>'2H'!$C$8&amp;" - "&amp;'2H'!$H$3</f>
        <v>Default tariffs - Number of connections (000s)</v>
      </c>
      <c r="D549" s="2" t="s">
        <v>13</v>
      </c>
      <c r="E549" s="2" t="s">
        <v>9</v>
      </c>
      <c r="F549" s="1683" t="str">
        <f>IF(ISBLANK('2H'!$C$25), "", '2H'!$C$25)</f>
        <v>[1,000 - 5,000 Business Assessed]  [1,000 - 5,000m3] [sewerage] [unmetered]</v>
      </c>
      <c r="G549" s="1635">
        <f>'2H'!H25</f>
        <v>0.63100000000000001</v>
      </c>
      <c r="H549" s="1636"/>
    </row>
    <row r="550" spans="1:8">
      <c r="A550" s="1634" t="str">
        <f>INDEX(Lists!$C$4:$C$24,MATCH(Validation!$B$3,Lists!$B$4:$B$24,0))</f>
        <v>TMS</v>
      </c>
      <c r="B550" s="2" t="str">
        <f>'2H'!AG26</f>
        <v>CR1059SCO</v>
      </c>
      <c r="C550" s="1634" t="str">
        <f>'2H'!$C$8&amp;" - "&amp;'2H'!$H$3</f>
        <v>Default tariffs - Number of connections (000s)</v>
      </c>
      <c r="D550" s="2" t="s">
        <v>13</v>
      </c>
      <c r="E550" s="2" t="s">
        <v>9</v>
      </c>
      <c r="F550" s="1683" t="str">
        <f>IF(ISBLANK('2H'!$C$26), "", '2H'!$C$26)</f>
        <v>n/a</v>
      </c>
      <c r="G550" s="1635">
        <f>'2H'!H26</f>
        <v>3.3000000000000002E-2</v>
      </c>
      <c r="H550" s="1636"/>
    </row>
    <row r="551" spans="1:8">
      <c r="A551" s="1634" t="str">
        <f>INDEX(Lists!$C$4:$C$24,MATCH(Validation!$B$3,Lists!$B$4:$B$24,0))</f>
        <v>TMS</v>
      </c>
      <c r="B551" s="2" t="str">
        <f>'2H'!AG27</f>
        <v>CR1060SCO</v>
      </c>
      <c r="C551" s="1634" t="str">
        <f>'2H'!$C$8&amp;" - "&amp;'2H'!$H$3</f>
        <v>Default tariffs - Number of connections (000s)</v>
      </c>
      <c r="D551" s="2" t="s">
        <v>13</v>
      </c>
      <c r="E551" s="2" t="s">
        <v>9</v>
      </c>
      <c r="F551" s="1683" t="str">
        <f>IF(ISBLANK('2H'!$C$27), "", '2H'!$C$27)</f>
        <v>[Unmeasured RV + Fixed]  [N/A] [sewerage] [unmetered]</v>
      </c>
      <c r="G551" s="1635">
        <f>'2H'!H27</f>
        <v>21.257999999999999</v>
      </c>
      <c r="H551" s="1636"/>
    </row>
    <row r="552" spans="1:8">
      <c r="A552" s="1634" t="str">
        <f>INDEX(Lists!$C$4:$C$24,MATCH(Validation!$B$3,Lists!$B$4:$B$24,0))</f>
        <v>TMS</v>
      </c>
      <c r="B552" s="2" t="str">
        <f>'2H'!AG28</f>
        <v>CR1061SCO</v>
      </c>
      <c r="C552" s="1634" t="str">
        <f>'2H'!$C$8&amp;" - "&amp;'2H'!$H$3</f>
        <v>Default tariffs - Number of connections (000s)</v>
      </c>
      <c r="D552" s="2" t="s">
        <v>13</v>
      </c>
      <c r="E552" s="2" t="s">
        <v>9</v>
      </c>
      <c r="F552" s="1683" t="str">
        <f>IF(ISBLANK('2H'!$C$28), "", '2H'!$C$28)</f>
        <v>Wastewater services 5 to 50 MI</v>
      </c>
      <c r="G552" s="1635">
        <f>'2H'!H28</f>
        <v>0</v>
      </c>
      <c r="H552" s="1636"/>
    </row>
    <row r="553" spans="1:8">
      <c r="A553" s="1634" t="str">
        <f>INDEX(Lists!$C$4:$C$24,MATCH(Validation!$B$3,Lists!$B$4:$B$24,0))</f>
        <v>TMS</v>
      </c>
      <c r="B553" s="2" t="str">
        <f>'2H'!AG29</f>
        <v>CR1062SCO</v>
      </c>
      <c r="C553" s="1634" t="str">
        <f>'2H'!$C$8&amp;" - "&amp;'2H'!$H$3</f>
        <v>Default tariffs - Number of connections (000s)</v>
      </c>
      <c r="D553" s="2" t="s">
        <v>13</v>
      </c>
      <c r="E553" s="2" t="s">
        <v>9</v>
      </c>
      <c r="F553" s="1683" t="str">
        <f>IF(ISBLANK('2H'!$C$29), "", '2H'!$C$29)</f>
        <v>Wastewater services 50 MI and over</v>
      </c>
      <c r="G553" s="1635">
        <f>'2H'!H29</f>
        <v>0</v>
      </c>
      <c r="H553" s="1636"/>
    </row>
    <row r="554" spans="1:8">
      <c r="A554" s="1634" t="str">
        <f>INDEX(Lists!$C$4:$C$24,MATCH(Validation!$B$3,Lists!$B$4:$B$24,0))</f>
        <v>TMS</v>
      </c>
      <c r="B554" s="2" t="str">
        <f>'2H'!AG30</f>
        <v>CR1063SCO</v>
      </c>
      <c r="C554" s="1634" t="str">
        <f>'2H'!$C$8&amp;" - "&amp;'2H'!$H$3</f>
        <v>Default tariffs - Number of connections (000s)</v>
      </c>
      <c r="D554" s="2" t="s">
        <v>13</v>
      </c>
      <c r="E554" s="2" t="s">
        <v>9</v>
      </c>
      <c r="F554" s="1683" t="str">
        <f>IF(ISBLANK('2H'!$C$30), "", '2H'!$C$30)</f>
        <v/>
      </c>
      <c r="G554" s="1635">
        <f>'2H'!H30</f>
        <v>0</v>
      </c>
      <c r="H554" s="1636"/>
    </row>
    <row r="555" spans="1:8" ht="15" thickBot="1">
      <c r="A555" s="1642" t="str">
        <f>INDEX(Lists!$C$4:$C$24,MATCH(Validation!$B$3,Lists!$B$4:$B$24,0))</f>
        <v>TMS</v>
      </c>
      <c r="B555" s="2" t="str">
        <f>'2H'!AG37</f>
        <v>CR1030SCU</v>
      </c>
      <c r="C555" s="1642" t="str">
        <f>'2H'!$C$37&amp;" - "&amp;'2H'!$H$35</f>
        <v>Total - Number of customers (000s)</v>
      </c>
      <c r="D555" s="1648" t="s">
        <v>13</v>
      </c>
      <c r="E555" s="1648" t="s">
        <v>9</v>
      </c>
      <c r="F555" s="1642"/>
      <c r="G555" s="1658">
        <f>'2H'!H37</f>
        <v>253.976</v>
      </c>
      <c r="H555" s="1649"/>
    </row>
    <row r="556" spans="1:8">
      <c r="A556" s="1634" t="str">
        <f>INDEX(Lists!$C$4:$C$24,MATCH(Validation!$B$3,Lists!$B$4:$B$24,0))</f>
        <v>TMS</v>
      </c>
      <c r="B556" s="1689" t="str">
        <f>'2I'!BI6</f>
        <v>CR581</v>
      </c>
      <c r="C556" s="1641" t="str">
        <f>'2I'!$BE$5&amp;" - "&amp;'2I'!BE6&amp;" ("&amp;'2I'!$BI$3&amp;")"</f>
        <v>Wholesale charge - water - Unmeasured (Household)</v>
      </c>
      <c r="D556" s="1644" t="s">
        <v>8</v>
      </c>
      <c r="E556" s="1644" t="s">
        <v>9</v>
      </c>
      <c r="F556" s="1641"/>
      <c r="G556" s="1659">
        <f>'2I'!G6</f>
        <v>420.21899999999999</v>
      </c>
      <c r="H556" s="1645"/>
    </row>
    <row r="557" spans="1:8">
      <c r="A557" s="1634" t="str">
        <f>INDEX(Lists!$C$4:$C$24,MATCH(Validation!$B$3,Lists!$B$4:$B$24,0))</f>
        <v>TMS</v>
      </c>
      <c r="B557" s="1690" t="str">
        <f>'2I'!BI7</f>
        <v>CR582</v>
      </c>
      <c r="C557" s="1634" t="str">
        <f>'2I'!$BE$5&amp;" - "&amp;'2I'!BE7&amp;" ("&amp;'2I'!$BI$3&amp;")"</f>
        <v>Wholesale charge - water - Measured (Household)</v>
      </c>
      <c r="D557" s="2" t="s">
        <v>8</v>
      </c>
      <c r="E557" s="2" t="s">
        <v>9</v>
      </c>
      <c r="F557" s="1634"/>
      <c r="G557" s="1635">
        <f>'2I'!G7</f>
        <v>207.804</v>
      </c>
      <c r="H557" s="1636"/>
    </row>
    <row r="558" spans="1:8">
      <c r="A558" s="1634" t="str">
        <f>INDEX(Lists!$C$4:$C$24,MATCH(Validation!$B$3,Lists!$B$4:$B$24,0))</f>
        <v>TMS</v>
      </c>
      <c r="B558" s="1690" t="str">
        <f>'2I'!BI8</f>
        <v>W9008HH</v>
      </c>
      <c r="C558" s="1634" t="str">
        <f>'2I'!$BE$5&amp;" - "&amp;'2I'!BE8&amp;" ("&amp;'2I'!$BI$3&amp;")"</f>
        <v>Wholesale charge - water - Third party revenue (Household)</v>
      </c>
      <c r="D558" s="2" t="s">
        <v>8</v>
      </c>
      <c r="E558" s="2" t="s">
        <v>9</v>
      </c>
      <c r="F558" s="1634"/>
      <c r="G558" s="1635">
        <f>'2I'!G8</f>
        <v>0</v>
      </c>
      <c r="H558" s="1636"/>
    </row>
    <row r="559" spans="1:8">
      <c r="A559" s="1634" t="str">
        <f>INDEX(Lists!$C$4:$C$24,MATCH(Validation!$B$3,Lists!$B$4:$B$24,0))</f>
        <v>TMS</v>
      </c>
      <c r="B559" s="1690" t="str">
        <f>'2I'!BI12</f>
        <v>CR881</v>
      </c>
      <c r="C559" s="1634" t="str">
        <f>'2I'!$BE$11&amp;" - "&amp;'2I'!BE12&amp;" ("&amp;'2I'!$BI$3&amp;")"</f>
        <v>Wholesale charge - wastewater - Unmeasured (Household)</v>
      </c>
      <c r="D559" s="2" t="s">
        <v>8</v>
      </c>
      <c r="E559" s="2" t="s">
        <v>9</v>
      </c>
      <c r="F559" s="1634"/>
      <c r="G559" s="1635">
        <f>'2I'!G12</f>
        <v>446.28899999999999</v>
      </c>
      <c r="H559" s="1636"/>
    </row>
    <row r="560" spans="1:8">
      <c r="A560" s="1634" t="str">
        <f>INDEX(Lists!$C$4:$C$24,MATCH(Validation!$B$3,Lists!$B$4:$B$24,0))</f>
        <v>TMS</v>
      </c>
      <c r="B560" s="1690" t="str">
        <f>'2I'!BI13</f>
        <v>CR882</v>
      </c>
      <c r="C560" s="1634" t="str">
        <f>'2I'!$BE$11&amp;" - "&amp;'2I'!BE13&amp;" ("&amp;'2I'!$BI$3&amp;")"</f>
        <v>Wholesale charge - wastewater - Measured (Household)</v>
      </c>
      <c r="D560" s="2" t="s">
        <v>8</v>
      </c>
      <c r="E560" s="2" t="s">
        <v>9</v>
      </c>
      <c r="F560" s="1634"/>
      <c r="G560" s="1635">
        <f>'2I'!G13</f>
        <v>312.07400000000001</v>
      </c>
      <c r="H560" s="1636"/>
    </row>
    <row r="561" spans="1:8">
      <c r="A561" s="1634" t="str">
        <f>INDEX(Lists!$C$4:$C$24,MATCH(Validation!$B$3,Lists!$B$4:$B$24,0))</f>
        <v>TMS</v>
      </c>
      <c r="B561" s="1690" t="str">
        <f>'2I'!BI14</f>
        <v>S9008HH</v>
      </c>
      <c r="C561" s="1634" t="str">
        <f>'2I'!$BE$11&amp;" - "&amp;'2I'!BE14&amp;" ("&amp;'2I'!$BI$3&amp;")"</f>
        <v>Wholesale charge - wastewater - Third party revenue (Household)</v>
      </c>
      <c r="D561" s="2" t="s">
        <v>8</v>
      </c>
      <c r="E561" s="2" t="s">
        <v>9</v>
      </c>
      <c r="F561" s="1634"/>
      <c r="G561" s="1635">
        <f>'2I'!G14</f>
        <v>0</v>
      </c>
      <c r="H561" s="1636"/>
    </row>
    <row r="562" spans="1:8">
      <c r="A562" s="1634" t="str">
        <f>INDEX(Lists!$C$4:$C$24,MATCH(Validation!$B$3,Lists!$B$4:$B$24,0))</f>
        <v>TMS</v>
      </c>
      <c r="B562" s="1690" t="str">
        <f>'2I'!BI18</f>
        <v>BR881TTT</v>
      </c>
      <c r="C562" s="1634" t="str">
        <f>'2I'!$BE$17&amp;" - "&amp;'2I'!BE18&amp;" ("&amp;'2I'!$BI$3&amp;")"</f>
        <v>Wholesale charge - TTT - Unmeasured (Household)</v>
      </c>
      <c r="D562" s="2" t="s">
        <v>8</v>
      </c>
      <c r="E562" s="2" t="s">
        <v>9</v>
      </c>
      <c r="F562" s="1634"/>
      <c r="G562" s="1635">
        <f>'2I'!G18</f>
        <v>25.67</v>
      </c>
      <c r="H562" s="1636"/>
    </row>
    <row r="563" spans="1:8">
      <c r="A563" s="1634" t="str">
        <f>INDEX(Lists!$C$4:$C$24,MATCH(Validation!$B$3,Lists!$B$4:$B$24,0))</f>
        <v>TMS</v>
      </c>
      <c r="B563" s="1690" t="str">
        <f>'2I'!BI19</f>
        <v>BR882TTT</v>
      </c>
      <c r="C563" s="1634" t="str">
        <f>'2I'!$BE$17&amp;" - "&amp;'2I'!BE19&amp;" ("&amp;'2I'!$BI$3&amp;")"</f>
        <v>Wholesale charge - TTT - Measured (Household)</v>
      </c>
      <c r="D563" s="2" t="s">
        <v>8</v>
      </c>
      <c r="E563" s="2" t="s">
        <v>9</v>
      </c>
      <c r="F563" s="1634"/>
      <c r="G563" s="1635">
        <f>'2I'!G19</f>
        <v>17.95</v>
      </c>
      <c r="H563" s="1636"/>
    </row>
    <row r="564" spans="1:8">
      <c r="A564" s="1634" t="str">
        <f>INDEX(Lists!$C$4:$C$24,MATCH(Validation!$B$3,Lists!$B$4:$B$24,0))</f>
        <v>TMS</v>
      </c>
      <c r="B564" s="1690" t="str">
        <f>'2I'!BI20</f>
        <v>S9008HHTTT</v>
      </c>
      <c r="C564" s="1634" t="str">
        <f>'2I'!$BE$17&amp;" - "&amp;'2I'!BE20&amp;" ("&amp;'2I'!$BI$3&amp;")"</f>
        <v>Wholesale charge - TTT - Third party revenue (Household)</v>
      </c>
      <c r="D564" s="2" t="s">
        <v>8</v>
      </c>
      <c r="E564" s="2" t="s">
        <v>9</v>
      </c>
      <c r="F564" s="1634"/>
      <c r="G564" s="1635">
        <f>'2I'!G20</f>
        <v>0</v>
      </c>
      <c r="H564" s="1636"/>
    </row>
    <row r="565" spans="1:8">
      <c r="A565" s="1634" t="str">
        <f>INDEX(Lists!$C$4:$C$24,MATCH(Validation!$B$3,Lists!$B$4:$B$24,0))</f>
        <v>TMS</v>
      </c>
      <c r="B565" s="1690" t="str">
        <f>'2I'!BI26</f>
        <v>A19002RRH</v>
      </c>
      <c r="C565" s="1634" t="str">
        <f>'2I'!$BE$25&amp;" - "&amp;'2I'!BE26&amp;" ("&amp;'2I'!$BI$3&amp;")"</f>
        <v>Retail revenue - Unmeasured (Household)</v>
      </c>
      <c r="D565" s="2" t="s">
        <v>8</v>
      </c>
      <c r="E565" s="2" t="s">
        <v>9</v>
      </c>
      <c r="F565" s="1634"/>
      <c r="G565" s="1635">
        <f>'2I'!G26</f>
        <v>91.183000000000007</v>
      </c>
      <c r="H565" s="1636"/>
    </row>
    <row r="566" spans="1:8">
      <c r="A566" s="1634" t="str">
        <f>INDEX(Lists!$C$4:$C$24,MATCH(Validation!$B$3,Lists!$B$4:$B$24,0))</f>
        <v>TMS</v>
      </c>
      <c r="B566" s="1690" t="str">
        <f>'2I'!BI27</f>
        <v>A19003RRH</v>
      </c>
      <c r="C566" s="1634" t="str">
        <f>'2I'!$BE$25&amp;" - "&amp;'2I'!BE27&amp;" ("&amp;'2I'!$BI$3&amp;")"</f>
        <v>Retail revenue - Measured (Household)</v>
      </c>
      <c r="D566" s="2" t="s">
        <v>8</v>
      </c>
      <c r="E566" s="2" t="s">
        <v>9</v>
      </c>
      <c r="F566" s="1634"/>
      <c r="G566" s="1635">
        <f>'2I'!G27</f>
        <v>77.108999999999995</v>
      </c>
      <c r="H566" s="1636"/>
    </row>
    <row r="567" spans="1:8">
      <c r="A567" s="1634" t="str">
        <f>INDEX(Lists!$C$4:$C$24,MATCH(Validation!$B$3,Lists!$B$4:$B$24,0))</f>
        <v>TMS</v>
      </c>
      <c r="B567" s="1690" t="str">
        <f>'2I'!BI28</f>
        <v>A19039RRH</v>
      </c>
      <c r="C567" s="1634" t="str">
        <f>'2I'!$BE$25&amp;" - "&amp;'2I'!BE28&amp;" ("&amp;'2I'!$BI$3&amp;")"</f>
        <v>Retail revenue - Other third party revenue (Household)</v>
      </c>
      <c r="D567" s="2" t="s">
        <v>8</v>
      </c>
      <c r="E567" s="2" t="s">
        <v>9</v>
      </c>
      <c r="F567" s="1634"/>
      <c r="G567" s="1635">
        <f>'2I'!G28</f>
        <v>0</v>
      </c>
      <c r="H567" s="1636"/>
    </row>
    <row r="568" spans="1:8">
      <c r="A568" s="1634" t="str">
        <f>INDEX(Lists!$C$4:$C$24,MATCH(Validation!$B$3,Lists!$B$4:$B$24,0))</f>
        <v>TMS</v>
      </c>
      <c r="B568" s="1690" t="str">
        <f>'2I'!BI45</f>
        <v>BC11274</v>
      </c>
      <c r="C568" s="1634" t="str">
        <f>'2I'!BE45&amp;" ("&amp;'2I'!$BI$42&amp;")"</f>
        <v>Grants &amp; contributions (Water)</v>
      </c>
      <c r="D568" s="2" t="s">
        <v>8</v>
      </c>
      <c r="E568" s="2" t="s">
        <v>9</v>
      </c>
      <c r="F568" s="1634"/>
      <c r="G568" s="1635">
        <f>'2I'!G45</f>
        <v>0</v>
      </c>
      <c r="H568" s="1636"/>
    </row>
    <row r="569" spans="1:8">
      <c r="A569" s="1634" t="str">
        <f>INDEX(Lists!$C$4:$C$24,MATCH(Validation!$B$3,Lists!$B$4:$B$24,0))</f>
        <v>TMS</v>
      </c>
      <c r="B569" s="1690" t="str">
        <f>'2I'!BI48</f>
        <v>CRW001</v>
      </c>
      <c r="C569" s="1634" t="str">
        <f>'2I'!BE48&amp;" ("&amp;'2I'!$BI$42&amp;")"</f>
        <v>Amount assumed in wholesale determination (Water)</v>
      </c>
      <c r="D569" s="2" t="s">
        <v>8</v>
      </c>
      <c r="E569" s="2" t="s">
        <v>9</v>
      </c>
      <c r="F569" s="1634"/>
      <c r="G569" s="1635">
        <f>'2I'!G48</f>
        <v>0</v>
      </c>
      <c r="H569" s="1636"/>
    </row>
    <row r="570" spans="1:8">
      <c r="A570" s="1634" t="str">
        <f>INDEX(Lists!$C$4:$C$24,MATCH(Validation!$B$3,Lists!$B$4:$B$24,0))</f>
        <v>TMS</v>
      </c>
      <c r="B570" s="1690" t="str">
        <f>'2I'!BI49</f>
        <v>CRW008</v>
      </c>
      <c r="C570" s="1634" t="str">
        <f>'2I'!BE49&amp;" ("&amp;'2I'!$BI$42&amp;")"</f>
        <v>Adjustment for in-period ODI revenue (Water)</v>
      </c>
      <c r="D570" s="2" t="s">
        <v>8</v>
      </c>
      <c r="E570" s="2" t="s">
        <v>9</v>
      </c>
      <c r="F570" s="1634"/>
      <c r="G570" s="1635">
        <f>'2I'!G49</f>
        <v>0</v>
      </c>
      <c r="H570" s="1636"/>
    </row>
    <row r="571" spans="1:8">
      <c r="A571" s="1634" t="str">
        <f>INDEX(Lists!$C$4:$C$24,MATCH(Validation!$B$3,Lists!$B$4:$B$24,0))</f>
        <v>TMS</v>
      </c>
      <c r="B571" s="1690" t="str">
        <f>'2I'!BI50</f>
        <v>CRW009</v>
      </c>
      <c r="C571" s="1634" t="str">
        <f>'2I'!BE50&amp;" ("&amp;'2I'!$BI$42&amp;")"</f>
        <v>Adjustment for WRFIM (Water)</v>
      </c>
      <c r="D571" s="2" t="s">
        <v>8</v>
      </c>
      <c r="E571" s="2" t="s">
        <v>9</v>
      </c>
      <c r="F571" s="1634"/>
      <c r="G571" s="1635">
        <f>'2I'!G50</f>
        <v>0</v>
      </c>
      <c r="H571" s="1636"/>
    </row>
    <row r="572" spans="1:8">
      <c r="A572" s="1634" t="str">
        <f>INDEX(Lists!$C$4:$C$24,MATCH(Validation!$B$3,Lists!$B$4:$B$24,0))</f>
        <v>TMS</v>
      </c>
      <c r="B572" s="1690" t="str">
        <f>'2I'!BJ6</f>
        <v>CR583</v>
      </c>
      <c r="C572" s="1634" t="str">
        <f>'2I'!$BE$5&amp;" - "&amp;'2I'!BE6&amp;" ("&amp;'2I'!$BJ$3&amp;")"</f>
        <v>Wholesale charge - water - Unmeasured (Non-household)</v>
      </c>
      <c r="D572" s="2" t="s">
        <v>8</v>
      </c>
      <c r="E572" s="2" t="s">
        <v>9</v>
      </c>
      <c r="F572" s="1634"/>
      <c r="G572" s="1635">
        <f>'2I'!H6</f>
        <v>13.959</v>
      </c>
      <c r="H572" s="1636"/>
    </row>
    <row r="573" spans="1:8">
      <c r="A573" s="1634" t="str">
        <f>INDEX(Lists!$C$4:$C$24,MATCH(Validation!$B$3,Lists!$B$4:$B$24,0))</f>
        <v>TMS</v>
      </c>
      <c r="B573" s="1690" t="str">
        <f>'2I'!BJ7</f>
        <v>CR584</v>
      </c>
      <c r="C573" s="1634" t="str">
        <f>'2I'!$BE$5&amp;" - "&amp;'2I'!BE7&amp;" ("&amp;'2I'!$BJ$3&amp;")"</f>
        <v>Wholesale charge - water - Measured (Non-household)</v>
      </c>
      <c r="D573" s="2" t="s">
        <v>8</v>
      </c>
      <c r="E573" s="2" t="s">
        <v>9</v>
      </c>
      <c r="F573" s="1634"/>
      <c r="G573" s="1635">
        <f>'2I'!H7</f>
        <v>200.053</v>
      </c>
      <c r="H573" s="1636"/>
    </row>
    <row r="574" spans="1:8">
      <c r="A574" s="1634" t="str">
        <f>INDEX(Lists!$C$4:$C$24,MATCH(Validation!$B$3,Lists!$B$4:$B$24,0))</f>
        <v>TMS</v>
      </c>
      <c r="B574" s="1690" t="str">
        <f>'2I'!BJ8</f>
        <v>W9008NHH</v>
      </c>
      <c r="C574" s="1634" t="str">
        <f>'2I'!$BE$5&amp;" - "&amp;'2I'!BE8&amp;" ("&amp;'2I'!$BJ$3&amp;")"</f>
        <v>Wholesale charge - water - Third party revenue (Non-household)</v>
      </c>
      <c r="D574" s="2" t="s">
        <v>8</v>
      </c>
      <c r="E574" s="2" t="s">
        <v>9</v>
      </c>
      <c r="F574" s="1634"/>
      <c r="G574" s="1635">
        <f>'2I'!H8</f>
        <v>0</v>
      </c>
      <c r="H574" s="1636"/>
    </row>
    <row r="575" spans="1:8">
      <c r="A575" s="1634" t="str">
        <f>INDEX(Lists!$C$4:$C$24,MATCH(Validation!$B$3,Lists!$B$4:$B$24,0))</f>
        <v>TMS</v>
      </c>
      <c r="B575" s="1690" t="str">
        <f>'2I'!BJ12</f>
        <v>CR883</v>
      </c>
      <c r="C575" s="1634" t="str">
        <f>'2I'!$BE$11&amp;" - "&amp;'2I'!BE12&amp;" ("&amp;'2I'!$BJ$3&amp;")"</f>
        <v>Wholesale charge - wastewater - Unmeasured (Non-household)</v>
      </c>
      <c r="D575" s="2" t="s">
        <v>8</v>
      </c>
      <c r="E575" s="2" t="s">
        <v>9</v>
      </c>
      <c r="F575" s="1634"/>
      <c r="G575" s="1635">
        <f>'2I'!H12</f>
        <v>15.406000000000001</v>
      </c>
      <c r="H575" s="1636"/>
    </row>
    <row r="576" spans="1:8">
      <c r="A576" s="1634" t="str">
        <f>INDEX(Lists!$C$4:$C$24,MATCH(Validation!$B$3,Lists!$B$4:$B$24,0))</f>
        <v>TMS</v>
      </c>
      <c r="B576" s="1690" t="str">
        <f>'2I'!BJ13</f>
        <v>CR884</v>
      </c>
      <c r="C576" s="1634" t="str">
        <f>'2I'!$BE$11&amp;" - "&amp;'2I'!BE13&amp;" ("&amp;'2I'!$BJ$3&amp;")"</f>
        <v>Wholesale charge - wastewater - Measured (Non-household)</v>
      </c>
      <c r="D576" s="2" t="s">
        <v>8</v>
      </c>
      <c r="E576" s="2" t="s">
        <v>9</v>
      </c>
      <c r="F576" s="1634"/>
      <c r="G576" s="1635">
        <f>'2I'!H13</f>
        <v>161.631</v>
      </c>
      <c r="H576" s="1636"/>
    </row>
    <row r="577" spans="1:8">
      <c r="A577" s="1634" t="str">
        <f>INDEX(Lists!$C$4:$C$24,MATCH(Validation!$B$3,Lists!$B$4:$B$24,0))</f>
        <v>TMS</v>
      </c>
      <c r="B577" s="1690" t="str">
        <f>'2I'!BJ14</f>
        <v>S9008NHH</v>
      </c>
      <c r="C577" s="1634" t="str">
        <f>'2I'!$BE$11&amp;" - "&amp;'2I'!BE14&amp;" ("&amp;'2I'!$BJ$3&amp;")"</f>
        <v>Wholesale charge - wastewater - Third party revenue (Non-household)</v>
      </c>
      <c r="D577" s="2" t="s">
        <v>8</v>
      </c>
      <c r="E577" s="2" t="s">
        <v>9</v>
      </c>
      <c r="F577" s="1634"/>
      <c r="G577" s="1635">
        <f>'2I'!H14</f>
        <v>0</v>
      </c>
      <c r="H577" s="1636"/>
    </row>
    <row r="578" spans="1:8">
      <c r="A578" s="1634" t="str">
        <f>INDEX(Lists!$C$4:$C$24,MATCH(Validation!$B$3,Lists!$B$4:$B$24,0))</f>
        <v>TMS</v>
      </c>
      <c r="B578" s="1690" t="str">
        <f>'2I'!BJ18</f>
        <v>BR883TTT</v>
      </c>
      <c r="C578" s="1634" t="str">
        <f>'2I'!$BE$17&amp;" - "&amp;'2I'!BE18&amp;" ("&amp;'2I'!$BJ$3&amp;")"</f>
        <v>Wholesale charge - TTT - Unmeasured (Non-household)</v>
      </c>
      <c r="D578" s="2" t="s">
        <v>8</v>
      </c>
      <c r="E578" s="2" t="s">
        <v>9</v>
      </c>
      <c r="F578" s="1634"/>
      <c r="G578" s="1635">
        <f>'2I'!H18</f>
        <v>0.49</v>
      </c>
      <c r="H578" s="1636"/>
    </row>
    <row r="579" spans="1:8">
      <c r="A579" s="1634" t="str">
        <f>INDEX(Lists!$C$4:$C$24,MATCH(Validation!$B$3,Lists!$B$4:$B$24,0))</f>
        <v>TMS</v>
      </c>
      <c r="B579" s="1690" t="str">
        <f>'2I'!BJ19</f>
        <v>BR884TTT</v>
      </c>
      <c r="C579" s="1634" t="str">
        <f>'2I'!$BE$17&amp;" - "&amp;'2I'!BE19&amp;" ("&amp;'2I'!$BJ$3&amp;")"</f>
        <v>Wholesale charge - TTT - Measured (Non-household)</v>
      </c>
      <c r="D579" s="2" t="s">
        <v>8</v>
      </c>
      <c r="E579" s="2" t="s">
        <v>9</v>
      </c>
      <c r="F579" s="1634"/>
      <c r="G579" s="1635">
        <f>'2I'!H19</f>
        <v>10.242000000000001</v>
      </c>
      <c r="H579" s="1636"/>
    </row>
    <row r="580" spans="1:8">
      <c r="A580" s="1634" t="str">
        <f>INDEX(Lists!$C$4:$C$24,MATCH(Validation!$B$3,Lists!$B$4:$B$24,0))</f>
        <v>TMS</v>
      </c>
      <c r="B580" s="1690" t="str">
        <f>'2I'!BJ20</f>
        <v>S9008NHHTTT</v>
      </c>
      <c r="C580" s="1634" t="str">
        <f>'2I'!$BE$17&amp;" - "&amp;'2I'!BE20&amp;" ("&amp;'2I'!$BJ$3&amp;")"</f>
        <v>Wholesale charge - TTT - Third party revenue (Non-household)</v>
      </c>
      <c r="D580" s="2" t="s">
        <v>8</v>
      </c>
      <c r="E580" s="2" t="s">
        <v>9</v>
      </c>
      <c r="F580" s="1634"/>
      <c r="G580" s="1635">
        <f>'2I'!H20</f>
        <v>0</v>
      </c>
      <c r="H580" s="1636"/>
    </row>
    <row r="581" spans="1:8">
      <c r="A581" s="1634" t="str">
        <f>INDEX(Lists!$C$4:$C$24,MATCH(Validation!$B$3,Lists!$B$4:$B$24,0))</f>
        <v>TMS</v>
      </c>
      <c r="B581" s="1690" t="str">
        <f>'2I'!BJ26</f>
        <v>A19002RRNH</v>
      </c>
      <c r="C581" s="1634" t="str">
        <f>'2I'!$BE$25&amp;" - "&amp;'2I'!BE26&amp;" ("&amp;'2I'!$BJ$3&amp;")"</f>
        <v>Retail revenue - Unmeasured (Non-household)</v>
      </c>
      <c r="D581" s="2" t="s">
        <v>8</v>
      </c>
      <c r="E581" s="2" t="s">
        <v>9</v>
      </c>
      <c r="F581" s="1634"/>
      <c r="G581" s="1635">
        <f>'2I'!H26</f>
        <v>1.661</v>
      </c>
      <c r="H581" s="1636"/>
    </row>
    <row r="582" spans="1:8">
      <c r="A582" s="1634" t="str">
        <f>INDEX(Lists!$C$4:$C$24,MATCH(Validation!$B$3,Lists!$B$4:$B$24,0))</f>
        <v>TMS</v>
      </c>
      <c r="B582" s="1690" t="str">
        <f>'2I'!BJ27</f>
        <v>A19003RRNH</v>
      </c>
      <c r="C582" s="1634" t="str">
        <f>'2I'!$BE$25&amp;" - "&amp;'2I'!BE27&amp;" ("&amp;'2I'!$BJ$3&amp;")"</f>
        <v>Retail revenue - Measured (Non-household)</v>
      </c>
      <c r="D582" s="2" t="s">
        <v>8</v>
      </c>
      <c r="E582" s="2" t="s">
        <v>9</v>
      </c>
      <c r="F582" s="1634"/>
      <c r="G582" s="1635">
        <f>'2I'!H27</f>
        <v>-2.4889999999999999</v>
      </c>
      <c r="H582" s="1636"/>
    </row>
    <row r="583" spans="1:8">
      <c r="A583" s="1634" t="str">
        <f>INDEX(Lists!$C$4:$C$24,MATCH(Validation!$B$3,Lists!$B$4:$B$24,0))</f>
        <v>TMS</v>
      </c>
      <c r="B583" s="1690" t="str">
        <f>'2I'!BJ28</f>
        <v>A19039RRNH</v>
      </c>
      <c r="C583" s="1634" t="str">
        <f>'2I'!$BE$25&amp;" - "&amp;'2I'!BE28&amp;" ("&amp;'2I'!$BJ$3&amp;")"</f>
        <v>Retail revenue - Other third party revenue (Non-household)</v>
      </c>
      <c r="D583" s="2" t="s">
        <v>8</v>
      </c>
      <c r="E583" s="2" t="s">
        <v>9</v>
      </c>
      <c r="F583" s="1634"/>
      <c r="G583" s="1635">
        <f>'2I'!H28</f>
        <v>0</v>
      </c>
      <c r="H583" s="1636"/>
    </row>
    <row r="584" spans="1:8">
      <c r="A584" s="1634" t="str">
        <f>INDEX(Lists!$C$4:$C$24,MATCH(Validation!$B$3,Lists!$B$4:$B$24,0))</f>
        <v>TMS</v>
      </c>
      <c r="B584" s="1690" t="str">
        <f>'2I'!BJ45</f>
        <v>BC11374</v>
      </c>
      <c r="C584" s="1634" t="str">
        <f>'2I'!BE45&amp;" ("&amp;'2I'!$BJ$42&amp;")"</f>
        <v>Grants &amp; contributions (Wastewater)</v>
      </c>
      <c r="D584" s="2" t="s">
        <v>8</v>
      </c>
      <c r="E584" s="2" t="s">
        <v>9</v>
      </c>
      <c r="F584" s="1634"/>
      <c r="G584" s="1635">
        <f>'2I'!H45</f>
        <v>0</v>
      </c>
      <c r="H584" s="1636"/>
    </row>
    <row r="585" spans="1:8">
      <c r="A585" s="1634" t="str">
        <f>INDEX(Lists!$C$4:$C$24,MATCH(Validation!$B$3,Lists!$B$4:$B$24,0))</f>
        <v>TMS</v>
      </c>
      <c r="B585" s="1690" t="str">
        <f>'2I'!BJ48</f>
        <v>CRS001</v>
      </c>
      <c r="C585" s="1634" t="str">
        <f>'2I'!BE48&amp;" ("&amp;'2I'!$BJ$42&amp;")"</f>
        <v>Amount assumed in wholesale determination (Wastewater)</v>
      </c>
      <c r="D585" s="2" t="s">
        <v>8</v>
      </c>
      <c r="E585" s="2" t="s">
        <v>9</v>
      </c>
      <c r="F585" s="1634"/>
      <c r="G585" s="1635">
        <f>'2I'!H48</f>
        <v>0</v>
      </c>
      <c r="H585" s="1636"/>
    </row>
    <row r="586" spans="1:8">
      <c r="A586" s="1634" t="str">
        <f>INDEX(Lists!$C$4:$C$24,MATCH(Validation!$B$3,Lists!$B$4:$B$24,0))</f>
        <v>TMS</v>
      </c>
      <c r="B586" s="1690" t="str">
        <f>'2I'!BJ49</f>
        <v>CRS008</v>
      </c>
      <c r="C586" s="1634" t="str">
        <f>'2I'!BE49&amp;" ("&amp;'2I'!$BJ$42&amp;")"</f>
        <v>Adjustment for in-period ODI revenue (Wastewater)</v>
      </c>
      <c r="D586" s="2" t="s">
        <v>8</v>
      </c>
      <c r="E586" s="2" t="s">
        <v>9</v>
      </c>
      <c r="F586" s="1634"/>
      <c r="G586" s="1635">
        <f>'2I'!H49</f>
        <v>0</v>
      </c>
      <c r="H586" s="1636"/>
    </row>
    <row r="587" spans="1:8">
      <c r="A587" s="1634" t="str">
        <f>INDEX(Lists!$C$4:$C$24,MATCH(Validation!$B$3,Lists!$B$4:$B$24,0))</f>
        <v>TMS</v>
      </c>
      <c r="B587" s="1690" t="str">
        <f>'2I'!BJ50</f>
        <v>CRS009</v>
      </c>
      <c r="C587" s="1634" t="str">
        <f>'2I'!BE50&amp;" ("&amp;'2I'!$BJ$42&amp;")"</f>
        <v>Adjustment for WRFIM (Wastewater)</v>
      </c>
      <c r="D587" s="2" t="s">
        <v>8</v>
      </c>
      <c r="E587" s="2" t="s">
        <v>9</v>
      </c>
      <c r="F587" s="1634"/>
      <c r="G587" s="1635">
        <f>'2I'!H50</f>
        <v>0</v>
      </c>
      <c r="H587" s="1636"/>
    </row>
    <row r="588" spans="1:8">
      <c r="A588" s="1634" t="str">
        <f>INDEX(Lists!$C$4:$C$24,MATCH(Validation!$B$3,Lists!$B$4:$B$24,0))</f>
        <v>TMS</v>
      </c>
      <c r="B588" s="1690" t="str">
        <f>'2I'!BK32</f>
        <v>BM340NPCW</v>
      </c>
      <c r="C588" s="1634" t="str">
        <f>'2I'!$BE$31&amp;" - "&amp;'2I'!BE32&amp;" ("&amp;'2I'!$BK$3&amp;")"</f>
        <v>Third party revenue - non-price control - Bulk Supplies - water (Total)</v>
      </c>
      <c r="D588" s="2" t="s">
        <v>8</v>
      </c>
      <c r="E588" s="2" t="s">
        <v>9</v>
      </c>
      <c r="F588" s="1634"/>
      <c r="G588" s="1635">
        <f>'2I'!I32</f>
        <v>3.5750000000000002</v>
      </c>
      <c r="H588" s="1636"/>
    </row>
    <row r="589" spans="1:8">
      <c r="A589" s="1634" t="str">
        <f>INDEX(Lists!$C$4:$C$24,MATCH(Validation!$B$3,Lists!$B$4:$B$24,0))</f>
        <v>TMS</v>
      </c>
      <c r="B589" s="1690" t="str">
        <f>'2I'!BK33</f>
        <v>BM340NPCWW</v>
      </c>
      <c r="C589" s="1634" t="str">
        <f>'2I'!$BE$31&amp;" - "&amp;'2I'!BE33&amp;" ("&amp;'2I'!$BK$3&amp;")"</f>
        <v>Third party revenue - non-price control - Bulk Supplies - wastewater (Total)</v>
      </c>
      <c r="D589" s="2" t="s">
        <v>8</v>
      </c>
      <c r="E589" s="2" t="s">
        <v>9</v>
      </c>
      <c r="F589" s="1634"/>
      <c r="G589" s="1635">
        <f>'2I'!I33</f>
        <v>1.538</v>
      </c>
      <c r="H589" s="1636"/>
    </row>
    <row r="590" spans="1:8">
      <c r="A590" s="1634" t="str">
        <f>INDEX(Lists!$C$4:$C$24,MATCH(Validation!$B$3,Lists!$B$4:$B$24,0))</f>
        <v>TMS</v>
      </c>
      <c r="B590" s="1690" t="str">
        <f>'2I'!BK34</f>
        <v>A19039NPC</v>
      </c>
      <c r="C590" s="1634" t="str">
        <f>'2I'!$BE$31&amp;" - "&amp;'2I'!BE34&amp;" ("&amp;'2I'!$BK$3&amp;")"</f>
        <v>Third party revenue - non-price control - Other third party revenue (Total)</v>
      </c>
      <c r="D590" s="2" t="s">
        <v>8</v>
      </c>
      <c r="E590" s="2" t="s">
        <v>9</v>
      </c>
      <c r="F590" s="1634"/>
      <c r="G590" s="1635">
        <f>'2I'!I34</f>
        <v>15.599</v>
      </c>
      <c r="H590" s="1636"/>
    </row>
    <row r="591" spans="1:8">
      <c r="A591" s="1634" t="str">
        <f>INDEX(Lists!$C$4:$C$24,MATCH(Validation!$B$3,Lists!$B$4:$B$24,0))</f>
        <v>TMS</v>
      </c>
      <c r="B591" s="1690" t="str">
        <f>'2I'!BK37</f>
        <v>BR973NPC</v>
      </c>
      <c r="C591" s="1634" t="str">
        <f>'2I'!$BE$36&amp;" - "&amp;'2I'!BE37&amp;" ("&amp;'2I'!$BK$3&amp;")"</f>
        <v>Principal services - non-price control - Other appointed revenue (Total)</v>
      </c>
      <c r="D591" s="2" t="s">
        <v>8</v>
      </c>
      <c r="E591" s="2" t="s">
        <v>9</v>
      </c>
      <c r="F591" s="1634"/>
      <c r="G591" s="1635">
        <f>'2I'!I37</f>
        <v>0.17504878999999998</v>
      </c>
      <c r="H591" s="1636"/>
    </row>
    <row r="592" spans="1:8">
      <c r="A592" s="1634" t="str">
        <f>INDEX(Lists!$C$4:$C$24,MATCH(Validation!$B$3,Lists!$B$4:$B$24,0))</f>
        <v>TMS</v>
      </c>
      <c r="B592" s="1690" t="str">
        <f>'2I'!BK45</f>
        <v>BC11374TTT</v>
      </c>
      <c r="C592" s="1634" t="str">
        <f>'2I'!BE45&amp;" ("&amp;'2I'!$BK$42&amp;")"</f>
        <v>Grants &amp; contributions (TTT)</v>
      </c>
      <c r="D592" s="2" t="s">
        <v>8</v>
      </c>
      <c r="E592" s="2" t="s">
        <v>9</v>
      </c>
      <c r="F592" s="1634"/>
      <c r="G592" s="1635">
        <f>'2I'!I45</f>
        <v>0</v>
      </c>
      <c r="H592" s="1636"/>
    </row>
    <row r="593" spans="1:8">
      <c r="A593" s="1634" t="str">
        <f>INDEX(Lists!$C$4:$C$24,MATCH(Validation!$B$3,Lists!$B$4:$B$24,0))</f>
        <v>TMS</v>
      </c>
      <c r="B593" s="1690" t="str">
        <f>'2I'!BK48</f>
        <v>CRS001TTT</v>
      </c>
      <c r="C593" s="1634" t="str">
        <f>'2I'!BE48&amp;" ("&amp;'2I'!$BK$42&amp;")"</f>
        <v>Amount assumed in wholesale determination (TTT)</v>
      </c>
      <c r="D593" s="2" t="s">
        <v>8</v>
      </c>
      <c r="E593" s="2" t="s">
        <v>9</v>
      </c>
      <c r="F593" s="1634"/>
      <c r="G593" s="1635">
        <f>'2I'!I48</f>
        <v>0</v>
      </c>
      <c r="H593" s="1636"/>
    </row>
    <row r="594" spans="1:8">
      <c r="A594" s="1634" t="str">
        <f>INDEX(Lists!$C$4:$C$24,MATCH(Validation!$B$3,Lists!$B$4:$B$24,0))</f>
        <v>TMS</v>
      </c>
      <c r="B594" s="1690" t="str">
        <f>'2I'!BK49</f>
        <v>CRS008TTT</v>
      </c>
      <c r="C594" s="1634" t="str">
        <f>'2I'!BE49&amp;" ("&amp;'2I'!$BK$42&amp;")"</f>
        <v>Adjustment for in-period ODI revenue (TTT)</v>
      </c>
      <c r="D594" s="2" t="s">
        <v>8</v>
      </c>
      <c r="E594" s="2" t="s">
        <v>9</v>
      </c>
      <c r="F594" s="1634"/>
      <c r="G594" s="1635">
        <f>'2I'!I49</f>
        <v>0</v>
      </c>
      <c r="H594" s="1636"/>
    </row>
    <row r="595" spans="1:8" ht="15" thickBot="1">
      <c r="A595" s="1634" t="str">
        <f>INDEX(Lists!$C$4:$C$24,MATCH(Validation!$B$3,Lists!$B$4:$B$24,0))</f>
        <v>TMS</v>
      </c>
      <c r="B595" s="1690" t="str">
        <f>'2I'!BK50</f>
        <v>CRS009TTT</v>
      </c>
      <c r="C595" s="1634" t="str">
        <f>'2I'!BE50&amp;" ("&amp;'2I'!$BK$42&amp;")"</f>
        <v>Adjustment for WRFIM (TTT)</v>
      </c>
      <c r="D595" s="2" t="s">
        <v>8</v>
      </c>
      <c r="E595" s="2" t="s">
        <v>9</v>
      </c>
      <c r="F595" s="1634"/>
      <c r="G595" s="1635">
        <f>'2I'!I50</f>
        <v>0</v>
      </c>
      <c r="H595" s="1636"/>
    </row>
    <row r="596" spans="1:8">
      <c r="A596" s="1641" t="str">
        <f>INDEX(Lists!$C$4:$C$24,MATCH(Validation!$B$3,Lists!$B$4:$B$24,0))</f>
        <v>TMS</v>
      </c>
      <c r="B596" s="1644" t="str">
        <f>'2J'!AF6</f>
        <v>BC30449DT</v>
      </c>
      <c r="C596" s="1641" t="str">
        <f>'2J'!$AB$5&amp;" - "&amp;'2J'!AB6&amp;" ("&amp;'2J'!$AF$3&amp;")"</f>
        <v>Wholesale water network+ (treated water distribution) - Distribution and trunk mains (Network reinforcement capex)</v>
      </c>
      <c r="D596" s="1643" t="s">
        <v>8</v>
      </c>
      <c r="E596" s="1645" t="s">
        <v>9</v>
      </c>
      <c r="F596" s="1641"/>
      <c r="G596" s="1659">
        <f>'2J'!G6</f>
        <v>8.3390000000000004</v>
      </c>
      <c r="H596" s="1645"/>
    </row>
    <row r="597" spans="1:8">
      <c r="A597" s="1634" t="str">
        <f>INDEX(Lists!$C$4:$C$24,MATCH(Validation!$B$3,Lists!$B$4:$B$24,0))</f>
        <v>TMS</v>
      </c>
      <c r="B597" s="2" t="str">
        <f>'2J'!AF7</f>
        <v>BC30449PS</v>
      </c>
      <c r="C597" s="1634" t="str">
        <f>'2J'!$AB$5&amp;" - "&amp;'2J'!AB7&amp;" ("&amp;'2J'!$AF$3&amp;")"</f>
        <v>Wholesale water network+ (treated water distribution) - Pumping and storage facilities (Network reinforcement capex)</v>
      </c>
      <c r="D597" s="1646" t="s">
        <v>8</v>
      </c>
      <c r="E597" s="1636" t="s">
        <v>9</v>
      </c>
      <c r="F597" s="1634"/>
      <c r="G597" s="1635">
        <f>'2J'!G7</f>
        <v>-4.8000000000000001E-2</v>
      </c>
      <c r="H597" s="1636"/>
    </row>
    <row r="598" spans="1:8">
      <c r="A598" s="1634" t="str">
        <f>INDEX(Lists!$C$4:$C$24,MATCH(Validation!$B$3,Lists!$B$4:$B$24,0))</f>
        <v>TMS</v>
      </c>
      <c r="B598" s="2" t="str">
        <f>'2J'!AF8</f>
        <v>BC30449O</v>
      </c>
      <c r="C598" s="1634" t="str">
        <f>'2J'!$AB$5&amp;" - "&amp;'2J'!AB8&amp;" ("&amp;'2J'!$AF$3&amp;")"</f>
        <v>Wholesale water network+ (treated water distribution) - Other (Network reinforcement capex)</v>
      </c>
      <c r="D598" s="1646" t="s">
        <v>8</v>
      </c>
      <c r="E598" s="1636" t="s">
        <v>9</v>
      </c>
      <c r="F598" s="1634"/>
      <c r="G598" s="1635">
        <f>'2J'!G8</f>
        <v>0</v>
      </c>
      <c r="H598" s="1636"/>
    </row>
    <row r="599" spans="1:8">
      <c r="A599" s="1634" t="str">
        <f>INDEX(Lists!$C$4:$C$24,MATCH(Validation!$B$3,Lists!$B$4:$B$24,0))</f>
        <v>TMS</v>
      </c>
      <c r="B599" s="2" t="str">
        <f>'2J'!AF12</f>
        <v>BC30849FC</v>
      </c>
      <c r="C599" s="1634" t="str">
        <f>'2J'!$AB$11&amp;" - "&amp;'2J'!AB12&amp;" ("&amp;'2J'!$AF$3&amp;")"</f>
        <v>Wholesale wastewater network+ (sewage collection) - Foul and combined systems (Network reinforcement capex)</v>
      </c>
      <c r="D599" s="1646" t="s">
        <v>8</v>
      </c>
      <c r="E599" s="1636" t="s">
        <v>9</v>
      </c>
      <c r="F599" s="1634"/>
      <c r="G599" s="1635">
        <f>'2J'!G12</f>
        <v>3.6640000000000001</v>
      </c>
      <c r="H599" s="1636"/>
    </row>
    <row r="600" spans="1:8">
      <c r="A600" s="1634" t="str">
        <f>INDEX(Lists!$C$4:$C$24,MATCH(Validation!$B$3,Lists!$B$4:$B$24,0))</f>
        <v>TMS</v>
      </c>
      <c r="B600" s="2" t="str">
        <f>'2J'!AF13</f>
        <v>BC30849SW</v>
      </c>
      <c r="C600" s="1634" t="str">
        <f>'2J'!$AB$11&amp;" - "&amp;'2J'!AB13&amp;" ("&amp;'2J'!$AF$3&amp;")"</f>
        <v>Wholesale wastewater network+ (sewage collection) - Surface water only systems (Network reinforcement capex)</v>
      </c>
      <c r="D600" s="1646" t="s">
        <v>8</v>
      </c>
      <c r="E600" s="1636" t="s">
        <v>9</v>
      </c>
      <c r="F600" s="1634"/>
      <c r="G600" s="1635">
        <f>'2J'!G13</f>
        <v>2.871</v>
      </c>
      <c r="H600" s="1636"/>
    </row>
    <row r="601" spans="1:8">
      <c r="A601" s="1634" t="str">
        <f>INDEX(Lists!$C$4:$C$24,MATCH(Validation!$B$3,Lists!$B$4:$B$24,0))</f>
        <v>TMS</v>
      </c>
      <c r="B601" s="2" t="str">
        <f>'2J'!AF14</f>
        <v>BC30849PS</v>
      </c>
      <c r="C601" s="1634" t="str">
        <f>'2J'!$AB$11&amp;" - "&amp;'2J'!AB14&amp;" ("&amp;'2J'!$AF$3&amp;")"</f>
        <v>Wholesale wastewater network+ (sewage collection) - Pumping and storage facilities (Network reinforcement capex)</v>
      </c>
      <c r="D601" s="1646" t="s">
        <v>8</v>
      </c>
      <c r="E601" s="1636" t="s">
        <v>9</v>
      </c>
      <c r="F601" s="1634"/>
      <c r="G601" s="1635">
        <f>'2J'!G14</f>
        <v>0.78500000000000003</v>
      </c>
      <c r="H601" s="1636"/>
    </row>
    <row r="602" spans="1:8">
      <c r="A602" s="1634" t="str">
        <f>INDEX(Lists!$C$4:$C$24,MATCH(Validation!$B$3,Lists!$B$4:$B$24,0))</f>
        <v>TMS</v>
      </c>
      <c r="B602" s="2" t="str">
        <f>'2J'!AF15</f>
        <v>BC30849O</v>
      </c>
      <c r="C602" s="1634" t="str">
        <f>'2J'!$AB$11&amp;" - "&amp;'2J'!AB15&amp;" ("&amp;'2J'!$AF$3&amp;")"</f>
        <v>Wholesale wastewater network+ (sewage collection) - Other (Network reinforcement capex)</v>
      </c>
      <c r="D602" s="1646" t="s">
        <v>8</v>
      </c>
      <c r="E602" s="1636" t="s">
        <v>9</v>
      </c>
      <c r="F602" s="1634"/>
      <c r="G602" s="1635">
        <f>'2J'!G15</f>
        <v>0</v>
      </c>
      <c r="H602" s="1636"/>
    </row>
    <row r="603" spans="1:8">
      <c r="A603" s="1634" t="str">
        <f>INDEX(Lists!$C$4:$C$24,MATCH(Validation!$B$3,Lists!$B$4:$B$24,0))</f>
        <v>TMS</v>
      </c>
      <c r="B603" s="2" t="str">
        <f>'2J'!AG6</f>
        <v>BC30449DTM</v>
      </c>
      <c r="C603" s="1634" t="str">
        <f>'2J'!$AB$5&amp;" - "&amp;'2J'!AB6&amp;" ("&amp;'2J'!$AG$3&amp;")"</f>
        <v>Wholesale water network+ (treated water distribution) - Distribution and trunk mains (On site / site specific capex (memo only))</v>
      </c>
      <c r="D603" s="1646" t="s">
        <v>8</v>
      </c>
      <c r="E603" s="1636" t="s">
        <v>9</v>
      </c>
      <c r="F603" s="1634"/>
      <c r="G603" s="1635">
        <f>'2J'!H6</f>
        <v>0</v>
      </c>
      <c r="H603" s="1636"/>
    </row>
    <row r="604" spans="1:8">
      <c r="A604" s="1634" t="str">
        <f>INDEX(Lists!$C$4:$C$24,MATCH(Validation!$B$3,Lists!$B$4:$B$24,0))</f>
        <v>TMS</v>
      </c>
      <c r="B604" s="2" t="str">
        <f>'2J'!AG7</f>
        <v>BC30449PSM</v>
      </c>
      <c r="C604" s="1634" t="str">
        <f>'2J'!$AB$5&amp;" - "&amp;'2J'!AB7&amp;" ("&amp;'2J'!$AG$3&amp;")"</f>
        <v>Wholesale water network+ (treated water distribution) - Pumping and storage facilities (On site / site specific capex (memo only))</v>
      </c>
      <c r="D604" s="1646" t="s">
        <v>8</v>
      </c>
      <c r="E604" s="1636" t="s">
        <v>9</v>
      </c>
      <c r="F604" s="1634"/>
      <c r="G604" s="1635">
        <f>'2J'!H7</f>
        <v>0</v>
      </c>
      <c r="H604" s="1636"/>
    </row>
    <row r="605" spans="1:8">
      <c r="A605" s="1634" t="str">
        <f>INDEX(Lists!$C$4:$C$24,MATCH(Validation!$B$3,Lists!$B$4:$B$24,0))</f>
        <v>TMS</v>
      </c>
      <c r="B605" s="2" t="str">
        <f>'2J'!AG8</f>
        <v>BC30449OM</v>
      </c>
      <c r="C605" s="1634" t="str">
        <f>'2J'!$AB$5&amp;" - "&amp;'2J'!AB8&amp;" ("&amp;'2J'!$AG$3&amp;")"</f>
        <v>Wholesale water network+ (treated water distribution) - Other (On site / site specific capex (memo only))</v>
      </c>
      <c r="D605" s="1646" t="s">
        <v>8</v>
      </c>
      <c r="E605" s="1636" t="s">
        <v>9</v>
      </c>
      <c r="F605" s="1634"/>
      <c r="G605" s="1635">
        <f>'2J'!H8</f>
        <v>0</v>
      </c>
      <c r="H605" s="1636"/>
    </row>
    <row r="606" spans="1:8">
      <c r="A606" s="1634" t="str">
        <f>INDEX(Lists!$C$4:$C$24,MATCH(Validation!$B$3,Lists!$B$4:$B$24,0))</f>
        <v>TMS</v>
      </c>
      <c r="B606" s="2" t="str">
        <f>'2J'!AG12</f>
        <v>BC30849FCM</v>
      </c>
      <c r="C606" s="1634" t="str">
        <f>'2J'!$AB$11&amp;" - "&amp;'2J'!AB12&amp;" ("&amp;'2J'!$AG$3&amp;")"</f>
        <v>Wholesale wastewater network+ (sewage collection) - Foul and combined systems (On site / site specific capex (memo only))</v>
      </c>
      <c r="D606" s="1646" t="s">
        <v>8</v>
      </c>
      <c r="E606" s="1636" t="s">
        <v>9</v>
      </c>
      <c r="F606" s="1634"/>
      <c r="G606" s="1635">
        <f>'2J'!H12</f>
        <v>0</v>
      </c>
      <c r="H606" s="1636"/>
    </row>
    <row r="607" spans="1:8">
      <c r="A607" s="1634" t="str">
        <f>INDEX(Lists!$C$4:$C$24,MATCH(Validation!$B$3,Lists!$B$4:$B$24,0))</f>
        <v>TMS</v>
      </c>
      <c r="B607" s="2" t="str">
        <f>'2J'!AG13</f>
        <v>BC30849SWM</v>
      </c>
      <c r="C607" s="1634" t="str">
        <f>'2J'!$AB$11&amp;" - "&amp;'2J'!AB13&amp;" ("&amp;'2J'!$AG$3&amp;")"</f>
        <v>Wholesale wastewater network+ (sewage collection) - Surface water only systems (On site / site specific capex (memo only))</v>
      </c>
      <c r="D607" s="1646" t="s">
        <v>8</v>
      </c>
      <c r="E607" s="1636" t="s">
        <v>9</v>
      </c>
      <c r="F607" s="1634"/>
      <c r="G607" s="1635">
        <f>'2J'!H13</f>
        <v>0</v>
      </c>
      <c r="H607" s="1636"/>
    </row>
    <row r="608" spans="1:8">
      <c r="A608" s="1634" t="str">
        <f>INDEX(Lists!$C$4:$C$24,MATCH(Validation!$B$3,Lists!$B$4:$B$24,0))</f>
        <v>TMS</v>
      </c>
      <c r="B608" s="2" t="str">
        <f>'2J'!AG14</f>
        <v>BC30849PSM</v>
      </c>
      <c r="C608" s="1634" t="str">
        <f>'2J'!$AB$11&amp;" - "&amp;'2J'!AB14&amp;" ("&amp;'2J'!$AG$3&amp;")"</f>
        <v>Wholesale wastewater network+ (sewage collection) - Pumping and storage facilities (On site / site specific capex (memo only))</v>
      </c>
      <c r="D608" s="1646" t="s">
        <v>8</v>
      </c>
      <c r="E608" s="1636" t="s">
        <v>9</v>
      </c>
      <c r="F608" s="1634"/>
      <c r="G608" s="1635">
        <f>'2J'!H14</f>
        <v>0</v>
      </c>
      <c r="H608" s="1636"/>
    </row>
    <row r="609" spans="1:11" ht="15" thickBot="1">
      <c r="A609" s="1642" t="str">
        <f>INDEX(Lists!$C$4:$C$24,MATCH(Validation!$B$3,Lists!$B$4:$B$24,0))</f>
        <v>TMS</v>
      </c>
      <c r="B609" s="1648" t="str">
        <f>'2J'!AG15</f>
        <v>BC30849OM</v>
      </c>
      <c r="C609" s="1642" t="str">
        <f>'2J'!$AB$11&amp;" - "&amp;'2J'!AB15&amp;" ("&amp;'2J'!$AG$3&amp;")"</f>
        <v>Wholesale wastewater network+ (sewage collection) - Other (On site / site specific capex (memo only))</v>
      </c>
      <c r="D609" s="1647" t="s">
        <v>8</v>
      </c>
      <c r="E609" s="1649" t="s">
        <v>9</v>
      </c>
      <c r="F609" s="1642"/>
      <c r="G609" s="1658">
        <f>'2J'!H15</f>
        <v>0</v>
      </c>
      <c r="H609" s="1649"/>
    </row>
    <row r="610" spans="1:11">
      <c r="A610" s="1634" t="str">
        <f>INDEX(Lists!$C$4:$C$24,MATCH(Validation!$B$3,Lists!$B$4:$B$24,0))</f>
        <v>TMS</v>
      </c>
      <c r="B610" s="1691" t="str">
        <f>'3D'!AE7</f>
        <v>SIMAMP6_QL1</v>
      </c>
      <c r="C610" s="1646" t="str">
        <f>'3D'!$AB$6&amp;" - "&amp;'3D'!AB7</f>
        <v>Qualitative performance - 1st survey score</v>
      </c>
      <c r="D610" s="1646" t="s">
        <v>11</v>
      </c>
      <c r="E610" s="1636" t="s">
        <v>9</v>
      </c>
      <c r="F610" s="1636"/>
      <c r="G610" s="1678">
        <f>'3D'!F7</f>
        <v>4.1631413326741038</v>
      </c>
      <c r="H610" s="1636"/>
      <c r="K610" s="1691"/>
    </row>
    <row r="611" spans="1:11">
      <c r="A611" s="1634" t="str">
        <f>INDEX(Lists!$C$4:$C$24,MATCH(Validation!$B$3,Lists!$B$4:$B$24,0))</f>
        <v>TMS</v>
      </c>
      <c r="B611" s="2" t="str">
        <f>'3D'!AE8</f>
        <v>SIMAMP6_QL2</v>
      </c>
      <c r="C611" s="1646" t="str">
        <f>'3D'!$AB$6&amp;" - "&amp;'3D'!AB8</f>
        <v>Qualitative performance - 2nd survey score</v>
      </c>
      <c r="D611" s="1646" t="s">
        <v>11</v>
      </c>
      <c r="E611" s="1636" t="s">
        <v>9</v>
      </c>
      <c r="F611" s="1636"/>
      <c r="G611" s="1678">
        <f>'3D'!F8</f>
        <v>4.2498869289914065</v>
      </c>
      <c r="H611" s="1636"/>
      <c r="K611" s="1691"/>
    </row>
    <row r="612" spans="1:11">
      <c r="A612" s="1634" t="str">
        <f>INDEX(Lists!$C$4:$C$24,MATCH(Validation!$B$3,Lists!$B$4:$B$24,0))</f>
        <v>TMS</v>
      </c>
      <c r="B612" s="2" t="str">
        <f>'3D'!AE9</f>
        <v>SIMAMP6_QL3</v>
      </c>
      <c r="C612" s="1646" t="str">
        <f>'3D'!$AB$6&amp;" - "&amp;'3D'!AB9</f>
        <v>Qualitative performance - 3rd survey score</v>
      </c>
      <c r="D612" s="1646" t="s">
        <v>11</v>
      </c>
      <c r="E612" s="1636" t="s">
        <v>9</v>
      </c>
      <c r="F612" s="1636"/>
      <c r="G612" s="1678">
        <f>'3D'!F9</f>
        <v>4.1368298368298362</v>
      </c>
      <c r="H612" s="1636"/>
      <c r="K612" s="1691"/>
    </row>
    <row r="613" spans="1:11">
      <c r="A613" s="1634" t="str">
        <f>INDEX(Lists!$C$4:$C$24,MATCH(Validation!$B$3,Lists!$B$4:$B$24,0))</f>
        <v>TMS</v>
      </c>
      <c r="B613" s="2" t="str">
        <f>'3D'!AE10</f>
        <v>SIMAMP6_QL4</v>
      </c>
      <c r="C613" s="1646" t="str">
        <f>'3D'!$AB$6&amp;" - "&amp;'3D'!AB10</f>
        <v>Qualitative performance - 4th survey score</v>
      </c>
      <c r="D613" s="1646" t="s">
        <v>11</v>
      </c>
      <c r="E613" s="1636" t="s">
        <v>9</v>
      </c>
      <c r="F613" s="1636"/>
      <c r="G613" s="1678">
        <f>'3D'!F10</f>
        <v>4.1337928137003841</v>
      </c>
      <c r="H613" s="1636"/>
      <c r="K613" s="1691"/>
    </row>
    <row r="614" spans="1:11">
      <c r="A614" s="1634" t="str">
        <f>INDEX(Lists!$C$4:$C$24,MATCH(Validation!$B$3,Lists!$B$4:$B$24,0))</f>
        <v>TMS</v>
      </c>
      <c r="B614" s="2" t="str">
        <f>'3D'!AE11</f>
        <v>SIMAMP6_QLS</v>
      </c>
      <c r="C614" s="1646" t="str">
        <f>'3D'!$AB$6&amp;" - "&amp;'3D'!AB11</f>
        <v>Qualitative performance - Qualitative SIM score (out of 75)</v>
      </c>
      <c r="D614" s="1646" t="s">
        <v>11</v>
      </c>
      <c r="E614" s="1636" t="s">
        <v>9</v>
      </c>
      <c r="F614" s="1636"/>
      <c r="G614" s="1678">
        <f>'3D'!F11</f>
        <v>59.454613650917487</v>
      </c>
      <c r="H614" s="1636"/>
      <c r="K614" s="1691"/>
    </row>
    <row r="615" spans="1:11" ht="15" thickBot="1">
      <c r="A615" s="1634" t="str">
        <f>INDEX(Lists!$C$4:$C$24,MATCH(Validation!$B$3,Lists!$B$4:$B$24,0))</f>
        <v>TMS</v>
      </c>
      <c r="B615" s="2" t="str">
        <f>'3D'!AE14</f>
        <v>SIMAMP6_CS</v>
      </c>
      <c r="C615" s="1646" t="str">
        <f>'3D'!$AB$13&amp;" - "&amp;'3D'!AB14</f>
        <v>Quantitative performance - Total contact score</v>
      </c>
      <c r="D615" s="1647" t="s">
        <v>11</v>
      </c>
      <c r="E615" s="1649" t="s">
        <v>9</v>
      </c>
      <c r="F615" s="1649"/>
      <c r="G615" s="1682">
        <f>'3D'!F14</f>
        <v>120.51746247131305</v>
      </c>
      <c r="H615" s="1649"/>
      <c r="K615" s="1691"/>
    </row>
    <row r="616" spans="1:11">
      <c r="A616" s="1641" t="str">
        <f>INDEX(Lists!$C$4:$C$24,MATCH(Validation!$B$3,Lists!$B$4:$B$24,0))</f>
        <v>TMS</v>
      </c>
      <c r="B616" s="1644" t="str">
        <f>'4A'!AF8</f>
        <v>WHV001U</v>
      </c>
      <c r="C616" s="1641" t="str">
        <f>'4A'!AB8&amp;" - "&amp;'4A'!$AF$4</f>
        <v>Number of void households - Unmeasured</v>
      </c>
      <c r="D616" s="2" t="s">
        <v>13</v>
      </c>
      <c r="E616" s="2" t="s">
        <v>9</v>
      </c>
      <c r="F616" s="1641"/>
      <c r="G616" s="1659">
        <f>'4A'!G8</f>
        <v>105.741</v>
      </c>
      <c r="H616" s="1645"/>
    </row>
    <row r="617" spans="1:11">
      <c r="A617" s="1692" t="str">
        <f>INDEX(Lists!$C$4:$C$24,MATCH(Validation!$B$3,Lists!$B$4:$B$24,0))</f>
        <v>TMS</v>
      </c>
      <c r="B617" s="1691" t="str">
        <f>'4A'!AF9</f>
        <v>BN2304</v>
      </c>
      <c r="C617" s="1634" t="str">
        <f>'4A'!AB9&amp;" - "&amp;'4A'!$AF$4</f>
        <v>Per capita consumption (excluding supply pipe leakage) l/h/d - Unmeasured</v>
      </c>
      <c r="D617" s="2" t="s">
        <v>14</v>
      </c>
      <c r="E617" s="2" t="s">
        <v>9</v>
      </c>
      <c r="F617" s="1634"/>
      <c r="G617" s="1678">
        <f>'4A'!G9</f>
        <v>157.52000000000001</v>
      </c>
      <c r="H617" s="1636"/>
    </row>
    <row r="618" spans="1:11">
      <c r="A618" s="1634" t="str">
        <f>INDEX(Lists!$C$4:$C$24,MATCH(Validation!$B$3,Lists!$B$4:$B$24,0))</f>
        <v>TMS</v>
      </c>
      <c r="B618" s="2" t="str">
        <f>'4A'!AF15</f>
        <v>BN2370</v>
      </c>
      <c r="C618" s="1634" t="str">
        <f>'4A'!AB15&amp;" - "&amp;'4A'!$AF$12</f>
        <v>Bulk supply export - Water</v>
      </c>
      <c r="D618" s="2" t="s">
        <v>15</v>
      </c>
      <c r="E618" s="2" t="s">
        <v>9</v>
      </c>
      <c r="F618" s="1634"/>
      <c r="G618" s="1635">
        <f>'4A'!G15</f>
        <v>93.555000000000007</v>
      </c>
      <c r="H618" s="1636"/>
    </row>
    <row r="619" spans="1:11">
      <c r="A619" s="1634" t="str">
        <f>INDEX(Lists!$C$4:$C$24,MATCH(Validation!$B$3,Lists!$B$4:$B$24,0))</f>
        <v>TMS</v>
      </c>
      <c r="B619" s="2" t="str">
        <f>'4A'!AF16</f>
        <v>BN2360</v>
      </c>
      <c r="C619" s="1634" t="str">
        <f>'4A'!AB16&amp;" - "&amp;'4A'!$AF$12</f>
        <v>Bulk supply import - Water</v>
      </c>
      <c r="D619" s="2" t="s">
        <v>15</v>
      </c>
      <c r="E619" s="2" t="s">
        <v>9</v>
      </c>
      <c r="F619" s="1634"/>
      <c r="G619" s="1635">
        <f>'4A'!G16</f>
        <v>0.39</v>
      </c>
      <c r="H619" s="1636"/>
    </row>
    <row r="620" spans="1:11">
      <c r="A620" s="1634" t="str">
        <f>INDEX(Lists!$C$4:$C$24,MATCH(Validation!$B$3,Lists!$B$4:$B$24,0))</f>
        <v>TMS</v>
      </c>
      <c r="B620" s="2" t="str">
        <f>'4A'!AF17</f>
        <v>BN1000</v>
      </c>
      <c r="C620" s="1634" t="str">
        <f>'4A'!AB17&amp;" - "&amp;'4A'!$AF$12</f>
        <v>Distribution input - Water</v>
      </c>
      <c r="D620" s="2" t="s">
        <v>15</v>
      </c>
      <c r="E620" s="2" t="s">
        <v>9</v>
      </c>
      <c r="F620" s="1634"/>
      <c r="G620" s="1635">
        <f>'4A'!G17</f>
        <v>2680.8780000000002</v>
      </c>
      <c r="H620" s="1636"/>
    </row>
    <row r="621" spans="1:11">
      <c r="A621" s="1634" t="str">
        <f>INDEX(Lists!$C$4:$C$24,MATCH(Validation!$B$3,Lists!$B$4:$B$24,0))</f>
        <v>TMS</v>
      </c>
      <c r="B621" s="2" t="str">
        <f>'4A'!AG8</f>
        <v>WHV001M</v>
      </c>
      <c r="C621" s="1634" t="str">
        <f>'4A'!AB8&amp;" - "&amp;'4A'!$AG$4</f>
        <v>Number of void households - Measured</v>
      </c>
      <c r="D621" s="2" t="s">
        <v>13</v>
      </c>
      <c r="E621" s="2" t="s">
        <v>9</v>
      </c>
      <c r="F621" s="1634"/>
      <c r="G621" s="1635">
        <f>'4A'!H8</f>
        <v>83.415000000000006</v>
      </c>
      <c r="H621" s="1636"/>
    </row>
    <row r="622" spans="1:11">
      <c r="A622" s="1692" t="str">
        <f>INDEX(Lists!$C$4:$C$24,MATCH(Validation!$B$3,Lists!$B$4:$B$24,0))</f>
        <v>TMS</v>
      </c>
      <c r="B622" s="1691" t="str">
        <f>'4A'!AG9</f>
        <v>BN2305</v>
      </c>
      <c r="C622" s="1634" t="str">
        <f>'4A'!AB9&amp;" - "&amp;'4A'!$AG$4</f>
        <v>Per capita consumption (excluding supply pipe leakage) l/h/d - Measured</v>
      </c>
      <c r="D622" s="2" t="s">
        <v>14</v>
      </c>
      <c r="E622" s="2" t="s">
        <v>9</v>
      </c>
      <c r="F622" s="1634"/>
      <c r="G622" s="1678">
        <f>'4A'!H9</f>
        <v>123.32</v>
      </c>
      <c r="H622" s="1636"/>
    </row>
    <row r="623" spans="1:11">
      <c r="A623" s="1634" t="str">
        <f>INDEX(Lists!$C$4:$C$24,MATCH(Validation!$B$3,Lists!$B$4:$B$24,0))</f>
        <v>TMS</v>
      </c>
      <c r="B623" s="2" t="str">
        <f>'4A'!AG15</f>
        <v>BN2370S</v>
      </c>
      <c r="C623" s="1634" t="str">
        <f>'4A'!AB15&amp;" - "&amp;'4A'!$AG$12</f>
        <v>Bulk supply export - Wastewater</v>
      </c>
      <c r="D623" s="2" t="s">
        <v>15</v>
      </c>
      <c r="E623" s="2" t="s">
        <v>9</v>
      </c>
      <c r="F623" s="1634"/>
      <c r="G623" s="1635">
        <f>'4A'!H15</f>
        <v>10.834</v>
      </c>
      <c r="H623" s="1636"/>
    </row>
    <row r="624" spans="1:11" ht="15" thickBot="1">
      <c r="A624" s="1642" t="str">
        <f>INDEX(Lists!$C$4:$C$24,MATCH(Validation!$B$3,Lists!$B$4:$B$24,0))</f>
        <v>TMS</v>
      </c>
      <c r="B624" s="1648" t="str">
        <f>'4A'!AG16</f>
        <v>BN2360S</v>
      </c>
      <c r="C624" s="1642" t="str">
        <f>'4A'!AB16&amp;" - "&amp;'4A'!$AG$12</f>
        <v>Bulk supply import - Wastewater</v>
      </c>
      <c r="D624" s="1648" t="s">
        <v>15</v>
      </c>
      <c r="E624" s="1648" t="s">
        <v>9</v>
      </c>
      <c r="F624" s="1642"/>
      <c r="G624" s="1658">
        <f>'4A'!H16</f>
        <v>4.4909999999999997</v>
      </c>
      <c r="H624" s="1649"/>
    </row>
    <row r="625" spans="1:8">
      <c r="A625" s="1641" t="str">
        <f>INDEX(Lists!$C$4:$C$24,MATCH(Validation!$B$3,Lists!$B$4:$B$24,0))</f>
        <v>TMS</v>
      </c>
      <c r="B625" s="1644" t="str">
        <f>'4B'!AJ10</f>
        <v>CRW004</v>
      </c>
      <c r="C625" s="1634" t="str">
        <f>'4B'!$AF$9&amp;" - "&amp;'4B'!AF10&amp;" - "&amp;'4B'!$AJ$4</f>
        <v>Items excluded from the menu - Third party costs - Water</v>
      </c>
      <c r="D625" s="1644" t="s">
        <v>8</v>
      </c>
      <c r="E625" s="1644" t="s">
        <v>9</v>
      </c>
      <c r="F625" s="1641"/>
      <c r="G625" s="1659">
        <f>'4B'!G10</f>
        <v>6.093</v>
      </c>
      <c r="H625" s="1645"/>
    </row>
    <row r="626" spans="1:8">
      <c r="A626" s="1634" t="str">
        <f>INDEX(Lists!$C$4:$C$24,MATCH(Validation!$B$3,Lists!$B$4:$B$24,0))</f>
        <v>TMS</v>
      </c>
      <c r="B626" s="2" t="str">
        <f>'4B'!AJ11</f>
        <v>CRW003</v>
      </c>
      <c r="C626" s="1634" t="str">
        <f>'4B'!$AF$9&amp;" - "&amp;'4B'!AF11&amp;" - "&amp;'4B'!$AJ$4</f>
        <v>Items excluded from the menu - Pension deficit recovery payments - Water</v>
      </c>
      <c r="D626" s="2" t="s">
        <v>8</v>
      </c>
      <c r="E626" s="2" t="s">
        <v>9</v>
      </c>
      <c r="F626" s="1634"/>
      <c r="G626" s="1635">
        <f>'4B'!G11</f>
        <v>10.35</v>
      </c>
      <c r="H626" s="1636"/>
    </row>
    <row r="627" spans="1:8">
      <c r="A627" s="1634" t="str">
        <f>INDEX(Lists!$C$4:$C$24,MATCH(Validation!$B$3,Lists!$B$4:$B$24,0))</f>
        <v>TMS</v>
      </c>
      <c r="B627" s="2" t="str">
        <f>'4B'!AJ12</f>
        <v>CRW005</v>
      </c>
      <c r="C627" s="1634" t="str">
        <f>'4B'!$AF$9&amp;" - "&amp;'4B'!AF12&amp;" - "&amp;'4B'!$AJ$4</f>
        <v>Items excluded from the menu - Other 'Rule book' adjustments - Water</v>
      </c>
      <c r="D627" s="2" t="s">
        <v>8</v>
      </c>
      <c r="E627" s="2" t="s">
        <v>9</v>
      </c>
      <c r="F627" s="1634"/>
      <c r="G627" s="1635">
        <f>'4B'!G12</f>
        <v>0</v>
      </c>
      <c r="H627" s="1636"/>
    </row>
    <row r="628" spans="1:8">
      <c r="A628" s="1634" t="str">
        <f>INDEX(Lists!$C$4:$C$24,MATCH(Validation!$B$3,Lists!$B$4:$B$24,0))</f>
        <v>TMS</v>
      </c>
      <c r="B628" s="2" t="str">
        <f>'4B'!AJ16</f>
        <v>CRW011</v>
      </c>
      <c r="C628" s="1634" t="str">
        <f>'4B'!AF16&amp;" - "&amp;'4B'!$AJ$4</f>
        <v>Transition expenditure - Water</v>
      </c>
      <c r="D628" s="2" t="s">
        <v>8</v>
      </c>
      <c r="E628" s="2" t="s">
        <v>9</v>
      </c>
      <c r="F628" s="1634"/>
      <c r="G628" s="1635">
        <f>'4B'!G16</f>
        <v>0</v>
      </c>
      <c r="H628" s="1636"/>
    </row>
    <row r="629" spans="1:8">
      <c r="A629" s="1634" t="str">
        <f>INDEX(Lists!$C$4:$C$24,MATCH(Validation!$B$3,Lists!$B$4:$B$24,0))</f>
        <v>TMS</v>
      </c>
      <c r="B629" s="2" t="str">
        <f>'4B'!AJ20</f>
        <v>CRW013</v>
      </c>
      <c r="C629" s="1634" t="str">
        <f>'4B'!AF20&amp;" - "&amp;'4B'!$AJ$4</f>
        <v>Adjusted Actual totex base year prices - Water</v>
      </c>
      <c r="D629" s="2" t="s">
        <v>8</v>
      </c>
      <c r="E629" s="2" t="s">
        <v>9</v>
      </c>
      <c r="F629" s="1634"/>
      <c r="G629" s="1635">
        <f>'4B'!G20</f>
        <v>782.18799999999999</v>
      </c>
      <c r="H629" s="1636"/>
    </row>
    <row r="630" spans="1:8">
      <c r="A630" s="1637" t="str">
        <f>INDEX(Lists!$C$4:$C$24,MATCH(Validation!$B$3,Lists!$B$4:$B$24,0))</f>
        <v>TMS</v>
      </c>
      <c r="B630" s="1651" t="str">
        <f>'4B'!AJ23</f>
        <v>CRW014</v>
      </c>
      <c r="C630" s="1637" t="str">
        <f>'4B'!AF23&amp;" - "&amp;'4B'!$AJ$4</f>
        <v>Allowed totex based on final menu choice – base year prices - Water</v>
      </c>
      <c r="D630" s="1651" t="s">
        <v>8</v>
      </c>
      <c r="E630" s="1651" t="s">
        <v>9</v>
      </c>
      <c r="F630" s="1637"/>
      <c r="G630" s="1653">
        <f>'4B'!G23</f>
        <v>687.93600000000004</v>
      </c>
      <c r="H630" s="1652"/>
    </row>
    <row r="631" spans="1:8">
      <c r="A631" s="1634" t="str">
        <f>INDEX(Lists!$C$4:$C$24,MATCH(Validation!$B$3,Lists!$B$4:$B$24,0))</f>
        <v>TMS</v>
      </c>
      <c r="B631" s="2" t="str">
        <f>'4B'!AK10</f>
        <v>CRS004</v>
      </c>
      <c r="C631" s="1634" t="str">
        <f>'4B'!$AF$9&amp;" - "&amp;'4B'!AF10&amp;" - "&amp;'4B'!$AK$4</f>
        <v>Items excluded from the menu - Third party costs - Wastewater</v>
      </c>
      <c r="D631" s="2" t="s">
        <v>8</v>
      </c>
      <c r="E631" s="2" t="s">
        <v>9</v>
      </c>
      <c r="F631" s="1634"/>
      <c r="G631" s="1635">
        <f>'4B'!H10</f>
        <v>4.1369999999999996</v>
      </c>
      <c r="H631" s="1636"/>
    </row>
    <row r="632" spans="1:8">
      <c r="A632" s="1634" t="str">
        <f>INDEX(Lists!$C$4:$C$24,MATCH(Validation!$B$3,Lists!$B$4:$B$24,0))</f>
        <v>TMS</v>
      </c>
      <c r="B632" s="2" t="str">
        <f>'4B'!AK11</f>
        <v>CRS003</v>
      </c>
      <c r="C632" s="1634" t="str">
        <f>'4B'!$AF$9&amp;" - "&amp;'4B'!AF11&amp;" - "&amp;'4B'!$AK$4</f>
        <v>Items excluded from the menu - Pension deficit recovery payments - Wastewater</v>
      </c>
      <c r="D632" s="2" t="s">
        <v>8</v>
      </c>
      <c r="E632" s="2" t="s">
        <v>9</v>
      </c>
      <c r="F632" s="1634"/>
      <c r="G632" s="1635">
        <f>'4B'!H11</f>
        <v>9.44</v>
      </c>
      <c r="H632" s="1636"/>
    </row>
    <row r="633" spans="1:8">
      <c r="A633" s="1634" t="str">
        <f>INDEX(Lists!$C$4:$C$24,MATCH(Validation!$B$3,Lists!$B$4:$B$24,0))</f>
        <v>TMS</v>
      </c>
      <c r="B633" s="2" t="str">
        <f>'4B'!AK12</f>
        <v>CRS005</v>
      </c>
      <c r="C633" s="1634" t="str">
        <f>'4B'!$AF$9&amp;" - "&amp;'4B'!AF12&amp;" - "&amp;'4B'!$AK$4</f>
        <v>Items excluded from the menu - Other 'Rule book' adjustments - Wastewater</v>
      </c>
      <c r="D633" s="2" t="s">
        <v>8</v>
      </c>
      <c r="E633" s="2" t="s">
        <v>9</v>
      </c>
      <c r="F633" s="1634"/>
      <c r="G633" s="1635">
        <f>'4B'!H12</f>
        <v>0.34200000000000003</v>
      </c>
      <c r="H633" s="1636"/>
    </row>
    <row r="634" spans="1:8">
      <c r="A634" s="1634" t="str">
        <f>INDEX(Lists!$C$4:$C$24,MATCH(Validation!$B$3,Lists!$B$4:$B$24,0))</f>
        <v>TMS</v>
      </c>
      <c r="B634" s="2" t="str">
        <f>'4B'!AK16</f>
        <v>CRS011</v>
      </c>
      <c r="C634" s="1634" t="str">
        <f>'4B'!AF16&amp;" - "&amp;'4B'!$AK$4</f>
        <v>Transition expenditure - Wastewater</v>
      </c>
      <c r="D634" s="2" t="s">
        <v>8</v>
      </c>
      <c r="E634" s="2" t="s">
        <v>9</v>
      </c>
      <c r="F634" s="1634"/>
      <c r="G634" s="1635">
        <f>'4B'!H16</f>
        <v>0</v>
      </c>
      <c r="H634" s="1636"/>
    </row>
    <row r="635" spans="1:8">
      <c r="A635" s="1634" t="str">
        <f>INDEX(Lists!$C$4:$C$24,MATCH(Validation!$B$3,Lists!$B$4:$B$24,0))</f>
        <v>TMS</v>
      </c>
      <c r="B635" s="2" t="str">
        <f>'4B'!AK20</f>
        <v>CRS013</v>
      </c>
      <c r="C635" s="1634" t="str">
        <f>'4B'!AF20&amp;" - "&amp;'4B'!$AK$4</f>
        <v>Adjusted Actual totex base year prices - Wastewater</v>
      </c>
      <c r="D635" s="2" t="s">
        <v>8</v>
      </c>
      <c r="E635" s="2" t="s">
        <v>9</v>
      </c>
      <c r="F635" s="1634"/>
      <c r="G635" s="1635">
        <f>'4B'!H20</f>
        <v>778.19</v>
      </c>
      <c r="H635" s="1636"/>
    </row>
    <row r="636" spans="1:8">
      <c r="A636" s="1637" t="str">
        <f>INDEX(Lists!$C$4:$C$24,MATCH(Validation!$B$3,Lists!$B$4:$B$24,0))</f>
        <v>TMS</v>
      </c>
      <c r="B636" s="1651" t="str">
        <f>'4B'!AK23</f>
        <v>CRS014</v>
      </c>
      <c r="C636" s="1637" t="str">
        <f>'4B'!AF23&amp;" - "&amp;'4B'!$AK$4</f>
        <v>Allowed totex based on final menu choice – base year prices - Wastewater</v>
      </c>
      <c r="D636" s="1651" t="s">
        <v>8</v>
      </c>
      <c r="E636" s="1651" t="s">
        <v>9</v>
      </c>
      <c r="F636" s="1637"/>
      <c r="G636" s="1653">
        <f>'4B'!H23</f>
        <v>792.46</v>
      </c>
      <c r="H636" s="1652"/>
    </row>
    <row r="637" spans="1:8">
      <c r="A637" s="1634" t="str">
        <f>INDEX(Lists!$C$4:$C$24,MATCH(Validation!$B$3,Lists!$B$4:$B$24,0))</f>
        <v>TMS</v>
      </c>
      <c r="B637" s="2" t="str">
        <f>'4B'!AL10</f>
        <v>CRS004TTT</v>
      </c>
      <c r="C637" s="1634" t="str">
        <f>'4B'!$AF$9&amp;" - "&amp;'4B'!AF10&amp;" - "&amp;'4B'!$AL$4</f>
        <v>Items excluded from the menu - Third party costs - TTT</v>
      </c>
      <c r="D637" s="2" t="s">
        <v>8</v>
      </c>
      <c r="E637" s="2" t="s">
        <v>9</v>
      </c>
      <c r="F637" s="1634"/>
      <c r="G637" s="1635">
        <f>'4B'!I10</f>
        <v>0</v>
      </c>
      <c r="H637" s="1636"/>
    </row>
    <row r="638" spans="1:8">
      <c r="A638" s="1634" t="str">
        <f>INDEX(Lists!$C$4:$C$24,MATCH(Validation!$B$3,Lists!$B$4:$B$24,0))</f>
        <v>TMS</v>
      </c>
      <c r="B638" s="2" t="str">
        <f>'4B'!AL11</f>
        <v>CRS003TTT</v>
      </c>
      <c r="C638" s="1634" t="str">
        <f>'4B'!$AF$9&amp;" - "&amp;'4B'!AF11&amp;" - "&amp;'4B'!$AL$4</f>
        <v>Items excluded from the menu - Pension deficit recovery payments - TTT</v>
      </c>
      <c r="D638" s="2" t="s">
        <v>8</v>
      </c>
      <c r="E638" s="2" t="s">
        <v>9</v>
      </c>
      <c r="F638" s="1634"/>
      <c r="G638" s="1635">
        <f>'4B'!I11</f>
        <v>0</v>
      </c>
      <c r="H638" s="1636"/>
    </row>
    <row r="639" spans="1:8">
      <c r="A639" s="1634" t="str">
        <f>INDEX(Lists!$C$4:$C$24,MATCH(Validation!$B$3,Lists!$B$4:$B$24,0))</f>
        <v>TMS</v>
      </c>
      <c r="B639" s="2" t="str">
        <f>'4B'!AL12</f>
        <v>CRS005TTT</v>
      </c>
      <c r="C639" s="1634" t="str">
        <f>'4B'!$AF$9&amp;" - "&amp;'4B'!AF12&amp;" - "&amp;'4B'!$AL$4</f>
        <v>Items excluded from the menu - Other 'Rule book' adjustments - TTT</v>
      </c>
      <c r="D639" s="2" t="s">
        <v>8</v>
      </c>
      <c r="E639" s="2" t="s">
        <v>9</v>
      </c>
      <c r="F639" s="1634"/>
      <c r="G639" s="1635">
        <f>'4B'!I12</f>
        <v>-2</v>
      </c>
      <c r="H639" s="1636"/>
    </row>
    <row r="640" spans="1:8">
      <c r="A640" s="1634" t="str">
        <f>INDEX(Lists!$C$4:$C$24,MATCH(Validation!$B$3,Lists!$B$4:$B$24,0))</f>
        <v>TMS</v>
      </c>
      <c r="B640" s="2" t="str">
        <f>'4B'!AL16</f>
        <v>CRS011TTT</v>
      </c>
      <c r="C640" s="1634" t="str">
        <f>'4B'!AF16&amp;" - "&amp;'4B'!$AL$4</f>
        <v>Transition expenditure - TTT</v>
      </c>
      <c r="D640" s="2" t="s">
        <v>8</v>
      </c>
      <c r="E640" s="2" t="s">
        <v>9</v>
      </c>
      <c r="F640" s="1634"/>
      <c r="G640" s="1635">
        <f>'4B'!I16</f>
        <v>0</v>
      </c>
      <c r="H640" s="1636"/>
    </row>
    <row r="641" spans="1:8">
      <c r="A641" s="1634" t="str">
        <f>INDEX(Lists!$C$4:$C$24,MATCH(Validation!$B$3,Lists!$B$4:$B$24,0))</f>
        <v>TMS</v>
      </c>
      <c r="B641" s="2" t="str">
        <f>'4B'!AL20</f>
        <v>CRS013TTT</v>
      </c>
      <c r="C641" s="1634" t="str">
        <f>'4B'!AF20&amp;" - "&amp;'4B'!$AL$4</f>
        <v>Adjusted Actual totex base year prices - TTT</v>
      </c>
      <c r="D641" s="2" t="s">
        <v>8</v>
      </c>
      <c r="E641" s="2" t="s">
        <v>9</v>
      </c>
      <c r="F641" s="1634"/>
      <c r="G641" s="1635">
        <f>'4B'!I20</f>
        <v>36.247</v>
      </c>
      <c r="H641" s="1636"/>
    </row>
    <row r="642" spans="1:8">
      <c r="A642" s="1637" t="str">
        <f>INDEX(Lists!$C$4:$C$24,MATCH(Validation!$B$3,Lists!$B$4:$B$24,0))</f>
        <v>TMS</v>
      </c>
      <c r="B642" s="1651" t="str">
        <f>'4B'!AL23</f>
        <v>CRS014TTT</v>
      </c>
      <c r="C642" s="1637" t="str">
        <f>'4B'!AF23&amp;" - "&amp;'4B'!$AL$4</f>
        <v>Allowed totex based on final menu choice – base year prices - TTT</v>
      </c>
      <c r="D642" s="1651" t="s">
        <v>8</v>
      </c>
      <c r="E642" s="1651" t="s">
        <v>9</v>
      </c>
      <c r="F642" s="1637"/>
      <c r="G642" s="1653">
        <f>'4B'!I23</f>
        <v>54.393000000000001</v>
      </c>
      <c r="H642" s="1652"/>
    </row>
    <row r="643" spans="1:8">
      <c r="A643" s="1634" t="str">
        <f>INDEX(Lists!$C$4:$C$24,MATCH(Validation!$B$3,Lists!$B$4:$B$24,0))</f>
        <v>TMS</v>
      </c>
      <c r="B643" s="2111" t="str">
        <f>'4B'!AM7</f>
        <v>W3026MTCUM</v>
      </c>
      <c r="C643" s="1634" t="str">
        <f>'4B'!AF7&amp;" - "&amp;'4B'!$AM$4&amp;" ("&amp;'4B'!$AM$3&amp;")"</f>
        <v>Actual totex - Water (Cumulative 2015-20)</v>
      </c>
      <c r="D643" s="2" t="s">
        <v>8</v>
      </c>
      <c r="E643" s="2" t="s">
        <v>9</v>
      </c>
      <c r="F643" s="1634"/>
      <c r="G643" s="1634"/>
      <c r="H643" s="1663">
        <f>'4B'!J7</f>
        <v>2440.9870000000001</v>
      </c>
    </row>
    <row r="644" spans="1:8">
      <c r="A644" s="1634" t="str">
        <f>INDEX(Lists!$C$4:$C$24,MATCH(Validation!$B$3,Lists!$B$4:$B$24,0))</f>
        <v>TMS</v>
      </c>
      <c r="B644" s="2111" t="str">
        <f>'4B'!AM10</f>
        <v>CRW004CUM</v>
      </c>
      <c r="C644" s="1634" t="str">
        <f>'4B'!$AF$9&amp;" - "&amp;'4B'!AF10&amp;" - "&amp;'4B'!$AM$4&amp;" ("&amp;'4B'!$AM$3&amp;")"</f>
        <v>Items excluded from the menu - Third party costs - Water (Cumulative 2015-20)</v>
      </c>
      <c r="D644" s="2" t="s">
        <v>8</v>
      </c>
      <c r="E644" s="2" t="s">
        <v>9</v>
      </c>
      <c r="F644" s="1634"/>
      <c r="G644" s="1634"/>
      <c r="H644" s="1663">
        <f>'4B'!J10</f>
        <v>19.510999999999999</v>
      </c>
    </row>
    <row r="645" spans="1:8">
      <c r="A645" s="1634" t="str">
        <f>INDEX(Lists!$C$4:$C$24,MATCH(Validation!$B$3,Lists!$B$4:$B$24,0))</f>
        <v>TMS</v>
      </c>
      <c r="B645" s="2111" t="str">
        <f>'4B'!AM11</f>
        <v>CRW003CUM</v>
      </c>
      <c r="C645" s="1634" t="str">
        <f>'4B'!$AF$9&amp;" - "&amp;'4B'!AF11&amp;" - "&amp;'4B'!$AM$4&amp;" ("&amp;'4B'!$AM$3&amp;")"</f>
        <v>Items excluded from the menu - Pension deficit recovery payments - Water (Cumulative 2015-20)</v>
      </c>
      <c r="D645" s="2" t="s">
        <v>8</v>
      </c>
      <c r="E645" s="2" t="s">
        <v>9</v>
      </c>
      <c r="F645" s="1634"/>
      <c r="G645" s="1634"/>
      <c r="H645" s="1663">
        <f>'4B'!J11</f>
        <v>29.792999999999999</v>
      </c>
    </row>
    <row r="646" spans="1:8">
      <c r="A646" s="1634" t="str">
        <f>INDEX(Lists!$C$4:$C$24,MATCH(Validation!$B$3,Lists!$B$4:$B$24,0))</f>
        <v>TMS</v>
      </c>
      <c r="B646" s="2111" t="str">
        <f>'4B'!AM12</f>
        <v>CRW005CUM</v>
      </c>
      <c r="C646" s="1634" t="str">
        <f>'4B'!$AF$9&amp;" - "&amp;'4B'!AF12&amp;" - "&amp;'4B'!$AM$4&amp;" ("&amp;'4B'!$AM$3&amp;")"</f>
        <v>Items excluded from the menu - Other 'Rule book' adjustments - Water (Cumulative 2015-20)</v>
      </c>
      <c r="D646" s="2" t="s">
        <v>8</v>
      </c>
      <c r="E646" s="2" t="s">
        <v>9</v>
      </c>
      <c r="F646" s="1634"/>
      <c r="G646" s="1634"/>
      <c r="H646" s="1663">
        <f>'4B'!J12</f>
        <v>0</v>
      </c>
    </row>
    <row r="647" spans="1:8">
      <c r="A647" s="1634" t="str">
        <f>INDEX(Lists!$C$4:$C$24,MATCH(Validation!$B$3,Lists!$B$4:$B$24,0))</f>
        <v>TMS</v>
      </c>
      <c r="B647" s="2111" t="str">
        <f>'4B'!AM16</f>
        <v>CRW011CUM</v>
      </c>
      <c r="C647" s="1634" t="str">
        <f>'4B'!AF16&amp;" - "&amp;'4B'!$AM$4&amp;" ("&amp;'4B'!$AM$3&amp;")"</f>
        <v>Transition expenditure - Water (Cumulative 2015-20)</v>
      </c>
      <c r="D647" s="2" t="s">
        <v>8</v>
      </c>
      <c r="E647" s="2" t="s">
        <v>9</v>
      </c>
      <c r="F647" s="1634"/>
      <c r="G647" s="1634"/>
      <c r="H647" s="1663">
        <f>'4B'!J16</f>
        <v>26.14</v>
      </c>
    </row>
    <row r="648" spans="1:8">
      <c r="A648" s="1634" t="str">
        <f>INDEX(Lists!$C$4:$C$24,MATCH(Validation!$B$3,Lists!$B$4:$B$24,0))</f>
        <v>TMS</v>
      </c>
      <c r="B648" s="2111" t="str">
        <f>'4B'!AM20</f>
        <v>CRW013CUM</v>
      </c>
      <c r="C648" s="1634" t="str">
        <f>'4B'!AF20&amp;" - "&amp;'4B'!$AM$4&amp;" ("&amp;'4B'!$AM$3&amp;")"</f>
        <v>Adjusted Actual totex base year prices - Water (Cumulative 2015-20)</v>
      </c>
      <c r="D648" s="2" t="s">
        <v>8</v>
      </c>
      <c r="E648" s="2" t="s">
        <v>9</v>
      </c>
      <c r="F648" s="1634"/>
      <c r="G648" s="1634"/>
      <c r="H648" s="1663">
        <f>'4B'!J20</f>
        <v>2217.7840000000001</v>
      </c>
    </row>
    <row r="649" spans="1:8">
      <c r="A649" s="1637" t="str">
        <f>INDEX(Lists!$C$4:$C$24,MATCH(Validation!$B$3,Lists!$B$4:$B$24,0))</f>
        <v>TMS</v>
      </c>
      <c r="B649" s="2112" t="str">
        <f>'4B'!AM23</f>
        <v>CRW014CUM</v>
      </c>
      <c r="C649" s="1637" t="str">
        <f>'4B'!AF23&amp;" - "&amp;'4B'!$AM$4&amp;" ("&amp;'4B'!$AM$3&amp;")"</f>
        <v>Allowed totex based on final menu choice – base year prices - Water (Cumulative 2015-20)</v>
      </c>
      <c r="D649" s="1651" t="s">
        <v>8</v>
      </c>
      <c r="E649" s="1651" t="s">
        <v>9</v>
      </c>
      <c r="F649" s="1637"/>
      <c r="G649" s="1637"/>
      <c r="H649" s="1653">
        <f>'4B'!J23</f>
        <v>1984.123</v>
      </c>
    </row>
    <row r="650" spans="1:8">
      <c r="A650" s="1634" t="str">
        <f>INDEX(Lists!$C$4:$C$24,MATCH(Validation!$B$3,Lists!$B$4:$B$24,0))</f>
        <v>TMS</v>
      </c>
      <c r="B650" s="1636" t="str">
        <f>'4B'!AN7</f>
        <v>S3040MTCUM</v>
      </c>
      <c r="C650" s="1634" t="str">
        <f>'4B'!AF7&amp;" - "&amp;'4B'!$AN$4&amp;" ("&amp;'4B'!$AM$3&amp;")"</f>
        <v>Actual totex - Wastewater (Cumulative 2015-20)</v>
      </c>
      <c r="D650" s="2" t="s">
        <v>8</v>
      </c>
      <c r="E650" s="2" t="s">
        <v>9</v>
      </c>
      <c r="F650" s="1634"/>
      <c r="G650" s="1634"/>
      <c r="H650" s="1663">
        <f>'4B'!K7</f>
        <v>2714.828</v>
      </c>
    </row>
    <row r="651" spans="1:8">
      <c r="A651" s="1634" t="str">
        <f>INDEX(Lists!$C$4:$C$24,MATCH(Validation!$B$3,Lists!$B$4:$B$24,0))</f>
        <v>TMS</v>
      </c>
      <c r="B651" s="1636" t="str">
        <f>'4B'!AN10</f>
        <v>CRS004CUM</v>
      </c>
      <c r="C651" s="1634" t="str">
        <f>'4B'!$AF$9&amp;" - "&amp;'4B'!AF10&amp;" - "&amp;'4B'!$AN$4&amp;" ("&amp;'4B'!$AM$3&amp;")"</f>
        <v>Items excluded from the menu - Third party costs - Wastewater (Cumulative 2015-20)</v>
      </c>
      <c r="D651" s="2" t="s">
        <v>8</v>
      </c>
      <c r="E651" s="2" t="s">
        <v>9</v>
      </c>
      <c r="F651" s="1634"/>
      <c r="G651" s="1634"/>
      <c r="H651" s="1663">
        <f>'4B'!K10</f>
        <v>12.488</v>
      </c>
    </row>
    <row r="652" spans="1:8">
      <c r="A652" s="1634" t="str">
        <f>INDEX(Lists!$C$4:$C$24,MATCH(Validation!$B$3,Lists!$B$4:$B$24,0))</f>
        <v>TMS</v>
      </c>
      <c r="B652" s="1636" t="str">
        <f>'4B'!AN11</f>
        <v>CRS003CUM</v>
      </c>
      <c r="C652" s="1634" t="str">
        <f>'4B'!$AF$9&amp;" - "&amp;'4B'!AF11&amp;" - "&amp;'4B'!$AN$4&amp;" ("&amp;'4B'!$AM$3&amp;")"</f>
        <v>Items excluded from the menu - Pension deficit recovery payments - Wastewater (Cumulative 2015-20)</v>
      </c>
      <c r="D652" s="2" t="s">
        <v>8</v>
      </c>
      <c r="E652" s="2" t="s">
        <v>9</v>
      </c>
      <c r="F652" s="1634"/>
      <c r="G652" s="1634"/>
      <c r="H652" s="1663">
        <f>'4B'!K11</f>
        <v>27.173999999999999</v>
      </c>
    </row>
    <row r="653" spans="1:8">
      <c r="A653" s="1634" t="str">
        <f>INDEX(Lists!$C$4:$C$24,MATCH(Validation!$B$3,Lists!$B$4:$B$24,0))</f>
        <v>TMS</v>
      </c>
      <c r="B653" s="1636" t="str">
        <f>'4B'!AN12</f>
        <v>CRS005CUM</v>
      </c>
      <c r="C653" s="1634" t="str">
        <f>'4B'!$AF$9&amp;" - "&amp;'4B'!AF12&amp;" - "&amp;'4B'!$AN$4&amp;" ("&amp;'4B'!$AM$3&amp;")"</f>
        <v>Items excluded from the menu - Other 'Rule book' adjustments - Wastewater (Cumulative 2015-20)</v>
      </c>
      <c r="D653" s="2" t="s">
        <v>8</v>
      </c>
      <c r="E653" s="2" t="s">
        <v>9</v>
      </c>
      <c r="F653" s="1634"/>
      <c r="G653" s="1634"/>
      <c r="H653" s="1663">
        <f>'4B'!K12</f>
        <v>22.623000000000001</v>
      </c>
    </row>
    <row r="654" spans="1:8">
      <c r="A654" s="1634" t="str">
        <f>INDEX(Lists!$C$4:$C$24,MATCH(Validation!$B$3,Lists!$B$4:$B$24,0))</f>
        <v>TMS</v>
      </c>
      <c r="B654" s="1636" t="str">
        <f>'4B'!AN16</f>
        <v>CRS011CUM</v>
      </c>
      <c r="C654" s="1634" t="str">
        <f>'4B'!AF16&amp;" - "&amp;'4B'!$AN$4&amp;" ("&amp;'4B'!$AM$3&amp;")"</f>
        <v>Transition expenditure - Wastewater (Cumulative 2015-20)</v>
      </c>
      <c r="D654" s="2" t="s">
        <v>8</v>
      </c>
      <c r="E654" s="2" t="s">
        <v>9</v>
      </c>
      <c r="F654" s="1634"/>
      <c r="G654" s="1634"/>
      <c r="H654" s="1663">
        <f>'4B'!K16</f>
        <v>54.597000000000001</v>
      </c>
    </row>
    <row r="655" spans="1:8">
      <c r="A655" s="1634" t="str">
        <f>INDEX(Lists!$C$4:$C$24,MATCH(Validation!$B$3,Lists!$B$4:$B$24,0))</f>
        <v>TMS</v>
      </c>
      <c r="B655" s="1636" t="str">
        <f>'4B'!AN20</f>
        <v>CRS013CUM</v>
      </c>
      <c r="C655" s="1634" t="str">
        <f>'4B'!AF20&amp;" - "&amp;'4B'!$AN$4&amp;" ("&amp;'4B'!$AM$3&amp;")"</f>
        <v>Adjusted Actual totex base year prices - Wastewater (Cumulative 2015-20)</v>
      </c>
      <c r="D655" s="2" t="s">
        <v>8</v>
      </c>
      <c r="E655" s="2" t="s">
        <v>9</v>
      </c>
      <c r="F655" s="1634"/>
      <c r="G655" s="1634"/>
      <c r="H655" s="1663">
        <f>'4B'!K20</f>
        <v>2489.375</v>
      </c>
    </row>
    <row r="656" spans="1:8">
      <c r="A656" s="1637" t="str">
        <f>INDEX(Lists!$C$4:$C$24,MATCH(Validation!$B$3,Lists!$B$4:$B$24,0))</f>
        <v>TMS</v>
      </c>
      <c r="B656" s="1652" t="str">
        <f>'4B'!AN23</f>
        <v>CRS014CUM</v>
      </c>
      <c r="C656" s="1637" t="str">
        <f>'4B'!AF23&amp;" - "&amp;'4B'!$AN$4&amp;" ("&amp;'4B'!$AM$3&amp;")"</f>
        <v>Allowed totex based on final menu choice – base year prices - Wastewater (Cumulative 2015-20)</v>
      </c>
      <c r="D656" s="1651" t="s">
        <v>8</v>
      </c>
      <c r="E656" s="1651" t="s">
        <v>9</v>
      </c>
      <c r="F656" s="1637"/>
      <c r="G656" s="1637"/>
      <c r="H656" s="1664">
        <f>'4B'!K23</f>
        <v>2428.7269999999999</v>
      </c>
    </row>
    <row r="657" spans="1:8">
      <c r="A657" s="1634" t="str">
        <f>INDEX(Lists!$C$4:$C$24,MATCH(Validation!$B$3,Lists!$B$4:$B$24,0))</f>
        <v>TMS</v>
      </c>
      <c r="B657" s="1636" t="str">
        <f>'4B'!AO7</f>
        <v>S3040TOTTTTCUM</v>
      </c>
      <c r="C657" s="1634" t="str">
        <f>'4B'!AF7&amp;" - "&amp;'4B'!$AO$4&amp;" ("&amp;'4B'!$AM$3&amp;")"</f>
        <v>Actual totex - TTT (Cumulative 2015-20)</v>
      </c>
      <c r="D657" s="2" t="s">
        <v>8</v>
      </c>
      <c r="E657" s="2" t="s">
        <v>9</v>
      </c>
      <c r="F657" s="1634"/>
      <c r="G657" s="1634"/>
      <c r="H657" s="1663">
        <f>'4B'!L7</f>
        <v>243.995</v>
      </c>
    </row>
    <row r="658" spans="1:8">
      <c r="A658" s="1634" t="str">
        <f>INDEX(Lists!$C$4:$C$24,MATCH(Validation!$B$3,Lists!$B$4:$B$24,0))</f>
        <v>TMS</v>
      </c>
      <c r="B658" s="1636" t="str">
        <f>'4B'!AO10</f>
        <v>CRS004TTTCUM</v>
      </c>
      <c r="C658" s="1634" t="str">
        <f>'4B'!$AF$9&amp;" - "&amp;'4B'!AF10&amp;" - "&amp;'4B'!$AO$4&amp;" ("&amp;'4B'!$AM$3&amp;")"</f>
        <v>Items excluded from the menu - Third party costs - TTT (Cumulative 2015-20)</v>
      </c>
      <c r="D658" s="2" t="s">
        <v>8</v>
      </c>
      <c r="E658" s="2" t="s">
        <v>9</v>
      </c>
      <c r="F658" s="1634"/>
      <c r="G658" s="1634"/>
      <c r="H658" s="1663">
        <f>'4B'!L10</f>
        <v>0</v>
      </c>
    </row>
    <row r="659" spans="1:8">
      <c r="A659" s="1634" t="str">
        <f>INDEX(Lists!$C$4:$C$24,MATCH(Validation!$B$3,Lists!$B$4:$B$24,0))</f>
        <v>TMS</v>
      </c>
      <c r="B659" s="1636" t="str">
        <f>'4B'!AO11</f>
        <v>CRS003TTTCUM</v>
      </c>
      <c r="C659" s="1634" t="str">
        <f>'4B'!$AF$9&amp;" - "&amp;'4B'!AF11&amp;" - "&amp;'4B'!$AO$4&amp;" ("&amp;'4B'!$AM$3&amp;")"</f>
        <v>Items excluded from the menu - Pension deficit recovery payments - TTT (Cumulative 2015-20)</v>
      </c>
      <c r="D659" s="2" t="s">
        <v>8</v>
      </c>
      <c r="E659" s="2" t="s">
        <v>9</v>
      </c>
      <c r="F659" s="1634"/>
      <c r="G659" s="1634"/>
      <c r="H659" s="1663">
        <f>'4B'!L11</f>
        <v>0</v>
      </c>
    </row>
    <row r="660" spans="1:8">
      <c r="A660" s="1634" t="str">
        <f>INDEX(Lists!$C$4:$C$24,MATCH(Validation!$B$3,Lists!$B$4:$B$24,0))</f>
        <v>TMS</v>
      </c>
      <c r="B660" s="1636" t="str">
        <f>'4B'!AO12</f>
        <v>CRS005TTTCUM</v>
      </c>
      <c r="C660" s="1634" t="str">
        <f>'4B'!$AF$9&amp;" - "&amp;'4B'!AF12&amp;" - "&amp;'4B'!$AO$4&amp;" ("&amp;'4B'!$AM$3&amp;")"</f>
        <v>Items excluded from the menu - Other 'Rule book' adjustments - TTT (Cumulative 2015-20)</v>
      </c>
      <c r="D660" s="2" t="s">
        <v>8</v>
      </c>
      <c r="E660" s="2" t="s">
        <v>9</v>
      </c>
      <c r="F660" s="1634"/>
      <c r="G660" s="1634"/>
      <c r="H660" s="1663">
        <f>'4B'!L12</f>
        <v>55.9</v>
      </c>
    </row>
    <row r="661" spans="1:8">
      <c r="A661" s="1634" t="str">
        <f>INDEX(Lists!$C$4:$C$24,MATCH(Validation!$B$3,Lists!$B$4:$B$24,0))</f>
        <v>TMS</v>
      </c>
      <c r="B661" s="1636" t="str">
        <f>'4B'!AO16</f>
        <v>CRS011TTTCUM</v>
      </c>
      <c r="C661" s="1634" t="str">
        <f>'4B'!AF16&amp;" - "&amp;'4B'!$AO$4&amp;" ("&amp;'4B'!$AM$3&amp;")"</f>
        <v>Transition expenditure - TTT (Cumulative 2015-20)</v>
      </c>
      <c r="D661" s="2" t="s">
        <v>8</v>
      </c>
      <c r="E661" s="2" t="s">
        <v>9</v>
      </c>
      <c r="F661" s="1634"/>
      <c r="G661" s="1634"/>
      <c r="H661" s="1663">
        <f>'4B'!L16</f>
        <v>0</v>
      </c>
    </row>
    <row r="662" spans="1:8">
      <c r="A662" s="1634" t="str">
        <f>INDEX(Lists!$C$4:$C$24,MATCH(Validation!$B$3,Lists!$B$4:$B$24,0))</f>
        <v>TMS</v>
      </c>
      <c r="B662" s="1636" t="str">
        <f>'4B'!AO20</f>
        <v>CRS013TTTCUM</v>
      </c>
      <c r="C662" s="1634" t="str">
        <f>'4B'!AF20&amp;" - "&amp;'4B'!$AO$4&amp;" ("&amp;'4B'!$AM$3&amp;")"</f>
        <v>Adjusted Actual totex base year prices - TTT (Cumulative 2015-20)</v>
      </c>
      <c r="D662" s="2" t="s">
        <v>8</v>
      </c>
      <c r="E662" s="2" t="s">
        <v>9</v>
      </c>
      <c r="F662" s="1634"/>
      <c r="G662" s="1634"/>
      <c r="H662" s="1663">
        <f>'4B'!L20</f>
        <v>174.29599999999999</v>
      </c>
    </row>
    <row r="663" spans="1:8" ht="15" thickBot="1">
      <c r="A663" s="1642" t="str">
        <f>INDEX(Lists!$C$4:$C$24,MATCH(Validation!$B$3,Lists!$B$4:$B$24,0))</f>
        <v>TMS</v>
      </c>
      <c r="B663" s="1642" t="str">
        <f>'4B'!AO23</f>
        <v>CRS014TTTCUM</v>
      </c>
      <c r="C663" s="1642" t="str">
        <f>'4B'!AF23&amp;" - "&amp;'4B'!$AO$4&amp;" ("&amp;'4B'!$AM$3&amp;")"</f>
        <v>Allowed totex based on final menu choice – base year prices - TTT (Cumulative 2015-20)</v>
      </c>
      <c r="D663" s="1648" t="s">
        <v>8</v>
      </c>
      <c r="E663" s="1648" t="s">
        <v>9</v>
      </c>
      <c r="F663" s="1642"/>
      <c r="G663" s="1642"/>
      <c r="H663" s="1665">
        <f>'4B'!L23</f>
        <v>274.21499999999997</v>
      </c>
    </row>
    <row r="664" spans="1:8">
      <c r="A664" s="1634" t="str">
        <f>INDEX(Lists!$C$4:$C$24,MATCH(Validation!$B$3,Lists!$B$4:$B$24,0))</f>
        <v>TMS</v>
      </c>
      <c r="B664" s="2" t="str">
        <f>'4C'!AH6</f>
        <v>RCT00587WT</v>
      </c>
      <c r="C664" s="1634" t="str">
        <f>'4C'!C6&amp;" ("&amp;'4C'!$G$3&amp;")"</f>
        <v>Cumulative totex over/underspend so far in the price control period (Water)</v>
      </c>
      <c r="D664" s="2" t="s">
        <v>8</v>
      </c>
      <c r="E664" s="2" t="s">
        <v>9</v>
      </c>
      <c r="F664" s="1634"/>
      <c r="G664" s="1635">
        <f>'4C'!G6</f>
        <v>233.66</v>
      </c>
      <c r="H664" s="1636"/>
    </row>
    <row r="665" spans="1:8">
      <c r="A665" s="1634" t="str">
        <f>INDEX(Lists!$C$4:$C$24,MATCH(Validation!$B$3,Lists!$B$4:$B$24,0))</f>
        <v>TMS</v>
      </c>
      <c r="B665" s="2" t="str">
        <f>'4C'!AH7</f>
        <v>RCT00587WTC</v>
      </c>
      <c r="C665" s="1634" t="str">
        <f>'4C'!C7&amp;" ("&amp;'4C'!$G$3&amp;")"</f>
        <v>Customer share of cumulative totex over/underspend (Water)</v>
      </c>
      <c r="D665" s="2" t="s">
        <v>8</v>
      </c>
      <c r="E665" s="2" t="s">
        <v>9</v>
      </c>
      <c r="F665" s="1634"/>
      <c r="G665" s="1635">
        <f>'4C'!G7</f>
        <v>149.11699999999999</v>
      </c>
      <c r="H665" s="1636"/>
    </row>
    <row r="666" spans="1:8">
      <c r="A666" s="1634" t="str">
        <f>INDEX(Lists!$C$4:$C$24,MATCH(Validation!$B$3,Lists!$B$4:$B$24,0))</f>
        <v>TMS</v>
      </c>
      <c r="B666" s="2" t="str">
        <f>'4C'!AH8</f>
        <v>RCT00587WTCR</v>
      </c>
      <c r="C666" s="1634" t="str">
        <f>'4C'!C8&amp;" ("&amp;'4C'!$G$3&amp;")"</f>
        <v>RCV element of customer share of cumulative totex over/underspend (Water)</v>
      </c>
      <c r="D666" s="2" t="s">
        <v>8</v>
      </c>
      <c r="E666" s="2" t="s">
        <v>9</v>
      </c>
      <c r="F666" s="1634"/>
      <c r="G666" s="1635">
        <f>'4C'!G8</f>
        <v>123.825</v>
      </c>
      <c r="H666" s="1636"/>
    </row>
    <row r="667" spans="1:8">
      <c r="A667" s="1634" t="str">
        <f>INDEX(Lists!$C$4:$C$24,MATCH(Validation!$B$3,Lists!$B$4:$B$24,0))</f>
        <v>TMS</v>
      </c>
      <c r="B667" s="2" t="str">
        <f>'4C'!AH9</f>
        <v>RCT00588W</v>
      </c>
      <c r="C667" s="1634" t="str">
        <f>'4C'!C9&amp;" ("&amp;'4C'!$G$3&amp;")"</f>
        <v>Adjustment for ODI rewards or penalties (Water)</v>
      </c>
      <c r="D667" s="2" t="s">
        <v>8</v>
      </c>
      <c r="E667" s="2" t="s">
        <v>9</v>
      </c>
      <c r="F667" s="1634"/>
      <c r="G667" s="1635">
        <f>'4C'!G9</f>
        <v>0</v>
      </c>
      <c r="H667" s="1636"/>
    </row>
    <row r="668" spans="1:8">
      <c r="A668" s="1634" t="str">
        <f>INDEX(Lists!$C$4:$C$24,MATCH(Validation!$B$3,Lists!$B$4:$B$24,0))</f>
        <v>TMS</v>
      </c>
      <c r="B668" s="2" t="str">
        <f>'4C'!AH10</f>
        <v>RCT00586W</v>
      </c>
      <c r="C668" s="1634" t="str">
        <f>'4C'!C10&amp;" ("&amp;'4C'!$G$3&amp;")"</f>
        <v>RCV determined at FD at 31 March (Water)</v>
      </c>
      <c r="D668" s="2" t="s">
        <v>8</v>
      </c>
      <c r="E668" s="2" t="s">
        <v>9</v>
      </c>
      <c r="F668" s="1634"/>
      <c r="G668" s="1635">
        <f>'4C'!G10</f>
        <v>5682.6890000000003</v>
      </c>
      <c r="H668" s="1636"/>
    </row>
    <row r="669" spans="1:8">
      <c r="A669" s="1634" t="str">
        <f>INDEX(Lists!$C$4:$C$24,MATCH(Validation!$B$3,Lists!$B$4:$B$24,0))</f>
        <v>TMS</v>
      </c>
      <c r="B669" s="2" t="str">
        <f>'4C'!AI6</f>
        <v>RCT00587WWT</v>
      </c>
      <c r="C669" s="1634" t="str">
        <f>'4C'!C6&amp;" ("&amp;'4C'!$H$3&amp;")"</f>
        <v>Cumulative totex over/underspend so far in the price control period (Wastewater)</v>
      </c>
      <c r="D669" s="2" t="s">
        <v>8</v>
      </c>
      <c r="E669" s="2" t="s">
        <v>9</v>
      </c>
      <c r="F669" s="1634"/>
      <c r="G669" s="1635">
        <f>'4C'!H6</f>
        <v>60.648000000000003</v>
      </c>
      <c r="H669" s="1636"/>
    </row>
    <row r="670" spans="1:8">
      <c r="A670" s="1634" t="str">
        <f>INDEX(Lists!$C$4:$C$24,MATCH(Validation!$B$3,Lists!$B$4:$B$24,0))</f>
        <v>TMS</v>
      </c>
      <c r="B670" s="2" t="str">
        <f>'4C'!AI7</f>
        <v>RCT00587WWTC</v>
      </c>
      <c r="C670" s="1634" t="str">
        <f>'4C'!C7&amp;" ("&amp;'4C'!$H$3&amp;")"</f>
        <v>Customer share of cumulative totex over/underspend (Wastewater)</v>
      </c>
      <c r="D670" s="2" t="s">
        <v>8</v>
      </c>
      <c r="E670" s="2" t="s">
        <v>9</v>
      </c>
      <c r="F670" s="1634"/>
      <c r="G670" s="1635">
        <f>'4C'!H7</f>
        <v>42.21</v>
      </c>
      <c r="H670" s="1636"/>
    </row>
    <row r="671" spans="1:8">
      <c r="A671" s="1634" t="str">
        <f>INDEX(Lists!$C$4:$C$24,MATCH(Validation!$B$3,Lists!$B$4:$B$24,0))</f>
        <v>TMS</v>
      </c>
      <c r="B671" s="2" t="str">
        <f>'4C'!AI8</f>
        <v>RCT00587WWTCR</v>
      </c>
      <c r="C671" s="1634" t="str">
        <f>'4C'!C8&amp;" ("&amp;'4C'!$H$3&amp;")"</f>
        <v>RCV element of customer share of cumulative totex over/underspend (Wastewater)</v>
      </c>
      <c r="D671" s="2" t="s">
        <v>8</v>
      </c>
      <c r="E671" s="2" t="s">
        <v>9</v>
      </c>
      <c r="F671" s="1634"/>
      <c r="G671" s="1635">
        <f>'4C'!H8</f>
        <v>39.874000000000002</v>
      </c>
      <c r="H671" s="1636"/>
    </row>
    <row r="672" spans="1:8">
      <c r="A672" s="1634" t="str">
        <f>INDEX(Lists!$C$4:$C$24,MATCH(Validation!$B$3,Lists!$B$4:$B$24,0))</f>
        <v>TMS</v>
      </c>
      <c r="B672" s="2" t="str">
        <f>'4C'!AI9</f>
        <v>RCT00588WW</v>
      </c>
      <c r="C672" s="1634" t="str">
        <f>'4C'!C9&amp;" ("&amp;'4C'!$H$3&amp;")"</f>
        <v>Adjustment for ODI rewards or penalties (Wastewater)</v>
      </c>
      <c r="D672" s="2" t="s">
        <v>8</v>
      </c>
      <c r="E672" s="2" t="s">
        <v>9</v>
      </c>
      <c r="F672" s="1634"/>
      <c r="G672" s="1635">
        <f>'4C'!H9</f>
        <v>0</v>
      </c>
      <c r="H672" s="1636"/>
    </row>
    <row r="673" spans="1:8">
      <c r="A673" s="1634" t="str">
        <f>INDEX(Lists!$C$4:$C$24,MATCH(Validation!$B$3,Lists!$B$4:$B$24,0))</f>
        <v>TMS</v>
      </c>
      <c r="B673" s="2" t="str">
        <f>'4C'!AI10</f>
        <v>RCT00586WW</v>
      </c>
      <c r="C673" s="1634" t="str">
        <f>'4C'!C10&amp;" ("&amp;'4C'!$H$3&amp;")"</f>
        <v>RCV determined at FD at 31 March (Wastewater)</v>
      </c>
      <c r="D673" s="2" t="s">
        <v>8</v>
      </c>
      <c r="E673" s="2" t="s">
        <v>9</v>
      </c>
      <c r="F673" s="1634"/>
      <c r="G673" s="1635">
        <f>'4C'!H10</f>
        <v>6664.84</v>
      </c>
      <c r="H673" s="1636"/>
    </row>
    <row r="674" spans="1:8">
      <c r="A674" s="1634" t="str">
        <f>INDEX(Lists!$C$4:$C$24,MATCH(Validation!$B$3,Lists!$B$4:$B$24,0))</f>
        <v>TMS</v>
      </c>
      <c r="B674" s="2" t="str">
        <f>'4C'!AJ6</f>
        <v>RCT00587TTTT</v>
      </c>
      <c r="C674" s="1634" t="str">
        <f>'4C'!C6&amp;" ("&amp;'4C'!$I$3&amp;")"</f>
        <v>Cumulative totex over/underspend so far in the price control period (TTT)</v>
      </c>
      <c r="D674" s="2" t="s">
        <v>8</v>
      </c>
      <c r="E674" s="2" t="s">
        <v>9</v>
      </c>
      <c r="F674" s="1634"/>
      <c r="G674" s="1635">
        <f>'4C'!I6</f>
        <v>-99.918999999999997</v>
      </c>
      <c r="H674" s="1636"/>
    </row>
    <row r="675" spans="1:8">
      <c r="A675" s="1634" t="str">
        <f>INDEX(Lists!$C$4:$C$24,MATCH(Validation!$B$3,Lists!$B$4:$B$24,0))</f>
        <v>TMS</v>
      </c>
      <c r="B675" s="2" t="str">
        <f>'4C'!AJ7</f>
        <v>RCT00587TTTTC</v>
      </c>
      <c r="C675" s="1634" t="str">
        <f>'4C'!C7&amp;" ("&amp;'4C'!$I$3&amp;")"</f>
        <v>Customer share of cumulative totex over/underspend (TTT)</v>
      </c>
      <c r="D675" s="2" t="s">
        <v>8</v>
      </c>
      <c r="E675" s="2" t="s">
        <v>9</v>
      </c>
      <c r="F675" s="1634"/>
      <c r="G675" s="1635">
        <f>'4C'!I7</f>
        <v>-60.161000000000001</v>
      </c>
      <c r="H675" s="1636"/>
    </row>
    <row r="676" spans="1:8">
      <c r="A676" s="1634" t="str">
        <f>INDEX(Lists!$C$4:$C$24,MATCH(Validation!$B$3,Lists!$B$4:$B$24,0))</f>
        <v>TMS</v>
      </c>
      <c r="B676" s="2" t="str">
        <f>'4C'!AJ8</f>
        <v>RCT00587TTTTCR</v>
      </c>
      <c r="C676" s="1634" t="str">
        <f>'4C'!C8&amp;" ("&amp;'4C'!$I$3&amp;")"</f>
        <v>RCV element of customer share of cumulative totex over/underspend (TTT)</v>
      </c>
      <c r="D676" s="2" t="s">
        <v>8</v>
      </c>
      <c r="E676" s="2" t="s">
        <v>9</v>
      </c>
      <c r="F676" s="1634"/>
      <c r="G676" s="1635">
        <f>'4C'!I8</f>
        <v>-123.875</v>
      </c>
      <c r="H676" s="1636"/>
    </row>
    <row r="677" spans="1:8">
      <c r="A677" s="1634" t="str">
        <f>INDEX(Lists!$C$4:$C$24,MATCH(Validation!$B$3,Lists!$B$4:$B$24,0))</f>
        <v>TMS</v>
      </c>
      <c r="B677" s="2" t="str">
        <f>'4C'!AJ9</f>
        <v>RCT00588TTT</v>
      </c>
      <c r="C677" s="1634" t="str">
        <f>'4C'!C9&amp;" ("&amp;'4C'!$I$3&amp;")"</f>
        <v>Adjustment for ODI rewards or penalties (TTT)</v>
      </c>
      <c r="D677" s="2" t="s">
        <v>8</v>
      </c>
      <c r="E677" s="2" t="s">
        <v>9</v>
      </c>
      <c r="F677" s="1634"/>
      <c r="G677" s="1635">
        <f>'4C'!I9</f>
        <v>0</v>
      </c>
      <c r="H677" s="1636"/>
    </row>
    <row r="678" spans="1:8" ht="15" thickBot="1">
      <c r="A678" s="1642" t="str">
        <f>INDEX(Lists!$C$4:$C$24,MATCH(Validation!$B$3,Lists!$B$4:$B$24,0))</f>
        <v>TMS</v>
      </c>
      <c r="B678" s="1648" t="str">
        <f>'4C'!AJ10</f>
        <v>RCT00586TTT</v>
      </c>
      <c r="C678" s="1642" t="str">
        <f>'4C'!C10&amp;" ("&amp;'4C'!$I$3&amp;")"</f>
        <v>RCV determined at FD at 31 March (TTT)</v>
      </c>
      <c r="D678" s="2" t="s">
        <v>8</v>
      </c>
      <c r="E678" s="2" t="s">
        <v>9</v>
      </c>
      <c r="F678" s="1634"/>
      <c r="G678" s="1658">
        <f>'4C'!I10</f>
        <v>1357.277</v>
      </c>
      <c r="H678" s="1636"/>
    </row>
    <row r="679" spans="1:8">
      <c r="A679" s="1634" t="str">
        <f>INDEX(Lists!$C$4:$C$24,MATCH(Validation!$B$3,Lists!$B$4:$B$24,0))</f>
        <v>TMS</v>
      </c>
      <c r="B679" s="2" t="str">
        <f>'4D'!BF7</f>
        <v>BM102AL</v>
      </c>
      <c r="C679" s="1634" t="str">
        <f>'4D'!BB7&amp;" - "&amp;'4D'!$BF$4</f>
        <v>Power - Abstraction licences</v>
      </c>
      <c r="D679" s="1644" t="s">
        <v>8</v>
      </c>
      <c r="E679" s="1644" t="s">
        <v>9</v>
      </c>
      <c r="F679" s="1641"/>
      <c r="G679" s="1635">
        <f>'4D'!G7</f>
        <v>0</v>
      </c>
      <c r="H679" s="1645"/>
    </row>
    <row r="680" spans="1:8">
      <c r="A680" s="1634" t="str">
        <f>INDEX(Lists!$C$4:$C$24,MATCH(Validation!$B$3,Lists!$B$4:$B$24,0))</f>
        <v>TMS</v>
      </c>
      <c r="B680" s="2" t="str">
        <f>'4D'!BF8</f>
        <v>BM336AL</v>
      </c>
      <c r="C680" s="1634" t="str">
        <f>'4D'!BB8&amp;" - "&amp;'4D'!$BF$4</f>
        <v>Income treated as negative expenditure - Abstraction licences</v>
      </c>
      <c r="D680" s="2" t="s">
        <v>8</v>
      </c>
      <c r="E680" s="2" t="s">
        <v>9</v>
      </c>
      <c r="F680" s="1634"/>
      <c r="G680" s="1635">
        <f>'4D'!G8</f>
        <v>0</v>
      </c>
      <c r="H680" s="1636"/>
    </row>
    <row r="681" spans="1:8">
      <c r="A681" s="1634" t="str">
        <f>INDEX(Lists!$C$4:$C$24,MATCH(Validation!$B$3,Lists!$B$4:$B$24,0))</f>
        <v>TMS</v>
      </c>
      <c r="B681" s="2" t="str">
        <f>'4D'!BF9</f>
        <v>BM131AL</v>
      </c>
      <c r="C681" s="1634" t="str">
        <f>'4D'!BB9&amp;" - "&amp;'4D'!$BF$4</f>
        <v>Abstraction charges/ discharge consents - Abstraction licences</v>
      </c>
      <c r="D681" s="2" t="s">
        <v>8</v>
      </c>
      <c r="E681" s="2" t="s">
        <v>9</v>
      </c>
      <c r="F681" s="1634"/>
      <c r="G681" s="1635">
        <f>'4D'!G9</f>
        <v>13.113</v>
      </c>
      <c r="H681" s="1636"/>
    </row>
    <row r="682" spans="1:8">
      <c r="A682" s="1634" t="str">
        <f>INDEX(Lists!$C$4:$C$24,MATCH(Validation!$B$3,Lists!$B$4:$B$24,0))</f>
        <v>TMS</v>
      </c>
      <c r="B682" s="2" t="str">
        <f>'4D'!BF10</f>
        <v>BM140AL</v>
      </c>
      <c r="C682" s="1634" t="str">
        <f>'4D'!BB10&amp;" - "&amp;'4D'!$BF$4</f>
        <v>Bulk supply - Abstraction licences</v>
      </c>
      <c r="D682" s="2" t="s">
        <v>8</v>
      </c>
      <c r="E682" s="2" t="s">
        <v>9</v>
      </c>
      <c r="F682" s="1634"/>
      <c r="G682" s="1635">
        <f>'4D'!G10</f>
        <v>0</v>
      </c>
      <c r="H682" s="1636"/>
    </row>
    <row r="683" spans="1:8">
      <c r="A683" s="1634" t="str">
        <f>INDEX(Lists!$C$4:$C$24,MATCH(Validation!$B$3,Lists!$B$4:$B$24,0))</f>
        <v>TMS</v>
      </c>
      <c r="B683" s="2" t="str">
        <f>'4D'!BF11</f>
        <v>BM339ALIR</v>
      </c>
      <c r="C683" s="1634" t="str">
        <f>'4D'!BB11&amp;" - "&amp;'4D'!$BF$4</f>
        <v>Other operating expenditure - renewals expensed in year (Infrastructure) - Abstraction licences</v>
      </c>
      <c r="D683" s="2" t="s">
        <v>8</v>
      </c>
      <c r="E683" s="2" t="s">
        <v>9</v>
      </c>
      <c r="F683" s="1634"/>
      <c r="G683" s="1635">
        <f>'4D'!G11</f>
        <v>0</v>
      </c>
      <c r="H683" s="1636"/>
    </row>
    <row r="684" spans="1:8">
      <c r="A684" s="1634" t="str">
        <f>INDEX(Lists!$C$4:$C$24,MATCH(Validation!$B$3,Lists!$B$4:$B$24,0))</f>
        <v>TMS</v>
      </c>
      <c r="B684" s="2" t="str">
        <f>'4D'!BF12</f>
        <v>BM339ALNIR</v>
      </c>
      <c r="C684" s="1634" t="str">
        <f>'4D'!BB12&amp;" - "&amp;'4D'!$BF$4</f>
        <v>Other operating expenditure - renewals expensed in year (Non-Infrastructure) - Abstraction licences</v>
      </c>
      <c r="D684" s="2" t="s">
        <v>8</v>
      </c>
      <c r="E684" s="2" t="s">
        <v>9</v>
      </c>
      <c r="F684" s="1634"/>
      <c r="G684" s="1635">
        <f>'4D'!G12</f>
        <v>0</v>
      </c>
      <c r="H684" s="1636"/>
    </row>
    <row r="685" spans="1:8">
      <c r="A685" s="1634" t="str">
        <f>INDEX(Lists!$C$4:$C$24,MATCH(Validation!$B$3,Lists!$B$4:$B$24,0))</f>
        <v>TMS</v>
      </c>
      <c r="B685" s="2" t="str">
        <f>'4D'!BF13</f>
        <v>BM339ALER</v>
      </c>
      <c r="C685" s="1634" t="str">
        <f>'4D'!BB13&amp;" - "&amp;'4D'!$BF$4</f>
        <v>Other operating expenditure - excluding renewals - Abstraction licences</v>
      </c>
      <c r="D685" s="2" t="s">
        <v>8</v>
      </c>
      <c r="E685" s="2" t="s">
        <v>9</v>
      </c>
      <c r="F685" s="1634"/>
      <c r="G685" s="1635">
        <f>'4D'!G13</f>
        <v>0.873</v>
      </c>
      <c r="H685" s="1636"/>
    </row>
    <row r="686" spans="1:8">
      <c r="A686" s="1634" t="str">
        <f>INDEX(Lists!$C$4:$C$24,MATCH(Validation!$B$3,Lists!$B$4:$B$24,0))</f>
        <v>TMS</v>
      </c>
      <c r="B686" s="2" t="str">
        <f>'4D'!BF14</f>
        <v>BM317AL</v>
      </c>
      <c r="C686" s="1634" t="str">
        <f>'4D'!BB14&amp;" - "&amp;'4D'!$BF$4</f>
        <v>Local authority and Cumulo rates - Abstraction licences</v>
      </c>
      <c r="D686" s="2" t="s">
        <v>8</v>
      </c>
      <c r="E686" s="2" t="s">
        <v>9</v>
      </c>
      <c r="F686" s="1634"/>
      <c r="G686" s="1635">
        <f>'4D'!G14</f>
        <v>0</v>
      </c>
      <c r="H686" s="1636"/>
    </row>
    <row r="687" spans="1:8">
      <c r="A687" s="1634" t="str">
        <f>INDEX(Lists!$C$4:$C$24,MATCH(Validation!$B$3,Lists!$B$4:$B$24,0))</f>
        <v>TMS</v>
      </c>
      <c r="B687" s="2" t="str">
        <f>'4D'!BF17</f>
        <v>BM323AL</v>
      </c>
      <c r="C687" s="1634" t="str">
        <f>'4D'!BB17&amp;" - "&amp;'4D'!$BF$4</f>
        <v>Third party services - Abstraction licences</v>
      </c>
      <c r="D687" s="2" t="s">
        <v>8</v>
      </c>
      <c r="E687" s="2" t="s">
        <v>9</v>
      </c>
      <c r="F687" s="1634"/>
      <c r="G687" s="1635">
        <f>'4D'!G17</f>
        <v>0</v>
      </c>
      <c r="H687" s="1636"/>
    </row>
    <row r="688" spans="1:8">
      <c r="A688" s="1634" t="str">
        <f>INDEX(Lists!$C$4:$C$24,MATCH(Validation!$B$3,Lists!$B$4:$B$24,0))</f>
        <v>TMS</v>
      </c>
      <c r="B688" s="2" t="str">
        <f>'4D'!BF21</f>
        <v>BC30445AL</v>
      </c>
      <c r="C688" s="1634" t="str">
        <f>'4D'!BB21&amp;" - "&amp;'4D'!$BF$4</f>
        <v>Maintaining the long term capability of the assets - infra - Abstraction licences</v>
      </c>
      <c r="D688" s="2" t="s">
        <v>8</v>
      </c>
      <c r="E688" s="2" t="s">
        <v>9</v>
      </c>
      <c r="F688" s="1634"/>
      <c r="G688" s="1635">
        <f>'4D'!G21</f>
        <v>0</v>
      </c>
      <c r="H688" s="1636"/>
    </row>
    <row r="689" spans="1:8">
      <c r="A689" s="1634" t="str">
        <f>INDEX(Lists!$C$4:$C$24,MATCH(Validation!$B$3,Lists!$B$4:$B$24,0))</f>
        <v>TMS</v>
      </c>
      <c r="B689" s="2" t="str">
        <f>'4D'!BF22</f>
        <v>CW00036AL</v>
      </c>
      <c r="C689" s="1634" t="str">
        <f>'4D'!BB22&amp;" - "&amp;'4D'!$BF$4</f>
        <v>Maintaining the long term capability of the assets - non-infra - Abstraction licences</v>
      </c>
      <c r="D689" s="2" t="s">
        <v>8</v>
      </c>
      <c r="E689" s="2" t="s">
        <v>9</v>
      </c>
      <c r="F689" s="1634"/>
      <c r="G689" s="1635">
        <f>'4D'!G22</f>
        <v>2.1000000000000001E-2</v>
      </c>
      <c r="H689" s="1636"/>
    </row>
    <row r="690" spans="1:8">
      <c r="A690" s="1634" t="str">
        <f>INDEX(Lists!$C$4:$C$24,MATCH(Validation!$B$3,Lists!$B$4:$B$24,0))</f>
        <v>TMS</v>
      </c>
      <c r="B690" s="2" t="str">
        <f>'4D'!BF23</f>
        <v>BC30444AL</v>
      </c>
      <c r="C690" s="1634" t="str">
        <f>'4D'!BB23&amp;" - "&amp;'4D'!$BF$4</f>
        <v>Other capital expenditure - infra - Abstraction licences</v>
      </c>
      <c r="D690" s="2" t="s">
        <v>8</v>
      </c>
      <c r="E690" s="2" t="s">
        <v>9</v>
      </c>
      <c r="F690" s="1634"/>
      <c r="G690" s="1635">
        <f>'4D'!G23</f>
        <v>0</v>
      </c>
      <c r="H690" s="1636"/>
    </row>
    <row r="691" spans="1:8">
      <c r="A691" s="1634" t="str">
        <f>INDEX(Lists!$C$4:$C$24,MATCH(Validation!$B$3,Lists!$B$4:$B$24,0))</f>
        <v>TMS</v>
      </c>
      <c r="B691" s="2" t="str">
        <f>'4D'!BF24</f>
        <v>CW00037AL</v>
      </c>
      <c r="C691" s="1634" t="str">
        <f>'4D'!BB24&amp;" - "&amp;'4D'!$BF$4</f>
        <v>Other capital expenditure - non-infra - Abstraction licences</v>
      </c>
      <c r="D691" s="2" t="s">
        <v>8</v>
      </c>
      <c r="E691" s="2" t="s">
        <v>9</v>
      </c>
      <c r="F691" s="1634"/>
      <c r="G691" s="1635">
        <f>'4D'!G24</f>
        <v>0</v>
      </c>
      <c r="H691" s="1636"/>
    </row>
    <row r="692" spans="1:8">
      <c r="A692" s="1634" t="str">
        <f>INDEX(Lists!$C$4:$C$24,MATCH(Validation!$B$3,Lists!$B$4:$B$24,0))</f>
        <v>TMS</v>
      </c>
      <c r="B692" s="2" t="str">
        <f>'4D'!BF25</f>
        <v>BC30449AL</v>
      </c>
      <c r="C692" s="1634" t="str">
        <f>'4D'!BB25&amp;" - "&amp;'4D'!$BF$4</f>
        <v>Infrastructure network reinforcement - Abstraction licences</v>
      </c>
      <c r="D692" s="2" t="s">
        <v>8</v>
      </c>
      <c r="E692" s="2" t="s">
        <v>9</v>
      </c>
      <c r="F692" s="1634"/>
      <c r="G692" s="1635">
        <f>'4D'!G25</f>
        <v>0</v>
      </c>
      <c r="H692" s="1636"/>
    </row>
    <row r="693" spans="1:8">
      <c r="A693" s="1634" t="str">
        <f>INDEX(Lists!$C$4:$C$24,MATCH(Validation!$B$3,Lists!$B$4:$B$24,0))</f>
        <v>TMS</v>
      </c>
      <c r="B693" s="2" t="str">
        <f>'4D'!BF27</f>
        <v>BM333AL</v>
      </c>
      <c r="C693" s="1634" t="str">
        <f>'4D'!BB27&amp;" - "&amp;'4D'!$BF$4</f>
        <v>Third party services - Abstraction licences</v>
      </c>
      <c r="D693" s="2" t="s">
        <v>8</v>
      </c>
      <c r="E693" s="2" t="s">
        <v>9</v>
      </c>
      <c r="F693" s="1634"/>
      <c r="G693" s="1635">
        <f>'4D'!G27</f>
        <v>0</v>
      </c>
      <c r="H693" s="1636"/>
    </row>
    <row r="694" spans="1:8">
      <c r="A694" s="1634" t="str">
        <f>INDEX(Lists!$C$4:$C$24,MATCH(Validation!$B$3,Lists!$B$4:$B$24,0))</f>
        <v>TMS</v>
      </c>
      <c r="B694" s="2" t="str">
        <f>'4D'!BF31</f>
        <v>BA1071AL</v>
      </c>
      <c r="C694" s="1634" t="str">
        <f>'4D'!BB31&amp;" - "&amp;'4D'!$BF$4</f>
        <v>Grants and contributions - Abstraction licences</v>
      </c>
      <c r="D694" s="2" t="s">
        <v>8</v>
      </c>
      <c r="E694" s="2" t="s">
        <v>9</v>
      </c>
      <c r="F694" s="1634"/>
      <c r="G694" s="1635">
        <f>'4D'!G31</f>
        <v>0</v>
      </c>
      <c r="H694" s="1636"/>
    </row>
    <row r="695" spans="1:8">
      <c r="A695" s="1634" t="str">
        <f>INDEX(Lists!$C$4:$C$24,MATCH(Validation!$B$3,Lists!$B$4:$B$24,0))</f>
        <v>TMS</v>
      </c>
      <c r="B695" s="2" t="str">
        <f>'4D'!BF36</f>
        <v>CR00558AL</v>
      </c>
      <c r="C695" s="1634" t="str">
        <f>'4D'!BB36&amp;" - "&amp;'4D'!$BF$4</f>
        <v>Pension deficit recovery payments - Abstraction licences</v>
      </c>
      <c r="D695" s="2" t="s">
        <v>8</v>
      </c>
      <c r="E695" s="2" t="s">
        <v>9</v>
      </c>
      <c r="F695" s="1634"/>
      <c r="G695" s="1635">
        <f>'4D'!G36</f>
        <v>3.6999999999999998E-2</v>
      </c>
      <c r="H695" s="1636"/>
    </row>
    <row r="696" spans="1:8">
      <c r="A696" s="1634" t="str">
        <f>INDEX(Lists!$C$4:$C$24,MATCH(Validation!$B$3,Lists!$B$4:$B$24,0))</f>
        <v>TMS</v>
      </c>
      <c r="B696" s="2" t="str">
        <f>'4D'!BF37</f>
        <v>CR00561AL</v>
      </c>
      <c r="C696" s="1634" t="str">
        <f>'4D'!BB37&amp;" - "&amp;'4D'!$BF$4</f>
        <v>Other cash items - Abstraction licences</v>
      </c>
      <c r="D696" s="2" t="s">
        <v>8</v>
      </c>
      <c r="E696" s="2" t="s">
        <v>9</v>
      </c>
      <c r="F696" s="1634"/>
      <c r="G696" s="1635">
        <f>'4D'!G37</f>
        <v>0</v>
      </c>
      <c r="H696" s="1636"/>
    </row>
    <row r="697" spans="1:8">
      <c r="A697" s="1634" t="str">
        <f>INDEX(Lists!$C$4:$C$24,MATCH(Validation!$B$3,Lists!$B$4:$B$24,0))</f>
        <v>TMS</v>
      </c>
      <c r="B697" s="2" t="str">
        <f>'4D'!BF42</f>
        <v>CRASAL005</v>
      </c>
      <c r="C697" s="1634" t="str">
        <f>'4D'!BB42&amp;" - "&amp;'4D'!$BF$4</f>
        <v>Licenced volume available - Abstraction licences</v>
      </c>
      <c r="D697" s="2" t="s">
        <v>16</v>
      </c>
      <c r="E697" s="2" t="s">
        <v>9</v>
      </c>
      <c r="F697" s="1634"/>
      <c r="G697" s="1635">
        <f>'4D'!G42</f>
        <v>1546857.1089999999</v>
      </c>
      <c r="H697" s="1636"/>
    </row>
    <row r="698" spans="1:8">
      <c r="A698" s="1637" t="str">
        <f>INDEX(Lists!$C$4:$C$24,MATCH(Validation!$B$3,Lists!$B$4:$B$24,0))</f>
        <v>TMS</v>
      </c>
      <c r="B698" s="1650" t="str">
        <f>'4D'!BF49</f>
        <v>BN2590AL</v>
      </c>
      <c r="C698" s="1637" t="str">
        <f>'4D'!BB49&amp;" - "&amp;'4D'!$BF$4</f>
        <v>Population - Abstraction licences</v>
      </c>
      <c r="D698" s="1651" t="s">
        <v>13</v>
      </c>
      <c r="E698" s="1651" t="s">
        <v>9</v>
      </c>
      <c r="F698" s="1637"/>
      <c r="G698" s="1653">
        <f>'4D'!G49</f>
        <v>10012.826999999999</v>
      </c>
      <c r="H698" s="1652"/>
    </row>
    <row r="699" spans="1:8">
      <c r="A699" s="1634" t="str">
        <f>INDEX(Lists!$C$4:$C$24,MATCH(Validation!$B$3,Lists!$B$4:$B$24,0))</f>
        <v>TMS</v>
      </c>
      <c r="B699" s="2" t="str">
        <f>'4D'!BG7</f>
        <v>BM102RWA</v>
      </c>
      <c r="C699" s="1634" t="str">
        <f>'4D'!BB7&amp;" - "&amp;'4D'!$BG$4</f>
        <v>Power - Raw water abstraction</v>
      </c>
      <c r="D699" s="2" t="s">
        <v>8</v>
      </c>
      <c r="E699" s="2" t="s">
        <v>9</v>
      </c>
      <c r="F699" s="1634"/>
      <c r="G699" s="1635">
        <f>'4D'!H7</f>
        <v>13.356</v>
      </c>
      <c r="H699" s="1636"/>
    </row>
    <row r="700" spans="1:8">
      <c r="A700" s="1634" t="str">
        <f>INDEX(Lists!$C$4:$C$24,MATCH(Validation!$B$3,Lists!$B$4:$B$24,0))</f>
        <v>TMS</v>
      </c>
      <c r="B700" s="2" t="str">
        <f>'4D'!BG8</f>
        <v>BM336RWA</v>
      </c>
      <c r="C700" s="1634" t="str">
        <f>'4D'!BB8&amp;" - "&amp;'4D'!$BG$4</f>
        <v>Income treated as negative expenditure - Raw water abstraction</v>
      </c>
      <c r="D700" s="2" t="s">
        <v>8</v>
      </c>
      <c r="E700" s="2" t="s">
        <v>9</v>
      </c>
      <c r="F700" s="1634"/>
      <c r="G700" s="1635">
        <f>'4D'!H8</f>
        <v>-0.122</v>
      </c>
      <c r="H700" s="1636"/>
    </row>
    <row r="701" spans="1:8">
      <c r="A701" s="1634" t="str">
        <f>INDEX(Lists!$C$4:$C$24,MATCH(Validation!$B$3,Lists!$B$4:$B$24,0))</f>
        <v>TMS</v>
      </c>
      <c r="B701" s="2" t="str">
        <f>'4D'!BG9</f>
        <v>BM131RWA</v>
      </c>
      <c r="C701" s="1634" t="str">
        <f>'4D'!BB9&amp;" - "&amp;'4D'!$BG$4</f>
        <v>Abstraction charges/ discharge consents - Raw water abstraction</v>
      </c>
      <c r="D701" s="2" t="s">
        <v>8</v>
      </c>
      <c r="E701" s="2" t="s">
        <v>9</v>
      </c>
      <c r="F701" s="1634"/>
      <c r="G701" s="1635">
        <f>'4D'!H9</f>
        <v>3.0000000000000001E-3</v>
      </c>
      <c r="H701" s="1636"/>
    </row>
    <row r="702" spans="1:8">
      <c r="A702" s="1634" t="str">
        <f>INDEX(Lists!$C$4:$C$24,MATCH(Validation!$B$3,Lists!$B$4:$B$24,0))</f>
        <v>TMS</v>
      </c>
      <c r="B702" s="2" t="str">
        <f>'4D'!BG10</f>
        <v>BM140RWA</v>
      </c>
      <c r="C702" s="1634" t="str">
        <f>'4D'!BB10&amp;" - "&amp;'4D'!$BG$4</f>
        <v>Bulk supply - Raw water abstraction</v>
      </c>
      <c r="D702" s="2" t="s">
        <v>8</v>
      </c>
      <c r="E702" s="2" t="s">
        <v>9</v>
      </c>
      <c r="F702" s="1634"/>
      <c r="G702" s="1635">
        <f>'4D'!H10</f>
        <v>2.5760000000000001</v>
      </c>
      <c r="H702" s="1636"/>
    </row>
    <row r="703" spans="1:8">
      <c r="A703" s="1634" t="str">
        <f>INDEX(Lists!$C$4:$C$24,MATCH(Validation!$B$3,Lists!$B$4:$B$24,0))</f>
        <v>TMS</v>
      </c>
      <c r="B703" s="2" t="str">
        <f>'4D'!BG11</f>
        <v>BM339RWAIR</v>
      </c>
      <c r="C703" s="1634" t="str">
        <f>'4D'!BB11&amp;" - "&amp;'4D'!$BG$4</f>
        <v>Other operating expenditure - renewals expensed in year (Infrastructure) - Raw water abstraction</v>
      </c>
      <c r="D703" s="2" t="s">
        <v>8</v>
      </c>
      <c r="E703" s="2" t="s">
        <v>9</v>
      </c>
      <c r="F703" s="1634"/>
      <c r="G703" s="1635">
        <f>'4D'!H11</f>
        <v>0</v>
      </c>
      <c r="H703" s="1636"/>
    </row>
    <row r="704" spans="1:8">
      <c r="A704" s="1634" t="str">
        <f>INDEX(Lists!$C$4:$C$24,MATCH(Validation!$B$3,Lists!$B$4:$B$24,0))</f>
        <v>TMS</v>
      </c>
      <c r="B704" s="2" t="str">
        <f>'4D'!BG12</f>
        <v>BM339RWANIR</v>
      </c>
      <c r="C704" s="1634" t="str">
        <f>'4D'!BB12&amp;" - "&amp;'4D'!$BG$4</f>
        <v>Other operating expenditure - renewals expensed in year (Non-Infrastructure) - Raw water abstraction</v>
      </c>
      <c r="D704" s="2" t="s">
        <v>8</v>
      </c>
      <c r="E704" s="2" t="s">
        <v>9</v>
      </c>
      <c r="F704" s="1634"/>
      <c r="G704" s="1635">
        <f>'4D'!H12</f>
        <v>0</v>
      </c>
      <c r="H704" s="1636"/>
    </row>
    <row r="705" spans="1:8">
      <c r="A705" s="1634" t="str">
        <f>INDEX(Lists!$C$4:$C$24,MATCH(Validation!$B$3,Lists!$B$4:$B$24,0))</f>
        <v>TMS</v>
      </c>
      <c r="B705" s="2" t="str">
        <f>'4D'!BG13</f>
        <v>BM339RWAER</v>
      </c>
      <c r="C705" s="1634" t="str">
        <f>'4D'!BB13&amp;" - "&amp;'4D'!$BG$4</f>
        <v>Other operating expenditure - excluding renewals - Raw water abstraction</v>
      </c>
      <c r="D705" s="2" t="s">
        <v>8</v>
      </c>
      <c r="E705" s="2" t="s">
        <v>9</v>
      </c>
      <c r="F705" s="1634"/>
      <c r="G705" s="1635">
        <f>'4D'!H13</f>
        <v>26.571999999999999</v>
      </c>
      <c r="H705" s="1636"/>
    </row>
    <row r="706" spans="1:8">
      <c r="A706" s="1634" t="str">
        <f>INDEX(Lists!$C$4:$C$24,MATCH(Validation!$B$3,Lists!$B$4:$B$24,0))</f>
        <v>TMS</v>
      </c>
      <c r="B706" s="2" t="str">
        <f>'4D'!BG14</f>
        <v>BM317RWA</v>
      </c>
      <c r="C706" s="1634" t="str">
        <f>'4D'!BB14&amp;" - "&amp;'4D'!$BG$4</f>
        <v>Local authority and Cumulo rates - Raw water abstraction</v>
      </c>
      <c r="D706" s="2" t="s">
        <v>8</v>
      </c>
      <c r="E706" s="2" t="s">
        <v>9</v>
      </c>
      <c r="F706" s="1634"/>
      <c r="G706" s="1635">
        <f>'4D'!H14</f>
        <v>3.4950000000000001</v>
      </c>
      <c r="H706" s="1636"/>
    </row>
    <row r="707" spans="1:8">
      <c r="A707" s="1634" t="str">
        <f>INDEX(Lists!$C$4:$C$24,MATCH(Validation!$B$3,Lists!$B$4:$B$24,0))</f>
        <v>TMS</v>
      </c>
      <c r="B707" s="2" t="str">
        <f>'4D'!BG17</f>
        <v>BM323RWA</v>
      </c>
      <c r="C707" s="1634" t="str">
        <f>'4D'!BB17&amp;" - "&amp;'4D'!$BG$4</f>
        <v>Third party services - Raw water abstraction</v>
      </c>
      <c r="D707" s="2" t="s">
        <v>8</v>
      </c>
      <c r="E707" s="2" t="s">
        <v>9</v>
      </c>
      <c r="F707" s="1634"/>
      <c r="G707" s="1635">
        <f>'4D'!H17</f>
        <v>2.3340000000000001</v>
      </c>
      <c r="H707" s="1636"/>
    </row>
    <row r="708" spans="1:8">
      <c r="A708" s="1634" t="str">
        <f>INDEX(Lists!$C$4:$C$24,MATCH(Validation!$B$3,Lists!$B$4:$B$24,0))</f>
        <v>TMS</v>
      </c>
      <c r="B708" s="2" t="str">
        <f>'4D'!BG21</f>
        <v>BC30445RWA</v>
      </c>
      <c r="C708" s="1634" t="str">
        <f>'4D'!BB21&amp;" - "&amp;'4D'!$BG$4</f>
        <v>Maintaining the long term capability of the assets - infra - Raw water abstraction</v>
      </c>
      <c r="D708" s="2" t="s">
        <v>8</v>
      </c>
      <c r="E708" s="2" t="s">
        <v>9</v>
      </c>
      <c r="F708" s="1634"/>
      <c r="G708" s="1635">
        <f>'4D'!H21</f>
        <v>6.2859999999999996</v>
      </c>
      <c r="H708" s="1636"/>
    </row>
    <row r="709" spans="1:8">
      <c r="A709" s="1634" t="str">
        <f>INDEX(Lists!$C$4:$C$24,MATCH(Validation!$B$3,Lists!$B$4:$B$24,0))</f>
        <v>TMS</v>
      </c>
      <c r="B709" s="2" t="str">
        <f>'4D'!BG22</f>
        <v>CW00036RWA</v>
      </c>
      <c r="C709" s="1634" t="str">
        <f>'4D'!BB22&amp;" - "&amp;'4D'!$BG$4</f>
        <v>Maintaining the long term capability of the assets - non-infra - Raw water abstraction</v>
      </c>
      <c r="D709" s="2" t="s">
        <v>8</v>
      </c>
      <c r="E709" s="2" t="s">
        <v>9</v>
      </c>
      <c r="F709" s="1634"/>
      <c r="G709" s="1635">
        <f>'4D'!H22</f>
        <v>15.523</v>
      </c>
      <c r="H709" s="1636"/>
    </row>
    <row r="710" spans="1:8">
      <c r="A710" s="1634" t="str">
        <f>INDEX(Lists!$C$4:$C$24,MATCH(Validation!$B$3,Lists!$B$4:$B$24,0))</f>
        <v>TMS</v>
      </c>
      <c r="B710" s="2" t="str">
        <f>'4D'!BG23</f>
        <v>BC30444RWA</v>
      </c>
      <c r="C710" s="1634" t="str">
        <f>'4D'!BB23&amp;" - "&amp;'4D'!$BG$4</f>
        <v>Other capital expenditure - infra - Raw water abstraction</v>
      </c>
      <c r="D710" s="2" t="s">
        <v>8</v>
      </c>
      <c r="E710" s="2" t="s">
        <v>9</v>
      </c>
      <c r="F710" s="1634"/>
      <c r="G710" s="1635">
        <f>'4D'!H23</f>
        <v>1.954</v>
      </c>
      <c r="H710" s="1636"/>
    </row>
    <row r="711" spans="1:8">
      <c r="A711" s="1634" t="str">
        <f>INDEX(Lists!$C$4:$C$24,MATCH(Validation!$B$3,Lists!$B$4:$B$24,0))</f>
        <v>TMS</v>
      </c>
      <c r="B711" s="2" t="str">
        <f>'4D'!BG24</f>
        <v>CW00037RWA</v>
      </c>
      <c r="C711" s="1634" t="str">
        <f>'4D'!BB24&amp;" - "&amp;'4D'!$BG$4</f>
        <v>Other capital expenditure - non-infra - Raw water abstraction</v>
      </c>
      <c r="D711" s="2" t="s">
        <v>8</v>
      </c>
      <c r="E711" s="2" t="s">
        <v>9</v>
      </c>
      <c r="F711" s="1634"/>
      <c r="G711" s="1635">
        <f>'4D'!H24</f>
        <v>-1.381</v>
      </c>
      <c r="H711" s="1636"/>
    </row>
    <row r="712" spans="1:8">
      <c r="A712" s="1634" t="str">
        <f>INDEX(Lists!$C$4:$C$24,MATCH(Validation!$B$3,Lists!$B$4:$B$24,0))</f>
        <v>TMS</v>
      </c>
      <c r="B712" s="2" t="str">
        <f>'4D'!BG25</f>
        <v>BC30449RWA</v>
      </c>
      <c r="C712" s="1634" t="str">
        <f>'4D'!BB25&amp;" - "&amp;'4D'!$BG$4</f>
        <v>Infrastructure network reinforcement - Raw water abstraction</v>
      </c>
      <c r="D712" s="2" t="s">
        <v>8</v>
      </c>
      <c r="E712" s="2" t="s">
        <v>9</v>
      </c>
      <c r="F712" s="1634"/>
      <c r="G712" s="1635">
        <f>'4D'!H25</f>
        <v>0</v>
      </c>
      <c r="H712" s="1636"/>
    </row>
    <row r="713" spans="1:8">
      <c r="A713" s="1634" t="str">
        <f>INDEX(Lists!$C$4:$C$24,MATCH(Validation!$B$3,Lists!$B$4:$B$24,0))</f>
        <v>TMS</v>
      </c>
      <c r="B713" s="2" t="str">
        <f>'4D'!BG27</f>
        <v>BM333RWA</v>
      </c>
      <c r="C713" s="1634" t="str">
        <f>'4D'!BB27&amp;" - "&amp;'4D'!$BG$4</f>
        <v>Third party services - Raw water abstraction</v>
      </c>
      <c r="D713" s="2" t="s">
        <v>8</v>
      </c>
      <c r="E713" s="2" t="s">
        <v>9</v>
      </c>
      <c r="F713" s="1634"/>
      <c r="G713" s="1635">
        <f>'4D'!H27</f>
        <v>0</v>
      </c>
      <c r="H713" s="1636"/>
    </row>
    <row r="714" spans="1:8">
      <c r="A714" s="1634" t="str">
        <f>INDEX(Lists!$C$4:$C$24,MATCH(Validation!$B$3,Lists!$B$4:$B$24,0))</f>
        <v>TMS</v>
      </c>
      <c r="B714" s="2" t="str">
        <f>'4D'!BG31</f>
        <v>BA1071RWA</v>
      </c>
      <c r="C714" s="1634" t="str">
        <f>'4D'!BB31&amp;" - "&amp;'4D'!$BG$4</f>
        <v>Grants and contributions - Raw water abstraction</v>
      </c>
      <c r="D714" s="2" t="s">
        <v>8</v>
      </c>
      <c r="E714" s="2" t="s">
        <v>9</v>
      </c>
      <c r="F714" s="1634"/>
      <c r="G714" s="1635">
        <f>'4D'!H31</f>
        <v>0</v>
      </c>
      <c r="H714" s="1636"/>
    </row>
    <row r="715" spans="1:8">
      <c r="A715" s="1634" t="str">
        <f>INDEX(Lists!$C$4:$C$24,MATCH(Validation!$B$3,Lists!$B$4:$B$24,0))</f>
        <v>TMS</v>
      </c>
      <c r="B715" s="2" t="str">
        <f>'4D'!BG36</f>
        <v>CR00558RWA</v>
      </c>
      <c r="C715" s="1634" t="str">
        <f>'4D'!BB36&amp;" - "&amp;'4D'!$BG$4</f>
        <v>Pension deficit recovery payments - Raw water abstraction</v>
      </c>
      <c r="D715" s="2" t="s">
        <v>8</v>
      </c>
      <c r="E715" s="2" t="s">
        <v>9</v>
      </c>
      <c r="F715" s="1634"/>
      <c r="G715" s="1635">
        <f>'4D'!H36</f>
        <v>1.024</v>
      </c>
      <c r="H715" s="1636"/>
    </row>
    <row r="716" spans="1:8">
      <c r="A716" s="1634" t="str">
        <f>INDEX(Lists!$C$4:$C$24,MATCH(Validation!$B$3,Lists!$B$4:$B$24,0))</f>
        <v>TMS</v>
      </c>
      <c r="B716" s="2" t="str">
        <f>'4D'!BG37</f>
        <v>CR00561RWA</v>
      </c>
      <c r="C716" s="1634" t="str">
        <f>'4D'!BB37&amp;" - "&amp;'4D'!$BG$4</f>
        <v>Other cash items - Raw water abstraction</v>
      </c>
      <c r="D716" s="2" t="s">
        <v>8</v>
      </c>
      <c r="E716" s="2" t="s">
        <v>9</v>
      </c>
      <c r="F716" s="1634"/>
      <c r="G716" s="1635">
        <f>'4D'!H37</f>
        <v>0</v>
      </c>
      <c r="H716" s="1636"/>
    </row>
    <row r="717" spans="1:8">
      <c r="A717" s="1634" t="str">
        <f>INDEX(Lists!$C$4:$C$24,MATCH(Validation!$B$3,Lists!$B$4:$B$24,0))</f>
        <v>TMS</v>
      </c>
      <c r="B717" s="2" t="str">
        <f>'4D'!BG43</f>
        <v>CRASREA005</v>
      </c>
      <c r="C717" s="1634" t="str">
        <f>'4D'!BB43&amp;" - "&amp;'4D'!$BG$4</f>
        <v>Volume abstracted - Raw water abstraction</v>
      </c>
      <c r="D717" s="2" t="s">
        <v>16</v>
      </c>
      <c r="E717" s="2" t="s">
        <v>9</v>
      </c>
      <c r="F717" s="1634"/>
      <c r="G717" s="1635">
        <f>'4D'!H43</f>
        <v>1034945.661</v>
      </c>
      <c r="H717" s="1636"/>
    </row>
    <row r="718" spans="1:8">
      <c r="A718" s="1637" t="str">
        <f>INDEX(Lists!$C$4:$C$24,MATCH(Validation!$B$3,Lists!$B$4:$B$24,0))</f>
        <v>TMS</v>
      </c>
      <c r="B718" s="1651" t="str">
        <f>'4D'!BG49</f>
        <v>BN2590RWA</v>
      </c>
      <c r="C718" s="1637" t="str">
        <f>'4D'!BB49&amp;" - "&amp;'4D'!$BG$4</f>
        <v>Population - Raw water abstraction</v>
      </c>
      <c r="D718" s="1650" t="s">
        <v>13</v>
      </c>
      <c r="E718" s="1652" t="s">
        <v>9</v>
      </c>
      <c r="F718" s="1637"/>
      <c r="G718" s="1653">
        <f>'4D'!H49</f>
        <v>10012.826999999999</v>
      </c>
      <c r="H718" s="1652"/>
    </row>
    <row r="719" spans="1:8">
      <c r="A719" s="1634" t="str">
        <f>INDEX(Lists!$C$4:$C$24,MATCH(Validation!$B$3,Lists!$B$4:$B$24,0))</f>
        <v>TMS</v>
      </c>
      <c r="B719" s="2" t="str">
        <f>'4D'!BH7</f>
        <v>BM202RWT</v>
      </c>
      <c r="C719" s="1634" t="str">
        <f>'4D'!BB7&amp;" - "&amp;'4D'!$BH$4</f>
        <v>Power - Raw water transport</v>
      </c>
      <c r="D719" s="2" t="s">
        <v>8</v>
      </c>
      <c r="E719" s="2" t="s">
        <v>9</v>
      </c>
      <c r="F719" s="1634"/>
      <c r="G719" s="1635">
        <f>'4D'!I7</f>
        <v>0.318</v>
      </c>
      <c r="H719" s="1636"/>
    </row>
    <row r="720" spans="1:8">
      <c r="A720" s="1634" t="str">
        <f>INDEX(Lists!$C$4:$C$24,MATCH(Validation!$B$3,Lists!$B$4:$B$24,0))</f>
        <v>TMS</v>
      </c>
      <c r="B720" s="2" t="str">
        <f>'4D'!BH8</f>
        <v>BM336RWT</v>
      </c>
      <c r="C720" s="1634" t="str">
        <f>'4D'!BB8&amp;" - "&amp;'4D'!$BH$4</f>
        <v>Income treated as negative expenditure - Raw water transport</v>
      </c>
      <c r="D720" s="2" t="s">
        <v>8</v>
      </c>
      <c r="E720" s="2" t="s">
        <v>9</v>
      </c>
      <c r="F720" s="1634"/>
      <c r="G720" s="1635">
        <f>'4D'!I8</f>
        <v>-0.01</v>
      </c>
      <c r="H720" s="1636"/>
    </row>
    <row r="721" spans="1:8">
      <c r="A721" s="1634" t="str">
        <f>INDEX(Lists!$C$4:$C$24,MATCH(Validation!$B$3,Lists!$B$4:$B$24,0))</f>
        <v>TMS</v>
      </c>
      <c r="B721" s="2" t="str">
        <f>'4D'!BH9</f>
        <v>BM231RWT</v>
      </c>
      <c r="C721" s="1634" t="str">
        <f>'4D'!BB9&amp;" - "&amp;'4D'!$BH$4</f>
        <v>Abstraction charges/ discharge consents - Raw water transport</v>
      </c>
      <c r="D721" s="2" t="s">
        <v>8</v>
      </c>
      <c r="E721" s="2" t="s">
        <v>9</v>
      </c>
      <c r="F721" s="1634"/>
      <c r="G721" s="1635">
        <f>'4D'!I9</f>
        <v>0</v>
      </c>
      <c r="H721" s="1636"/>
    </row>
    <row r="722" spans="1:8">
      <c r="A722" s="1634" t="str">
        <f>INDEX(Lists!$C$4:$C$24,MATCH(Validation!$B$3,Lists!$B$4:$B$24,0))</f>
        <v>TMS</v>
      </c>
      <c r="B722" s="2" t="str">
        <f>'4D'!BH10</f>
        <v>BM240RWT</v>
      </c>
      <c r="C722" s="1634" t="str">
        <f>'4D'!BB10&amp;" - "&amp;'4D'!$BH$4</f>
        <v>Bulk supply - Raw water transport</v>
      </c>
      <c r="D722" s="2" t="s">
        <v>8</v>
      </c>
      <c r="E722" s="2" t="s">
        <v>9</v>
      </c>
      <c r="F722" s="1634"/>
      <c r="G722" s="1635">
        <f>'4D'!I10</f>
        <v>0</v>
      </c>
      <c r="H722" s="1636"/>
    </row>
    <row r="723" spans="1:8">
      <c r="A723" s="1634" t="str">
        <f>INDEX(Lists!$C$4:$C$24,MATCH(Validation!$B$3,Lists!$B$4:$B$24,0))</f>
        <v>TMS</v>
      </c>
      <c r="B723" s="2" t="str">
        <f>'4D'!BH11</f>
        <v>BM339RWTIR</v>
      </c>
      <c r="C723" s="1634" t="str">
        <f>'4D'!BB11&amp;" - "&amp;'4D'!$BH$4</f>
        <v>Other operating expenditure - renewals expensed in year (Infrastructure) - Raw water transport</v>
      </c>
      <c r="D723" s="2" t="s">
        <v>8</v>
      </c>
      <c r="E723" s="2" t="s">
        <v>9</v>
      </c>
      <c r="F723" s="1634"/>
      <c r="G723" s="1635">
        <f>'4D'!I11</f>
        <v>0</v>
      </c>
      <c r="H723" s="1636"/>
    </row>
    <row r="724" spans="1:8">
      <c r="A724" s="1634" t="str">
        <f>INDEX(Lists!$C$4:$C$24,MATCH(Validation!$B$3,Lists!$B$4:$B$24,0))</f>
        <v>TMS</v>
      </c>
      <c r="B724" s="2" t="str">
        <f>'4D'!BH12</f>
        <v>BM339RWTNIR</v>
      </c>
      <c r="C724" s="1634" t="str">
        <f>'4D'!BB12&amp;" - "&amp;'4D'!$BH$4</f>
        <v>Other operating expenditure - renewals expensed in year (Non-Infrastructure) - Raw water transport</v>
      </c>
      <c r="D724" s="2" t="s">
        <v>8</v>
      </c>
      <c r="E724" s="2" t="s">
        <v>9</v>
      </c>
      <c r="F724" s="1634"/>
      <c r="G724" s="1635">
        <f>'4D'!I12</f>
        <v>0</v>
      </c>
      <c r="H724" s="1636"/>
    </row>
    <row r="725" spans="1:8">
      <c r="A725" s="1634" t="str">
        <f>INDEX(Lists!$C$4:$C$24,MATCH(Validation!$B$3,Lists!$B$4:$B$24,0))</f>
        <v>TMS</v>
      </c>
      <c r="B725" s="2" t="str">
        <f>'4D'!BH13</f>
        <v>BM339RWTER</v>
      </c>
      <c r="C725" s="1634" t="str">
        <f>'4D'!BB13&amp;" - "&amp;'4D'!$BH$4</f>
        <v>Other operating expenditure - excluding renewals - Raw water transport</v>
      </c>
      <c r="D725" s="2" t="s">
        <v>8</v>
      </c>
      <c r="E725" s="2" t="s">
        <v>9</v>
      </c>
      <c r="F725" s="1634"/>
      <c r="G725" s="1635">
        <f>'4D'!I13</f>
        <v>1.6919999999999999</v>
      </c>
      <c r="H725" s="1636"/>
    </row>
    <row r="726" spans="1:8">
      <c r="A726" s="1634" t="str">
        <f>INDEX(Lists!$C$4:$C$24,MATCH(Validation!$B$3,Lists!$B$4:$B$24,0))</f>
        <v>TMS</v>
      </c>
      <c r="B726" s="2" t="str">
        <f>'4D'!BH14</f>
        <v>BM317RWT</v>
      </c>
      <c r="C726" s="1634" t="str">
        <f>'4D'!BB14&amp;" - "&amp;'4D'!$BH$4</f>
        <v>Local authority and Cumulo rates - Raw water transport</v>
      </c>
      <c r="D726" s="2" t="s">
        <v>8</v>
      </c>
      <c r="E726" s="2" t="s">
        <v>9</v>
      </c>
      <c r="F726" s="1634"/>
      <c r="G726" s="1635">
        <f>'4D'!I14</f>
        <v>6.3019999999999996</v>
      </c>
      <c r="H726" s="1636"/>
    </row>
    <row r="727" spans="1:8">
      <c r="A727" s="1634" t="str">
        <f>INDEX(Lists!$C$4:$C$24,MATCH(Validation!$B$3,Lists!$B$4:$B$24,0))</f>
        <v>TMS</v>
      </c>
      <c r="B727" s="2" t="str">
        <f>'4D'!BH17</f>
        <v>BM323RWT</v>
      </c>
      <c r="C727" s="1634" t="str">
        <f>'4D'!BB17&amp;" - "&amp;'4D'!$BH$4</f>
        <v>Third party services - Raw water transport</v>
      </c>
      <c r="D727" s="2" t="s">
        <v>8</v>
      </c>
      <c r="E727" s="2" t="s">
        <v>9</v>
      </c>
      <c r="F727" s="1634"/>
      <c r="G727" s="1635">
        <f>'4D'!I17</f>
        <v>0</v>
      </c>
      <c r="H727" s="1636"/>
    </row>
    <row r="728" spans="1:8">
      <c r="A728" s="1634" t="str">
        <f>INDEX(Lists!$C$4:$C$24,MATCH(Validation!$B$3,Lists!$B$4:$B$24,0))</f>
        <v>TMS</v>
      </c>
      <c r="B728" s="2" t="str">
        <f>'4D'!BH21</f>
        <v>BC30445RWT</v>
      </c>
      <c r="C728" s="1634" t="str">
        <f>'4D'!BB21&amp;" - "&amp;'4D'!$BH$4</f>
        <v>Maintaining the long term capability of the assets - infra - Raw water transport</v>
      </c>
      <c r="D728" s="2" t="s">
        <v>8</v>
      </c>
      <c r="E728" s="2" t="s">
        <v>9</v>
      </c>
      <c r="F728" s="1634"/>
      <c r="G728" s="1635">
        <f>'4D'!I21</f>
        <v>4.72</v>
      </c>
      <c r="H728" s="1636"/>
    </row>
    <row r="729" spans="1:8">
      <c r="A729" s="1634" t="str">
        <f>INDEX(Lists!$C$4:$C$24,MATCH(Validation!$B$3,Lists!$B$4:$B$24,0))</f>
        <v>TMS</v>
      </c>
      <c r="B729" s="2" t="str">
        <f>'4D'!BH22</f>
        <v>CW00036RWT</v>
      </c>
      <c r="C729" s="1634" t="str">
        <f>'4D'!BB22&amp;" - "&amp;'4D'!$BH$4</f>
        <v>Maintaining the long term capability of the assets - non-infra - Raw water transport</v>
      </c>
      <c r="D729" s="2" t="s">
        <v>8</v>
      </c>
      <c r="E729" s="2" t="s">
        <v>9</v>
      </c>
      <c r="F729" s="1634"/>
      <c r="G729" s="1635">
        <f>'4D'!I22</f>
        <v>1.6180000000000001</v>
      </c>
      <c r="H729" s="1636"/>
    </row>
    <row r="730" spans="1:8">
      <c r="A730" s="1634" t="str">
        <f>INDEX(Lists!$C$4:$C$24,MATCH(Validation!$B$3,Lists!$B$4:$B$24,0))</f>
        <v>TMS</v>
      </c>
      <c r="B730" s="2" t="str">
        <f>'4D'!BH23</f>
        <v>BC30444RWT</v>
      </c>
      <c r="C730" s="1634" t="str">
        <f>'4D'!BB23&amp;" - "&amp;'4D'!$BH$4</f>
        <v>Other capital expenditure - infra - Raw water transport</v>
      </c>
      <c r="D730" s="2" t="s">
        <v>8</v>
      </c>
      <c r="E730" s="2" t="s">
        <v>9</v>
      </c>
      <c r="F730" s="1634"/>
      <c r="G730" s="1635">
        <f>'4D'!I23</f>
        <v>0.33500000000000002</v>
      </c>
      <c r="H730" s="1636"/>
    </row>
    <row r="731" spans="1:8">
      <c r="A731" s="1634" t="str">
        <f>INDEX(Lists!$C$4:$C$24,MATCH(Validation!$B$3,Lists!$B$4:$B$24,0))</f>
        <v>TMS</v>
      </c>
      <c r="B731" s="2" t="str">
        <f>'4D'!BH24</f>
        <v>CW00037RWT</v>
      </c>
      <c r="C731" s="1634" t="str">
        <f>'4D'!BB24&amp;" - "&amp;'4D'!$BH$4</f>
        <v>Other capital expenditure - non-infra - Raw water transport</v>
      </c>
      <c r="D731" s="2" t="s">
        <v>8</v>
      </c>
      <c r="E731" s="2" t="s">
        <v>9</v>
      </c>
      <c r="F731" s="1634"/>
      <c r="G731" s="1635">
        <f>'4D'!I24</f>
        <v>2.7E-2</v>
      </c>
      <c r="H731" s="1636"/>
    </row>
    <row r="732" spans="1:8">
      <c r="A732" s="1634" t="str">
        <f>INDEX(Lists!$C$4:$C$24,MATCH(Validation!$B$3,Lists!$B$4:$B$24,0))</f>
        <v>TMS</v>
      </c>
      <c r="B732" s="2" t="str">
        <f>'4D'!BH25</f>
        <v>BC30449RWT</v>
      </c>
      <c r="C732" s="1634" t="str">
        <f>'4D'!BB25&amp;" - "&amp;'4D'!$BH$4</f>
        <v>Infrastructure network reinforcement - Raw water transport</v>
      </c>
      <c r="D732" s="2" t="s">
        <v>8</v>
      </c>
      <c r="E732" s="2" t="s">
        <v>9</v>
      </c>
      <c r="F732" s="1634"/>
      <c r="G732" s="1635">
        <f>'4D'!I25</f>
        <v>6.4000000000000001E-2</v>
      </c>
      <c r="H732" s="1636"/>
    </row>
    <row r="733" spans="1:8">
      <c r="A733" s="1634" t="str">
        <f>INDEX(Lists!$C$4:$C$24,MATCH(Validation!$B$3,Lists!$B$4:$B$24,0))</f>
        <v>TMS</v>
      </c>
      <c r="B733" s="2" t="str">
        <f>'4D'!BH27</f>
        <v>BM333RWT</v>
      </c>
      <c r="C733" s="1634" t="str">
        <f>'4D'!BB27&amp;" - "&amp;'4D'!$BH$4</f>
        <v>Third party services - Raw water transport</v>
      </c>
      <c r="D733" s="2" t="s">
        <v>8</v>
      </c>
      <c r="E733" s="2" t="s">
        <v>9</v>
      </c>
      <c r="F733" s="1634"/>
      <c r="G733" s="1635">
        <f>'4D'!I27</f>
        <v>0</v>
      </c>
      <c r="H733" s="1636"/>
    </row>
    <row r="734" spans="1:8">
      <c r="A734" s="1634" t="str">
        <f>INDEX(Lists!$C$4:$C$24,MATCH(Validation!$B$3,Lists!$B$4:$B$24,0))</f>
        <v>TMS</v>
      </c>
      <c r="B734" s="2" t="str">
        <f>'4D'!BH31</f>
        <v>BA1071RWT</v>
      </c>
      <c r="C734" s="1634" t="str">
        <f>'4D'!BB31&amp;" - "&amp;'4D'!$BH$4</f>
        <v>Grants and contributions - Raw water transport</v>
      </c>
      <c r="D734" s="2" t="s">
        <v>8</v>
      </c>
      <c r="E734" s="2" t="s">
        <v>9</v>
      </c>
      <c r="F734" s="1634"/>
      <c r="G734" s="1635">
        <f>'4D'!I31</f>
        <v>0</v>
      </c>
      <c r="H734" s="1636"/>
    </row>
    <row r="735" spans="1:8">
      <c r="A735" s="1634" t="str">
        <f>INDEX(Lists!$C$4:$C$24,MATCH(Validation!$B$3,Lists!$B$4:$B$24,0))</f>
        <v>TMS</v>
      </c>
      <c r="B735" s="2" t="str">
        <f>'4D'!BH36</f>
        <v>CR00558RWT</v>
      </c>
      <c r="C735" s="1634" t="str">
        <f>'4D'!BB36&amp;" - "&amp;'4D'!$BH$4</f>
        <v>Pension deficit recovery payments - Raw water transport</v>
      </c>
      <c r="D735" s="2" t="s">
        <v>8</v>
      </c>
      <c r="E735" s="2" t="s">
        <v>9</v>
      </c>
      <c r="F735" s="1634"/>
      <c r="G735" s="1635">
        <f>'4D'!I36</f>
        <v>8.3000000000000004E-2</v>
      </c>
      <c r="H735" s="1636"/>
    </row>
    <row r="736" spans="1:8">
      <c r="A736" s="1634" t="str">
        <f>INDEX(Lists!$C$4:$C$24,MATCH(Validation!$B$3,Lists!$B$4:$B$24,0))</f>
        <v>TMS</v>
      </c>
      <c r="B736" s="2" t="str">
        <f>'4D'!BH37</f>
        <v>CR00561RWT</v>
      </c>
      <c r="C736" s="1634" t="str">
        <f>'4D'!BB37&amp;" - "&amp;'4D'!$BH$4</f>
        <v>Other cash items - Raw water transport</v>
      </c>
      <c r="D736" s="2" t="s">
        <v>8</v>
      </c>
      <c r="E736" s="2" t="s">
        <v>9</v>
      </c>
      <c r="F736" s="1634"/>
      <c r="G736" s="1635">
        <f>'4D'!I37</f>
        <v>0</v>
      </c>
      <c r="H736" s="1636"/>
    </row>
    <row r="737" spans="1:8">
      <c r="A737" s="1634" t="str">
        <f>INDEX(Lists!$C$4:$C$24,MATCH(Validation!$B$3,Lists!$B$4:$B$24,0))</f>
        <v>TMS</v>
      </c>
      <c r="B737" s="2" t="str">
        <f>'4D'!BH44</f>
        <v>CRASRWT005</v>
      </c>
      <c r="C737" s="1634" t="str">
        <f>'4D'!BB44&amp;" - "&amp;'4D'!$BH$4</f>
        <v>Volume transported  - Raw water transport</v>
      </c>
      <c r="D737" s="2" t="s">
        <v>16</v>
      </c>
      <c r="E737" s="2" t="s">
        <v>9</v>
      </c>
      <c r="F737" s="1634"/>
      <c r="G737" s="1635">
        <f>'4D'!I44</f>
        <v>88575.660999999993</v>
      </c>
      <c r="H737" s="1636"/>
    </row>
    <row r="738" spans="1:8">
      <c r="A738" s="1637" t="str">
        <f>INDEX(Lists!$C$4:$C$24,MATCH(Validation!$B$3,Lists!$B$4:$B$24,0))</f>
        <v>TMS</v>
      </c>
      <c r="B738" s="1651" t="str">
        <f>'4D'!BH49</f>
        <v>BN2590RWT</v>
      </c>
      <c r="C738" s="1637" t="str">
        <f>'4D'!BB49&amp;" - "&amp;'4D'!$BH$4</f>
        <v>Population - Raw water transport</v>
      </c>
      <c r="D738" s="1650" t="s">
        <v>13</v>
      </c>
      <c r="E738" s="1652" t="s">
        <v>9</v>
      </c>
      <c r="F738" s="1637"/>
      <c r="G738" s="1653">
        <f>'4D'!I49</f>
        <v>10012.826999999999</v>
      </c>
      <c r="H738" s="1652"/>
    </row>
    <row r="739" spans="1:8">
      <c r="A739" s="1634" t="str">
        <f>INDEX(Lists!$C$4:$C$24,MATCH(Validation!$B$3,Lists!$B$4:$B$24,0))</f>
        <v>TMS</v>
      </c>
      <c r="B739" s="2" t="str">
        <f>'4D'!BI7</f>
        <v>BM202RWS</v>
      </c>
      <c r="C739" s="1634" t="str">
        <f>'4D'!BB7&amp;" - "&amp;'4D'!$BI$4</f>
        <v>Power - Raw water storage</v>
      </c>
      <c r="D739" s="2" t="s">
        <v>8</v>
      </c>
      <c r="E739" s="2" t="s">
        <v>9</v>
      </c>
      <c r="F739" s="1634"/>
      <c r="G739" s="1635">
        <f>'4D'!J7</f>
        <v>0</v>
      </c>
      <c r="H739" s="1636"/>
    </row>
    <row r="740" spans="1:8">
      <c r="A740" s="1634" t="str">
        <f>INDEX(Lists!$C$4:$C$24,MATCH(Validation!$B$3,Lists!$B$4:$B$24,0))</f>
        <v>TMS</v>
      </c>
      <c r="B740" s="2" t="str">
        <f>'4D'!BI8</f>
        <v>BM336RWS</v>
      </c>
      <c r="C740" s="1634" t="str">
        <f>'4D'!BB8&amp;" - "&amp;'4D'!$BI$4</f>
        <v>Income treated as negative expenditure - Raw water storage</v>
      </c>
      <c r="D740" s="2" t="s">
        <v>8</v>
      </c>
      <c r="E740" s="2" t="s">
        <v>9</v>
      </c>
      <c r="F740" s="1634"/>
      <c r="G740" s="1635">
        <f>'4D'!J8</f>
        <v>0</v>
      </c>
      <c r="H740" s="1636"/>
    </row>
    <row r="741" spans="1:8">
      <c r="A741" s="1634" t="str">
        <f>INDEX(Lists!$C$4:$C$24,MATCH(Validation!$B$3,Lists!$B$4:$B$24,0))</f>
        <v>TMS</v>
      </c>
      <c r="B741" s="2" t="str">
        <f>'4D'!BI9</f>
        <v>BM231RWS</v>
      </c>
      <c r="C741" s="1634" t="str">
        <f>'4D'!BB9&amp;" - "&amp;'4D'!$BI$4</f>
        <v>Abstraction charges/ discharge consents - Raw water storage</v>
      </c>
      <c r="D741" s="2" t="s">
        <v>8</v>
      </c>
      <c r="E741" s="2" t="s">
        <v>9</v>
      </c>
      <c r="F741" s="1634"/>
      <c r="G741" s="1635">
        <f>'4D'!J9</f>
        <v>0</v>
      </c>
      <c r="H741" s="1636"/>
    </row>
    <row r="742" spans="1:8">
      <c r="A742" s="1634" t="str">
        <f>INDEX(Lists!$C$4:$C$24,MATCH(Validation!$B$3,Lists!$B$4:$B$24,0))</f>
        <v>TMS</v>
      </c>
      <c r="B742" s="2" t="str">
        <f>'4D'!BI10</f>
        <v>BM240RWS</v>
      </c>
      <c r="C742" s="1634" t="str">
        <f>'4D'!BB10&amp;" - "&amp;'4D'!$BI$4</f>
        <v>Bulk supply - Raw water storage</v>
      </c>
      <c r="D742" s="2" t="s">
        <v>8</v>
      </c>
      <c r="E742" s="2" t="s">
        <v>9</v>
      </c>
      <c r="F742" s="1634"/>
      <c r="G742" s="1635">
        <f>'4D'!J10</f>
        <v>0</v>
      </c>
      <c r="H742" s="1636"/>
    </row>
    <row r="743" spans="1:8">
      <c r="A743" s="1634" t="str">
        <f>INDEX(Lists!$C$4:$C$24,MATCH(Validation!$B$3,Lists!$B$4:$B$24,0))</f>
        <v>TMS</v>
      </c>
      <c r="B743" s="2" t="str">
        <f>'4D'!BI11</f>
        <v>BM339RWSIR</v>
      </c>
      <c r="C743" s="1634" t="str">
        <f>'4D'!BB11&amp;" - "&amp;'4D'!$BI$4</f>
        <v>Other operating expenditure - renewals expensed in year (Infrastructure) - Raw water storage</v>
      </c>
      <c r="D743" s="2" t="s">
        <v>8</v>
      </c>
      <c r="E743" s="2" t="s">
        <v>9</v>
      </c>
      <c r="F743" s="1634"/>
      <c r="G743" s="1635">
        <f>'4D'!J11</f>
        <v>0</v>
      </c>
      <c r="H743" s="1636"/>
    </row>
    <row r="744" spans="1:8">
      <c r="A744" s="1634" t="str">
        <f>INDEX(Lists!$C$4:$C$24,MATCH(Validation!$B$3,Lists!$B$4:$B$24,0))</f>
        <v>TMS</v>
      </c>
      <c r="B744" s="2" t="str">
        <f>'4D'!BI12</f>
        <v>BM339RWSNIR</v>
      </c>
      <c r="C744" s="1634" t="str">
        <f>'4D'!BB12&amp;" - "&amp;'4D'!$BI$4</f>
        <v>Other operating expenditure - renewals expensed in year (Non-Infrastructure) - Raw water storage</v>
      </c>
      <c r="D744" s="2" t="s">
        <v>8</v>
      </c>
      <c r="E744" s="2" t="s">
        <v>9</v>
      </c>
      <c r="F744" s="1634"/>
      <c r="G744" s="1635">
        <f>'4D'!J12</f>
        <v>0</v>
      </c>
      <c r="H744" s="1636"/>
    </row>
    <row r="745" spans="1:8">
      <c r="A745" s="1634" t="str">
        <f>INDEX(Lists!$C$4:$C$24,MATCH(Validation!$B$3,Lists!$B$4:$B$24,0))</f>
        <v>TMS</v>
      </c>
      <c r="B745" s="2" t="str">
        <f>'4D'!BI13</f>
        <v>BM339RWSER</v>
      </c>
      <c r="C745" s="1634" t="str">
        <f>'4D'!BB13&amp;" - "&amp;'4D'!$BI$4</f>
        <v>Other operating expenditure - excluding renewals - Raw water storage</v>
      </c>
      <c r="D745" s="2" t="s">
        <v>8</v>
      </c>
      <c r="E745" s="2" t="s">
        <v>9</v>
      </c>
      <c r="F745" s="1634"/>
      <c r="G745" s="1635">
        <f>'4D'!J13</f>
        <v>0</v>
      </c>
      <c r="H745" s="1636"/>
    </row>
    <row r="746" spans="1:8">
      <c r="A746" s="1634" t="str">
        <f>INDEX(Lists!$C$4:$C$24,MATCH(Validation!$B$3,Lists!$B$4:$B$24,0))</f>
        <v>TMS</v>
      </c>
      <c r="B746" s="2" t="str">
        <f>'4D'!BI14</f>
        <v>BM317RWS</v>
      </c>
      <c r="C746" s="1634" t="str">
        <f>'4D'!BB14&amp;" - "&amp;'4D'!$BI$4</f>
        <v>Local authority and Cumulo rates - Raw water storage</v>
      </c>
      <c r="D746" s="2" t="s">
        <v>8</v>
      </c>
      <c r="E746" s="2" t="s">
        <v>9</v>
      </c>
      <c r="F746" s="1634"/>
      <c r="G746" s="1635">
        <f>'4D'!J14</f>
        <v>0</v>
      </c>
      <c r="H746" s="1636"/>
    </row>
    <row r="747" spans="1:8">
      <c r="A747" s="1634" t="str">
        <f>INDEX(Lists!$C$4:$C$24,MATCH(Validation!$B$3,Lists!$B$4:$B$24,0))</f>
        <v>TMS</v>
      </c>
      <c r="B747" s="2" t="str">
        <f>'4D'!BI17</f>
        <v>BM323RWS</v>
      </c>
      <c r="C747" s="1634" t="str">
        <f>'4D'!BB17&amp;" - "&amp;'4D'!$BI$4</f>
        <v>Third party services - Raw water storage</v>
      </c>
      <c r="D747" s="2" t="s">
        <v>8</v>
      </c>
      <c r="E747" s="2" t="s">
        <v>9</v>
      </c>
      <c r="F747" s="1634"/>
      <c r="G747" s="1635">
        <f>'4D'!J17</f>
        <v>0</v>
      </c>
      <c r="H747" s="1636"/>
    </row>
    <row r="748" spans="1:8">
      <c r="A748" s="1634" t="str">
        <f>INDEX(Lists!$C$4:$C$24,MATCH(Validation!$B$3,Lists!$B$4:$B$24,0))</f>
        <v>TMS</v>
      </c>
      <c r="B748" s="2" t="str">
        <f>'4D'!BI21</f>
        <v>BC30445RWS</v>
      </c>
      <c r="C748" s="1634" t="str">
        <f>'4D'!BB21&amp;" - "&amp;'4D'!$BI$4</f>
        <v>Maintaining the long term capability of the assets - infra - Raw water storage</v>
      </c>
      <c r="D748" s="2" t="s">
        <v>8</v>
      </c>
      <c r="E748" s="2" t="s">
        <v>9</v>
      </c>
      <c r="F748" s="1634"/>
      <c r="G748" s="1635">
        <f>'4D'!J21</f>
        <v>0</v>
      </c>
      <c r="H748" s="1636"/>
    </row>
    <row r="749" spans="1:8">
      <c r="A749" s="1634" t="str">
        <f>INDEX(Lists!$C$4:$C$24,MATCH(Validation!$B$3,Lists!$B$4:$B$24,0))</f>
        <v>TMS</v>
      </c>
      <c r="B749" s="2" t="str">
        <f>'4D'!BI22</f>
        <v>CW00036RWS</v>
      </c>
      <c r="C749" s="1634" t="str">
        <f>'4D'!BB22&amp;" - "&amp;'4D'!$BI$4</f>
        <v>Maintaining the long term capability of the assets - non-infra - Raw water storage</v>
      </c>
      <c r="D749" s="2" t="s">
        <v>8</v>
      </c>
      <c r="E749" s="2" t="s">
        <v>9</v>
      </c>
      <c r="F749" s="1634"/>
      <c r="G749" s="1635">
        <f>'4D'!J22</f>
        <v>0</v>
      </c>
      <c r="H749" s="1636"/>
    </row>
    <row r="750" spans="1:8">
      <c r="A750" s="1634" t="str">
        <f>INDEX(Lists!$C$4:$C$24,MATCH(Validation!$B$3,Lists!$B$4:$B$24,0))</f>
        <v>TMS</v>
      </c>
      <c r="B750" s="2" t="str">
        <f>'4D'!BI23</f>
        <v>BC30444RWS</v>
      </c>
      <c r="C750" s="1634" t="str">
        <f>'4D'!BB23&amp;" - "&amp;'4D'!$BI$4</f>
        <v>Other capital expenditure - infra - Raw water storage</v>
      </c>
      <c r="D750" s="2" t="s">
        <v>8</v>
      </c>
      <c r="E750" s="2" t="s">
        <v>9</v>
      </c>
      <c r="F750" s="1634"/>
      <c r="G750" s="1635">
        <f>'4D'!J23</f>
        <v>0</v>
      </c>
      <c r="H750" s="1636"/>
    </row>
    <row r="751" spans="1:8">
      <c r="A751" s="1634" t="str">
        <f>INDEX(Lists!$C$4:$C$24,MATCH(Validation!$B$3,Lists!$B$4:$B$24,0))</f>
        <v>TMS</v>
      </c>
      <c r="B751" s="2" t="str">
        <f>'4D'!BI24</f>
        <v>CW00037RWS</v>
      </c>
      <c r="C751" s="1634" t="str">
        <f>'4D'!BB24&amp;" - "&amp;'4D'!$BI$4</f>
        <v>Other capital expenditure - non-infra - Raw water storage</v>
      </c>
      <c r="D751" s="2" t="s">
        <v>8</v>
      </c>
      <c r="E751" s="2" t="s">
        <v>9</v>
      </c>
      <c r="F751" s="1634"/>
      <c r="G751" s="1635">
        <f>'4D'!J24</f>
        <v>0</v>
      </c>
      <c r="H751" s="1636"/>
    </row>
    <row r="752" spans="1:8">
      <c r="A752" s="1634" t="str">
        <f>INDEX(Lists!$C$4:$C$24,MATCH(Validation!$B$3,Lists!$B$4:$B$24,0))</f>
        <v>TMS</v>
      </c>
      <c r="B752" s="2" t="str">
        <f>'4D'!BI25</f>
        <v>BC30449RWS</v>
      </c>
      <c r="C752" s="1634" t="str">
        <f>'4D'!BB25&amp;" - "&amp;'4D'!$BI$4</f>
        <v>Infrastructure network reinforcement - Raw water storage</v>
      </c>
      <c r="D752" s="2" t="s">
        <v>8</v>
      </c>
      <c r="E752" s="2" t="s">
        <v>9</v>
      </c>
      <c r="F752" s="1634"/>
      <c r="G752" s="1635">
        <f>'4D'!J25</f>
        <v>0</v>
      </c>
      <c r="H752" s="1636"/>
    </row>
    <row r="753" spans="1:8">
      <c r="A753" s="1634" t="str">
        <f>INDEX(Lists!$C$4:$C$24,MATCH(Validation!$B$3,Lists!$B$4:$B$24,0))</f>
        <v>TMS</v>
      </c>
      <c r="B753" s="2" t="str">
        <f>'4D'!BI27</f>
        <v>BM333RWS</v>
      </c>
      <c r="C753" s="1634" t="str">
        <f>'4D'!BB27&amp;" - "&amp;'4D'!$BI$4</f>
        <v>Third party services - Raw water storage</v>
      </c>
      <c r="D753" s="2" t="s">
        <v>8</v>
      </c>
      <c r="E753" s="2" t="s">
        <v>9</v>
      </c>
      <c r="F753" s="1634"/>
      <c r="G753" s="1635">
        <f>'4D'!J27</f>
        <v>0</v>
      </c>
      <c r="H753" s="1636"/>
    </row>
    <row r="754" spans="1:8">
      <c r="A754" s="1634" t="str">
        <f>INDEX(Lists!$C$4:$C$24,MATCH(Validation!$B$3,Lists!$B$4:$B$24,0))</f>
        <v>TMS</v>
      </c>
      <c r="B754" s="2" t="str">
        <f>'4D'!BI31</f>
        <v>BA1071RWS</v>
      </c>
      <c r="C754" s="1634" t="str">
        <f>'4D'!BB31&amp;" - "&amp;'4D'!$BI$4</f>
        <v>Grants and contributions - Raw water storage</v>
      </c>
      <c r="D754" s="2" t="s">
        <v>8</v>
      </c>
      <c r="E754" s="2" t="s">
        <v>9</v>
      </c>
      <c r="F754" s="1634"/>
      <c r="G754" s="1635">
        <f>'4D'!J31</f>
        <v>0</v>
      </c>
      <c r="H754" s="1636"/>
    </row>
    <row r="755" spans="1:8">
      <c r="A755" s="1634" t="str">
        <f>INDEX(Lists!$C$4:$C$24,MATCH(Validation!$B$3,Lists!$B$4:$B$24,0))</f>
        <v>TMS</v>
      </c>
      <c r="B755" s="2" t="str">
        <f>'4D'!BI36</f>
        <v>CR00558RWS</v>
      </c>
      <c r="C755" s="1634" t="str">
        <f>'4D'!BB36&amp;" - "&amp;'4D'!$BI$4</f>
        <v>Pension deficit recovery payments - Raw water storage</v>
      </c>
      <c r="D755" s="2" t="s">
        <v>8</v>
      </c>
      <c r="E755" s="2" t="s">
        <v>9</v>
      </c>
      <c r="F755" s="1634"/>
      <c r="G755" s="1635">
        <f>'4D'!J36</f>
        <v>0</v>
      </c>
      <c r="H755" s="1636"/>
    </row>
    <row r="756" spans="1:8">
      <c r="A756" s="1634" t="str">
        <f>INDEX(Lists!$C$4:$C$24,MATCH(Validation!$B$3,Lists!$B$4:$B$24,0))</f>
        <v>TMS</v>
      </c>
      <c r="B756" s="2" t="str">
        <f>'4D'!BI37</f>
        <v>CR00561RWS</v>
      </c>
      <c r="C756" s="1634" t="str">
        <f>'4D'!BB37&amp;" - "&amp;'4D'!$BI$4</f>
        <v>Other cash items - Raw water storage</v>
      </c>
      <c r="D756" s="2" t="s">
        <v>8</v>
      </c>
      <c r="E756" s="2" t="s">
        <v>9</v>
      </c>
      <c r="F756" s="1634"/>
      <c r="G756" s="1635">
        <f>'4D'!J37</f>
        <v>0</v>
      </c>
      <c r="H756" s="1636"/>
    </row>
    <row r="757" spans="1:8">
      <c r="A757" s="1634" t="str">
        <f>INDEX(Lists!$C$4:$C$24,MATCH(Validation!$B$3,Lists!$B$4:$B$24,0))</f>
        <v>TMS</v>
      </c>
      <c r="B757" s="2" t="str">
        <f>'4D'!BI45</f>
        <v>CRASRWS005</v>
      </c>
      <c r="C757" s="1634" t="str">
        <f>'4D'!BB45&amp;" - "&amp;'4D'!$BI$4</f>
        <v>Average volume stored - Raw water storage</v>
      </c>
      <c r="D757" s="1646" t="s">
        <v>16</v>
      </c>
      <c r="E757" s="1636" t="s">
        <v>9</v>
      </c>
      <c r="F757" s="1634"/>
      <c r="G757" s="1635">
        <f>'4D'!J45</f>
        <v>0</v>
      </c>
      <c r="H757" s="1636"/>
    </row>
    <row r="758" spans="1:8">
      <c r="A758" s="1637" t="str">
        <f>INDEX(Lists!$C$4:$C$24,MATCH(Validation!$B$3,Lists!$B$4:$B$24,0))</f>
        <v>TMS</v>
      </c>
      <c r="B758" s="1651" t="str">
        <f>'4D'!BI49</f>
        <v>BN2590RWS</v>
      </c>
      <c r="C758" s="1637" t="str">
        <f>'4D'!BB49&amp;" - "&amp;'4D'!$BI$4</f>
        <v>Population - Raw water storage</v>
      </c>
      <c r="D758" s="1650" t="s">
        <v>13</v>
      </c>
      <c r="E758" s="1652" t="s">
        <v>9</v>
      </c>
      <c r="F758" s="1637"/>
      <c r="G758" s="1653">
        <f>'4D'!J49</f>
        <v>10012.826999999999</v>
      </c>
      <c r="H758" s="1652"/>
    </row>
    <row r="759" spans="1:8">
      <c r="A759" s="1634" t="str">
        <f>INDEX(Lists!$C$4:$C$24,MATCH(Validation!$B$3,Lists!$B$4:$B$24,0))</f>
        <v>TMS</v>
      </c>
      <c r="B759" s="2" t="str">
        <f>'4D'!BJ7</f>
        <v>BM102WT</v>
      </c>
      <c r="C759" s="1634" t="str">
        <f>'4D'!BB7&amp;" - "&amp;'4D'!$BJ$4</f>
        <v>Power - Water treatment</v>
      </c>
      <c r="D759" s="2" t="s">
        <v>8</v>
      </c>
      <c r="E759" s="2" t="s">
        <v>9</v>
      </c>
      <c r="F759" s="1634"/>
      <c r="G759" s="1635">
        <f>'4D'!K7</f>
        <v>9.5009999999999994</v>
      </c>
      <c r="H759" s="1636"/>
    </row>
    <row r="760" spans="1:8">
      <c r="A760" s="1634" t="str">
        <f>INDEX(Lists!$C$4:$C$24,MATCH(Validation!$B$3,Lists!$B$4:$B$24,0))</f>
        <v>TMS</v>
      </c>
      <c r="B760" s="2" t="str">
        <f>'4D'!BJ8</f>
        <v>BM336WT</v>
      </c>
      <c r="C760" s="1634" t="str">
        <f>'4D'!BB8&amp;" - "&amp;'4D'!$BJ$4</f>
        <v>Income treated as negative expenditure - Water treatment</v>
      </c>
      <c r="D760" s="2" t="s">
        <v>8</v>
      </c>
      <c r="E760" s="2" t="s">
        <v>9</v>
      </c>
      <c r="F760" s="1634"/>
      <c r="G760" s="1635">
        <f>'4D'!K8</f>
        <v>-0.11799999999999999</v>
      </c>
      <c r="H760" s="1636"/>
    </row>
    <row r="761" spans="1:8">
      <c r="A761" s="1634" t="str">
        <f>INDEX(Lists!$C$4:$C$24,MATCH(Validation!$B$3,Lists!$B$4:$B$24,0))</f>
        <v>TMS</v>
      </c>
      <c r="B761" s="2" t="str">
        <f>'4D'!BJ9</f>
        <v>BM131WT</v>
      </c>
      <c r="C761" s="1634" t="str">
        <f>'4D'!BB9&amp;" - "&amp;'4D'!$BJ$4</f>
        <v>Abstraction charges/ discharge consents - Water treatment</v>
      </c>
      <c r="D761" s="2" t="s">
        <v>8</v>
      </c>
      <c r="E761" s="2" t="s">
        <v>9</v>
      </c>
      <c r="F761" s="1634"/>
      <c r="G761" s="1635">
        <f>'4D'!K9</f>
        <v>0</v>
      </c>
      <c r="H761" s="1636"/>
    </row>
    <row r="762" spans="1:8">
      <c r="A762" s="1634" t="str">
        <f>INDEX(Lists!$C$4:$C$24,MATCH(Validation!$B$3,Lists!$B$4:$B$24,0))</f>
        <v>TMS</v>
      </c>
      <c r="B762" s="2" t="str">
        <f>'4D'!BJ10</f>
        <v>BM140WT</v>
      </c>
      <c r="C762" s="1634" t="str">
        <f>'4D'!BB10&amp;" - "&amp;'4D'!$BJ$4</f>
        <v>Bulk supply - Water treatment</v>
      </c>
      <c r="D762" s="2" t="s">
        <v>8</v>
      </c>
      <c r="E762" s="2" t="s">
        <v>9</v>
      </c>
      <c r="F762" s="1634"/>
      <c r="G762" s="1635">
        <f>'4D'!K10</f>
        <v>0</v>
      </c>
      <c r="H762" s="1636"/>
    </row>
    <row r="763" spans="1:8">
      <c r="A763" s="1634" t="str">
        <f>INDEX(Lists!$C$4:$C$24,MATCH(Validation!$B$3,Lists!$B$4:$B$24,0))</f>
        <v>TMS</v>
      </c>
      <c r="B763" s="2" t="str">
        <f>'4D'!BJ11</f>
        <v>BM339WTIR</v>
      </c>
      <c r="C763" s="1634" t="str">
        <f>'4D'!BB11&amp;" - "&amp;'4D'!$BJ$4</f>
        <v>Other operating expenditure - renewals expensed in year (Infrastructure) - Water treatment</v>
      </c>
      <c r="D763" s="2" t="s">
        <v>8</v>
      </c>
      <c r="E763" s="2" t="s">
        <v>9</v>
      </c>
      <c r="F763" s="1634"/>
      <c r="G763" s="1635">
        <f>'4D'!K11</f>
        <v>0</v>
      </c>
      <c r="H763" s="1636"/>
    </row>
    <row r="764" spans="1:8">
      <c r="A764" s="1634" t="str">
        <f>INDEX(Lists!$C$4:$C$24,MATCH(Validation!$B$3,Lists!$B$4:$B$24,0))</f>
        <v>TMS</v>
      </c>
      <c r="B764" s="2" t="str">
        <f>'4D'!BJ12</f>
        <v>BM339WTNIR</v>
      </c>
      <c r="C764" s="1634" t="str">
        <f>'4D'!BB12&amp;" - "&amp;'4D'!$BJ$4</f>
        <v>Other operating expenditure - renewals expensed in year (Non-Infrastructure) - Water treatment</v>
      </c>
      <c r="D764" s="2" t="s">
        <v>8</v>
      </c>
      <c r="E764" s="2" t="s">
        <v>9</v>
      </c>
      <c r="F764" s="1634"/>
      <c r="G764" s="1635">
        <f>'4D'!K12</f>
        <v>0</v>
      </c>
      <c r="H764" s="1636"/>
    </row>
    <row r="765" spans="1:8">
      <c r="A765" s="1634" t="str">
        <f>INDEX(Lists!$C$4:$C$24,MATCH(Validation!$B$3,Lists!$B$4:$B$24,0))</f>
        <v>TMS</v>
      </c>
      <c r="B765" s="2" t="str">
        <f>'4D'!BJ13</f>
        <v>BM339WTER</v>
      </c>
      <c r="C765" s="1634" t="str">
        <f>'4D'!BB13&amp;" - "&amp;'4D'!$BJ$4</f>
        <v>Other operating expenditure - excluding renewals - Water treatment</v>
      </c>
      <c r="D765" s="2" t="s">
        <v>8</v>
      </c>
      <c r="E765" s="2" t="s">
        <v>9</v>
      </c>
      <c r="F765" s="1634"/>
      <c r="G765" s="1635">
        <f>'4D'!K13</f>
        <v>62.514000000000003</v>
      </c>
      <c r="H765" s="1636"/>
    </row>
    <row r="766" spans="1:8">
      <c r="A766" s="1634" t="str">
        <f>INDEX(Lists!$C$4:$C$24,MATCH(Validation!$B$3,Lists!$B$4:$B$24,0))</f>
        <v>TMS</v>
      </c>
      <c r="B766" s="2" t="str">
        <f>'4D'!BJ14</f>
        <v>BM317WT</v>
      </c>
      <c r="C766" s="1634" t="str">
        <f>'4D'!BB14&amp;" - "&amp;'4D'!$BJ$4</f>
        <v>Local authority and Cumulo rates - Water treatment</v>
      </c>
      <c r="D766" s="2" t="s">
        <v>8</v>
      </c>
      <c r="E766" s="2" t="s">
        <v>9</v>
      </c>
      <c r="F766" s="1634"/>
      <c r="G766" s="1635">
        <f>'4D'!K14</f>
        <v>5.734</v>
      </c>
      <c r="H766" s="1636"/>
    </row>
    <row r="767" spans="1:8">
      <c r="A767" s="1634" t="str">
        <f>INDEX(Lists!$C$4:$C$24,MATCH(Validation!$B$3,Lists!$B$4:$B$24,0))</f>
        <v>TMS</v>
      </c>
      <c r="B767" s="2" t="str">
        <f>'4D'!BJ17</f>
        <v>BM323WT</v>
      </c>
      <c r="C767" s="1634" t="str">
        <f>'4D'!BB17&amp;" - "&amp;'4D'!$BJ$4</f>
        <v>Third party services - Water treatment</v>
      </c>
      <c r="D767" s="2" t="s">
        <v>8</v>
      </c>
      <c r="E767" s="2" t="s">
        <v>9</v>
      </c>
      <c r="F767" s="1634"/>
      <c r="G767" s="1635">
        <f>'4D'!K17</f>
        <v>0</v>
      </c>
      <c r="H767" s="1636"/>
    </row>
    <row r="768" spans="1:8">
      <c r="A768" s="1634" t="str">
        <f>INDEX(Lists!$C$4:$C$24,MATCH(Validation!$B$3,Lists!$B$4:$B$24,0))</f>
        <v>TMS</v>
      </c>
      <c r="B768" s="2" t="str">
        <f>'4D'!BJ21</f>
        <v>BC30445WT</v>
      </c>
      <c r="C768" s="1634" t="str">
        <f>'4D'!BB21&amp;" - "&amp;'4D'!$BJ$4</f>
        <v>Maintaining the long term capability of the assets - infra - Water treatment</v>
      </c>
      <c r="D768" s="2" t="s">
        <v>8</v>
      </c>
      <c r="E768" s="2" t="s">
        <v>9</v>
      </c>
      <c r="F768" s="1634"/>
      <c r="G768" s="1635">
        <f>'4D'!K21</f>
        <v>0</v>
      </c>
      <c r="H768" s="1636"/>
    </row>
    <row r="769" spans="1:8">
      <c r="A769" s="1634" t="str">
        <f>INDEX(Lists!$C$4:$C$24,MATCH(Validation!$B$3,Lists!$B$4:$B$24,0))</f>
        <v>TMS</v>
      </c>
      <c r="B769" s="2" t="str">
        <f>'4D'!BJ22</f>
        <v>CW00036WT</v>
      </c>
      <c r="C769" s="1634" t="str">
        <f>'4D'!BB22&amp;" - "&amp;'4D'!$BJ$4</f>
        <v>Maintaining the long term capability of the assets - non-infra - Water treatment</v>
      </c>
      <c r="D769" s="2" t="s">
        <v>8</v>
      </c>
      <c r="E769" s="2" t="s">
        <v>9</v>
      </c>
      <c r="F769" s="1634"/>
      <c r="G769" s="1635">
        <f>'4D'!K22</f>
        <v>76.191999999999993</v>
      </c>
      <c r="H769" s="1636"/>
    </row>
    <row r="770" spans="1:8">
      <c r="A770" s="1634" t="str">
        <f>INDEX(Lists!$C$4:$C$24,MATCH(Validation!$B$3,Lists!$B$4:$B$24,0))</f>
        <v>TMS</v>
      </c>
      <c r="B770" s="2" t="str">
        <f>'4D'!BJ23</f>
        <v>BC30444WT</v>
      </c>
      <c r="C770" s="1634" t="str">
        <f>'4D'!BB23&amp;" - "&amp;'4D'!$BJ$4</f>
        <v>Other capital expenditure - infra - Water treatment</v>
      </c>
      <c r="D770" s="2" t="s">
        <v>8</v>
      </c>
      <c r="E770" s="2" t="s">
        <v>9</v>
      </c>
      <c r="F770" s="1634"/>
      <c r="G770" s="1635">
        <f>'4D'!K23</f>
        <v>0</v>
      </c>
      <c r="H770" s="1636"/>
    </row>
    <row r="771" spans="1:8">
      <c r="A771" s="1634" t="str">
        <f>INDEX(Lists!$C$4:$C$24,MATCH(Validation!$B$3,Lists!$B$4:$B$24,0))</f>
        <v>TMS</v>
      </c>
      <c r="B771" s="2" t="str">
        <f>'4D'!BJ24</f>
        <v>CW00037WT</v>
      </c>
      <c r="C771" s="1634" t="str">
        <f>'4D'!BB24&amp;" - "&amp;'4D'!$BJ$4</f>
        <v>Other capital expenditure - non-infra - Water treatment</v>
      </c>
      <c r="D771" s="2" t="s">
        <v>8</v>
      </c>
      <c r="E771" s="2" t="s">
        <v>9</v>
      </c>
      <c r="F771" s="1634"/>
      <c r="G771" s="1635">
        <f>'4D'!K24</f>
        <v>7.5179999999999998</v>
      </c>
      <c r="H771" s="1636"/>
    </row>
    <row r="772" spans="1:8">
      <c r="A772" s="1634" t="str">
        <f>INDEX(Lists!$C$4:$C$24,MATCH(Validation!$B$3,Lists!$B$4:$B$24,0))</f>
        <v>TMS</v>
      </c>
      <c r="B772" s="2" t="str">
        <f>'4D'!BJ25</f>
        <v>BC30449WT</v>
      </c>
      <c r="C772" s="1634" t="str">
        <f>'4D'!BB25&amp;" - "&amp;'4D'!$BJ$4</f>
        <v>Infrastructure network reinforcement - Water treatment</v>
      </c>
      <c r="D772" s="2" t="s">
        <v>8</v>
      </c>
      <c r="E772" s="2" t="s">
        <v>9</v>
      </c>
      <c r="F772" s="1634"/>
      <c r="G772" s="1635">
        <f>'4D'!K25</f>
        <v>0</v>
      </c>
      <c r="H772" s="1636"/>
    </row>
    <row r="773" spans="1:8">
      <c r="A773" s="1634" t="str">
        <f>INDEX(Lists!$C$4:$C$24,MATCH(Validation!$B$3,Lists!$B$4:$B$24,0))</f>
        <v>TMS</v>
      </c>
      <c r="B773" s="2" t="str">
        <f>'4D'!BJ27</f>
        <v>BM333WT</v>
      </c>
      <c r="C773" s="1634" t="str">
        <f>'4D'!BB27&amp;" - "&amp;'4D'!$BJ$4</f>
        <v>Third party services - Water treatment</v>
      </c>
      <c r="D773" s="2" t="s">
        <v>8</v>
      </c>
      <c r="E773" s="2" t="s">
        <v>9</v>
      </c>
      <c r="F773" s="1634"/>
      <c r="G773" s="1635">
        <f>'4D'!K27</f>
        <v>0</v>
      </c>
      <c r="H773" s="1636"/>
    </row>
    <row r="774" spans="1:8">
      <c r="A774" s="1634" t="str">
        <f>INDEX(Lists!$C$4:$C$24,MATCH(Validation!$B$3,Lists!$B$4:$B$24,0))</f>
        <v>TMS</v>
      </c>
      <c r="B774" s="2" t="str">
        <f>'4D'!BJ31</f>
        <v>BA1071WT</v>
      </c>
      <c r="C774" s="1634" t="str">
        <f>'4D'!BB31&amp;" - "&amp;'4D'!$BJ$4</f>
        <v>Grants and contributions - Water treatment</v>
      </c>
      <c r="D774" s="2" t="s">
        <v>8</v>
      </c>
      <c r="E774" s="2" t="s">
        <v>9</v>
      </c>
      <c r="F774" s="1634"/>
      <c r="G774" s="1635">
        <f>'4D'!K31</f>
        <v>5.0000000000000001E-3</v>
      </c>
      <c r="H774" s="1636"/>
    </row>
    <row r="775" spans="1:8">
      <c r="A775" s="1634" t="str">
        <f>INDEX(Lists!$C$4:$C$24,MATCH(Validation!$B$3,Lists!$B$4:$B$24,0))</f>
        <v>TMS</v>
      </c>
      <c r="B775" s="2" t="str">
        <f>'4D'!BJ36</f>
        <v>CR00558WT</v>
      </c>
      <c r="C775" s="1634" t="str">
        <f>'4D'!BB36&amp;" - "&amp;'4D'!$BJ$4</f>
        <v>Pension deficit recovery payments - Water treatment</v>
      </c>
      <c r="D775" s="2" t="s">
        <v>8</v>
      </c>
      <c r="E775" s="2" t="s">
        <v>9</v>
      </c>
      <c r="F775" s="1634"/>
      <c r="G775" s="1635">
        <f>'4D'!K36</f>
        <v>2.956</v>
      </c>
      <c r="H775" s="1636"/>
    </row>
    <row r="776" spans="1:8">
      <c r="A776" s="1634" t="str">
        <f>INDEX(Lists!$C$4:$C$24,MATCH(Validation!$B$3,Lists!$B$4:$B$24,0))</f>
        <v>TMS</v>
      </c>
      <c r="B776" s="2" t="str">
        <f>'4D'!BJ37</f>
        <v>CR00561WT</v>
      </c>
      <c r="C776" s="1634" t="str">
        <f>'4D'!BB37&amp;" - "&amp;'4D'!$BJ$4</f>
        <v>Other cash items - Water treatment</v>
      </c>
      <c r="D776" s="2" t="s">
        <v>8</v>
      </c>
      <c r="E776" s="2" t="s">
        <v>9</v>
      </c>
      <c r="F776" s="1634"/>
      <c r="G776" s="1635">
        <f>'4D'!K37</f>
        <v>0</v>
      </c>
      <c r="H776" s="1636"/>
    </row>
    <row r="777" spans="1:8">
      <c r="A777" s="1634" t="str">
        <f>INDEX(Lists!$C$4:$C$24,MATCH(Validation!$B$3,Lists!$B$4:$B$24,0))</f>
        <v>TMS</v>
      </c>
      <c r="B777" s="2" t="str">
        <f>'4D'!BJ46</f>
        <v>CRASWT001D</v>
      </c>
      <c r="C777" s="1634" t="str">
        <f>'4D'!BB46&amp;" - "&amp;'4D'!$BJ$4</f>
        <v>Distribution input volume - Water treatment</v>
      </c>
      <c r="D777" s="2" t="s">
        <v>16</v>
      </c>
      <c r="E777" s="2" t="s">
        <v>9</v>
      </c>
      <c r="F777" s="1634"/>
      <c r="G777" s="1635">
        <f>'4D'!K46</f>
        <v>988299.24300000002</v>
      </c>
      <c r="H777" s="1636"/>
    </row>
    <row r="778" spans="1:8">
      <c r="A778" s="1637" t="str">
        <f>INDEX(Lists!$C$4:$C$24,MATCH(Validation!$B$3,Lists!$B$4:$B$24,0))</f>
        <v>TMS</v>
      </c>
      <c r="B778" s="1651" t="str">
        <f>'4D'!BJ49</f>
        <v>BN2590WT</v>
      </c>
      <c r="C778" s="1637" t="str">
        <f>'4D'!BB49&amp;" - "&amp;'4D'!$BJ$4</f>
        <v>Population - Water treatment</v>
      </c>
      <c r="D778" s="1650" t="s">
        <v>13</v>
      </c>
      <c r="E778" s="1652" t="s">
        <v>9</v>
      </c>
      <c r="F778" s="1637"/>
      <c r="G778" s="1653">
        <f>'4D'!K49</f>
        <v>10012.826999999999</v>
      </c>
      <c r="H778" s="1652"/>
    </row>
    <row r="779" spans="1:8">
      <c r="A779" s="1634" t="str">
        <f>INDEX(Lists!$C$4:$C$24,MATCH(Validation!$B$3,Lists!$B$4:$B$24,0))</f>
        <v>TMS</v>
      </c>
      <c r="B779" s="2" t="str">
        <f>'4D'!BK7</f>
        <v>BM202TWD</v>
      </c>
      <c r="C779" s="1634" t="str">
        <f>'4D'!BB7&amp;" - "&amp;'4D'!$BK$4</f>
        <v>Power - Treated water distribution</v>
      </c>
      <c r="D779" s="2" t="s">
        <v>8</v>
      </c>
      <c r="E779" s="2" t="s">
        <v>9</v>
      </c>
      <c r="F779" s="1634"/>
      <c r="G779" s="1635">
        <f>'4D'!L7</f>
        <v>31.361999999999998</v>
      </c>
      <c r="H779" s="1636"/>
    </row>
    <row r="780" spans="1:8">
      <c r="A780" s="1634" t="str">
        <f>INDEX(Lists!$C$4:$C$24,MATCH(Validation!$B$3,Lists!$B$4:$B$24,0))</f>
        <v>TMS</v>
      </c>
      <c r="B780" s="2" t="str">
        <f>'4D'!BK8</f>
        <v>BM336TWD</v>
      </c>
      <c r="C780" s="1634" t="str">
        <f>'4D'!BB8&amp;" - "&amp;'4D'!$BK$4</f>
        <v>Income treated as negative expenditure - Treated water distribution</v>
      </c>
      <c r="D780" s="2" t="s">
        <v>8</v>
      </c>
      <c r="E780" s="2" t="s">
        <v>9</v>
      </c>
      <c r="F780" s="1634"/>
      <c r="G780" s="1635">
        <f>'4D'!L8</f>
        <v>-1.4E-2</v>
      </c>
      <c r="H780" s="1636"/>
    </row>
    <row r="781" spans="1:8">
      <c r="A781" s="1634" t="str">
        <f>INDEX(Lists!$C$4:$C$24,MATCH(Validation!$B$3,Lists!$B$4:$B$24,0))</f>
        <v>TMS</v>
      </c>
      <c r="B781" s="2" t="str">
        <f>'4D'!BK9</f>
        <v>BM231TWD</v>
      </c>
      <c r="C781" s="1634" t="str">
        <f>'4D'!BB9&amp;" - "&amp;'4D'!$BK$4</f>
        <v>Abstraction charges/ discharge consents - Treated water distribution</v>
      </c>
      <c r="D781" s="2" t="s">
        <v>8</v>
      </c>
      <c r="E781" s="2" t="s">
        <v>9</v>
      </c>
      <c r="F781" s="1634"/>
      <c r="G781" s="1635">
        <f>'4D'!L9</f>
        <v>0</v>
      </c>
      <c r="H781" s="1636"/>
    </row>
    <row r="782" spans="1:8">
      <c r="A782" s="1634" t="str">
        <f>INDEX(Lists!$C$4:$C$24,MATCH(Validation!$B$3,Lists!$B$4:$B$24,0))</f>
        <v>TMS</v>
      </c>
      <c r="B782" s="2" t="str">
        <f>'4D'!BK10</f>
        <v>BM240TWD</v>
      </c>
      <c r="C782" s="1634" t="str">
        <f>'4D'!BB10&amp;" - "&amp;'4D'!$BK$4</f>
        <v>Bulk supply - Treated water distribution</v>
      </c>
      <c r="D782" s="2" t="s">
        <v>8</v>
      </c>
      <c r="E782" s="2" t="s">
        <v>9</v>
      </c>
      <c r="F782" s="1634"/>
      <c r="G782" s="1635">
        <f>'4D'!L10</f>
        <v>0.107</v>
      </c>
      <c r="H782" s="1636"/>
    </row>
    <row r="783" spans="1:8">
      <c r="A783" s="1634" t="str">
        <f>INDEX(Lists!$C$4:$C$24,MATCH(Validation!$B$3,Lists!$B$4:$B$24,0))</f>
        <v>TMS</v>
      </c>
      <c r="B783" s="2" t="str">
        <f>'4D'!BK11</f>
        <v>BM339TWDIR</v>
      </c>
      <c r="C783" s="1634" t="str">
        <f>'4D'!BB11&amp;" - "&amp;'4D'!$BK$4</f>
        <v>Other operating expenditure - renewals expensed in year (Infrastructure) - Treated water distribution</v>
      </c>
      <c r="D783" s="2" t="s">
        <v>8</v>
      </c>
      <c r="E783" s="2" t="s">
        <v>9</v>
      </c>
      <c r="F783" s="1634"/>
      <c r="G783" s="1635">
        <f>'4D'!L11</f>
        <v>63.095999999999997</v>
      </c>
      <c r="H783" s="1636"/>
    </row>
    <row r="784" spans="1:8">
      <c r="A784" s="1634" t="str">
        <f>INDEX(Lists!$C$4:$C$24,MATCH(Validation!$B$3,Lists!$B$4:$B$24,0))</f>
        <v>TMS</v>
      </c>
      <c r="B784" s="2" t="str">
        <f>'4D'!BK12</f>
        <v>BM339TWDNIR</v>
      </c>
      <c r="C784" s="1634" t="str">
        <f>'4D'!BB12&amp;" - "&amp;'4D'!$BK$4</f>
        <v>Other operating expenditure - renewals expensed in year (Non-Infrastructure) - Treated water distribution</v>
      </c>
      <c r="D784" s="2" t="s">
        <v>8</v>
      </c>
      <c r="E784" s="2" t="s">
        <v>9</v>
      </c>
      <c r="F784" s="1634"/>
      <c r="G784" s="1635">
        <f>'4D'!L12</f>
        <v>0</v>
      </c>
      <c r="H784" s="1636"/>
    </row>
    <row r="785" spans="1:8">
      <c r="A785" s="1634" t="str">
        <f>INDEX(Lists!$C$4:$C$24,MATCH(Validation!$B$3,Lists!$B$4:$B$24,0))</f>
        <v>TMS</v>
      </c>
      <c r="B785" s="2" t="str">
        <f>'4D'!BK13</f>
        <v>BM339TWDER</v>
      </c>
      <c r="C785" s="1634" t="str">
        <f>'4D'!BB13&amp;" - "&amp;'4D'!$BK$4</f>
        <v>Other operating expenditure - excluding renewals - Treated water distribution</v>
      </c>
      <c r="D785" s="2" t="s">
        <v>8</v>
      </c>
      <c r="E785" s="2" t="s">
        <v>9</v>
      </c>
      <c r="F785" s="1634"/>
      <c r="G785" s="1635">
        <f>'4D'!L13</f>
        <v>163.755</v>
      </c>
      <c r="H785" s="1636"/>
    </row>
    <row r="786" spans="1:8">
      <c r="A786" s="1634" t="str">
        <f>INDEX(Lists!$C$4:$C$24,MATCH(Validation!$B$3,Lists!$B$4:$B$24,0))</f>
        <v>TMS</v>
      </c>
      <c r="B786" s="2" t="str">
        <f>'4D'!BK14</f>
        <v>BM317TWD</v>
      </c>
      <c r="C786" s="1634" t="str">
        <f>'4D'!BB14&amp;" - "&amp;'4D'!$BK$4</f>
        <v>Local authority and Cumulo rates - Treated water distribution</v>
      </c>
      <c r="D786" s="2" t="s">
        <v>8</v>
      </c>
      <c r="E786" s="2" t="s">
        <v>9</v>
      </c>
      <c r="F786" s="1634"/>
      <c r="G786" s="1635">
        <f>'4D'!L14</f>
        <v>60.44</v>
      </c>
      <c r="H786" s="1636"/>
    </row>
    <row r="787" spans="1:8">
      <c r="A787" s="1634" t="str">
        <f>INDEX(Lists!$C$4:$C$24,MATCH(Validation!$B$3,Lists!$B$4:$B$24,0))</f>
        <v>TMS</v>
      </c>
      <c r="B787" s="2" t="str">
        <f>'4D'!BK17</f>
        <v>BM323TWD</v>
      </c>
      <c r="C787" s="1634" t="str">
        <f>'4D'!BB17&amp;" - "&amp;'4D'!$BK$4</f>
        <v>Third party services - Treated water distribution</v>
      </c>
      <c r="D787" s="2" t="s">
        <v>8</v>
      </c>
      <c r="E787" s="2" t="s">
        <v>9</v>
      </c>
      <c r="F787" s="1634"/>
      <c r="G787" s="1635">
        <f>'4D'!L17</f>
        <v>3.722</v>
      </c>
      <c r="H787" s="1636"/>
    </row>
    <row r="788" spans="1:8">
      <c r="A788" s="1634" t="str">
        <f>INDEX(Lists!$C$4:$C$24,MATCH(Validation!$B$3,Lists!$B$4:$B$24,0))</f>
        <v>TMS</v>
      </c>
      <c r="B788" s="2" t="str">
        <f>'4D'!BK21</f>
        <v>BC30445TWD</v>
      </c>
      <c r="C788" s="1634" t="str">
        <f>'4D'!BB21&amp;" - "&amp;'4D'!$BK$4</f>
        <v>Maintaining the long term capability of the assets - infra - Treated water distribution</v>
      </c>
      <c r="D788" s="2" t="s">
        <v>8</v>
      </c>
      <c r="E788" s="2" t="s">
        <v>9</v>
      </c>
      <c r="F788" s="1634"/>
      <c r="G788" s="1635">
        <f>'4D'!L21</f>
        <v>134.57499999999999</v>
      </c>
      <c r="H788" s="1636"/>
    </row>
    <row r="789" spans="1:8">
      <c r="A789" s="1634" t="str">
        <f>INDEX(Lists!$C$4:$C$24,MATCH(Validation!$B$3,Lists!$B$4:$B$24,0))</f>
        <v>TMS</v>
      </c>
      <c r="B789" s="2" t="str">
        <f>'4D'!BK22</f>
        <v>CW00036TWD</v>
      </c>
      <c r="C789" s="1634" t="str">
        <f>'4D'!BB22&amp;" - "&amp;'4D'!$BK$4</f>
        <v>Maintaining the long term capability of the assets - non-infra - Treated water distribution</v>
      </c>
      <c r="D789" s="2" t="s">
        <v>8</v>
      </c>
      <c r="E789" s="2" t="s">
        <v>9</v>
      </c>
      <c r="F789" s="1634"/>
      <c r="G789" s="1635">
        <f>'4D'!L22</f>
        <v>92.403000000000006</v>
      </c>
      <c r="H789" s="1636"/>
    </row>
    <row r="790" spans="1:8">
      <c r="A790" s="1634" t="str">
        <f>INDEX(Lists!$C$4:$C$24,MATCH(Validation!$B$3,Lists!$B$4:$B$24,0))</f>
        <v>TMS</v>
      </c>
      <c r="B790" s="2" t="str">
        <f>'4D'!BK23</f>
        <v>BC30444TWD</v>
      </c>
      <c r="C790" s="1634" t="str">
        <f>'4D'!BB23&amp;" - "&amp;'4D'!$BK$4</f>
        <v>Other capital expenditure - infra - Treated water distribution</v>
      </c>
      <c r="D790" s="2" t="s">
        <v>8</v>
      </c>
      <c r="E790" s="2" t="s">
        <v>9</v>
      </c>
      <c r="F790" s="1634"/>
      <c r="G790" s="1635">
        <f>'4D'!L23</f>
        <v>64.914000000000001</v>
      </c>
      <c r="H790" s="1636"/>
    </row>
    <row r="791" spans="1:8">
      <c r="A791" s="1634" t="str">
        <f>INDEX(Lists!$C$4:$C$24,MATCH(Validation!$B$3,Lists!$B$4:$B$24,0))</f>
        <v>TMS</v>
      </c>
      <c r="B791" s="2" t="str">
        <f>'4D'!BK24</f>
        <v>CW00037TWD</v>
      </c>
      <c r="C791" s="1634" t="str">
        <f>'4D'!BB24&amp;" - "&amp;'4D'!$BK$4</f>
        <v>Other capital expenditure - non-infra - Treated water distribution</v>
      </c>
      <c r="D791" s="2" t="s">
        <v>8</v>
      </c>
      <c r="E791" s="2" t="s">
        <v>9</v>
      </c>
      <c r="F791" s="1634"/>
      <c r="G791" s="1635">
        <f>'4D'!L24</f>
        <v>59.744999999999997</v>
      </c>
      <c r="H791" s="1636"/>
    </row>
    <row r="792" spans="1:8">
      <c r="A792" s="1634" t="str">
        <f>INDEX(Lists!$C$4:$C$24,MATCH(Validation!$B$3,Lists!$B$4:$B$24,0))</f>
        <v>TMS</v>
      </c>
      <c r="B792" s="2" t="str">
        <f>'4D'!BK25</f>
        <v>BC30449TWD</v>
      </c>
      <c r="C792" s="1634" t="str">
        <f>'4D'!BB25&amp;" - "&amp;'4D'!$BK$4</f>
        <v>Infrastructure network reinforcement - Treated water distribution</v>
      </c>
      <c r="D792" s="2" t="s">
        <v>8</v>
      </c>
      <c r="E792" s="2" t="s">
        <v>9</v>
      </c>
      <c r="F792" s="1634"/>
      <c r="G792" s="1635">
        <f>'4D'!L25</f>
        <v>8.2260000000000009</v>
      </c>
      <c r="H792" s="1636"/>
    </row>
    <row r="793" spans="1:8">
      <c r="A793" s="1634" t="str">
        <f>INDEX(Lists!$C$4:$C$24,MATCH(Validation!$B$3,Lists!$B$4:$B$24,0))</f>
        <v>TMS</v>
      </c>
      <c r="B793" s="2" t="str">
        <f>'4D'!BK27</f>
        <v>BM333TWD</v>
      </c>
      <c r="C793" s="1634" t="str">
        <f>'4D'!BB27&amp;" - "&amp;'4D'!$BK$4</f>
        <v>Third party services - Treated water distribution</v>
      </c>
      <c r="D793" s="2" t="s">
        <v>8</v>
      </c>
      <c r="E793" s="2" t="s">
        <v>9</v>
      </c>
      <c r="F793" s="1634"/>
      <c r="G793" s="1635">
        <f>'4D'!L27</f>
        <v>3.6999999999999998E-2</v>
      </c>
      <c r="H793" s="1636"/>
    </row>
    <row r="794" spans="1:8">
      <c r="A794" s="1634" t="str">
        <f>INDEX(Lists!$C$4:$C$24,MATCH(Validation!$B$3,Lists!$B$4:$B$24,0))</f>
        <v>TMS</v>
      </c>
      <c r="B794" s="2" t="str">
        <f>'4D'!BK31</f>
        <v>BA1071TWD</v>
      </c>
      <c r="C794" s="1634" t="str">
        <f>'4D'!BB31&amp;" - "&amp;'4D'!$BK$4</f>
        <v>Grants and contributions - Treated water distribution</v>
      </c>
      <c r="D794" s="2" t="s">
        <v>8</v>
      </c>
      <c r="E794" s="2" t="s">
        <v>9</v>
      </c>
      <c r="F794" s="1634"/>
      <c r="G794" s="1635">
        <f>'4D'!L31</f>
        <v>58.441000000000003</v>
      </c>
      <c r="H794" s="1636"/>
    </row>
    <row r="795" spans="1:8">
      <c r="A795" s="1634" t="str">
        <f>INDEX(Lists!$C$4:$C$24,MATCH(Validation!$B$3,Lists!$B$4:$B$24,0))</f>
        <v>TMS</v>
      </c>
      <c r="B795" s="2" t="str">
        <f>'4D'!BK36</f>
        <v>CR00558TWD</v>
      </c>
      <c r="C795" s="1634" t="str">
        <f>'4D'!BB36&amp;" - "&amp;'4D'!$BK$4</f>
        <v>Pension deficit recovery payments - Treated water distribution</v>
      </c>
      <c r="D795" s="2" t="s">
        <v>8</v>
      </c>
      <c r="E795" s="2" t="s">
        <v>9</v>
      </c>
      <c r="F795" s="1634"/>
      <c r="G795" s="1635">
        <f>'4D'!L36</f>
        <v>6.25</v>
      </c>
      <c r="H795" s="1636"/>
    </row>
    <row r="796" spans="1:8">
      <c r="A796" s="1634" t="str">
        <f>INDEX(Lists!$C$4:$C$24,MATCH(Validation!$B$3,Lists!$B$4:$B$24,0))</f>
        <v>TMS</v>
      </c>
      <c r="B796" s="2" t="str">
        <f>'4D'!BK37</f>
        <v>CR00561TWD</v>
      </c>
      <c r="C796" s="1634" t="str">
        <f>'4D'!BB37&amp;" - "&amp;'4D'!$BK$4</f>
        <v>Other cash items - Treated water distribution</v>
      </c>
      <c r="D796" s="2" t="s">
        <v>8</v>
      </c>
      <c r="E796" s="2" t="s">
        <v>9</v>
      </c>
      <c r="F796" s="1634"/>
      <c r="G796" s="1635">
        <f>'4D'!L37</f>
        <v>0</v>
      </c>
      <c r="H796" s="1636"/>
    </row>
    <row r="797" spans="1:8">
      <c r="A797" s="1634" t="str">
        <f>INDEX(Lists!$C$4:$C$24,MATCH(Validation!$B$3,Lists!$B$4:$B$24,0))</f>
        <v>TMS</v>
      </c>
      <c r="B797" s="2" t="str">
        <f>'4D'!BK47</f>
        <v>CRASTWD005</v>
      </c>
      <c r="C797" s="1634" t="str">
        <f>'4D'!BB47&amp;" - "&amp;'4D'!$BK$4</f>
        <v>Distribution input volume - Treated water distribution</v>
      </c>
      <c r="D797" s="2" t="s">
        <v>16</v>
      </c>
      <c r="E797" s="2" t="s">
        <v>9</v>
      </c>
      <c r="F797" s="1634"/>
      <c r="G797" s="1635">
        <f>'4D'!L47</f>
        <v>978520.50199999998</v>
      </c>
      <c r="H797" s="1636"/>
    </row>
    <row r="798" spans="1:8" ht="15" thickBot="1">
      <c r="A798" s="1642" t="str">
        <f>INDEX(Lists!$C$4:$C$24,MATCH(Validation!$B$3,Lists!$B$4:$B$24,0))</f>
        <v>TMS</v>
      </c>
      <c r="B798" s="1651" t="str">
        <f>'4D'!BK49</f>
        <v>BN2590TWD</v>
      </c>
      <c r="C798" s="1634" t="str">
        <f>'4D'!BB49&amp;" - "&amp;'4D'!$BK$4</f>
        <v>Population - Treated water distribution</v>
      </c>
      <c r="D798" s="1651" t="s">
        <v>13</v>
      </c>
      <c r="E798" s="1651" t="s">
        <v>9</v>
      </c>
      <c r="F798" s="1642"/>
      <c r="G798" s="1653">
        <f>'4D'!L49</f>
        <v>10012.826999999999</v>
      </c>
      <c r="H798" s="1649"/>
    </row>
    <row r="799" spans="1:8">
      <c r="A799" s="1634" t="str">
        <f>INDEX(Lists!$C$4:$C$24,MATCH(Validation!$B$3,Lists!$B$4:$B$24,0))</f>
        <v>TMS</v>
      </c>
      <c r="B799" s="1644" t="str">
        <f>'4E'!BF7</f>
        <v>BM402F</v>
      </c>
      <c r="C799" s="1641" t="str">
        <f>'4E'!BB7&amp;" - "&amp;'4E'!$BF$4</f>
        <v>Power - Foul</v>
      </c>
      <c r="D799" s="1644" t="s">
        <v>8</v>
      </c>
      <c r="E799" s="1644" t="s">
        <v>9</v>
      </c>
      <c r="F799" s="1641"/>
      <c r="G799" s="1659">
        <f>'4E'!G7</f>
        <v>6.8620000000000001</v>
      </c>
      <c r="H799" s="1645"/>
    </row>
    <row r="800" spans="1:8">
      <c r="A800" s="1634" t="str">
        <f>INDEX(Lists!$C$4:$C$24,MATCH(Validation!$B$3,Lists!$B$4:$B$24,0))</f>
        <v>TMS</v>
      </c>
      <c r="B800" s="2" t="str">
        <f>'4E'!BF8</f>
        <v>BM836F</v>
      </c>
      <c r="C800" s="1634" t="str">
        <f>'4E'!BB8&amp;" - "&amp;'4E'!$BF$4</f>
        <v>Income treated as negative expenditure - Foul</v>
      </c>
      <c r="D800" s="2" t="s">
        <v>8</v>
      </c>
      <c r="E800" s="2" t="s">
        <v>9</v>
      </c>
      <c r="F800" s="1634"/>
      <c r="G800" s="1635">
        <f>'4E'!G8</f>
        <v>-8.4000000000000005E-2</v>
      </c>
      <c r="H800" s="1636"/>
    </row>
    <row r="801" spans="1:8">
      <c r="A801" s="1634" t="str">
        <f>INDEX(Lists!$C$4:$C$24,MATCH(Validation!$B$3,Lists!$B$4:$B$24,0))</f>
        <v>TMS</v>
      </c>
      <c r="B801" s="2" t="str">
        <f>'4E'!BF9</f>
        <v>BM131F</v>
      </c>
      <c r="C801" s="1634" t="str">
        <f>'4E'!BB9&amp;" - "&amp;'4E'!$BF$4</f>
        <v>Discharge consents - Foul</v>
      </c>
      <c r="D801" s="2" t="s">
        <v>8</v>
      </c>
      <c r="E801" s="2" t="s">
        <v>9</v>
      </c>
      <c r="F801" s="1634"/>
      <c r="G801" s="1635">
        <f>'4E'!G9</f>
        <v>1.163</v>
      </c>
      <c r="H801" s="1636"/>
    </row>
    <row r="802" spans="1:8">
      <c r="A802" s="1634" t="str">
        <f>INDEX(Lists!$C$4:$C$24,MATCH(Validation!$B$3,Lists!$B$4:$B$24,0))</f>
        <v>TMS</v>
      </c>
      <c r="B802" s="2" t="str">
        <f>'4E'!BF10</f>
        <v>BM140F</v>
      </c>
      <c r="C802" s="1634" t="str">
        <f>'4E'!BB10&amp;" - "&amp;'4E'!$BF$4</f>
        <v>Bulk discharge - Foul</v>
      </c>
      <c r="D802" s="2" t="s">
        <v>8</v>
      </c>
      <c r="E802" s="2" t="s">
        <v>9</v>
      </c>
      <c r="F802" s="1634"/>
      <c r="G802" s="1635">
        <f>'4E'!G10</f>
        <v>0</v>
      </c>
      <c r="H802" s="1636"/>
    </row>
    <row r="803" spans="1:8">
      <c r="A803" s="1634" t="str">
        <f>INDEX(Lists!$C$4:$C$24,MATCH(Validation!$B$3,Lists!$B$4:$B$24,0))</f>
        <v>TMS</v>
      </c>
      <c r="B803" s="2" t="str">
        <f>'4E'!BF11</f>
        <v>BM839FIR</v>
      </c>
      <c r="C803" s="1634" t="str">
        <f>'4E'!BB11&amp;" - "&amp;'4E'!$BF$4</f>
        <v>Other operating expenditure - renewals expensed in year (Infrastructure) - Foul</v>
      </c>
      <c r="D803" s="2" t="s">
        <v>8</v>
      </c>
      <c r="E803" s="2" t="s">
        <v>9</v>
      </c>
      <c r="F803" s="1634"/>
      <c r="G803" s="1635">
        <f>'4E'!G11</f>
        <v>45.965000000000003</v>
      </c>
      <c r="H803" s="1636"/>
    </row>
    <row r="804" spans="1:8">
      <c r="A804" s="1634" t="str">
        <f>INDEX(Lists!$C$4:$C$24,MATCH(Validation!$B$3,Lists!$B$4:$B$24,0))</f>
        <v>TMS</v>
      </c>
      <c r="B804" s="2" t="str">
        <f>'4E'!BF12</f>
        <v>BM839FNIR</v>
      </c>
      <c r="C804" s="1634" t="str">
        <f>'4E'!BB12&amp;" - "&amp;'4E'!$BF$4</f>
        <v>Other operating expenditure - renewals expensed in year (Non-Infrastructure) - Foul</v>
      </c>
      <c r="D804" s="2" t="s">
        <v>8</v>
      </c>
      <c r="E804" s="2" t="s">
        <v>9</v>
      </c>
      <c r="F804" s="1634"/>
      <c r="G804" s="1635">
        <f>'4E'!G12</f>
        <v>0</v>
      </c>
      <c r="H804" s="1636"/>
    </row>
    <row r="805" spans="1:8">
      <c r="A805" s="1634" t="str">
        <f>INDEX(Lists!$C$4:$C$24,MATCH(Validation!$B$3,Lists!$B$4:$B$24,0))</f>
        <v>TMS</v>
      </c>
      <c r="B805" s="2" t="str">
        <f>'4E'!BF13</f>
        <v>BM839FER</v>
      </c>
      <c r="C805" s="1634" t="str">
        <f>'4E'!BB13&amp;" - "&amp;'4E'!$BF$4</f>
        <v>Other operating expenditure - excluding renewals - Foul</v>
      </c>
      <c r="D805" s="2" t="s">
        <v>8</v>
      </c>
      <c r="E805" s="2" t="s">
        <v>9</v>
      </c>
      <c r="F805" s="1634"/>
      <c r="G805" s="1635">
        <f>'4E'!G13</f>
        <v>56.749000000000002</v>
      </c>
      <c r="H805" s="1636"/>
    </row>
    <row r="806" spans="1:8">
      <c r="A806" s="1634" t="str">
        <f>INDEX(Lists!$C$4:$C$24,MATCH(Validation!$B$3,Lists!$B$4:$B$24,0))</f>
        <v>TMS</v>
      </c>
      <c r="B806" s="2" t="str">
        <f>'4E'!BF14</f>
        <v>BM817F</v>
      </c>
      <c r="C806" s="1634" t="str">
        <f>'4E'!BB14&amp;" - "&amp;'4E'!$BF$4</f>
        <v>Local authority rates and Cumulo rates - Foul</v>
      </c>
      <c r="D806" s="2" t="s">
        <v>8</v>
      </c>
      <c r="E806" s="2" t="s">
        <v>9</v>
      </c>
      <c r="F806" s="1634"/>
      <c r="G806" s="1635">
        <f>'4E'!G14</f>
        <v>0</v>
      </c>
      <c r="H806" s="1636"/>
    </row>
    <row r="807" spans="1:8">
      <c r="A807" s="1634" t="str">
        <f>INDEX(Lists!$C$4:$C$24,MATCH(Validation!$B$3,Lists!$B$4:$B$24,0))</f>
        <v>TMS</v>
      </c>
      <c r="B807" s="2" t="str">
        <f>'4E'!BF17</f>
        <v>BM823F</v>
      </c>
      <c r="C807" s="1634" t="str">
        <f>'4E'!BB17&amp;" - "&amp;'4E'!$BF$4</f>
        <v>Third party services - Foul</v>
      </c>
      <c r="D807" s="2" t="s">
        <v>8</v>
      </c>
      <c r="E807" s="2" t="s">
        <v>9</v>
      </c>
      <c r="F807" s="1634"/>
      <c r="G807" s="1635">
        <f>'4E'!G17</f>
        <v>3.0259999999999998</v>
      </c>
      <c r="H807" s="1636"/>
    </row>
    <row r="808" spans="1:8">
      <c r="A808" s="1634" t="str">
        <f>INDEX(Lists!$C$4:$C$24,MATCH(Validation!$B$3,Lists!$B$4:$B$24,0))</f>
        <v>TMS</v>
      </c>
      <c r="B808" s="2" t="str">
        <f>'4E'!BF21</f>
        <v>BC30945F</v>
      </c>
      <c r="C808" s="1634" t="str">
        <f>'4E'!BB21&amp;" - "&amp;'4E'!$BF$4</f>
        <v>Maintaining the long term capability of the assets - infra - Foul</v>
      </c>
      <c r="D808" s="2" t="s">
        <v>8</v>
      </c>
      <c r="E808" s="2" t="s">
        <v>9</v>
      </c>
      <c r="F808" s="1634"/>
      <c r="G808" s="1635">
        <f>'4E'!G21</f>
        <v>70.798000000000002</v>
      </c>
      <c r="H808" s="1636"/>
    </row>
    <row r="809" spans="1:8">
      <c r="A809" s="1634" t="str">
        <f>INDEX(Lists!$C$4:$C$24,MATCH(Validation!$B$3,Lists!$B$4:$B$24,0))</f>
        <v>TMS</v>
      </c>
      <c r="B809" s="2" t="str">
        <f>'4E'!BF22</f>
        <v>CS00036F</v>
      </c>
      <c r="C809" s="1634" t="str">
        <f>'4E'!BB22&amp;" - "&amp;'4E'!$BF$4</f>
        <v>Maintaining the long term capability of the assets - non-infra - Foul</v>
      </c>
      <c r="D809" s="2" t="s">
        <v>8</v>
      </c>
      <c r="E809" s="2" t="s">
        <v>9</v>
      </c>
      <c r="F809" s="1634"/>
      <c r="G809" s="1635">
        <f>'4E'!G22</f>
        <v>28.021003832869702</v>
      </c>
      <c r="H809" s="1636"/>
    </row>
    <row r="810" spans="1:8">
      <c r="A810" s="1634" t="str">
        <f>INDEX(Lists!$C$4:$C$24,MATCH(Validation!$B$3,Lists!$B$4:$B$24,0))</f>
        <v>TMS</v>
      </c>
      <c r="B810" s="2" t="str">
        <f>'4E'!BF23</f>
        <v>BC30944F</v>
      </c>
      <c r="C810" s="1634" t="str">
        <f>'4E'!BB23&amp;" - "&amp;'4E'!$BF$4</f>
        <v>Other capital expenditure - infra - Foul</v>
      </c>
      <c r="D810" s="2" t="s">
        <v>8</v>
      </c>
      <c r="E810" s="2" t="s">
        <v>9</v>
      </c>
      <c r="F810" s="1634"/>
      <c r="G810" s="1635">
        <f>'4E'!G23</f>
        <v>31.373999999999999</v>
      </c>
      <c r="H810" s="1636"/>
    </row>
    <row r="811" spans="1:8">
      <c r="A811" s="1634" t="str">
        <f>INDEX(Lists!$C$4:$C$24,MATCH(Validation!$B$3,Lists!$B$4:$B$24,0))</f>
        <v>TMS</v>
      </c>
      <c r="B811" s="2" t="str">
        <f>'4E'!BF24</f>
        <v>CS00037F</v>
      </c>
      <c r="C811" s="1634" t="str">
        <f>'4E'!BB24&amp;" - "&amp;'4E'!$BF$4</f>
        <v>Other capital expenditure - non-infra - Foul</v>
      </c>
      <c r="D811" s="2" t="s">
        <v>8</v>
      </c>
      <c r="E811" s="2" t="s">
        <v>9</v>
      </c>
      <c r="F811" s="1634"/>
      <c r="G811" s="1635">
        <f>'4E'!G24</f>
        <v>4.3296251312518308</v>
      </c>
      <c r="H811" s="1636"/>
    </row>
    <row r="812" spans="1:8">
      <c r="A812" s="1634" t="str">
        <f>INDEX(Lists!$C$4:$C$24,MATCH(Validation!$B$3,Lists!$B$4:$B$24,0))</f>
        <v>TMS</v>
      </c>
      <c r="B812" s="2" t="str">
        <f>'4E'!BF25</f>
        <v>BC30849F</v>
      </c>
      <c r="C812" s="1634" t="str">
        <f>'4E'!BB25&amp;" - "&amp;'4E'!$BF$4</f>
        <v>Infrastructure network reinforcement - Foul</v>
      </c>
      <c r="D812" s="2" t="s">
        <v>8</v>
      </c>
      <c r="E812" s="2" t="s">
        <v>9</v>
      </c>
      <c r="F812" s="1634"/>
      <c r="G812" s="1635">
        <f>'4E'!G25</f>
        <v>3.8380000000000001</v>
      </c>
      <c r="H812" s="1636"/>
    </row>
    <row r="813" spans="1:8">
      <c r="A813" s="1634" t="str">
        <f>INDEX(Lists!$C$4:$C$24,MATCH(Validation!$B$3,Lists!$B$4:$B$24,0))</f>
        <v>TMS</v>
      </c>
      <c r="B813" s="2" t="str">
        <f>'4E'!BF27</f>
        <v>BM833F</v>
      </c>
      <c r="C813" s="1634" t="str">
        <f>'4E'!BB27&amp;" - "&amp;'4E'!$BF$4</f>
        <v>Third party services - Foul</v>
      </c>
      <c r="D813" s="2" t="s">
        <v>8</v>
      </c>
      <c r="E813" s="2" t="s">
        <v>9</v>
      </c>
      <c r="F813" s="1634"/>
      <c r="G813" s="1635">
        <f>'4E'!G27</f>
        <v>0.04</v>
      </c>
      <c r="H813" s="1636"/>
    </row>
    <row r="814" spans="1:8">
      <c r="A814" s="1634" t="str">
        <f>INDEX(Lists!$C$4:$C$24,MATCH(Validation!$B$3,Lists!$B$4:$B$24,0))</f>
        <v>TMS</v>
      </c>
      <c r="B814" s="2" t="str">
        <f>'4E'!BF31</f>
        <v>BA2121F</v>
      </c>
      <c r="C814" s="1634" t="str">
        <f>'4E'!BB31&amp;" - "&amp;'4E'!$BF$4</f>
        <v>Grants and contributions - Foul</v>
      </c>
      <c r="D814" s="2" t="s">
        <v>8</v>
      </c>
      <c r="E814" s="2" t="s">
        <v>9</v>
      </c>
      <c r="F814" s="1634"/>
      <c r="G814" s="1635">
        <f>'4E'!G31</f>
        <v>0</v>
      </c>
      <c r="H814" s="1636"/>
    </row>
    <row r="815" spans="1:8">
      <c r="A815" s="1634" t="str">
        <f>INDEX(Lists!$C$4:$C$24,MATCH(Validation!$B$3,Lists!$B$4:$B$24,0))</f>
        <v>TMS</v>
      </c>
      <c r="B815" s="2" t="str">
        <f>'4E'!BF36</f>
        <v>CR00559F</v>
      </c>
      <c r="C815" s="1634" t="str">
        <f>'4E'!BB36&amp;" - "&amp;'4E'!$BF$4</f>
        <v>Pension deficit recovery payments - Foul</v>
      </c>
      <c r="D815" s="2" t="s">
        <v>8</v>
      </c>
      <c r="E815" s="2" t="s">
        <v>9</v>
      </c>
      <c r="F815" s="1634"/>
      <c r="G815" s="1635">
        <f>'4E'!G36</f>
        <v>0</v>
      </c>
      <c r="H815" s="1636"/>
    </row>
    <row r="816" spans="1:8">
      <c r="A816" s="1634" t="str">
        <f>INDEX(Lists!$C$4:$C$24,MATCH(Validation!$B$3,Lists!$B$4:$B$24,0))</f>
        <v>TMS</v>
      </c>
      <c r="B816" s="2" t="str">
        <f>'4E'!BF37</f>
        <v>CR00562F</v>
      </c>
      <c r="C816" s="1634" t="str">
        <f>'4E'!BB37&amp;" - "&amp;'4E'!$BF$4</f>
        <v>Other cash items - Foul</v>
      </c>
      <c r="D816" s="2" t="s">
        <v>8</v>
      </c>
      <c r="E816" s="2" t="s">
        <v>9</v>
      </c>
      <c r="F816" s="1634"/>
      <c r="G816" s="1635">
        <f>'4E'!G37</f>
        <v>0</v>
      </c>
      <c r="H816" s="1636"/>
    </row>
    <row r="817" spans="1:8">
      <c r="A817" s="1634" t="str">
        <f>INDEX(Lists!$C$4:$C$24,MATCH(Validation!$B$3,Lists!$B$4:$B$24,0))</f>
        <v>TMS</v>
      </c>
      <c r="B817" s="2" t="str">
        <f>'4E'!BF42</f>
        <v>CRASF005</v>
      </c>
      <c r="C817" s="1634" t="str">
        <f>'4E'!BB42&amp;" - "&amp;'4E'!$BF$4</f>
        <v>Volume collected - Foul</v>
      </c>
      <c r="D817" s="2" t="s">
        <v>16</v>
      </c>
      <c r="E817" s="2" t="s">
        <v>9</v>
      </c>
      <c r="F817" s="1634"/>
      <c r="G817" s="1635">
        <f>'4E'!G42</f>
        <v>702657.65399999998</v>
      </c>
      <c r="H817" s="1636"/>
    </row>
    <row r="818" spans="1:8">
      <c r="A818" s="1637" t="str">
        <f>INDEX(Lists!$C$4:$C$24,MATCH(Validation!$B$3,Lists!$B$4:$B$24,0))</f>
        <v>TMS</v>
      </c>
      <c r="B818" s="1650" t="str">
        <f>'4E'!BF51</f>
        <v>BN2630F</v>
      </c>
      <c r="C818" s="1637" t="str">
        <f>'4E'!BB51&amp;" - "&amp;'4E'!$BF$4</f>
        <v>Population - Foul</v>
      </c>
      <c r="D818" s="1651" t="s">
        <v>13</v>
      </c>
      <c r="E818" s="1651" t="s">
        <v>9</v>
      </c>
      <c r="F818" s="1637"/>
      <c r="G818" s="1653">
        <f>'4E'!G51</f>
        <v>15018.284</v>
      </c>
      <c r="H818" s="1652"/>
    </row>
    <row r="819" spans="1:8">
      <c r="A819" s="1634" t="str">
        <f>INDEX(Lists!$C$4:$C$24,MATCH(Validation!$B$3,Lists!$B$4:$B$24,0))</f>
        <v>TMS</v>
      </c>
      <c r="B819" s="2" t="str">
        <f>'4E'!BG7</f>
        <v>BM402SWD</v>
      </c>
      <c r="C819" s="1634" t="str">
        <f>'4E'!BB7&amp;" - "&amp;'4E'!$BG$4</f>
        <v>Power - Surface water drainage</v>
      </c>
      <c r="D819" s="2" t="s">
        <v>8</v>
      </c>
      <c r="E819" s="2" t="s">
        <v>9</v>
      </c>
      <c r="F819" s="1634"/>
      <c r="G819" s="1635">
        <f>'4E'!H7</f>
        <v>2.1840000000000002</v>
      </c>
      <c r="H819" s="1636"/>
    </row>
    <row r="820" spans="1:8">
      <c r="A820" s="1634" t="str">
        <f>INDEX(Lists!$C$4:$C$24,MATCH(Validation!$B$3,Lists!$B$4:$B$24,0))</f>
        <v>TMS</v>
      </c>
      <c r="B820" s="2" t="str">
        <f>'4E'!BG8</f>
        <v>BM836SWD</v>
      </c>
      <c r="C820" s="1634" t="str">
        <f>'4E'!BB8&amp;" - "&amp;'4E'!$BG$4</f>
        <v>Income treated as negative expenditure - Surface water drainage</v>
      </c>
      <c r="D820" s="2" t="s">
        <v>8</v>
      </c>
      <c r="E820" s="2" t="s">
        <v>9</v>
      </c>
      <c r="F820" s="1634"/>
      <c r="G820" s="1635">
        <f>'4E'!H8</f>
        <v>-2.7E-2</v>
      </c>
      <c r="H820" s="1636"/>
    </row>
    <row r="821" spans="1:8">
      <c r="A821" s="1634" t="str">
        <f>INDEX(Lists!$C$4:$C$24,MATCH(Validation!$B$3,Lists!$B$4:$B$24,0))</f>
        <v>TMS</v>
      </c>
      <c r="B821" s="2" t="str">
        <f>'4E'!BG9</f>
        <v>BM131SWD</v>
      </c>
      <c r="C821" s="1634" t="str">
        <f>'4E'!BB9&amp;" - "&amp;'4E'!$BG$4</f>
        <v>Discharge consents - Surface water drainage</v>
      </c>
      <c r="D821" s="2" t="s">
        <v>8</v>
      </c>
      <c r="E821" s="2" t="s">
        <v>9</v>
      </c>
      <c r="F821" s="1634"/>
      <c r="G821" s="1635">
        <f>'4E'!H9</f>
        <v>0.36399999999999999</v>
      </c>
      <c r="H821" s="1636"/>
    </row>
    <row r="822" spans="1:8">
      <c r="A822" s="1634" t="str">
        <f>INDEX(Lists!$C$4:$C$24,MATCH(Validation!$B$3,Lists!$B$4:$B$24,0))</f>
        <v>TMS</v>
      </c>
      <c r="B822" s="2" t="str">
        <f>'4E'!BG10</f>
        <v>BM140SWD</v>
      </c>
      <c r="C822" s="1634" t="str">
        <f>'4E'!BB10&amp;" - "&amp;'4E'!$BG$4</f>
        <v>Bulk discharge - Surface water drainage</v>
      </c>
      <c r="D822" s="2" t="s">
        <v>8</v>
      </c>
      <c r="E822" s="2" t="s">
        <v>9</v>
      </c>
      <c r="F822" s="1634"/>
      <c r="G822" s="1635">
        <f>'4E'!H10</f>
        <v>0</v>
      </c>
      <c r="H822" s="1636"/>
    </row>
    <row r="823" spans="1:8">
      <c r="A823" s="1634" t="str">
        <f>INDEX(Lists!$C$4:$C$24,MATCH(Validation!$B$3,Lists!$B$4:$B$24,0))</f>
        <v>TMS</v>
      </c>
      <c r="B823" s="2" t="str">
        <f>'4E'!BG11</f>
        <v>BM839SWDIR</v>
      </c>
      <c r="C823" s="1634" t="str">
        <f>'4E'!BB11&amp;" - "&amp;'4E'!$BG$4</f>
        <v>Other operating expenditure - renewals expensed in year (Infrastructure) - Surface water drainage</v>
      </c>
      <c r="D823" s="2" t="s">
        <v>8</v>
      </c>
      <c r="E823" s="2" t="s">
        <v>9</v>
      </c>
      <c r="F823" s="1634"/>
      <c r="G823" s="1635">
        <f>'4E'!H11</f>
        <v>14.603</v>
      </c>
      <c r="H823" s="1636"/>
    </row>
    <row r="824" spans="1:8">
      <c r="A824" s="1634" t="str">
        <f>INDEX(Lists!$C$4:$C$24,MATCH(Validation!$B$3,Lists!$B$4:$B$24,0))</f>
        <v>TMS</v>
      </c>
      <c r="B824" s="2" t="str">
        <f>'4E'!BG12</f>
        <v>BM839SWDNIR</v>
      </c>
      <c r="C824" s="1634" t="str">
        <f>'4E'!BB12&amp;" - "&amp;'4E'!$BG$4</f>
        <v>Other operating expenditure - renewals expensed in year (Non-Infrastructure) - Surface water drainage</v>
      </c>
      <c r="D824" s="2" t="s">
        <v>8</v>
      </c>
      <c r="E824" s="2" t="s">
        <v>9</v>
      </c>
      <c r="F824" s="1634"/>
      <c r="G824" s="1635">
        <f>'4E'!H12</f>
        <v>0</v>
      </c>
      <c r="H824" s="1636"/>
    </row>
    <row r="825" spans="1:8">
      <c r="A825" s="1634" t="str">
        <f>INDEX(Lists!$C$4:$C$24,MATCH(Validation!$B$3,Lists!$B$4:$B$24,0))</f>
        <v>TMS</v>
      </c>
      <c r="B825" s="2" t="str">
        <f>'4E'!BG13</f>
        <v>BM839SWDER</v>
      </c>
      <c r="C825" s="1634" t="str">
        <f>'4E'!BB13&amp;" - "&amp;'4E'!$BG$4</f>
        <v>Other operating expenditure - excluding renewals - Surface water drainage</v>
      </c>
      <c r="D825" s="2" t="s">
        <v>8</v>
      </c>
      <c r="E825" s="2" t="s">
        <v>9</v>
      </c>
      <c r="F825" s="1634"/>
      <c r="G825" s="1635">
        <f>'4E'!H13</f>
        <v>15.67</v>
      </c>
      <c r="H825" s="1636"/>
    </row>
    <row r="826" spans="1:8">
      <c r="A826" s="1634" t="str">
        <f>INDEX(Lists!$C$4:$C$24,MATCH(Validation!$B$3,Lists!$B$4:$B$24,0))</f>
        <v>TMS</v>
      </c>
      <c r="B826" s="2" t="str">
        <f>'4E'!BG14</f>
        <v>BM817SWD</v>
      </c>
      <c r="C826" s="1634" t="str">
        <f>'4E'!BB14&amp;" - "&amp;'4E'!$BG$4</f>
        <v>Local authority rates and Cumulo rates - Surface water drainage</v>
      </c>
      <c r="D826" s="2" t="s">
        <v>8</v>
      </c>
      <c r="E826" s="2" t="s">
        <v>9</v>
      </c>
      <c r="F826" s="1634"/>
      <c r="G826" s="1635">
        <f>'4E'!H14</f>
        <v>0</v>
      </c>
      <c r="H826" s="1636"/>
    </row>
    <row r="827" spans="1:8">
      <c r="A827" s="1634" t="str">
        <f>INDEX(Lists!$C$4:$C$24,MATCH(Validation!$B$3,Lists!$B$4:$B$24,0))</f>
        <v>TMS</v>
      </c>
      <c r="B827" s="2" t="str">
        <f>'4E'!BG17</f>
        <v>BM823SWD</v>
      </c>
      <c r="C827" s="1634" t="str">
        <f>'4E'!BB17&amp;" - "&amp;'4E'!$BG$4</f>
        <v>Third party services - Surface water drainage</v>
      </c>
      <c r="D827" s="2" t="s">
        <v>8</v>
      </c>
      <c r="E827" s="2" t="s">
        <v>9</v>
      </c>
      <c r="F827" s="1634"/>
      <c r="G827" s="1635">
        <f>'4E'!H17</f>
        <v>0.39600000000000002</v>
      </c>
      <c r="H827" s="1636"/>
    </row>
    <row r="828" spans="1:8">
      <c r="A828" s="1634" t="str">
        <f>INDEX(Lists!$C$4:$C$24,MATCH(Validation!$B$3,Lists!$B$4:$B$24,0))</f>
        <v>TMS</v>
      </c>
      <c r="B828" s="2" t="str">
        <f>'4E'!BG21</f>
        <v>BC30945SWD</v>
      </c>
      <c r="C828" s="1634" t="str">
        <f>'4E'!BB21&amp;" - "&amp;'4E'!$BG$4</f>
        <v>Maintaining the long term capability of the assets - infra - Surface water drainage</v>
      </c>
      <c r="D828" s="2" t="s">
        <v>8</v>
      </c>
      <c r="E828" s="2" t="s">
        <v>9</v>
      </c>
      <c r="F828" s="1634"/>
      <c r="G828" s="1635">
        <f>'4E'!H21</f>
        <v>-2E-3</v>
      </c>
      <c r="H828" s="1636"/>
    </row>
    <row r="829" spans="1:8">
      <c r="A829" s="1634" t="str">
        <f>INDEX(Lists!$C$4:$C$24,MATCH(Validation!$B$3,Lists!$B$4:$B$24,0))</f>
        <v>TMS</v>
      </c>
      <c r="B829" s="2" t="str">
        <f>'4E'!BG22</f>
        <v>CS00036SWD</v>
      </c>
      <c r="C829" s="1634" t="str">
        <f>'4E'!BB22&amp;" - "&amp;'4E'!$BG$4</f>
        <v>Maintaining the long term capability of the assets - non-infra - Surface water drainage</v>
      </c>
      <c r="D829" s="2" t="s">
        <v>8</v>
      </c>
      <c r="E829" s="2" t="s">
        <v>9</v>
      </c>
      <c r="F829" s="1634"/>
      <c r="G829" s="1635">
        <f>'4E'!H22</f>
        <v>3.5146126477681525</v>
      </c>
      <c r="H829" s="1636"/>
    </row>
    <row r="830" spans="1:8">
      <c r="A830" s="1634" t="str">
        <f>INDEX(Lists!$C$4:$C$24,MATCH(Validation!$B$3,Lists!$B$4:$B$24,0))</f>
        <v>TMS</v>
      </c>
      <c r="B830" s="2" t="str">
        <f>'4E'!BG23</f>
        <v>BC30944SWD</v>
      </c>
      <c r="C830" s="1634" t="str">
        <f>'4E'!BB23&amp;" - "&amp;'4E'!$BG$4</f>
        <v>Other capital expenditure - infra - Surface water drainage</v>
      </c>
      <c r="D830" s="2" t="s">
        <v>8</v>
      </c>
      <c r="E830" s="2" t="s">
        <v>9</v>
      </c>
      <c r="F830" s="1634"/>
      <c r="G830" s="1635">
        <f>'4E'!H23</f>
        <v>-1.623</v>
      </c>
      <c r="H830" s="1636"/>
    </row>
    <row r="831" spans="1:8">
      <c r="A831" s="1634" t="str">
        <f>INDEX(Lists!$C$4:$C$24,MATCH(Validation!$B$3,Lists!$B$4:$B$24,0))</f>
        <v>TMS</v>
      </c>
      <c r="B831" s="2" t="str">
        <f>'4E'!BG24</f>
        <v>CS00037SWD</v>
      </c>
      <c r="C831" s="1634" t="str">
        <f>'4E'!BB24&amp;" - "&amp;'4E'!$BG$4</f>
        <v>Other capital expenditure - non-infra - Surface water drainage</v>
      </c>
      <c r="D831" s="2" t="s">
        <v>8</v>
      </c>
      <c r="E831" s="2" t="s">
        <v>9</v>
      </c>
      <c r="F831" s="1634"/>
      <c r="G831" s="1635">
        <f>'4E'!H24</f>
        <v>0.10335509447089496</v>
      </c>
      <c r="H831" s="1636"/>
    </row>
    <row r="832" spans="1:8">
      <c r="A832" s="1634" t="str">
        <f>INDEX(Lists!$C$4:$C$24,MATCH(Validation!$B$3,Lists!$B$4:$B$24,0))</f>
        <v>TMS</v>
      </c>
      <c r="B832" s="2" t="str">
        <f>'4E'!BG25</f>
        <v>BC30849SWD</v>
      </c>
      <c r="C832" s="1634" t="str">
        <f>'4E'!BB25&amp;" - "&amp;'4E'!$BG$4</f>
        <v>Infrastructure network reinforcement - Surface water drainage</v>
      </c>
      <c r="D832" s="2" t="s">
        <v>8</v>
      </c>
      <c r="E832" s="2" t="s">
        <v>9</v>
      </c>
      <c r="F832" s="1634"/>
      <c r="G832" s="1635">
        <f>'4E'!H25</f>
        <v>3.4710000000000001</v>
      </c>
      <c r="H832" s="1636"/>
    </row>
    <row r="833" spans="1:8">
      <c r="A833" s="1634" t="str">
        <f>INDEX(Lists!$C$4:$C$24,MATCH(Validation!$B$3,Lists!$B$4:$B$24,0))</f>
        <v>TMS</v>
      </c>
      <c r="B833" s="2" t="str">
        <f>'4E'!BG27</f>
        <v>BM833SWD</v>
      </c>
      <c r="C833" s="1634" t="str">
        <f>'4E'!BB27&amp;" - "&amp;'4E'!$BG$4</f>
        <v>Third party services - Surface water drainage</v>
      </c>
      <c r="D833" s="2" t="s">
        <v>8</v>
      </c>
      <c r="E833" s="2" t="s">
        <v>9</v>
      </c>
      <c r="F833" s="1634"/>
      <c r="G833" s="1635">
        <f>'4E'!H27</f>
        <v>0</v>
      </c>
      <c r="H833" s="1636"/>
    </row>
    <row r="834" spans="1:8">
      <c r="A834" s="1634" t="str">
        <f>INDEX(Lists!$C$4:$C$24,MATCH(Validation!$B$3,Lists!$B$4:$B$24,0))</f>
        <v>TMS</v>
      </c>
      <c r="B834" s="2" t="str">
        <f>'4E'!BG31</f>
        <v>BA2121SWD</v>
      </c>
      <c r="C834" s="1634" t="str">
        <f>'4E'!BB31&amp;" - "&amp;'4E'!$BG$4</f>
        <v>Grants and contributions - Surface water drainage</v>
      </c>
      <c r="D834" s="2" t="s">
        <v>8</v>
      </c>
      <c r="E834" s="2" t="s">
        <v>9</v>
      </c>
      <c r="F834" s="1634"/>
      <c r="G834" s="1635">
        <f>'4E'!H31</f>
        <v>0</v>
      </c>
      <c r="H834" s="1636"/>
    </row>
    <row r="835" spans="1:8">
      <c r="A835" s="1634" t="str">
        <f>INDEX(Lists!$C$4:$C$24,MATCH(Validation!$B$3,Lists!$B$4:$B$24,0))</f>
        <v>TMS</v>
      </c>
      <c r="B835" s="2" t="str">
        <f>'4E'!BG36</f>
        <v>CR00559SWD</v>
      </c>
      <c r="C835" s="1634" t="str">
        <f>'4E'!BB36&amp;" - "&amp;'4E'!$BG$4</f>
        <v>Pension deficit recovery payments - Surface water drainage</v>
      </c>
      <c r="D835" s="2" t="s">
        <v>8</v>
      </c>
      <c r="E835" s="2" t="s">
        <v>9</v>
      </c>
      <c r="F835" s="1634"/>
      <c r="G835" s="1635">
        <f>'4E'!H36</f>
        <v>0</v>
      </c>
      <c r="H835" s="1636"/>
    </row>
    <row r="836" spans="1:8">
      <c r="A836" s="1634" t="str">
        <f>INDEX(Lists!$C$4:$C$24,MATCH(Validation!$B$3,Lists!$B$4:$B$24,0))</f>
        <v>TMS</v>
      </c>
      <c r="B836" s="2" t="str">
        <f>'4E'!BG37</f>
        <v>CR00562SWD</v>
      </c>
      <c r="C836" s="1634" t="str">
        <f>'4E'!BB37&amp;" - "&amp;'4E'!$BG$4</f>
        <v>Other cash items - Surface water drainage</v>
      </c>
      <c r="D836" s="2" t="s">
        <v>8</v>
      </c>
      <c r="E836" s="2" t="s">
        <v>9</v>
      </c>
      <c r="F836" s="1634"/>
      <c r="G836" s="1635">
        <f>'4E'!H37</f>
        <v>0</v>
      </c>
      <c r="H836" s="1636"/>
    </row>
    <row r="837" spans="1:8">
      <c r="A837" s="1634" t="str">
        <f>INDEX(Lists!$C$4:$C$24,MATCH(Validation!$B$3,Lists!$B$4:$B$24,0))</f>
        <v>TMS</v>
      </c>
      <c r="B837" s="2" t="str">
        <f>'4E'!BG43</f>
        <v>CRASSWD005</v>
      </c>
      <c r="C837" s="1634" t="str">
        <f>'4E'!BB43&amp;" - "&amp;'4E'!$BG$4</f>
        <v>Volume collected - Surface water drainage</v>
      </c>
      <c r="D837" s="2" t="s">
        <v>16</v>
      </c>
      <c r="E837" s="2" t="s">
        <v>9</v>
      </c>
      <c r="F837" s="1634"/>
      <c r="G837" s="1635">
        <f>'4E'!H43</f>
        <v>325096.755</v>
      </c>
      <c r="H837" s="1636"/>
    </row>
    <row r="838" spans="1:8">
      <c r="A838" s="1637" t="str">
        <f>INDEX(Lists!$C$4:$C$24,MATCH(Validation!$B$3,Lists!$B$4:$B$24,0))</f>
        <v>TMS</v>
      </c>
      <c r="B838" s="1650" t="str">
        <f>'4E'!BG51</f>
        <v>BN2630SWD</v>
      </c>
      <c r="C838" s="1637" t="str">
        <f>'4E'!BB51&amp;" - "&amp;'4E'!$BG$4</f>
        <v>Population - Surface water drainage</v>
      </c>
      <c r="D838" s="1651" t="s">
        <v>13</v>
      </c>
      <c r="E838" s="1651" t="s">
        <v>9</v>
      </c>
      <c r="F838" s="1637"/>
      <c r="G838" s="1653">
        <f>'4E'!H51</f>
        <v>15018.284</v>
      </c>
      <c r="H838" s="1652"/>
    </row>
    <row r="839" spans="1:8">
      <c r="A839" s="1634" t="str">
        <f>INDEX(Lists!$C$4:$C$24,MATCH(Validation!$B$3,Lists!$B$4:$B$24,0))</f>
        <v>TMS</v>
      </c>
      <c r="B839" s="2" t="str">
        <f>'4E'!BH7</f>
        <v>BM402HD</v>
      </c>
      <c r="C839" s="1634" t="str">
        <f>'4E'!BB7&amp;" - "&amp;'4E'!$BH$4</f>
        <v>Power - Highway drainage</v>
      </c>
      <c r="D839" s="2" t="s">
        <v>8</v>
      </c>
      <c r="E839" s="2" t="s">
        <v>9</v>
      </c>
      <c r="F839" s="1634"/>
      <c r="G839" s="1635">
        <f>'4E'!I7</f>
        <v>1.2569999999999999</v>
      </c>
      <c r="H839" s="1636"/>
    </row>
    <row r="840" spans="1:8">
      <c r="A840" s="1634" t="str">
        <f>INDEX(Lists!$C$4:$C$24,MATCH(Validation!$B$3,Lists!$B$4:$B$24,0))</f>
        <v>TMS</v>
      </c>
      <c r="B840" s="2" t="str">
        <f>'4E'!BH8</f>
        <v>BM836HD</v>
      </c>
      <c r="C840" s="1634" t="str">
        <f>'4E'!BB8&amp;" - "&amp;'4E'!$BH$4</f>
        <v>Income treated as negative expenditure - Highway drainage</v>
      </c>
      <c r="D840" s="2" t="s">
        <v>8</v>
      </c>
      <c r="E840" s="2" t="s">
        <v>9</v>
      </c>
      <c r="F840" s="1634"/>
      <c r="G840" s="1635">
        <f>'4E'!I8</f>
        <v>-1.4999999999999999E-2</v>
      </c>
      <c r="H840" s="1636"/>
    </row>
    <row r="841" spans="1:8">
      <c r="A841" s="1634" t="str">
        <f>INDEX(Lists!$C$4:$C$24,MATCH(Validation!$B$3,Lists!$B$4:$B$24,0))</f>
        <v>TMS</v>
      </c>
      <c r="B841" s="2" t="str">
        <f>'4E'!BH9</f>
        <v>BM131HD</v>
      </c>
      <c r="C841" s="1634" t="str">
        <f>'4E'!BB9&amp;" - "&amp;'4E'!$BH$4</f>
        <v>Discharge consents - Highway drainage</v>
      </c>
      <c r="D841" s="2" t="s">
        <v>8</v>
      </c>
      <c r="E841" s="2" t="s">
        <v>9</v>
      </c>
      <c r="F841" s="1634"/>
      <c r="G841" s="1635">
        <f>'4E'!I9</f>
        <v>0.20499999999999999</v>
      </c>
      <c r="H841" s="1636"/>
    </row>
    <row r="842" spans="1:8">
      <c r="A842" s="1634" t="str">
        <f>INDEX(Lists!$C$4:$C$24,MATCH(Validation!$B$3,Lists!$B$4:$B$24,0))</f>
        <v>TMS</v>
      </c>
      <c r="B842" s="2" t="str">
        <f>'4E'!BH10</f>
        <v>BM140HD</v>
      </c>
      <c r="C842" s="1634" t="str">
        <f>'4E'!BB10&amp;" - "&amp;'4E'!$BH$4</f>
        <v>Bulk discharge - Highway drainage</v>
      </c>
      <c r="D842" s="2" t="s">
        <v>8</v>
      </c>
      <c r="E842" s="2" t="s">
        <v>9</v>
      </c>
      <c r="F842" s="1634"/>
      <c r="G842" s="1635">
        <f>'4E'!I10</f>
        <v>0</v>
      </c>
      <c r="H842" s="1636"/>
    </row>
    <row r="843" spans="1:8">
      <c r="A843" s="1634" t="str">
        <f>INDEX(Lists!$C$4:$C$24,MATCH(Validation!$B$3,Lists!$B$4:$B$24,0))</f>
        <v>TMS</v>
      </c>
      <c r="B843" s="2" t="str">
        <f>'4E'!BH11</f>
        <v>BM839HDIR</v>
      </c>
      <c r="C843" s="1634" t="str">
        <f>'4E'!BB11&amp;" - "&amp;'4E'!$BH$4</f>
        <v>Other operating expenditure - renewals expensed in year (Infrastructure) - Highway drainage</v>
      </c>
      <c r="D843" s="2" t="s">
        <v>8</v>
      </c>
      <c r="E843" s="2" t="s">
        <v>9</v>
      </c>
      <c r="F843" s="1634"/>
      <c r="G843" s="1635">
        <f>'4E'!I11</f>
        <v>8.4190000000000005</v>
      </c>
      <c r="H843" s="1636"/>
    </row>
    <row r="844" spans="1:8">
      <c r="A844" s="1634" t="str">
        <f>INDEX(Lists!$C$4:$C$24,MATCH(Validation!$B$3,Lists!$B$4:$B$24,0))</f>
        <v>TMS</v>
      </c>
      <c r="B844" s="2" t="str">
        <f>'4E'!BH12</f>
        <v>BM839HDNIR</v>
      </c>
      <c r="C844" s="1634" t="str">
        <f>'4E'!BB12&amp;" - "&amp;'4E'!$BH$4</f>
        <v>Other operating expenditure - renewals expensed in year (Non-Infrastructure) - Highway drainage</v>
      </c>
      <c r="D844" s="2" t="s">
        <v>8</v>
      </c>
      <c r="E844" s="2" t="s">
        <v>9</v>
      </c>
      <c r="F844" s="1634"/>
      <c r="G844" s="1635">
        <f>'4E'!I12</f>
        <v>0</v>
      </c>
      <c r="H844" s="1636"/>
    </row>
    <row r="845" spans="1:8">
      <c r="A845" s="1634" t="str">
        <f>INDEX(Lists!$C$4:$C$24,MATCH(Validation!$B$3,Lists!$B$4:$B$24,0))</f>
        <v>TMS</v>
      </c>
      <c r="B845" s="2" t="str">
        <f>'4E'!BH13</f>
        <v>BM839HDER</v>
      </c>
      <c r="C845" s="1634" t="str">
        <f>'4E'!BB13&amp;" - "&amp;'4E'!$BH$4</f>
        <v>Other operating expenditure - excluding renewals - Highway drainage</v>
      </c>
      <c r="D845" s="2" t="s">
        <v>8</v>
      </c>
      <c r="E845" s="2" t="s">
        <v>9</v>
      </c>
      <c r="F845" s="1634"/>
      <c r="G845" s="1635">
        <f>'4E'!I13</f>
        <v>7.3380000000000001</v>
      </c>
      <c r="H845" s="1636"/>
    </row>
    <row r="846" spans="1:8">
      <c r="A846" s="1634" t="str">
        <f>INDEX(Lists!$C$4:$C$24,MATCH(Validation!$B$3,Lists!$B$4:$B$24,0))</f>
        <v>TMS</v>
      </c>
      <c r="B846" s="2" t="str">
        <f>'4E'!BH14</f>
        <v>BM817HD</v>
      </c>
      <c r="C846" s="1634" t="str">
        <f>'4E'!BB14&amp;" - "&amp;'4E'!$BH$4</f>
        <v>Local authority rates and Cumulo rates - Highway drainage</v>
      </c>
      <c r="D846" s="2" t="s">
        <v>8</v>
      </c>
      <c r="E846" s="2" t="s">
        <v>9</v>
      </c>
      <c r="F846" s="1634"/>
      <c r="G846" s="1635">
        <f>'4E'!I14</f>
        <v>0</v>
      </c>
      <c r="H846" s="1636"/>
    </row>
    <row r="847" spans="1:8">
      <c r="A847" s="1634" t="str">
        <f>INDEX(Lists!$C$4:$C$24,MATCH(Validation!$B$3,Lists!$B$4:$B$24,0))</f>
        <v>TMS</v>
      </c>
      <c r="B847" s="2" t="str">
        <f>'4E'!BH17</f>
        <v>BM823HD</v>
      </c>
      <c r="C847" s="1634" t="str">
        <f>'4E'!BB17&amp;" - "&amp;'4E'!$BH$4</f>
        <v>Third party services - Highway drainage</v>
      </c>
      <c r="D847" s="2" t="s">
        <v>8</v>
      </c>
      <c r="E847" s="2" t="s">
        <v>9</v>
      </c>
      <c r="F847" s="1634"/>
      <c r="G847" s="1635">
        <f>'4E'!I17</f>
        <v>0.105</v>
      </c>
      <c r="H847" s="1636"/>
    </row>
    <row r="848" spans="1:8">
      <c r="A848" s="1634" t="str">
        <f>INDEX(Lists!$C$4:$C$24,MATCH(Validation!$B$3,Lists!$B$4:$B$24,0))</f>
        <v>TMS</v>
      </c>
      <c r="B848" s="2" t="str">
        <f>'4E'!BH21</f>
        <v>BC30945HD</v>
      </c>
      <c r="C848" s="1634" t="str">
        <f>'4E'!BB21&amp;" - "&amp;'4E'!$BH$4</f>
        <v>Maintaining the long term capability of the assets - infra - Highway drainage</v>
      </c>
      <c r="D848" s="2" t="s">
        <v>8</v>
      </c>
      <c r="E848" s="2" t="s">
        <v>9</v>
      </c>
      <c r="F848" s="1634"/>
      <c r="G848" s="1635">
        <f>'4E'!I21</f>
        <v>4.0000000000000001E-3</v>
      </c>
      <c r="H848" s="1636"/>
    </row>
    <row r="849" spans="1:8">
      <c r="A849" s="1634" t="str">
        <f>INDEX(Lists!$C$4:$C$24,MATCH(Validation!$B$3,Lists!$B$4:$B$24,0))</f>
        <v>TMS</v>
      </c>
      <c r="B849" s="2" t="str">
        <f>'4E'!BH22</f>
        <v>CS00036HD</v>
      </c>
      <c r="C849" s="1634" t="str">
        <f>'4E'!BB22&amp;" - "&amp;'4E'!$BH$4</f>
        <v>Maintaining the long term capability of the assets - non-infra - Highway drainage</v>
      </c>
      <c r="D849" s="2" t="s">
        <v>8</v>
      </c>
      <c r="E849" s="2" t="s">
        <v>9</v>
      </c>
      <c r="F849" s="1634"/>
      <c r="G849" s="1635">
        <f>'4E'!I22</f>
        <v>1.2258292121172865</v>
      </c>
      <c r="H849" s="1636"/>
    </row>
    <row r="850" spans="1:8">
      <c r="A850" s="1634" t="str">
        <f>INDEX(Lists!$C$4:$C$24,MATCH(Validation!$B$3,Lists!$B$4:$B$24,0))</f>
        <v>TMS</v>
      </c>
      <c r="B850" s="2" t="str">
        <f>'4E'!BH23</f>
        <v>BC30944HD</v>
      </c>
      <c r="C850" s="1634" t="str">
        <f>'4E'!BB23&amp;" - "&amp;'4E'!$BH$4</f>
        <v>Other capital expenditure - infra - Highway drainage</v>
      </c>
      <c r="D850" s="2" t="s">
        <v>8</v>
      </c>
      <c r="E850" s="2" t="s">
        <v>9</v>
      </c>
      <c r="F850" s="1634"/>
      <c r="G850" s="1635">
        <f>'4E'!I23</f>
        <v>0</v>
      </c>
      <c r="H850" s="1636"/>
    </row>
    <row r="851" spans="1:8">
      <c r="A851" s="1634" t="str">
        <f>INDEX(Lists!$C$4:$C$24,MATCH(Validation!$B$3,Lists!$B$4:$B$24,0))</f>
        <v>TMS</v>
      </c>
      <c r="B851" s="2" t="str">
        <f>'4E'!BH24</f>
        <v>CS00037HD</v>
      </c>
      <c r="C851" s="1634" t="str">
        <f>'4E'!BB24&amp;" - "&amp;'4E'!$BH$4</f>
        <v>Other capital expenditure - non-infra - Highway drainage</v>
      </c>
      <c r="D851" s="2" t="s">
        <v>8</v>
      </c>
      <c r="E851" s="2" t="s">
        <v>9</v>
      </c>
      <c r="F851" s="1634"/>
      <c r="G851" s="1635">
        <f>'4E'!I24</f>
        <v>4.9055455734580353E-2</v>
      </c>
      <c r="H851" s="1636"/>
    </row>
    <row r="852" spans="1:8">
      <c r="A852" s="1634" t="str">
        <f>INDEX(Lists!$C$4:$C$24,MATCH(Validation!$B$3,Lists!$B$4:$B$24,0))</f>
        <v>TMS</v>
      </c>
      <c r="B852" s="2" t="str">
        <f>'4E'!BH25</f>
        <v>BC30849HD</v>
      </c>
      <c r="C852" s="1634" t="str">
        <f>'4E'!BB25&amp;" - "&amp;'4E'!$BH$4</f>
        <v>Infrastructure network reinforcement - Highway drainage</v>
      </c>
      <c r="D852" s="2" t="s">
        <v>8</v>
      </c>
      <c r="E852" s="2" t="s">
        <v>9</v>
      </c>
      <c r="F852" s="1634"/>
      <c r="G852" s="1635">
        <f>'4E'!I25</f>
        <v>0</v>
      </c>
      <c r="H852" s="1636"/>
    </row>
    <row r="853" spans="1:8">
      <c r="A853" s="1634" t="str">
        <f>INDEX(Lists!$C$4:$C$24,MATCH(Validation!$B$3,Lists!$B$4:$B$24,0))</f>
        <v>TMS</v>
      </c>
      <c r="B853" s="2" t="str">
        <f>'4E'!BH27</f>
        <v>BM833HD</v>
      </c>
      <c r="C853" s="1634" t="str">
        <f>'4E'!BB27&amp;" - "&amp;'4E'!$BH$4</f>
        <v>Third party services - Highway drainage</v>
      </c>
      <c r="D853" s="2" t="s">
        <v>8</v>
      </c>
      <c r="E853" s="2" t="s">
        <v>9</v>
      </c>
      <c r="F853" s="1634"/>
      <c r="G853" s="1635">
        <f>'4E'!I27</f>
        <v>0</v>
      </c>
      <c r="H853" s="1636"/>
    </row>
    <row r="854" spans="1:8">
      <c r="A854" s="1634" t="str">
        <f>INDEX(Lists!$C$4:$C$24,MATCH(Validation!$B$3,Lists!$B$4:$B$24,0))</f>
        <v>TMS</v>
      </c>
      <c r="B854" s="2" t="str">
        <f>'4E'!BH31</f>
        <v>BA2121HD</v>
      </c>
      <c r="C854" s="1634" t="str">
        <f>'4E'!BB31&amp;" - "&amp;'4E'!$BH$4</f>
        <v>Grants and contributions - Highway drainage</v>
      </c>
      <c r="D854" s="2" t="s">
        <v>8</v>
      </c>
      <c r="E854" s="2" t="s">
        <v>9</v>
      </c>
      <c r="F854" s="1634"/>
      <c r="G854" s="1635">
        <f>'4E'!I31</f>
        <v>0</v>
      </c>
      <c r="H854" s="1636"/>
    </row>
    <row r="855" spans="1:8">
      <c r="A855" s="1634" t="str">
        <f>INDEX(Lists!$C$4:$C$24,MATCH(Validation!$B$3,Lists!$B$4:$B$24,0))</f>
        <v>TMS</v>
      </c>
      <c r="B855" s="2" t="str">
        <f>'4E'!BH36</f>
        <v>CR00559HD</v>
      </c>
      <c r="C855" s="1634" t="str">
        <f>'4E'!BB36&amp;" - "&amp;'4E'!$BH$4</f>
        <v>Pension deficit recovery payments - Highway drainage</v>
      </c>
      <c r="D855" s="2" t="s">
        <v>8</v>
      </c>
      <c r="E855" s="2" t="s">
        <v>9</v>
      </c>
      <c r="F855" s="1634"/>
      <c r="G855" s="1635">
        <f>'4E'!I36</f>
        <v>0</v>
      </c>
      <c r="H855" s="1636"/>
    </row>
    <row r="856" spans="1:8">
      <c r="A856" s="1634" t="str">
        <f>INDEX(Lists!$C$4:$C$24,MATCH(Validation!$B$3,Lists!$B$4:$B$24,0))</f>
        <v>TMS</v>
      </c>
      <c r="B856" s="2" t="str">
        <f>'4E'!BH37</f>
        <v>CR00562HD</v>
      </c>
      <c r="C856" s="1634" t="str">
        <f>'4E'!BB37&amp;" - "&amp;'4E'!$BH$4</f>
        <v>Other cash items - Highway drainage</v>
      </c>
      <c r="D856" s="2" t="s">
        <v>8</v>
      </c>
      <c r="E856" s="2" t="s">
        <v>9</v>
      </c>
      <c r="F856" s="1634"/>
      <c r="G856" s="1635">
        <f>'4E'!I37</f>
        <v>0</v>
      </c>
      <c r="H856" s="1636"/>
    </row>
    <row r="857" spans="1:8">
      <c r="A857" s="1634" t="str">
        <f>INDEX(Lists!$C$4:$C$24,MATCH(Validation!$B$3,Lists!$B$4:$B$24,0))</f>
        <v>TMS</v>
      </c>
      <c r="B857" s="2" t="str">
        <f>'4E'!BH44</f>
        <v>CRASHD005</v>
      </c>
      <c r="C857" s="1634" t="str">
        <f>'4E'!BB44&amp;" - "&amp;'4E'!$BH$4</f>
        <v>Volume collected - Highway drainage</v>
      </c>
      <c r="D857" s="2" t="s">
        <v>16</v>
      </c>
      <c r="E857" s="2" t="s">
        <v>9</v>
      </c>
      <c r="F857" s="1634"/>
      <c r="G857" s="1635">
        <f>'4E'!I44</f>
        <v>179347.81200000001</v>
      </c>
      <c r="H857" s="1636"/>
    </row>
    <row r="858" spans="1:8">
      <c r="A858" s="1637" t="str">
        <f>INDEX(Lists!$C$4:$C$24,MATCH(Validation!$B$3,Lists!$B$4:$B$24,0))</f>
        <v>TMS</v>
      </c>
      <c r="B858" s="1650" t="str">
        <f>'4E'!BH51</f>
        <v>BN2630HD</v>
      </c>
      <c r="C858" s="1637" t="str">
        <f>'4E'!BB51&amp;" - "&amp;'4E'!$BH$4</f>
        <v>Population - Highway drainage</v>
      </c>
      <c r="D858" s="1651" t="s">
        <v>13</v>
      </c>
      <c r="E858" s="1651" t="s">
        <v>9</v>
      </c>
      <c r="F858" s="1637"/>
      <c r="G858" s="1653">
        <f>'4E'!I51</f>
        <v>15018.284</v>
      </c>
      <c r="H858" s="1652"/>
    </row>
    <row r="859" spans="1:8">
      <c r="A859" s="1634" t="str">
        <f>INDEX(Lists!$C$4:$C$24,MATCH(Validation!$B$3,Lists!$B$4:$B$24,0))</f>
        <v>TMS</v>
      </c>
      <c r="B859" s="2" t="str">
        <f>'4E'!BI7</f>
        <v>BM502STD</v>
      </c>
      <c r="C859" s="1634" t="str">
        <f>'4E'!BB7&amp;" - "&amp;'4E'!$BI$4</f>
        <v>Power - Sewage treatment and disposal</v>
      </c>
      <c r="D859" s="2" t="s">
        <v>8</v>
      </c>
      <c r="E859" s="2" t="s">
        <v>9</v>
      </c>
      <c r="F859" s="1634"/>
      <c r="G859" s="1635">
        <f>'4E'!J7</f>
        <v>54.192999999999998</v>
      </c>
      <c r="H859" s="1636"/>
    </row>
    <row r="860" spans="1:8">
      <c r="A860" s="1634" t="str">
        <f>INDEX(Lists!$C$4:$C$24,MATCH(Validation!$B$3,Lists!$B$4:$B$24,0))</f>
        <v>TMS</v>
      </c>
      <c r="B860" s="2" t="str">
        <f>'4E'!BI8</f>
        <v>BM836STD</v>
      </c>
      <c r="C860" s="1634" t="str">
        <f>'4E'!BB8&amp;" - "&amp;'4E'!$BI$4</f>
        <v>Income treated as negative expenditure - Sewage treatment and disposal</v>
      </c>
      <c r="D860" s="2" t="s">
        <v>8</v>
      </c>
      <c r="E860" s="2" t="s">
        <v>9</v>
      </c>
      <c r="F860" s="1634"/>
      <c r="G860" s="1635">
        <f>'4E'!J8</f>
        <v>-3.9E-2</v>
      </c>
      <c r="H860" s="1636"/>
    </row>
    <row r="861" spans="1:8">
      <c r="A861" s="1634" t="str">
        <f>INDEX(Lists!$C$4:$C$24,MATCH(Validation!$B$3,Lists!$B$4:$B$24,0))</f>
        <v>TMS</v>
      </c>
      <c r="B861" s="2" t="str">
        <f>'4E'!BI9</f>
        <v>BM231STD</v>
      </c>
      <c r="C861" s="1634" t="str">
        <f>'4E'!BB9&amp;" - "&amp;'4E'!$BI$4</f>
        <v>Discharge consents - Sewage treatment and disposal</v>
      </c>
      <c r="D861" s="2" t="s">
        <v>8</v>
      </c>
      <c r="E861" s="2" t="s">
        <v>9</v>
      </c>
      <c r="F861" s="1634"/>
      <c r="G861" s="1635">
        <f>'4E'!J9</f>
        <v>3.53</v>
      </c>
      <c r="H861" s="1636"/>
    </row>
    <row r="862" spans="1:8">
      <c r="A862" s="1634" t="str">
        <f>INDEX(Lists!$C$4:$C$24,MATCH(Validation!$B$3,Lists!$B$4:$B$24,0))</f>
        <v>TMS</v>
      </c>
      <c r="B862" s="2" t="str">
        <f>'4E'!BI10</f>
        <v>BM140STD</v>
      </c>
      <c r="C862" s="1634" t="str">
        <f>'4E'!BB10&amp;" - "&amp;'4E'!$BI$4</f>
        <v>Bulk discharge - Sewage treatment and disposal</v>
      </c>
      <c r="D862" s="2" t="s">
        <v>8</v>
      </c>
      <c r="E862" s="2" t="s">
        <v>9</v>
      </c>
      <c r="F862" s="1634"/>
      <c r="G862" s="1635">
        <f>'4E'!J10</f>
        <v>2.39</v>
      </c>
      <c r="H862" s="1636"/>
    </row>
    <row r="863" spans="1:8">
      <c r="A863" s="1634" t="str">
        <f>INDEX(Lists!$C$4:$C$24,MATCH(Validation!$B$3,Lists!$B$4:$B$24,0))</f>
        <v>TMS</v>
      </c>
      <c r="B863" s="2" t="str">
        <f>'4E'!BI11</f>
        <v>BM839STDIR</v>
      </c>
      <c r="C863" s="1634" t="str">
        <f>'4E'!BB11&amp;" - "&amp;'4E'!$BI$4</f>
        <v>Other operating expenditure - renewals expensed in year (Infrastructure) - Sewage treatment and disposal</v>
      </c>
      <c r="D863" s="2" t="s">
        <v>8</v>
      </c>
      <c r="E863" s="2" t="s">
        <v>9</v>
      </c>
      <c r="F863" s="1634"/>
      <c r="G863" s="1635">
        <f>'4E'!J11</f>
        <v>0</v>
      </c>
      <c r="H863" s="1636"/>
    </row>
    <row r="864" spans="1:8">
      <c r="A864" s="1634" t="str">
        <f>INDEX(Lists!$C$4:$C$24,MATCH(Validation!$B$3,Lists!$B$4:$B$24,0))</f>
        <v>TMS</v>
      </c>
      <c r="B864" s="2" t="str">
        <f>'4E'!BI12</f>
        <v>BM839STDNIR</v>
      </c>
      <c r="C864" s="1634" t="str">
        <f>'4E'!BB12&amp;" - "&amp;'4E'!$BI$4</f>
        <v>Other operating expenditure - renewals expensed in year (Non-Infrastructure) - Sewage treatment and disposal</v>
      </c>
      <c r="D864" s="2" t="s">
        <v>8</v>
      </c>
      <c r="E864" s="2" t="s">
        <v>9</v>
      </c>
      <c r="F864" s="1634"/>
      <c r="G864" s="1635">
        <f>'4E'!J12</f>
        <v>0</v>
      </c>
      <c r="H864" s="1636"/>
    </row>
    <row r="865" spans="1:8">
      <c r="A865" s="1634" t="str">
        <f>INDEX(Lists!$C$4:$C$24,MATCH(Validation!$B$3,Lists!$B$4:$B$24,0))</f>
        <v>TMS</v>
      </c>
      <c r="B865" s="2" t="str">
        <f>'4E'!BI13</f>
        <v>BM839STDER</v>
      </c>
      <c r="C865" s="1634" t="str">
        <f>'4E'!BB13&amp;" - "&amp;'4E'!$BI$4</f>
        <v>Other operating expenditure - excluding renewals - Sewage treatment and disposal</v>
      </c>
      <c r="D865" s="2" t="s">
        <v>8</v>
      </c>
      <c r="E865" s="2" t="s">
        <v>9</v>
      </c>
      <c r="F865" s="1634"/>
      <c r="G865" s="1635">
        <f>'4E'!J13</f>
        <v>110.039</v>
      </c>
      <c r="H865" s="1636"/>
    </row>
    <row r="866" spans="1:8">
      <c r="A866" s="1634" t="str">
        <f>INDEX(Lists!$C$4:$C$24,MATCH(Validation!$B$3,Lists!$B$4:$B$24,0))</f>
        <v>TMS</v>
      </c>
      <c r="B866" s="2" t="str">
        <f>'4E'!BI14</f>
        <v>BM817STD</v>
      </c>
      <c r="C866" s="1634" t="str">
        <f>'4E'!BB14&amp;" - "&amp;'4E'!$BI$4</f>
        <v>Local authority rates and Cumulo rates - Sewage treatment and disposal</v>
      </c>
      <c r="D866" s="2" t="s">
        <v>8</v>
      </c>
      <c r="E866" s="2" t="s">
        <v>9</v>
      </c>
      <c r="F866" s="1634"/>
      <c r="G866" s="1635">
        <f>'4E'!J14</f>
        <v>28.538</v>
      </c>
      <c r="H866" s="1636"/>
    </row>
    <row r="867" spans="1:8">
      <c r="A867" s="1634" t="str">
        <f>INDEX(Lists!$C$4:$C$24,MATCH(Validation!$B$3,Lists!$B$4:$B$24,0))</f>
        <v>TMS</v>
      </c>
      <c r="B867" s="2" t="str">
        <f>'4E'!BI17</f>
        <v>BM823STD</v>
      </c>
      <c r="C867" s="1634" t="str">
        <f>'4E'!BB17&amp;" - "&amp;'4E'!$BI$4</f>
        <v>Third party services - Sewage treatment and disposal</v>
      </c>
      <c r="D867" s="2" t="s">
        <v>8</v>
      </c>
      <c r="E867" s="2" t="s">
        <v>9</v>
      </c>
      <c r="F867" s="1634"/>
      <c r="G867" s="1635">
        <f>'4E'!J17</f>
        <v>0.47799999999999998</v>
      </c>
      <c r="H867" s="1636"/>
    </row>
    <row r="868" spans="1:8">
      <c r="A868" s="1634" t="str">
        <f>INDEX(Lists!$C$4:$C$24,MATCH(Validation!$B$3,Lists!$B$4:$B$24,0))</f>
        <v>TMS</v>
      </c>
      <c r="B868" s="2" t="str">
        <f>'4E'!BI21</f>
        <v>BC30945STD</v>
      </c>
      <c r="C868" s="1634" t="str">
        <f>'4E'!BB21&amp;" - "&amp;'4E'!$BI$4</f>
        <v>Maintaining the long term capability of the assets - infra - Sewage treatment and disposal</v>
      </c>
      <c r="D868" s="2" t="s">
        <v>8</v>
      </c>
      <c r="E868" s="2" t="s">
        <v>9</v>
      </c>
      <c r="F868" s="1634"/>
      <c r="G868" s="1635">
        <f>'4E'!J21</f>
        <v>0</v>
      </c>
      <c r="H868" s="1636"/>
    </row>
    <row r="869" spans="1:8">
      <c r="A869" s="1634" t="str">
        <f>INDEX(Lists!$C$4:$C$24,MATCH(Validation!$B$3,Lists!$B$4:$B$24,0))</f>
        <v>TMS</v>
      </c>
      <c r="B869" s="2" t="str">
        <f>'4E'!BI22</f>
        <v>CS00036STD</v>
      </c>
      <c r="C869" s="1634" t="str">
        <f>'4E'!BB22&amp;" - "&amp;'4E'!$BI$4</f>
        <v>Maintaining the long term capability of the assets - non-infra - Sewage treatment and disposal</v>
      </c>
      <c r="D869" s="2" t="s">
        <v>8</v>
      </c>
      <c r="E869" s="2" t="s">
        <v>9</v>
      </c>
      <c r="F869" s="1634"/>
      <c r="G869" s="1635">
        <f>'4E'!J22</f>
        <v>115.45111809594727</v>
      </c>
      <c r="H869" s="1636"/>
    </row>
    <row r="870" spans="1:8">
      <c r="A870" s="1634" t="str">
        <f>INDEX(Lists!$C$4:$C$24,MATCH(Validation!$B$3,Lists!$B$4:$B$24,0))</f>
        <v>TMS</v>
      </c>
      <c r="B870" s="2" t="str">
        <f>'4E'!BI23</f>
        <v>BC30944STD</v>
      </c>
      <c r="C870" s="1634" t="str">
        <f>'4E'!BB23&amp;" - "&amp;'4E'!$BI$4</f>
        <v>Other capital expenditure - infra - Sewage treatment and disposal</v>
      </c>
      <c r="D870" s="2" t="s">
        <v>8</v>
      </c>
      <c r="E870" s="2" t="s">
        <v>9</v>
      </c>
      <c r="F870" s="1634"/>
      <c r="G870" s="1635">
        <f>'4E'!J23</f>
        <v>0</v>
      </c>
      <c r="H870" s="1636"/>
    </row>
    <row r="871" spans="1:8">
      <c r="A871" s="1634" t="str">
        <f>INDEX(Lists!$C$4:$C$24,MATCH(Validation!$B$3,Lists!$B$4:$B$24,0))</f>
        <v>TMS</v>
      </c>
      <c r="B871" s="2" t="str">
        <f>'4E'!BI24</f>
        <v>CS00037STD</v>
      </c>
      <c r="C871" s="1634" t="str">
        <f>'4E'!BB24&amp;" - "&amp;'4E'!$BI$4</f>
        <v>Other capital expenditure - non-infra - Sewage treatment and disposal</v>
      </c>
      <c r="D871" s="2" t="s">
        <v>8</v>
      </c>
      <c r="E871" s="2" t="s">
        <v>9</v>
      </c>
      <c r="F871" s="1634"/>
      <c r="G871" s="1635">
        <f>'4E'!J24</f>
        <v>137.359793255434</v>
      </c>
      <c r="H871" s="1636"/>
    </row>
    <row r="872" spans="1:8">
      <c r="A872" s="1634" t="str">
        <f>INDEX(Lists!$C$4:$C$24,MATCH(Validation!$B$3,Lists!$B$4:$B$24,0))</f>
        <v>TMS</v>
      </c>
      <c r="B872" s="2" t="str">
        <f>'4E'!BI25</f>
        <v>BC30849STD</v>
      </c>
      <c r="C872" s="1634" t="str">
        <f>'4E'!BB25&amp;" - "&amp;'4E'!$BI$4</f>
        <v>Infrastructure network reinforcement - Sewage treatment and disposal</v>
      </c>
      <c r="D872" s="2" t="s">
        <v>8</v>
      </c>
      <c r="E872" s="2" t="s">
        <v>9</v>
      </c>
      <c r="F872" s="1634"/>
      <c r="G872" s="1635">
        <f>'4E'!J25</f>
        <v>1.0999999999999999E-2</v>
      </c>
      <c r="H872" s="1636"/>
    </row>
    <row r="873" spans="1:8">
      <c r="A873" s="1634" t="str">
        <f>INDEX(Lists!$C$4:$C$24,MATCH(Validation!$B$3,Lists!$B$4:$B$24,0))</f>
        <v>TMS</v>
      </c>
      <c r="B873" s="2" t="str">
        <f>'4E'!BI27</f>
        <v>BM833STD</v>
      </c>
      <c r="C873" s="1634" t="str">
        <f>'4E'!BB27&amp;" - "&amp;'4E'!$BI$4</f>
        <v>Third party services - Sewage treatment and disposal</v>
      </c>
      <c r="D873" s="2" t="s">
        <v>8</v>
      </c>
      <c r="E873" s="2" t="s">
        <v>9</v>
      </c>
      <c r="F873" s="1634"/>
      <c r="G873" s="1635">
        <f>'4E'!J27</f>
        <v>0</v>
      </c>
      <c r="H873" s="1636"/>
    </row>
    <row r="874" spans="1:8">
      <c r="A874" s="1634" t="str">
        <f>INDEX(Lists!$C$4:$C$24,MATCH(Validation!$B$3,Lists!$B$4:$B$24,0))</f>
        <v>TMS</v>
      </c>
      <c r="B874" s="2" t="str">
        <f>'4E'!BI31</f>
        <v>BA2121STD</v>
      </c>
      <c r="C874" s="1634" t="str">
        <f>'4E'!BB31&amp;" - "&amp;'4E'!$BI$4</f>
        <v>Grants and contributions - Sewage treatment and disposal</v>
      </c>
      <c r="D874" s="2" t="s">
        <v>8</v>
      </c>
      <c r="E874" s="2" t="s">
        <v>9</v>
      </c>
      <c r="F874" s="1634"/>
      <c r="G874" s="1635">
        <f>'4E'!J31</f>
        <v>0</v>
      </c>
      <c r="H874" s="1636"/>
    </row>
    <row r="875" spans="1:8">
      <c r="A875" s="1634" t="str">
        <f>INDEX(Lists!$C$4:$C$24,MATCH(Validation!$B$3,Lists!$B$4:$B$24,0))</f>
        <v>TMS</v>
      </c>
      <c r="B875" s="2" t="str">
        <f>'4E'!BI36</f>
        <v>CR00559STD</v>
      </c>
      <c r="C875" s="1634" t="str">
        <f>'4E'!BB36&amp;" - "&amp;'4E'!$BI$4</f>
        <v>Pension deficit recovery payments - Sewage treatment and disposal</v>
      </c>
      <c r="D875" s="2" t="s">
        <v>8</v>
      </c>
      <c r="E875" s="2" t="s">
        <v>9</v>
      </c>
      <c r="F875" s="1634"/>
      <c r="G875" s="1635">
        <f>'4E'!J36</f>
        <v>0</v>
      </c>
      <c r="H875" s="1636"/>
    </row>
    <row r="876" spans="1:8">
      <c r="A876" s="1634" t="str">
        <f>INDEX(Lists!$C$4:$C$24,MATCH(Validation!$B$3,Lists!$B$4:$B$24,0))</f>
        <v>TMS</v>
      </c>
      <c r="B876" s="2" t="str">
        <f>'4E'!BI37</f>
        <v>CR00562STD</v>
      </c>
      <c r="C876" s="1634" t="str">
        <f>'4E'!BB37&amp;" - "&amp;'4E'!$BI$4</f>
        <v>Other cash items - Sewage treatment and disposal</v>
      </c>
      <c r="D876" s="2" t="s">
        <v>8</v>
      </c>
      <c r="E876" s="2" t="s">
        <v>9</v>
      </c>
      <c r="F876" s="1634"/>
      <c r="G876" s="1635">
        <f>'4E'!J37</f>
        <v>0</v>
      </c>
      <c r="H876" s="1636"/>
    </row>
    <row r="877" spans="1:8">
      <c r="A877" s="1634" t="str">
        <f>INDEX(Lists!$C$4:$C$24,MATCH(Validation!$B$3,Lists!$B$4:$B$24,0))</f>
        <v>TMS</v>
      </c>
      <c r="B877" s="2" t="str">
        <f>'4E'!BI45</f>
        <v>CRSTSERV01D</v>
      </c>
      <c r="C877" s="1634" t="str">
        <f>'4E'!BB45&amp;" - "&amp;'4E'!$BI$4</f>
        <v>Biochemical Oxygen Demand (BOD) - Sewage treatment and disposal</v>
      </c>
      <c r="D877" s="2" t="s">
        <v>17</v>
      </c>
      <c r="E877" s="2" t="s">
        <v>9</v>
      </c>
      <c r="F877" s="1634"/>
      <c r="G877" s="1635">
        <f>'4E'!J45</f>
        <v>354102.55499999999</v>
      </c>
      <c r="H877" s="1636"/>
    </row>
    <row r="878" spans="1:8">
      <c r="A878" s="1637" t="str">
        <f>INDEX(Lists!$C$4:$C$24,MATCH(Validation!$B$3,Lists!$B$4:$B$24,0))</f>
        <v>TMS</v>
      </c>
      <c r="B878" s="1650" t="str">
        <f>'4E'!BI51</f>
        <v>BN2630STD</v>
      </c>
      <c r="C878" s="1637" t="str">
        <f>'4E'!BB51&amp;" - "&amp;'4E'!$BI$4</f>
        <v>Population - Sewage treatment and disposal</v>
      </c>
      <c r="D878" s="1651" t="s">
        <v>13</v>
      </c>
      <c r="E878" s="1651" t="s">
        <v>9</v>
      </c>
      <c r="F878" s="1637"/>
      <c r="G878" s="1653">
        <f>'4E'!J51</f>
        <v>15018.284</v>
      </c>
      <c r="H878" s="1652"/>
    </row>
    <row r="879" spans="1:8">
      <c r="A879" s="1634" t="str">
        <f>INDEX(Lists!$C$4:$C$24,MATCH(Validation!$B$3,Lists!$B$4:$B$24,0))</f>
        <v>TMS</v>
      </c>
      <c r="B879" s="2" t="str">
        <f>'4E'!BJ7</f>
        <v>BM502SLT</v>
      </c>
      <c r="C879" s="1634" t="str">
        <f>'4E'!BB7&amp;" - "&amp;'4E'!$BJ$4</f>
        <v>Power - Imported sludge liquor treatment</v>
      </c>
      <c r="D879" s="2" t="s">
        <v>8</v>
      </c>
      <c r="E879" s="2" t="s">
        <v>9</v>
      </c>
      <c r="F879" s="1634"/>
      <c r="G879" s="1635">
        <f>'4E'!K7</f>
        <v>0</v>
      </c>
      <c r="H879" s="1636"/>
    </row>
    <row r="880" spans="1:8">
      <c r="A880" s="1634" t="str">
        <f>INDEX(Lists!$C$4:$C$24,MATCH(Validation!$B$3,Lists!$B$4:$B$24,0))</f>
        <v>TMS</v>
      </c>
      <c r="B880" s="2" t="str">
        <f>'4E'!BJ8</f>
        <v>BM836SLT</v>
      </c>
      <c r="C880" s="1634" t="str">
        <f>'4E'!BB8&amp;" - "&amp;'4E'!$BJ$4</f>
        <v>Income treated as negative expenditure - Imported sludge liquor treatment</v>
      </c>
      <c r="D880" s="2" t="s">
        <v>8</v>
      </c>
      <c r="E880" s="2" t="s">
        <v>9</v>
      </c>
      <c r="F880" s="1634"/>
      <c r="G880" s="1635">
        <f>'4E'!K8</f>
        <v>0</v>
      </c>
      <c r="H880" s="1636"/>
    </row>
    <row r="881" spans="1:8">
      <c r="A881" s="1634" t="str">
        <f>INDEX(Lists!$C$4:$C$24,MATCH(Validation!$B$3,Lists!$B$4:$B$24,0))</f>
        <v>TMS</v>
      </c>
      <c r="B881" s="2" t="str">
        <f>'4E'!BJ9</f>
        <v>BM231SLT</v>
      </c>
      <c r="C881" s="1634" t="str">
        <f>'4E'!BB9&amp;" - "&amp;'4E'!$BJ$4</f>
        <v>Discharge consents - Imported sludge liquor treatment</v>
      </c>
      <c r="D881" s="2" t="s">
        <v>8</v>
      </c>
      <c r="E881" s="2" t="s">
        <v>9</v>
      </c>
      <c r="F881" s="1634"/>
      <c r="G881" s="1635">
        <f>'4E'!K9</f>
        <v>4.0000000000000001E-3</v>
      </c>
      <c r="H881" s="1636"/>
    </row>
    <row r="882" spans="1:8">
      <c r="A882" s="1634" t="str">
        <f>INDEX(Lists!$C$4:$C$24,MATCH(Validation!$B$3,Lists!$B$4:$B$24,0))</f>
        <v>TMS</v>
      </c>
      <c r="B882" s="2" t="str">
        <f>'4E'!BJ10</f>
        <v>BM140SLT</v>
      </c>
      <c r="C882" s="1634" t="str">
        <f>'4E'!BB10&amp;" - "&amp;'4E'!$BJ$4</f>
        <v>Bulk discharge - Imported sludge liquor treatment</v>
      </c>
      <c r="D882" s="2" t="s">
        <v>8</v>
      </c>
      <c r="E882" s="2" t="s">
        <v>9</v>
      </c>
      <c r="F882" s="1634"/>
      <c r="G882" s="1635">
        <f>'4E'!K10</f>
        <v>0</v>
      </c>
      <c r="H882" s="1636"/>
    </row>
    <row r="883" spans="1:8">
      <c r="A883" s="1634" t="str">
        <f>INDEX(Lists!$C$4:$C$24,MATCH(Validation!$B$3,Lists!$B$4:$B$24,0))</f>
        <v>TMS</v>
      </c>
      <c r="B883" s="2" t="str">
        <f>'4E'!BJ11</f>
        <v>BM839SLTIR</v>
      </c>
      <c r="C883" s="1634" t="str">
        <f>'4E'!BB11&amp;" - "&amp;'4E'!$BJ$4</f>
        <v>Other operating expenditure - renewals expensed in year (Infrastructure) - Imported sludge liquor treatment</v>
      </c>
      <c r="D883" s="2" t="s">
        <v>8</v>
      </c>
      <c r="E883" s="2" t="s">
        <v>9</v>
      </c>
      <c r="F883" s="1634"/>
      <c r="G883" s="1635">
        <f>'4E'!K11</f>
        <v>0</v>
      </c>
      <c r="H883" s="1636"/>
    </row>
    <row r="884" spans="1:8">
      <c r="A884" s="1634" t="str">
        <f>INDEX(Lists!$C$4:$C$24,MATCH(Validation!$B$3,Lists!$B$4:$B$24,0))</f>
        <v>TMS</v>
      </c>
      <c r="B884" s="2" t="str">
        <f>'4E'!BJ12</f>
        <v>BM839SLTNIR</v>
      </c>
      <c r="C884" s="1634" t="str">
        <f>'4E'!BB12&amp;" - "&amp;'4E'!$BJ$4</f>
        <v>Other operating expenditure - renewals expensed in year (Non-Infrastructure) - Imported sludge liquor treatment</v>
      </c>
      <c r="D884" s="2" t="s">
        <v>8</v>
      </c>
      <c r="E884" s="2" t="s">
        <v>9</v>
      </c>
      <c r="F884" s="1634"/>
      <c r="G884" s="1635">
        <f>'4E'!K12</f>
        <v>0</v>
      </c>
      <c r="H884" s="1636"/>
    </row>
    <row r="885" spans="1:8">
      <c r="A885" s="1634" t="str">
        <f>INDEX(Lists!$C$4:$C$24,MATCH(Validation!$B$3,Lists!$B$4:$B$24,0))</f>
        <v>TMS</v>
      </c>
      <c r="B885" s="2" t="str">
        <f>'4E'!BJ13</f>
        <v>BM839SLTER</v>
      </c>
      <c r="C885" s="1634" t="str">
        <f>'4E'!BB13&amp;" - "&amp;'4E'!$BJ$4</f>
        <v>Other operating expenditure - excluding renewals - Imported sludge liquor treatment</v>
      </c>
      <c r="D885" s="2" t="s">
        <v>8</v>
      </c>
      <c r="E885" s="2" t="s">
        <v>9</v>
      </c>
      <c r="F885" s="1634"/>
      <c r="G885" s="1635">
        <f>'4E'!K13</f>
        <v>0.76200000000000001</v>
      </c>
      <c r="H885" s="1636"/>
    </row>
    <row r="886" spans="1:8">
      <c r="A886" s="1634" t="str">
        <f>INDEX(Lists!$C$4:$C$24,MATCH(Validation!$B$3,Lists!$B$4:$B$24,0))</f>
        <v>TMS</v>
      </c>
      <c r="B886" s="2" t="str">
        <f>'4E'!BJ14</f>
        <v>BM817SLT</v>
      </c>
      <c r="C886" s="1634" t="str">
        <f>'4E'!BB14&amp;" - "&amp;'4E'!$BJ$4</f>
        <v>Local authority rates and Cumulo rates - Imported sludge liquor treatment</v>
      </c>
      <c r="D886" s="2" t="s">
        <v>8</v>
      </c>
      <c r="E886" s="2" t="s">
        <v>9</v>
      </c>
      <c r="F886" s="1634"/>
      <c r="G886" s="1635">
        <f>'4E'!K14</f>
        <v>0</v>
      </c>
      <c r="H886" s="1636"/>
    </row>
    <row r="887" spans="1:8">
      <c r="A887" s="1634" t="str">
        <f>INDEX(Lists!$C$4:$C$24,MATCH(Validation!$B$3,Lists!$B$4:$B$24,0))</f>
        <v>TMS</v>
      </c>
      <c r="B887" s="2" t="str">
        <f>'4E'!BJ17</f>
        <v>BM823SLT</v>
      </c>
      <c r="C887" s="1634" t="str">
        <f>'4E'!BB17&amp;" - "&amp;'4E'!$BJ$4</f>
        <v>Third party services - Imported sludge liquor treatment</v>
      </c>
      <c r="D887" s="2" t="s">
        <v>8</v>
      </c>
      <c r="E887" s="2" t="s">
        <v>9</v>
      </c>
      <c r="F887" s="1634"/>
      <c r="G887" s="1635">
        <f>'4E'!K17</f>
        <v>0</v>
      </c>
      <c r="H887" s="1636"/>
    </row>
    <row r="888" spans="1:8">
      <c r="A888" s="1634" t="str">
        <f>INDEX(Lists!$C$4:$C$24,MATCH(Validation!$B$3,Lists!$B$4:$B$24,0))</f>
        <v>TMS</v>
      </c>
      <c r="B888" s="2" t="str">
        <f>'4E'!BJ21</f>
        <v>BC30945SLT</v>
      </c>
      <c r="C888" s="1634" t="str">
        <f>'4E'!BB21&amp;" - "&amp;'4E'!$BJ$4</f>
        <v>Maintaining the long term capability of the assets - infra - Imported sludge liquor treatment</v>
      </c>
      <c r="D888" s="2" t="s">
        <v>8</v>
      </c>
      <c r="E888" s="2" t="s">
        <v>9</v>
      </c>
      <c r="F888" s="1634"/>
      <c r="G888" s="1635">
        <f>'4E'!K21</f>
        <v>0</v>
      </c>
      <c r="H888" s="1636"/>
    </row>
    <row r="889" spans="1:8">
      <c r="A889" s="1634" t="str">
        <f>INDEX(Lists!$C$4:$C$24,MATCH(Validation!$B$3,Lists!$B$4:$B$24,0))</f>
        <v>TMS</v>
      </c>
      <c r="B889" s="2" t="str">
        <f>'4E'!BJ22</f>
        <v>CS00036SLT</v>
      </c>
      <c r="C889" s="1634" t="str">
        <f>'4E'!BB22&amp;" - "&amp;'4E'!$BJ$4</f>
        <v>Maintaining the long term capability of the assets - non-infra - Imported sludge liquor treatment</v>
      </c>
      <c r="D889" s="2" t="s">
        <v>8</v>
      </c>
      <c r="E889" s="2" t="s">
        <v>9</v>
      </c>
      <c r="F889" s="1634"/>
      <c r="G889" s="1635">
        <f>'4E'!K22</f>
        <v>0.21593632727298243</v>
      </c>
      <c r="H889" s="1636"/>
    </row>
    <row r="890" spans="1:8">
      <c r="A890" s="1634" t="str">
        <f>INDEX(Lists!$C$4:$C$24,MATCH(Validation!$B$3,Lists!$B$4:$B$24,0))</f>
        <v>TMS</v>
      </c>
      <c r="B890" s="2" t="str">
        <f>'4E'!BJ23</f>
        <v>BC30944SLT</v>
      </c>
      <c r="C890" s="1634" t="str">
        <f>'4E'!BB23&amp;" - "&amp;'4E'!$BJ$4</f>
        <v>Other capital expenditure - infra - Imported sludge liquor treatment</v>
      </c>
      <c r="D890" s="2" t="s">
        <v>8</v>
      </c>
      <c r="E890" s="2" t="s">
        <v>9</v>
      </c>
      <c r="F890" s="1634"/>
      <c r="G890" s="1635">
        <f>'4E'!K23</f>
        <v>0</v>
      </c>
      <c r="H890" s="1636"/>
    </row>
    <row r="891" spans="1:8">
      <c r="A891" s="1634" t="str">
        <f>INDEX(Lists!$C$4:$C$24,MATCH(Validation!$B$3,Lists!$B$4:$B$24,0))</f>
        <v>TMS</v>
      </c>
      <c r="B891" s="2" t="str">
        <f>'4E'!BJ24</f>
        <v>CS00037SLT</v>
      </c>
      <c r="C891" s="1634" t="str">
        <f>'4E'!BB24&amp;" - "&amp;'4E'!$BJ$4</f>
        <v>Other capital expenditure - non-infra - Imported sludge liquor treatment</v>
      </c>
      <c r="D891" s="2" t="s">
        <v>8</v>
      </c>
      <c r="E891" s="2" t="s">
        <v>9</v>
      </c>
      <c r="F891" s="1634"/>
      <c r="G891" s="1635">
        <f>'4E'!K24</f>
        <v>1.5735935090774205E-4</v>
      </c>
      <c r="H891" s="1636"/>
    </row>
    <row r="892" spans="1:8">
      <c r="A892" s="1634" t="str">
        <f>INDEX(Lists!$C$4:$C$24,MATCH(Validation!$B$3,Lists!$B$4:$B$24,0))</f>
        <v>TMS</v>
      </c>
      <c r="B892" s="2" t="str">
        <f>'4E'!BJ25</f>
        <v>BC30849SLT</v>
      </c>
      <c r="C892" s="1634" t="str">
        <f>'4E'!BB25&amp;" - "&amp;'4E'!$BJ$4</f>
        <v>Infrastructure network reinforcement - Imported sludge liquor treatment</v>
      </c>
      <c r="D892" s="2" t="s">
        <v>8</v>
      </c>
      <c r="E892" s="2" t="s">
        <v>9</v>
      </c>
      <c r="F892" s="1634"/>
      <c r="G892" s="1635">
        <f>'4E'!K25</f>
        <v>0</v>
      </c>
      <c r="H892" s="1636"/>
    </row>
    <row r="893" spans="1:8">
      <c r="A893" s="1634" t="str">
        <f>INDEX(Lists!$C$4:$C$24,MATCH(Validation!$B$3,Lists!$B$4:$B$24,0))</f>
        <v>TMS</v>
      </c>
      <c r="B893" s="2" t="str">
        <f>'4E'!BJ27</f>
        <v>BM833SLT</v>
      </c>
      <c r="C893" s="1634" t="str">
        <f>'4E'!BB27&amp;" - "&amp;'4E'!$BJ$4</f>
        <v>Third party services - Imported sludge liquor treatment</v>
      </c>
      <c r="D893" s="2" t="s">
        <v>8</v>
      </c>
      <c r="E893" s="2" t="s">
        <v>9</v>
      </c>
      <c r="F893" s="1634"/>
      <c r="G893" s="1635">
        <f>'4E'!K27</f>
        <v>0</v>
      </c>
      <c r="H893" s="1636"/>
    </row>
    <row r="894" spans="1:8">
      <c r="A894" s="1634" t="str">
        <f>INDEX(Lists!$C$4:$C$24,MATCH(Validation!$B$3,Lists!$B$4:$B$24,0))</f>
        <v>TMS</v>
      </c>
      <c r="B894" s="2" t="str">
        <f>'4E'!BJ31</f>
        <v>BA2121SLT</v>
      </c>
      <c r="C894" s="1634" t="str">
        <f>'4E'!BB31&amp;" - "&amp;'4E'!$BJ$4</f>
        <v>Grants and contributions - Imported sludge liquor treatment</v>
      </c>
      <c r="D894" s="2" t="s">
        <v>8</v>
      </c>
      <c r="E894" s="2" t="s">
        <v>9</v>
      </c>
      <c r="F894" s="1634"/>
      <c r="G894" s="1635">
        <f>'4E'!K31</f>
        <v>0</v>
      </c>
      <c r="H894" s="1636"/>
    </row>
    <row r="895" spans="1:8">
      <c r="A895" s="1634" t="str">
        <f>INDEX(Lists!$C$4:$C$24,MATCH(Validation!$B$3,Lists!$B$4:$B$24,0))</f>
        <v>TMS</v>
      </c>
      <c r="B895" s="2" t="str">
        <f>'4E'!BJ36</f>
        <v>CR00559SLT</v>
      </c>
      <c r="C895" s="1634" t="str">
        <f>'4E'!BB36&amp;" - "&amp;'4E'!$BJ$4</f>
        <v>Pension deficit recovery payments - Imported sludge liquor treatment</v>
      </c>
      <c r="D895" s="2" t="s">
        <v>8</v>
      </c>
      <c r="E895" s="2" t="s">
        <v>9</v>
      </c>
      <c r="F895" s="1634"/>
      <c r="G895" s="1635">
        <f>'4E'!K36</f>
        <v>0</v>
      </c>
      <c r="H895" s="1636"/>
    </row>
    <row r="896" spans="1:8">
      <c r="A896" s="1634" t="str">
        <f>INDEX(Lists!$C$4:$C$24,MATCH(Validation!$B$3,Lists!$B$4:$B$24,0))</f>
        <v>TMS</v>
      </c>
      <c r="B896" s="2" t="str">
        <f>'4E'!BJ37</f>
        <v>CR00562SLT</v>
      </c>
      <c r="C896" s="1634" t="str">
        <f>'4E'!BB37&amp;" - "&amp;'4E'!$BJ$4</f>
        <v>Other cash items - Imported sludge liquor treatment</v>
      </c>
      <c r="D896" s="2" t="s">
        <v>8</v>
      </c>
      <c r="E896" s="2" t="s">
        <v>9</v>
      </c>
      <c r="F896" s="1634"/>
      <c r="G896" s="1635">
        <f>'4E'!K37</f>
        <v>0</v>
      </c>
      <c r="H896" s="1636"/>
    </row>
    <row r="897" spans="1:8">
      <c r="A897" s="1634" t="str">
        <f>INDEX(Lists!$C$4:$C$24,MATCH(Validation!$B$3,Lists!$B$4:$B$24,0))</f>
        <v>TMS</v>
      </c>
      <c r="B897" s="2" t="str">
        <f>'4E'!BJ46</f>
        <v>CRASLT005</v>
      </c>
      <c r="C897" s="1634" t="str">
        <f>'4E'!BB46&amp;" - "&amp;'4E'!$BJ$4</f>
        <v>Biochemical Oxygen Demand (BOD) - Imported sludge liquor treatment</v>
      </c>
      <c r="D897" s="2" t="s">
        <v>17</v>
      </c>
      <c r="E897" s="2" t="s">
        <v>9</v>
      </c>
      <c r="F897" s="1634"/>
      <c r="G897" s="1635">
        <f>'4E'!K46</f>
        <v>8391.7780000000002</v>
      </c>
      <c r="H897" s="1636"/>
    </row>
    <row r="898" spans="1:8">
      <c r="A898" s="1637" t="str">
        <f>INDEX(Lists!$C$4:$C$24,MATCH(Validation!$B$3,Lists!$B$4:$B$24,0))</f>
        <v>TMS</v>
      </c>
      <c r="B898" s="1650" t="str">
        <f>'4E'!BJ51</f>
        <v>BN2630SLT</v>
      </c>
      <c r="C898" s="1637" t="str">
        <f>'4E'!BB51&amp;" - "&amp;'4E'!$BJ$4</f>
        <v>Population - Imported sludge liquor treatment</v>
      </c>
      <c r="D898" s="1651" t="s">
        <v>13</v>
      </c>
      <c r="E898" s="1651" t="s">
        <v>9</v>
      </c>
      <c r="F898" s="1637"/>
      <c r="G898" s="1653">
        <f>'4E'!K51</f>
        <v>15018.284</v>
      </c>
      <c r="H898" s="1652"/>
    </row>
    <row r="899" spans="1:8">
      <c r="A899" s="1634" t="str">
        <f>INDEX(Lists!$C$4:$C$24,MATCH(Validation!$B$3,Lists!$B$4:$B$24,0))</f>
        <v>TMS</v>
      </c>
      <c r="B899" s="2" t="str">
        <f>'4E'!BK7</f>
        <v>BM602STP</v>
      </c>
      <c r="C899" s="1634" t="str">
        <f>'4E'!BB7&amp;" - "&amp;'4E'!$BK$3</f>
        <v>Power - Sludge</v>
      </c>
      <c r="D899" s="2" t="s">
        <v>8</v>
      </c>
      <c r="E899" s="2" t="s">
        <v>9</v>
      </c>
      <c r="F899" s="1634"/>
      <c r="G899" s="1635">
        <f>'4E'!L7</f>
        <v>-5.0000000000000001E-3</v>
      </c>
      <c r="H899" s="1636"/>
    </row>
    <row r="900" spans="1:8">
      <c r="A900" s="1634" t="str">
        <f>INDEX(Lists!$C$4:$C$24,MATCH(Validation!$B$3,Lists!$B$4:$B$24,0))</f>
        <v>TMS</v>
      </c>
      <c r="B900" s="2" t="str">
        <f>'4E'!BK8</f>
        <v>BM836STP</v>
      </c>
      <c r="C900" s="1634" t="str">
        <f>'4E'!BB8&amp;" - "&amp;'4E'!$BK$3</f>
        <v>Income treated as negative expenditure - Sludge</v>
      </c>
      <c r="D900" s="2" t="s">
        <v>8</v>
      </c>
      <c r="E900" s="2" t="s">
        <v>9</v>
      </c>
      <c r="F900" s="1634"/>
      <c r="G900" s="1635">
        <f>'4E'!L8</f>
        <v>0</v>
      </c>
      <c r="H900" s="1636"/>
    </row>
    <row r="901" spans="1:8">
      <c r="A901" s="1634" t="str">
        <f>INDEX(Lists!$C$4:$C$24,MATCH(Validation!$B$3,Lists!$B$4:$B$24,0))</f>
        <v>TMS</v>
      </c>
      <c r="B901" s="2" t="str">
        <f>'4E'!BK9</f>
        <v>BM631STP</v>
      </c>
      <c r="C901" s="1634" t="str">
        <f>'4E'!BB9&amp;" - "&amp;'4E'!$BK$3</f>
        <v>Discharge consents - Sludge</v>
      </c>
      <c r="D901" s="2" t="s">
        <v>8</v>
      </c>
      <c r="E901" s="2" t="s">
        <v>9</v>
      </c>
      <c r="F901" s="1634"/>
      <c r="G901" s="1635">
        <f>'4E'!L9</f>
        <v>3.0000000000000001E-3</v>
      </c>
      <c r="H901" s="1636"/>
    </row>
    <row r="902" spans="1:8">
      <c r="A902" s="1634" t="str">
        <f>INDEX(Lists!$C$4:$C$24,MATCH(Validation!$B$3,Lists!$B$4:$B$24,0))</f>
        <v>TMS</v>
      </c>
      <c r="B902" s="2" t="str">
        <f>'4E'!BK10</f>
        <v>BM140STP</v>
      </c>
      <c r="C902" s="1634" t="str">
        <f>'4E'!BB10&amp;" - "&amp;'4E'!$BK$3</f>
        <v>Bulk discharge - Sludge</v>
      </c>
      <c r="D902" s="2" t="s">
        <v>8</v>
      </c>
      <c r="E902" s="2" t="s">
        <v>9</v>
      </c>
      <c r="F902" s="1634"/>
      <c r="G902" s="1635">
        <f>'4E'!L10</f>
        <v>8.9999999999999993E-3</v>
      </c>
      <c r="H902" s="1636"/>
    </row>
    <row r="903" spans="1:8">
      <c r="A903" s="1634" t="str">
        <f>INDEX(Lists!$C$4:$C$24,MATCH(Validation!$B$3,Lists!$B$4:$B$24,0))</f>
        <v>TMS</v>
      </c>
      <c r="B903" s="2" t="str">
        <f>'4E'!BK11</f>
        <v>BM839STPIR</v>
      </c>
      <c r="C903" s="1634" t="str">
        <f>'4E'!BB11&amp;" - "&amp;'4E'!$BK$3</f>
        <v>Other operating expenditure - renewals expensed in year (Infrastructure) - Sludge</v>
      </c>
      <c r="D903" s="2" t="s">
        <v>8</v>
      </c>
      <c r="E903" s="2" t="s">
        <v>9</v>
      </c>
      <c r="F903" s="1634"/>
      <c r="G903" s="1635">
        <f>'4E'!L11</f>
        <v>0</v>
      </c>
      <c r="H903" s="1636"/>
    </row>
    <row r="904" spans="1:8">
      <c r="A904" s="1634" t="str">
        <f>INDEX(Lists!$C$4:$C$24,MATCH(Validation!$B$3,Lists!$B$4:$B$24,0))</f>
        <v>TMS</v>
      </c>
      <c r="B904" s="2" t="str">
        <f>'4E'!BK12</f>
        <v>BM839STPNIR</v>
      </c>
      <c r="C904" s="1634" t="str">
        <f>'4E'!BB12&amp;" - "&amp;'4E'!$BK$3</f>
        <v>Other operating expenditure - renewals expensed in year (Non-Infrastructure) - Sludge</v>
      </c>
      <c r="D904" s="2" t="s">
        <v>8</v>
      </c>
      <c r="E904" s="2" t="s">
        <v>9</v>
      </c>
      <c r="F904" s="1634"/>
      <c r="G904" s="1635">
        <f>'4E'!L12</f>
        <v>0</v>
      </c>
      <c r="H904" s="1636"/>
    </row>
    <row r="905" spans="1:8">
      <c r="A905" s="1634" t="str">
        <f>INDEX(Lists!$C$4:$C$24,MATCH(Validation!$B$3,Lists!$B$4:$B$24,0))</f>
        <v>TMS</v>
      </c>
      <c r="B905" s="2" t="str">
        <f>'4E'!BK13</f>
        <v>BM839STPER</v>
      </c>
      <c r="C905" s="1634" t="str">
        <f>'4E'!BB13&amp;" - "&amp;'4E'!$BK$3</f>
        <v>Other operating expenditure - excluding renewals - Sludge</v>
      </c>
      <c r="D905" s="2" t="s">
        <v>8</v>
      </c>
      <c r="E905" s="2" t="s">
        <v>9</v>
      </c>
      <c r="F905" s="1634"/>
      <c r="G905" s="1635">
        <f>'4E'!L13</f>
        <v>11.042</v>
      </c>
      <c r="H905" s="1636"/>
    </row>
    <row r="906" spans="1:8">
      <c r="A906" s="1634" t="str">
        <f>INDEX(Lists!$C$4:$C$24,MATCH(Validation!$B$3,Lists!$B$4:$B$24,0))</f>
        <v>TMS</v>
      </c>
      <c r="B906" s="2" t="str">
        <f>'4E'!BK14</f>
        <v>BM817STP</v>
      </c>
      <c r="C906" s="1634" t="str">
        <f>'4E'!BB14&amp;" - "&amp;'4E'!$BK$3</f>
        <v>Local authority rates and Cumulo rates - Sludge</v>
      </c>
      <c r="D906" s="2" t="s">
        <v>8</v>
      </c>
      <c r="E906" s="2" t="s">
        <v>9</v>
      </c>
      <c r="F906" s="1634"/>
      <c r="G906" s="1635">
        <f>'4E'!L14</f>
        <v>0</v>
      </c>
      <c r="H906" s="1636"/>
    </row>
    <row r="907" spans="1:8">
      <c r="A907" s="1634" t="str">
        <f>INDEX(Lists!$C$4:$C$24,MATCH(Validation!$B$3,Lists!$B$4:$B$24,0))</f>
        <v>TMS</v>
      </c>
      <c r="B907" s="2" t="str">
        <f>'4E'!BK17</f>
        <v>BM823STP</v>
      </c>
      <c r="C907" s="1634" t="str">
        <f>'4E'!BB17&amp;" - "&amp;'4E'!$BK$3</f>
        <v>Third party services - Sludge</v>
      </c>
      <c r="D907" s="2" t="s">
        <v>8</v>
      </c>
      <c r="E907" s="2" t="s">
        <v>9</v>
      </c>
      <c r="F907" s="1634"/>
      <c r="G907" s="1635">
        <f>'4E'!L17</f>
        <v>1.6E-2</v>
      </c>
      <c r="H907" s="1636"/>
    </row>
    <row r="908" spans="1:8">
      <c r="A908" s="1634" t="str">
        <f>INDEX(Lists!$C$4:$C$24,MATCH(Validation!$B$3,Lists!$B$4:$B$24,0))</f>
        <v>TMS</v>
      </c>
      <c r="B908" s="2" t="str">
        <f>'4E'!BK21</f>
        <v>BC30945STP</v>
      </c>
      <c r="C908" s="1634" t="str">
        <f>'4E'!BB21&amp;" - "&amp;'4E'!$BK$3</f>
        <v>Maintaining the long term capability of the assets - infra - Sludge</v>
      </c>
      <c r="D908" s="2" t="s">
        <v>8</v>
      </c>
      <c r="E908" s="2" t="s">
        <v>9</v>
      </c>
      <c r="F908" s="1634"/>
      <c r="G908" s="1635">
        <f>'4E'!L21</f>
        <v>0</v>
      </c>
      <c r="H908" s="1636"/>
    </row>
    <row r="909" spans="1:8">
      <c r="A909" s="1634" t="str">
        <f>INDEX(Lists!$C$4:$C$24,MATCH(Validation!$B$3,Lists!$B$4:$B$24,0))</f>
        <v>TMS</v>
      </c>
      <c r="B909" s="2" t="str">
        <f>'4E'!BK22</f>
        <v>CS00036STP</v>
      </c>
      <c r="C909" s="1634" t="str">
        <f>'4E'!BB22&amp;" - "&amp;'4E'!$BK$3</f>
        <v>Maintaining the long term capability of the assets - non-infra - Sludge</v>
      </c>
      <c r="D909" s="2" t="s">
        <v>8</v>
      </c>
      <c r="E909" s="2" t="s">
        <v>9</v>
      </c>
      <c r="F909" s="1634"/>
      <c r="G909" s="1635">
        <f>'4E'!L22</f>
        <v>1.2463041727321305</v>
      </c>
      <c r="H909" s="1636"/>
    </row>
    <row r="910" spans="1:8">
      <c r="A910" s="1634" t="str">
        <f>INDEX(Lists!$C$4:$C$24,MATCH(Validation!$B$3,Lists!$B$4:$B$24,0))</f>
        <v>TMS</v>
      </c>
      <c r="B910" s="2" t="str">
        <f>'4E'!BK23</f>
        <v>BC30944STP</v>
      </c>
      <c r="C910" s="1634" t="str">
        <f>'4E'!BB23&amp;" - "&amp;'4E'!$BK$3</f>
        <v>Other capital expenditure - infra - Sludge</v>
      </c>
      <c r="D910" s="2" t="s">
        <v>8</v>
      </c>
      <c r="E910" s="2" t="s">
        <v>9</v>
      </c>
      <c r="F910" s="1634"/>
      <c r="G910" s="1635">
        <f>'4E'!L23</f>
        <v>0</v>
      </c>
      <c r="H910" s="1636"/>
    </row>
    <row r="911" spans="1:8">
      <c r="A911" s="1634" t="str">
        <f>INDEX(Lists!$C$4:$C$24,MATCH(Validation!$B$3,Lists!$B$4:$B$24,0))</f>
        <v>TMS</v>
      </c>
      <c r="B911" s="2" t="str">
        <f>'4E'!BK24</f>
        <v>CS00037STP</v>
      </c>
      <c r="C911" s="1634" t="str">
        <f>'4E'!BB24&amp;" - "&amp;'4E'!$BK$3</f>
        <v>Other capital expenditure - non-infra - Sludge</v>
      </c>
      <c r="D911" s="2" t="s">
        <v>8</v>
      </c>
      <c r="E911" s="2" t="s">
        <v>9</v>
      </c>
      <c r="F911" s="1634"/>
      <c r="G911" s="1635">
        <f>'4E'!L24</f>
        <v>1.1146693781922892E-2</v>
      </c>
      <c r="H911" s="1636"/>
    </row>
    <row r="912" spans="1:8">
      <c r="A912" s="1634" t="str">
        <f>INDEX(Lists!$C$4:$C$24,MATCH(Validation!$B$3,Lists!$B$4:$B$24,0))</f>
        <v>TMS</v>
      </c>
      <c r="B912" s="2" t="str">
        <f>'4E'!BK25</f>
        <v>BC30849STP</v>
      </c>
      <c r="C912" s="1634" t="str">
        <f>'4E'!BB25&amp;" - "&amp;'4E'!$BK$3</f>
        <v>Infrastructure network reinforcement - Sludge</v>
      </c>
      <c r="D912" s="2" t="s">
        <v>8</v>
      </c>
      <c r="E912" s="2" t="s">
        <v>9</v>
      </c>
      <c r="F912" s="1634"/>
      <c r="G912" s="1635">
        <f>'4E'!L25</f>
        <v>0</v>
      </c>
      <c r="H912" s="1636"/>
    </row>
    <row r="913" spans="1:8">
      <c r="A913" s="1634" t="str">
        <f>INDEX(Lists!$C$4:$C$24,MATCH(Validation!$B$3,Lists!$B$4:$B$24,0))</f>
        <v>TMS</v>
      </c>
      <c r="B913" s="2" t="str">
        <f>'4E'!BK27</f>
        <v>BM833STP</v>
      </c>
      <c r="C913" s="1634" t="str">
        <f>'4E'!BB27&amp;" - "&amp;'4E'!$BK$3</f>
        <v>Third party services - Sludge</v>
      </c>
      <c r="D913" s="2" t="s">
        <v>8</v>
      </c>
      <c r="E913" s="2" t="s">
        <v>9</v>
      </c>
      <c r="F913" s="1634"/>
      <c r="G913" s="1635">
        <f>'4E'!L27</f>
        <v>0</v>
      </c>
      <c r="H913" s="1636"/>
    </row>
    <row r="914" spans="1:8">
      <c r="A914" s="1634" t="str">
        <f>INDEX(Lists!$C$4:$C$24,MATCH(Validation!$B$3,Lists!$B$4:$B$24,0))</f>
        <v>TMS</v>
      </c>
      <c r="B914" s="2" t="str">
        <f>'4E'!BK31</f>
        <v>BA2121STP</v>
      </c>
      <c r="C914" s="1634" t="str">
        <f>'4E'!BB31&amp;" - "&amp;'4E'!$BK$3</f>
        <v>Grants and contributions - Sludge</v>
      </c>
      <c r="D914" s="2" t="s">
        <v>8</v>
      </c>
      <c r="E914" s="2" t="s">
        <v>9</v>
      </c>
      <c r="F914" s="1634"/>
      <c r="G914" s="1635">
        <f>'4E'!L31</f>
        <v>0</v>
      </c>
      <c r="H914" s="1636"/>
    </row>
    <row r="915" spans="1:8">
      <c r="A915" s="1634" t="str">
        <f>INDEX(Lists!$C$4:$C$24,MATCH(Validation!$B$3,Lists!$B$4:$B$24,0))</f>
        <v>TMS</v>
      </c>
      <c r="B915" s="2" t="str">
        <f>'4E'!BK36</f>
        <v>CR00559STP</v>
      </c>
      <c r="C915" s="1634" t="str">
        <f>'4E'!BB36&amp;" - "&amp;'4E'!$BK$3</f>
        <v>Pension deficit recovery payments - Sludge</v>
      </c>
      <c r="D915" s="2" t="s">
        <v>8</v>
      </c>
      <c r="E915" s="2" t="s">
        <v>9</v>
      </c>
      <c r="F915" s="1634"/>
      <c r="G915" s="1635">
        <f>'4E'!L36</f>
        <v>0</v>
      </c>
      <c r="H915" s="1636"/>
    </row>
    <row r="916" spans="1:8">
      <c r="A916" s="1634" t="str">
        <f>INDEX(Lists!$C$4:$C$24,MATCH(Validation!$B$3,Lists!$B$4:$B$24,0))</f>
        <v>TMS</v>
      </c>
      <c r="B916" s="2" t="str">
        <f>'4E'!BK37</f>
        <v>CR00562STP</v>
      </c>
      <c r="C916" s="1634" t="str">
        <f>'4E'!BB37&amp;" - "&amp;'4E'!$BK$3</f>
        <v>Other cash items - Sludge</v>
      </c>
      <c r="D916" s="2" t="s">
        <v>8</v>
      </c>
      <c r="E916" s="2" t="s">
        <v>9</v>
      </c>
      <c r="F916" s="1634"/>
      <c r="G916" s="1635">
        <f>'4E'!L37</f>
        <v>0</v>
      </c>
      <c r="H916" s="1636"/>
    </row>
    <row r="917" spans="1:8">
      <c r="A917" s="1634" t="str">
        <f>INDEX(Lists!$C$4:$C$24,MATCH(Validation!$B$3,Lists!$B$4:$B$24,0))</f>
        <v>TMS</v>
      </c>
      <c r="B917" s="2" t="str">
        <f>'4E'!BK47</f>
        <v>CRASST005</v>
      </c>
      <c r="C917" s="1634" t="str">
        <f>'4E'!BB47&amp;" - "&amp;'4E'!$BK$3</f>
        <v>Volume transported - Sludge</v>
      </c>
      <c r="D917" s="2" t="s">
        <v>18</v>
      </c>
      <c r="E917" s="2" t="s">
        <v>9</v>
      </c>
      <c r="F917" s="1634"/>
      <c r="G917" s="1635">
        <f>'4E'!L47</f>
        <v>1384487.236</v>
      </c>
      <c r="H917" s="1636"/>
    </row>
    <row r="918" spans="1:8">
      <c r="A918" s="1637" t="str">
        <f>INDEX(Lists!$C$4:$C$24,MATCH(Validation!$B$3,Lists!$B$4:$B$24,0))</f>
        <v>TMS</v>
      </c>
      <c r="B918" s="1650" t="str">
        <f>'4E'!BK51</f>
        <v>BN2630STP</v>
      </c>
      <c r="C918" s="1637" t="str">
        <f>'4E'!BB51&amp;" - "&amp;'4E'!$BK$3</f>
        <v>Population - Sludge</v>
      </c>
      <c r="D918" s="1651" t="s">
        <v>13</v>
      </c>
      <c r="E918" s="1651" t="s">
        <v>9</v>
      </c>
      <c r="F918" s="1637"/>
      <c r="G918" s="1653">
        <f>'4E'!L51</f>
        <v>15018.284</v>
      </c>
      <c r="H918" s="1652"/>
    </row>
    <row r="919" spans="1:8">
      <c r="A919" s="1634" t="str">
        <f>INDEX(Lists!$C$4:$C$24,MATCH(Validation!$B$3,Lists!$B$4:$B$24,0))</f>
        <v>TMS</v>
      </c>
      <c r="B919" s="2" t="str">
        <f>'4E'!BL7</f>
        <v>BM602SDT</v>
      </c>
      <c r="C919" s="1634" t="str">
        <f>'4E'!BB7&amp;" - "&amp;'4E'!$BL$4</f>
        <v>Power - Sludge treatment</v>
      </c>
      <c r="D919" s="2" t="s">
        <v>8</v>
      </c>
      <c r="E919" s="2" t="s">
        <v>9</v>
      </c>
      <c r="F919" s="1634"/>
      <c r="G919" s="1635">
        <f>'4E'!M7</f>
        <v>-13.833</v>
      </c>
      <c r="H919" s="1636"/>
    </row>
    <row r="920" spans="1:8">
      <c r="A920" s="1634" t="str">
        <f>INDEX(Lists!$C$4:$C$24,MATCH(Validation!$B$3,Lists!$B$4:$B$24,0))</f>
        <v>TMS</v>
      </c>
      <c r="B920" s="2" t="str">
        <f>'4E'!BL8</f>
        <v>BM836SDT</v>
      </c>
      <c r="C920" s="1634" t="str">
        <f>'4E'!BB8&amp;" - "&amp;'4E'!$BL$4</f>
        <v>Income treated as negative expenditure - Sludge treatment</v>
      </c>
      <c r="D920" s="2" t="s">
        <v>8</v>
      </c>
      <c r="E920" s="2" t="s">
        <v>9</v>
      </c>
      <c r="F920" s="1634"/>
      <c r="G920" s="1635">
        <f>'4E'!M8</f>
        <v>-9.6319999999999997</v>
      </c>
      <c r="H920" s="1636"/>
    </row>
    <row r="921" spans="1:8">
      <c r="A921" s="1634" t="str">
        <f>INDEX(Lists!$C$4:$C$24,MATCH(Validation!$B$3,Lists!$B$4:$B$24,0))</f>
        <v>TMS</v>
      </c>
      <c r="B921" s="2" t="str">
        <f>'4E'!BL9</f>
        <v>BM631SDT</v>
      </c>
      <c r="C921" s="1634" t="str">
        <f>'4E'!BB9&amp;" - "&amp;'4E'!$BL$4</f>
        <v>Discharge consents - Sludge treatment</v>
      </c>
      <c r="D921" s="2" t="s">
        <v>8</v>
      </c>
      <c r="E921" s="2" t="s">
        <v>9</v>
      </c>
      <c r="F921" s="1634"/>
      <c r="G921" s="1635">
        <f>'4E'!M9</f>
        <v>6.8000000000000005E-2</v>
      </c>
      <c r="H921" s="1636"/>
    </row>
    <row r="922" spans="1:8">
      <c r="A922" s="1634" t="str">
        <f>INDEX(Lists!$C$4:$C$24,MATCH(Validation!$B$3,Lists!$B$4:$B$24,0))</f>
        <v>TMS</v>
      </c>
      <c r="B922" s="2" t="str">
        <f>'4E'!BL10</f>
        <v>BM140SDT</v>
      </c>
      <c r="C922" s="1634" t="str">
        <f>'4E'!BB10&amp;" - "&amp;'4E'!$BL$4</f>
        <v>Bulk discharge - Sludge treatment</v>
      </c>
      <c r="D922" s="2" t="s">
        <v>8</v>
      </c>
      <c r="E922" s="2" t="s">
        <v>9</v>
      </c>
      <c r="F922" s="1634"/>
      <c r="G922" s="1635">
        <f>'4E'!M10</f>
        <v>9.6000000000000002E-2</v>
      </c>
      <c r="H922" s="1636"/>
    </row>
    <row r="923" spans="1:8">
      <c r="A923" s="1634" t="str">
        <f>INDEX(Lists!$C$4:$C$24,MATCH(Validation!$B$3,Lists!$B$4:$B$24,0))</f>
        <v>TMS</v>
      </c>
      <c r="B923" s="2" t="str">
        <f>'4E'!BL11</f>
        <v>BM839SDTIR</v>
      </c>
      <c r="C923" s="1634" t="str">
        <f>'4E'!BB11&amp;" - "&amp;'4E'!$BL$4</f>
        <v>Other operating expenditure - renewals expensed in year (Infrastructure) - Sludge treatment</v>
      </c>
      <c r="D923" s="2" t="s">
        <v>8</v>
      </c>
      <c r="E923" s="2" t="s">
        <v>9</v>
      </c>
      <c r="F923" s="1634"/>
      <c r="G923" s="1635">
        <f>'4E'!M11</f>
        <v>0</v>
      </c>
      <c r="H923" s="1636"/>
    </row>
    <row r="924" spans="1:8">
      <c r="A924" s="1634" t="str">
        <f>INDEX(Lists!$C$4:$C$24,MATCH(Validation!$B$3,Lists!$B$4:$B$24,0))</f>
        <v>TMS</v>
      </c>
      <c r="B924" s="2" t="str">
        <f>'4E'!BL12</f>
        <v>BM839SDTNIR</v>
      </c>
      <c r="C924" s="1634" t="str">
        <f>'4E'!BB12&amp;" - "&amp;'4E'!$BL$4</f>
        <v>Other operating expenditure - renewals expensed in year (Non-Infrastructure) - Sludge treatment</v>
      </c>
      <c r="D924" s="2" t="s">
        <v>8</v>
      </c>
      <c r="E924" s="2" t="s">
        <v>9</v>
      </c>
      <c r="F924" s="1634"/>
      <c r="G924" s="1635">
        <f>'4E'!M12</f>
        <v>0</v>
      </c>
      <c r="H924" s="1636"/>
    </row>
    <row r="925" spans="1:8">
      <c r="A925" s="1634" t="str">
        <f>INDEX(Lists!$C$4:$C$24,MATCH(Validation!$B$3,Lists!$B$4:$B$24,0))</f>
        <v>TMS</v>
      </c>
      <c r="B925" s="2" t="str">
        <f>'4E'!BL13</f>
        <v>BM839SDTER</v>
      </c>
      <c r="C925" s="1634" t="str">
        <f>'4E'!BB13&amp;" - "&amp;'4E'!$BL$4</f>
        <v>Other operating expenditure - excluding renewals - Sludge treatment</v>
      </c>
      <c r="D925" s="2" t="s">
        <v>8</v>
      </c>
      <c r="E925" s="2" t="s">
        <v>9</v>
      </c>
      <c r="F925" s="1634"/>
      <c r="G925" s="1635">
        <f>'4E'!M13</f>
        <v>50.082999999999998</v>
      </c>
      <c r="H925" s="1636"/>
    </row>
    <row r="926" spans="1:8">
      <c r="A926" s="1634" t="str">
        <f>INDEX(Lists!$C$4:$C$24,MATCH(Validation!$B$3,Lists!$B$4:$B$24,0))</f>
        <v>TMS</v>
      </c>
      <c r="B926" s="2" t="str">
        <f>'4E'!BL14</f>
        <v>BM817SDT</v>
      </c>
      <c r="C926" s="1634" t="str">
        <f>'4E'!BB14&amp;" - "&amp;'4E'!$BL$4</f>
        <v>Local authority rates and Cumulo rates - Sludge treatment</v>
      </c>
      <c r="D926" s="2" t="s">
        <v>8</v>
      </c>
      <c r="E926" s="2" t="s">
        <v>9</v>
      </c>
      <c r="F926" s="1634"/>
      <c r="G926" s="1635">
        <f>'4E'!M14</f>
        <v>9.0050000000000008</v>
      </c>
      <c r="H926" s="1636"/>
    </row>
    <row r="927" spans="1:8">
      <c r="A927" s="1634" t="str">
        <f>INDEX(Lists!$C$4:$C$24,MATCH(Validation!$B$3,Lists!$B$4:$B$24,0))</f>
        <v>TMS</v>
      </c>
      <c r="B927" s="2" t="str">
        <f>'4E'!BL17</f>
        <v>BM823SDT</v>
      </c>
      <c r="C927" s="1634" t="str">
        <f>'4E'!BB17&amp;" - "&amp;'4E'!$BL$4</f>
        <v>Third party services - Sludge treatment</v>
      </c>
      <c r="D927" s="2" t="s">
        <v>8</v>
      </c>
      <c r="E927" s="2" t="s">
        <v>9</v>
      </c>
      <c r="F927" s="1634"/>
      <c r="G927" s="1635">
        <f>'4E'!M17</f>
        <v>4.9000000000000002E-2</v>
      </c>
      <c r="H927" s="1636"/>
    </row>
    <row r="928" spans="1:8">
      <c r="A928" s="1634" t="str">
        <f>INDEX(Lists!$C$4:$C$24,MATCH(Validation!$B$3,Lists!$B$4:$B$24,0))</f>
        <v>TMS</v>
      </c>
      <c r="B928" s="2" t="str">
        <f>'4E'!BL21</f>
        <v>BC30945SDT</v>
      </c>
      <c r="C928" s="1634" t="str">
        <f>'4E'!BB21&amp;" - "&amp;'4E'!$BL$4</f>
        <v>Maintaining the long term capability of the assets - infra - Sludge treatment</v>
      </c>
      <c r="D928" s="2" t="s">
        <v>8</v>
      </c>
      <c r="E928" s="2" t="s">
        <v>9</v>
      </c>
      <c r="F928" s="1634"/>
      <c r="G928" s="1635">
        <f>'4E'!M21</f>
        <v>0</v>
      </c>
      <c r="H928" s="1636"/>
    </row>
    <row r="929" spans="1:8">
      <c r="A929" s="1634" t="str">
        <f>INDEX(Lists!$C$4:$C$24,MATCH(Validation!$B$3,Lists!$B$4:$B$24,0))</f>
        <v>TMS</v>
      </c>
      <c r="B929" s="2" t="str">
        <f>'4E'!BL22</f>
        <v>CS00036SDT</v>
      </c>
      <c r="C929" s="1634" t="str">
        <f>'4E'!BB22&amp;" - "&amp;'4E'!$BL$4</f>
        <v>Maintaining the long term capability of the assets - non-infra - Sludge treatment</v>
      </c>
      <c r="D929" s="2" t="s">
        <v>8</v>
      </c>
      <c r="E929" s="2" t="s">
        <v>9</v>
      </c>
      <c r="F929" s="1634"/>
      <c r="G929" s="1635">
        <f>'4E'!M22</f>
        <v>78.232732730723896</v>
      </c>
      <c r="H929" s="1636"/>
    </row>
    <row r="930" spans="1:8">
      <c r="A930" s="1634" t="str">
        <f>INDEX(Lists!$C$4:$C$24,MATCH(Validation!$B$3,Lists!$B$4:$B$24,0))</f>
        <v>TMS</v>
      </c>
      <c r="B930" s="2" t="str">
        <f>'4E'!BL23</f>
        <v>BC30944SDT</v>
      </c>
      <c r="C930" s="1634" t="str">
        <f>'4E'!BB23&amp;" - "&amp;'4E'!$BL$4</f>
        <v>Other capital expenditure - infra - Sludge treatment</v>
      </c>
      <c r="D930" s="2" t="s">
        <v>8</v>
      </c>
      <c r="E930" s="2" t="s">
        <v>9</v>
      </c>
      <c r="F930" s="1634"/>
      <c r="G930" s="1635">
        <f>'4E'!M23</f>
        <v>0</v>
      </c>
      <c r="H930" s="1636"/>
    </row>
    <row r="931" spans="1:8">
      <c r="A931" s="1634" t="str">
        <f>INDEX(Lists!$C$4:$C$24,MATCH(Validation!$B$3,Lists!$B$4:$B$24,0))</f>
        <v>TMS</v>
      </c>
      <c r="B931" s="2" t="str">
        <f>'4E'!BL24</f>
        <v>CS00037SDT</v>
      </c>
      <c r="C931" s="1634" t="str">
        <f>'4E'!BB24&amp;" - "&amp;'4E'!$BL$4</f>
        <v>Other capital expenditure - non-infra - Sludge treatment</v>
      </c>
      <c r="D931" s="2" t="s">
        <v>8</v>
      </c>
      <c r="E931" s="2" t="s">
        <v>9</v>
      </c>
      <c r="F931" s="1634"/>
      <c r="G931" s="1635">
        <f>'4E'!M24</f>
        <v>-1.28041812280559</v>
      </c>
      <c r="H931" s="1636"/>
    </row>
    <row r="932" spans="1:8">
      <c r="A932" s="1634" t="str">
        <f>INDEX(Lists!$C$4:$C$24,MATCH(Validation!$B$3,Lists!$B$4:$B$24,0))</f>
        <v>TMS</v>
      </c>
      <c r="B932" s="2" t="str">
        <f>'4E'!BL25</f>
        <v>BC30849SDT</v>
      </c>
      <c r="C932" s="1634" t="str">
        <f>'4E'!BB25&amp;" - "&amp;'4E'!$BL$4</f>
        <v>Infrastructure network reinforcement - Sludge treatment</v>
      </c>
      <c r="D932" s="2" t="s">
        <v>8</v>
      </c>
      <c r="E932" s="2" t="s">
        <v>9</v>
      </c>
      <c r="F932" s="1634"/>
      <c r="G932" s="1635">
        <f>'4E'!M25</f>
        <v>0</v>
      </c>
      <c r="H932" s="1636"/>
    </row>
    <row r="933" spans="1:8">
      <c r="A933" s="1634" t="str">
        <f>INDEX(Lists!$C$4:$C$24,MATCH(Validation!$B$3,Lists!$B$4:$B$24,0))</f>
        <v>TMS</v>
      </c>
      <c r="B933" s="2" t="str">
        <f>'4E'!BL27</f>
        <v>BM833SDT</v>
      </c>
      <c r="C933" s="1634" t="str">
        <f>'4E'!BB27&amp;" - "&amp;'4E'!$BL$4</f>
        <v>Third party services - Sludge treatment</v>
      </c>
      <c r="D933" s="2" t="s">
        <v>8</v>
      </c>
      <c r="E933" s="2" t="s">
        <v>9</v>
      </c>
      <c r="F933" s="1634"/>
      <c r="G933" s="1635">
        <f>'4E'!M27</f>
        <v>0</v>
      </c>
      <c r="H933" s="1636"/>
    </row>
    <row r="934" spans="1:8">
      <c r="A934" s="1634" t="str">
        <f>INDEX(Lists!$C$4:$C$24,MATCH(Validation!$B$3,Lists!$B$4:$B$24,0))</f>
        <v>TMS</v>
      </c>
      <c r="B934" s="2" t="str">
        <f>'4E'!BL31</f>
        <v>BA2121SDT</v>
      </c>
      <c r="C934" s="1634" t="str">
        <f>'4E'!BB31&amp;" - "&amp;'4E'!$BL$4</f>
        <v>Grants and contributions - Sludge treatment</v>
      </c>
      <c r="D934" s="2" t="s">
        <v>8</v>
      </c>
      <c r="E934" s="2" t="s">
        <v>9</v>
      </c>
      <c r="F934" s="1634"/>
      <c r="G934" s="1635">
        <f>'4E'!M31</f>
        <v>0</v>
      </c>
      <c r="H934" s="1636"/>
    </row>
    <row r="935" spans="1:8">
      <c r="A935" s="1634" t="str">
        <f>INDEX(Lists!$C$4:$C$24,MATCH(Validation!$B$3,Lists!$B$4:$B$24,0))</f>
        <v>TMS</v>
      </c>
      <c r="B935" s="2" t="str">
        <f>'4E'!BL36</f>
        <v>CR00559SDT</v>
      </c>
      <c r="C935" s="1634" t="str">
        <f>'4E'!BB36&amp;" - "&amp;'4E'!$BL$4</f>
        <v>Pension deficit recovery payments - Sludge treatment</v>
      </c>
      <c r="D935" s="2" t="s">
        <v>8</v>
      </c>
      <c r="E935" s="2" t="s">
        <v>9</v>
      </c>
      <c r="F935" s="1634"/>
      <c r="G935" s="1635">
        <f>'4E'!M36</f>
        <v>0</v>
      </c>
      <c r="H935" s="1636"/>
    </row>
    <row r="936" spans="1:8">
      <c r="A936" s="1634" t="str">
        <f>INDEX(Lists!$C$4:$C$24,MATCH(Validation!$B$3,Lists!$B$4:$B$24,0))</f>
        <v>TMS</v>
      </c>
      <c r="B936" s="2" t="str">
        <f>'4E'!BL37</f>
        <v>CR00562SDT</v>
      </c>
      <c r="C936" s="1634" t="str">
        <f>'4E'!BB37&amp;" - "&amp;'4E'!$BL$4</f>
        <v>Other cash items - Sludge treatment</v>
      </c>
      <c r="D936" s="2" t="s">
        <v>8</v>
      </c>
      <c r="E936" s="2" t="s">
        <v>9</v>
      </c>
      <c r="F936" s="1634"/>
      <c r="G936" s="1635">
        <f>'4E'!M37</f>
        <v>0</v>
      </c>
      <c r="H936" s="1636"/>
    </row>
    <row r="937" spans="1:8">
      <c r="A937" s="1634" t="str">
        <f>INDEX(Lists!$C$4:$C$24,MATCH(Validation!$B$3,Lists!$B$4:$B$24,0))</f>
        <v>TMS</v>
      </c>
      <c r="B937" s="2" t="str">
        <f>'4E'!BL48</f>
        <v>CRASSTS005</v>
      </c>
      <c r="C937" s="1634" t="str">
        <f>'4E'!BB48&amp;" - "&amp;'4E'!$BL$4</f>
        <v>Dried solid mass treated - Sludge treatment</v>
      </c>
      <c r="D937" s="2" t="s">
        <v>19</v>
      </c>
      <c r="E937" s="2" t="s">
        <v>9</v>
      </c>
      <c r="F937" s="1634"/>
      <c r="G937" s="1635">
        <f>'4E'!M48</f>
        <v>366.21699999999998</v>
      </c>
      <c r="H937" s="1636"/>
    </row>
    <row r="938" spans="1:8">
      <c r="A938" s="1637" t="str">
        <f>INDEX(Lists!$C$4:$C$24,MATCH(Validation!$B$3,Lists!$B$4:$B$24,0))</f>
        <v>TMS</v>
      </c>
      <c r="B938" s="1650" t="str">
        <f>'4E'!BL51</f>
        <v>BN2630SDT</v>
      </c>
      <c r="C938" s="1637" t="str">
        <f>'4E'!BB51&amp;" - "&amp;'4E'!$BL$4</f>
        <v>Population - Sludge treatment</v>
      </c>
      <c r="D938" s="1651" t="s">
        <v>13</v>
      </c>
      <c r="E938" s="1651" t="s">
        <v>9</v>
      </c>
      <c r="F938" s="1637"/>
      <c r="G938" s="1653">
        <f>'4E'!M51</f>
        <v>15018.284</v>
      </c>
      <c r="H938" s="1652"/>
    </row>
    <row r="939" spans="1:8">
      <c r="A939" s="1634" t="str">
        <f>INDEX(Lists!$C$4:$C$24,MATCH(Validation!$B$3,Lists!$B$4:$B$24,0))</f>
        <v>TMS</v>
      </c>
      <c r="B939" s="2" t="str">
        <f>'4E'!BM7</f>
        <v>BM602SDD</v>
      </c>
      <c r="C939" s="1634" t="str">
        <f>'4E'!BB7&amp;" - "&amp;'4E'!$BM$4</f>
        <v>Power - Sludge disposal</v>
      </c>
      <c r="D939" s="2" t="s">
        <v>8</v>
      </c>
      <c r="E939" s="2" t="s">
        <v>9</v>
      </c>
      <c r="F939" s="1634"/>
      <c r="G939" s="1635">
        <f>'4E'!N7</f>
        <v>3.7999999999999999E-2</v>
      </c>
      <c r="H939" s="1636"/>
    </row>
    <row r="940" spans="1:8">
      <c r="A940" s="1634" t="str">
        <f>INDEX(Lists!$C$4:$C$24,MATCH(Validation!$B$3,Lists!$B$4:$B$24,0))</f>
        <v>TMS</v>
      </c>
      <c r="B940" s="2" t="str">
        <f>'4E'!BM8</f>
        <v>BM836SDD</v>
      </c>
      <c r="C940" s="1634" t="str">
        <f>'4E'!BB8&amp;" - "&amp;'4E'!$BM$4</f>
        <v>Income treated as negative expenditure - Sludge disposal</v>
      </c>
      <c r="D940" s="2" t="s">
        <v>8</v>
      </c>
      <c r="E940" s="2" t="s">
        <v>9</v>
      </c>
      <c r="F940" s="1634"/>
      <c r="G940" s="1635">
        <f>'4E'!N8</f>
        <v>-0.79300000000000004</v>
      </c>
      <c r="H940" s="1636"/>
    </row>
    <row r="941" spans="1:8">
      <c r="A941" s="1634" t="str">
        <f>INDEX(Lists!$C$4:$C$24,MATCH(Validation!$B$3,Lists!$B$4:$B$24,0))</f>
        <v>TMS</v>
      </c>
      <c r="B941" s="2" t="str">
        <f>'4E'!BM9</f>
        <v>BM631SDD</v>
      </c>
      <c r="C941" s="1634" t="str">
        <f>'4E'!BB9&amp;" - "&amp;'4E'!$BM$4</f>
        <v>Discharge consents - Sludge disposal</v>
      </c>
      <c r="D941" s="2" t="s">
        <v>8</v>
      </c>
      <c r="E941" s="2" t="s">
        <v>9</v>
      </c>
      <c r="F941" s="1634"/>
      <c r="G941" s="1635">
        <f>'4E'!N9</f>
        <v>4.0000000000000001E-3</v>
      </c>
      <c r="H941" s="1636"/>
    </row>
    <row r="942" spans="1:8">
      <c r="A942" s="1634" t="str">
        <f>INDEX(Lists!$C$4:$C$24,MATCH(Validation!$B$3,Lists!$B$4:$B$24,0))</f>
        <v>TMS</v>
      </c>
      <c r="B942" s="2" t="str">
        <f>'4E'!BM10</f>
        <v>BM140SDD</v>
      </c>
      <c r="C942" s="1634" t="str">
        <f>'4E'!BB10&amp;" - "&amp;'4E'!$BM$4</f>
        <v>Bulk discharge - Sludge disposal</v>
      </c>
      <c r="D942" s="2" t="s">
        <v>8</v>
      </c>
      <c r="E942" s="2" t="s">
        <v>9</v>
      </c>
      <c r="F942" s="1634"/>
      <c r="G942" s="1635">
        <f>'4E'!N10</f>
        <v>1E-3</v>
      </c>
      <c r="H942" s="1636"/>
    </row>
    <row r="943" spans="1:8">
      <c r="A943" s="1634" t="str">
        <f>INDEX(Lists!$C$4:$C$24,MATCH(Validation!$B$3,Lists!$B$4:$B$24,0))</f>
        <v>TMS</v>
      </c>
      <c r="B943" s="2" t="str">
        <f>'4E'!BM11</f>
        <v>BM839SDDIR</v>
      </c>
      <c r="C943" s="1634" t="str">
        <f>'4E'!BB11&amp;" - "&amp;'4E'!$BM$4</f>
        <v>Other operating expenditure - renewals expensed in year (Infrastructure) - Sludge disposal</v>
      </c>
      <c r="D943" s="2" t="s">
        <v>8</v>
      </c>
      <c r="E943" s="2" t="s">
        <v>9</v>
      </c>
      <c r="F943" s="1634"/>
      <c r="G943" s="1635">
        <f>'4E'!N11</f>
        <v>0</v>
      </c>
      <c r="H943" s="1636"/>
    </row>
    <row r="944" spans="1:8">
      <c r="A944" s="1634" t="str">
        <f>INDEX(Lists!$C$4:$C$24,MATCH(Validation!$B$3,Lists!$B$4:$B$24,0))</f>
        <v>TMS</v>
      </c>
      <c r="B944" s="2" t="str">
        <f>'4E'!BM12</f>
        <v>BM839SDDNIR</v>
      </c>
      <c r="C944" s="1634" t="str">
        <f>'4E'!BB12&amp;" - "&amp;'4E'!$BM$4</f>
        <v>Other operating expenditure - renewals expensed in year (Non-Infrastructure) - Sludge disposal</v>
      </c>
      <c r="D944" s="2" t="s">
        <v>8</v>
      </c>
      <c r="E944" s="2" t="s">
        <v>9</v>
      </c>
      <c r="F944" s="1634"/>
      <c r="G944" s="1635">
        <f>'4E'!N12</f>
        <v>0</v>
      </c>
      <c r="H944" s="1636"/>
    </row>
    <row r="945" spans="1:8">
      <c r="A945" s="1634" t="str">
        <f>INDEX(Lists!$C$4:$C$24,MATCH(Validation!$B$3,Lists!$B$4:$B$24,0))</f>
        <v>TMS</v>
      </c>
      <c r="B945" s="2" t="str">
        <f>'4E'!BM13</f>
        <v>BM839SDDER</v>
      </c>
      <c r="C945" s="1634" t="str">
        <f>'4E'!BB13&amp;" - "&amp;'4E'!$BM$4</f>
        <v>Other operating expenditure - excluding renewals - Sludge disposal</v>
      </c>
      <c r="D945" s="2" t="s">
        <v>8</v>
      </c>
      <c r="E945" s="2" t="s">
        <v>9</v>
      </c>
      <c r="F945" s="1634"/>
      <c r="G945" s="1635">
        <f>'4E'!N13</f>
        <v>19.126999999999999</v>
      </c>
      <c r="H945" s="1636"/>
    </row>
    <row r="946" spans="1:8">
      <c r="A946" s="1634" t="str">
        <f>INDEX(Lists!$C$4:$C$24,MATCH(Validation!$B$3,Lists!$B$4:$B$24,0))</f>
        <v>TMS</v>
      </c>
      <c r="B946" s="2" t="str">
        <f>'4E'!BM14</f>
        <v>BM817SDD</v>
      </c>
      <c r="C946" s="1634" t="str">
        <f>'4E'!BB14&amp;" - "&amp;'4E'!$BM$4</f>
        <v>Local authority rates and Cumulo rates - Sludge disposal</v>
      </c>
      <c r="D946" s="2" t="s">
        <v>8</v>
      </c>
      <c r="E946" s="2" t="s">
        <v>9</v>
      </c>
      <c r="F946" s="1634"/>
      <c r="G946" s="1635">
        <f>'4E'!N14</f>
        <v>0.85099999999999998</v>
      </c>
      <c r="H946" s="1636"/>
    </row>
    <row r="947" spans="1:8">
      <c r="A947" s="1634" t="str">
        <f>INDEX(Lists!$C$4:$C$24,MATCH(Validation!$B$3,Lists!$B$4:$B$24,0))</f>
        <v>TMS</v>
      </c>
      <c r="B947" s="2" t="str">
        <f>'4E'!BM17</f>
        <v>BM823SDD</v>
      </c>
      <c r="C947" s="1634" t="str">
        <f>'4E'!BB17&amp;" - "&amp;'4E'!$BM$4</f>
        <v>Third party services - Sludge disposal</v>
      </c>
      <c r="D947" s="2" t="s">
        <v>8</v>
      </c>
      <c r="E947" s="2" t="s">
        <v>9</v>
      </c>
      <c r="F947" s="1634"/>
      <c r="G947" s="1635">
        <f>'4E'!N17</f>
        <v>2.7E-2</v>
      </c>
      <c r="H947" s="1636"/>
    </row>
    <row r="948" spans="1:8">
      <c r="A948" s="1634" t="str">
        <f>INDEX(Lists!$C$4:$C$24,MATCH(Validation!$B$3,Lists!$B$4:$B$24,0))</f>
        <v>TMS</v>
      </c>
      <c r="B948" s="2" t="str">
        <f>'4E'!BM21</f>
        <v>BC30945SDD</v>
      </c>
      <c r="C948" s="1634" t="str">
        <f>'4E'!BB21&amp;" - "&amp;'4E'!$BM$4</f>
        <v>Maintaining the long term capability of the assets - infra - Sludge disposal</v>
      </c>
      <c r="D948" s="2" t="s">
        <v>8</v>
      </c>
      <c r="E948" s="2" t="s">
        <v>9</v>
      </c>
      <c r="F948" s="1634"/>
      <c r="G948" s="1635">
        <f>'4E'!N21</f>
        <v>0</v>
      </c>
      <c r="H948" s="1636"/>
    </row>
    <row r="949" spans="1:8">
      <c r="A949" s="1634" t="str">
        <f>INDEX(Lists!$C$4:$C$24,MATCH(Validation!$B$3,Lists!$B$4:$B$24,0))</f>
        <v>TMS</v>
      </c>
      <c r="B949" s="2" t="str">
        <f>'4E'!BM22</f>
        <v>CS00036SDD</v>
      </c>
      <c r="C949" s="1634" t="str">
        <f>'4E'!BB22&amp;" - "&amp;'4E'!$BM$4</f>
        <v>Maintaining the long term capability of the assets - non-infra - Sludge disposal</v>
      </c>
      <c r="D949" s="2" t="s">
        <v>8</v>
      </c>
      <c r="E949" s="2" t="s">
        <v>9</v>
      </c>
      <c r="F949" s="1634"/>
      <c r="G949" s="1635">
        <f>'4E'!N22</f>
        <v>7.6755260536020904</v>
      </c>
      <c r="H949" s="1636"/>
    </row>
    <row r="950" spans="1:8">
      <c r="A950" s="1634" t="str">
        <f>INDEX(Lists!$C$4:$C$24,MATCH(Validation!$B$3,Lists!$B$4:$B$24,0))</f>
        <v>TMS</v>
      </c>
      <c r="B950" s="2" t="str">
        <f>'4E'!BM23</f>
        <v>BC30944SDD</v>
      </c>
      <c r="C950" s="1634" t="str">
        <f>'4E'!BB23&amp;" - "&amp;'4E'!$BM$4</f>
        <v>Other capital expenditure - infra - Sludge disposal</v>
      </c>
      <c r="D950" s="2" t="s">
        <v>8</v>
      </c>
      <c r="E950" s="2" t="s">
        <v>9</v>
      </c>
      <c r="F950" s="1634"/>
      <c r="G950" s="1635">
        <f>'4E'!N23</f>
        <v>0</v>
      </c>
      <c r="H950" s="1636"/>
    </row>
    <row r="951" spans="1:8">
      <c r="A951" s="1634" t="str">
        <f>INDEX(Lists!$C$4:$C$24,MATCH(Validation!$B$3,Lists!$B$4:$B$24,0))</f>
        <v>TMS</v>
      </c>
      <c r="B951" s="2" t="str">
        <f>'4E'!BM24</f>
        <v>CS00037SDD</v>
      </c>
      <c r="C951" s="1634" t="str">
        <f>'4E'!BB24&amp;" - "&amp;'4E'!$BM$4</f>
        <v>Other capital expenditure - non-infra - Sludge disposal</v>
      </c>
      <c r="D951" s="2" t="s">
        <v>8</v>
      </c>
      <c r="E951" s="2" t="s">
        <v>9</v>
      </c>
      <c r="F951" s="1634"/>
      <c r="G951" s="1635">
        <f>'4E'!N24</f>
        <v>1.8985141618671128E-3</v>
      </c>
      <c r="H951" s="1636"/>
    </row>
    <row r="952" spans="1:8">
      <c r="A952" s="1634" t="str">
        <f>INDEX(Lists!$C$4:$C$24,MATCH(Validation!$B$3,Lists!$B$4:$B$24,0))</f>
        <v>TMS</v>
      </c>
      <c r="B952" s="2" t="str">
        <f>'4E'!BM25</f>
        <v>BC30849SDD</v>
      </c>
      <c r="C952" s="1634" t="str">
        <f>'4E'!BB25&amp;" - "&amp;'4E'!$BM$4</f>
        <v>Infrastructure network reinforcement - Sludge disposal</v>
      </c>
      <c r="D952" s="2" t="s">
        <v>8</v>
      </c>
      <c r="E952" s="2" t="s">
        <v>9</v>
      </c>
      <c r="F952" s="1634"/>
      <c r="G952" s="1635">
        <f>'4E'!N25</f>
        <v>0</v>
      </c>
      <c r="H952" s="1636"/>
    </row>
    <row r="953" spans="1:8">
      <c r="A953" s="1634" t="str">
        <f>INDEX(Lists!$C$4:$C$24,MATCH(Validation!$B$3,Lists!$B$4:$B$24,0))</f>
        <v>TMS</v>
      </c>
      <c r="B953" s="2" t="str">
        <f>'4E'!BM27</f>
        <v>BM833SDD</v>
      </c>
      <c r="C953" s="1634" t="str">
        <f>'4E'!BB27&amp;" - "&amp;'4E'!$BM$4</f>
        <v>Third party services - Sludge disposal</v>
      </c>
      <c r="D953" s="2" t="s">
        <v>8</v>
      </c>
      <c r="E953" s="2" t="s">
        <v>9</v>
      </c>
      <c r="F953" s="1634"/>
      <c r="G953" s="1635">
        <f>'4E'!N27</f>
        <v>0</v>
      </c>
      <c r="H953" s="1636"/>
    </row>
    <row r="954" spans="1:8">
      <c r="A954" s="1634" t="str">
        <f>INDEX(Lists!$C$4:$C$24,MATCH(Validation!$B$3,Lists!$B$4:$B$24,0))</f>
        <v>TMS</v>
      </c>
      <c r="B954" s="2" t="str">
        <f>'4E'!BM31</f>
        <v>BA2121SDD</v>
      </c>
      <c r="C954" s="1634" t="str">
        <f>'4E'!BB31&amp;" - "&amp;'4E'!$BM$4</f>
        <v>Grants and contributions - Sludge disposal</v>
      </c>
      <c r="D954" s="2" t="s">
        <v>8</v>
      </c>
      <c r="E954" s="2" t="s">
        <v>9</v>
      </c>
      <c r="F954" s="1634"/>
      <c r="G954" s="1635">
        <f>'4E'!N31</f>
        <v>0</v>
      </c>
      <c r="H954" s="1636"/>
    </row>
    <row r="955" spans="1:8">
      <c r="A955" s="1634" t="str">
        <f>INDEX(Lists!$C$4:$C$24,MATCH(Validation!$B$3,Lists!$B$4:$B$24,0))</f>
        <v>TMS</v>
      </c>
      <c r="B955" s="2" t="str">
        <f>'4E'!BM36</f>
        <v>CR00559SDD</v>
      </c>
      <c r="C955" s="1634" t="str">
        <f>'4E'!BB36&amp;" - "&amp;'4E'!$BM$4</f>
        <v>Pension deficit recovery payments - Sludge disposal</v>
      </c>
      <c r="D955" s="2" t="s">
        <v>8</v>
      </c>
      <c r="E955" s="2" t="s">
        <v>9</v>
      </c>
      <c r="F955" s="1634"/>
      <c r="G955" s="1635">
        <f>'4E'!N36</f>
        <v>0</v>
      </c>
      <c r="H955" s="1636"/>
    </row>
    <row r="956" spans="1:8">
      <c r="A956" s="1634" t="str">
        <f>INDEX(Lists!$C$4:$C$24,MATCH(Validation!$B$3,Lists!$B$4:$B$24,0))</f>
        <v>TMS</v>
      </c>
      <c r="B956" s="2" t="str">
        <f>'4E'!BM37</f>
        <v>CR00562SDD</v>
      </c>
      <c r="C956" s="1634" t="str">
        <f>'4E'!BB37&amp;" - "&amp;'4E'!$BM$4</f>
        <v>Other cash items - Sludge disposal</v>
      </c>
      <c r="D956" s="2" t="s">
        <v>8</v>
      </c>
      <c r="E956" s="2" t="s">
        <v>9</v>
      </c>
      <c r="F956" s="1634"/>
      <c r="G956" s="1635">
        <f>'4E'!N37</f>
        <v>0</v>
      </c>
      <c r="H956" s="1636"/>
    </row>
    <row r="957" spans="1:8">
      <c r="A957" s="1634" t="str">
        <f>INDEX(Lists!$C$4:$C$24,MATCH(Validation!$B$3,Lists!$B$4:$B$24,0))</f>
        <v>TMS</v>
      </c>
      <c r="B957" s="2" t="str">
        <f>'4E'!BM49</f>
        <v>CRSDSERV01D</v>
      </c>
      <c r="C957" s="1634" t="str">
        <f>'4E'!BB49&amp;" - "&amp;'4E'!$BM$4</f>
        <v>Dried solid mass disposed - Sludge disposal</v>
      </c>
      <c r="D957" s="2" t="s">
        <v>19</v>
      </c>
      <c r="E957" s="2" t="s">
        <v>9</v>
      </c>
      <c r="F957" s="1634"/>
      <c r="G957" s="1635">
        <f>'4E'!N49</f>
        <v>365.24700000000001</v>
      </c>
      <c r="H957" s="1636"/>
    </row>
    <row r="958" spans="1:8" ht="15" thickBot="1">
      <c r="A958" s="1642" t="str">
        <f>INDEX(Lists!$C$4:$C$24,MATCH(Validation!$B$3,Lists!$B$4:$B$24,0))</f>
        <v>TMS</v>
      </c>
      <c r="B958" s="1649" t="str">
        <f>'4E'!BM51</f>
        <v>BN2630SDD</v>
      </c>
      <c r="C958" s="1642" t="str">
        <f>'4E'!BB51&amp;" - "&amp;'4E'!$BM$4</f>
        <v>Population - Sludge disposal</v>
      </c>
      <c r="D958" s="1648" t="s">
        <v>13</v>
      </c>
      <c r="E958" s="1648" t="s">
        <v>9</v>
      </c>
      <c r="F958" s="1642"/>
      <c r="G958" s="1635">
        <f>'4E'!N51</f>
        <v>15018.284</v>
      </c>
      <c r="H958" s="1649"/>
    </row>
    <row r="959" spans="1:8">
      <c r="A959" s="1634" t="str">
        <f>INDEX(Lists!$C$4:$C$24,MATCH(Validation!$B$3,Lists!$B$4:$B$24,0))</f>
        <v>TMS</v>
      </c>
      <c r="B959" s="2" t="str">
        <f>'4F'!BF7</f>
        <v>BM9030UWO</v>
      </c>
      <c r="C959" s="1641" t="str">
        <f>'4F'!BB7&amp;" - "&amp;'4F'!$BF$3&amp;" ("&amp;'4F'!$BF$4&amp;")"</f>
        <v>Customer services - Household unmeasured (Water only)</v>
      </c>
      <c r="D959" s="2" t="s">
        <v>8</v>
      </c>
      <c r="E959" s="2" t="s">
        <v>9</v>
      </c>
      <c r="F959" s="1634"/>
      <c r="G959" s="1659">
        <f>'4F'!G7</f>
        <v>0.33200000000000002</v>
      </c>
      <c r="H959" s="1636"/>
    </row>
    <row r="960" spans="1:8">
      <c r="A960" s="1634" t="str">
        <f>INDEX(Lists!$C$4:$C$24,MATCH(Validation!$B$3,Lists!$B$4:$B$24,0))</f>
        <v>TMS</v>
      </c>
      <c r="B960" s="2" t="str">
        <f>'4F'!BF8</f>
        <v>BM9002UWO</v>
      </c>
      <c r="C960" s="1634" t="str">
        <f>'4F'!BB8&amp;" - "&amp;'4F'!$BF$3&amp;" ("&amp;'4F'!$BF$4&amp;")"</f>
        <v>Debt management - Household unmeasured (Water only)</v>
      </c>
      <c r="D960" s="2" t="s">
        <v>8</v>
      </c>
      <c r="E960" s="2" t="s">
        <v>9</v>
      </c>
      <c r="F960" s="1634"/>
      <c r="G960" s="1635">
        <f>'4F'!G8</f>
        <v>7.5999999999999998E-2</v>
      </c>
      <c r="H960" s="1636"/>
    </row>
    <row r="961" spans="1:8">
      <c r="A961" s="1634" t="str">
        <f>INDEX(Lists!$C$4:$C$24,MATCH(Validation!$B$3,Lists!$B$4:$B$24,0))</f>
        <v>TMS</v>
      </c>
      <c r="B961" s="2" t="str">
        <f>'4F'!BF9</f>
        <v>BM9003UWO</v>
      </c>
      <c r="C961" s="1634" t="str">
        <f>'4F'!BB9&amp;" - "&amp;'4F'!$BF$3&amp;" ("&amp;'4F'!$BF$4&amp;")"</f>
        <v>Doubtful debts - Household unmeasured (Water only)</v>
      </c>
      <c r="D961" s="2" t="s">
        <v>8</v>
      </c>
      <c r="E961" s="2" t="s">
        <v>9</v>
      </c>
      <c r="F961" s="1634"/>
      <c r="G961" s="1635">
        <f>'4F'!G9</f>
        <v>0.16400000000000001</v>
      </c>
      <c r="H961" s="1636"/>
    </row>
    <row r="962" spans="1:8">
      <c r="A962" s="1634" t="str">
        <f>INDEX(Lists!$C$4:$C$24,MATCH(Validation!$B$3,Lists!$B$4:$B$24,0))</f>
        <v>TMS</v>
      </c>
      <c r="B962" s="2" t="str">
        <f>'4F'!BF11</f>
        <v>BM9033UWO</v>
      </c>
      <c r="C962" s="1634" t="str">
        <f>'4F'!BB11&amp;" - "&amp;'4F'!$BF$3&amp;" ("&amp;'4F'!$BF$4&amp;")"</f>
        <v>Other operating expenditure - Household unmeasured (Water only)</v>
      </c>
      <c r="D962" s="2" t="s">
        <v>8</v>
      </c>
      <c r="E962" s="2" t="s">
        <v>9</v>
      </c>
      <c r="F962" s="1634"/>
      <c r="G962" s="1635">
        <f>'4F'!G11</f>
        <v>0.15</v>
      </c>
      <c r="H962" s="1636"/>
    </row>
    <row r="963" spans="1:8">
      <c r="A963" s="1634" t="str">
        <f>INDEX(Lists!$C$4:$C$24,MATCH(Validation!$B$3,Lists!$B$4:$B$24,0))</f>
        <v>TMS</v>
      </c>
      <c r="B963" s="2" t="str">
        <f>'4F'!BF14</f>
        <v>BM9022UWO</v>
      </c>
      <c r="C963" s="1634" t="str">
        <f>'4F'!BB14&amp;" - "&amp;'4F'!$BF$3&amp;" ("&amp;'4F'!$BF$4&amp;")"</f>
        <v>Third party services operating expenditure - Household unmeasured (Water only)</v>
      </c>
      <c r="D963" s="2" t="s">
        <v>8</v>
      </c>
      <c r="E963" s="2" t="s">
        <v>9</v>
      </c>
      <c r="F963" s="1634"/>
      <c r="G963" s="1635">
        <f>'4F'!G14</f>
        <v>0</v>
      </c>
      <c r="H963" s="1636"/>
    </row>
    <row r="964" spans="1:8">
      <c r="A964" s="1634" t="str">
        <f>INDEX(Lists!$C$4:$C$24,MATCH(Validation!$B$3,Lists!$B$4:$B$24,0))</f>
        <v>TMS</v>
      </c>
      <c r="B964" s="2" t="str">
        <f>'4F'!BF17</f>
        <v>BM4290EXUWO</v>
      </c>
      <c r="C964" s="1634" t="str">
        <f>'4F'!BB17&amp;" - "&amp;'4F'!$BF$3&amp;" ("&amp;'4F'!$BF$4&amp;")"</f>
        <v>Depreciation - tangible fixed assets (on assets existing at 31 March 2015) - Household unmeasured (Water only)</v>
      </c>
      <c r="D964" s="2" t="s">
        <v>8</v>
      </c>
      <c r="E964" s="2" t="s">
        <v>9</v>
      </c>
      <c r="F964" s="1634"/>
      <c r="G964" s="1635">
        <f>'4F'!G17</f>
        <v>1E-3</v>
      </c>
      <c r="H964" s="1636"/>
    </row>
    <row r="965" spans="1:8">
      <c r="A965" s="1634" t="str">
        <f>INDEX(Lists!$C$4:$C$24,MATCH(Validation!$B$3,Lists!$B$4:$B$24,0))</f>
        <v>TMS</v>
      </c>
      <c r="B965" s="2" t="str">
        <f>'4F'!BF18</f>
        <v>BM4290AQUWO</v>
      </c>
      <c r="C965" s="1634" t="str">
        <f>'4F'!BB18&amp;" - "&amp;'4F'!$BF$3&amp;" ("&amp;'4F'!$BF$4&amp;")"</f>
        <v>Depreciation - tangible fixed assets (on assets acquired since 1 April 2015) - Household unmeasured (Water only)</v>
      </c>
      <c r="D965" s="2" t="s">
        <v>8</v>
      </c>
      <c r="E965" s="2" t="s">
        <v>9</v>
      </c>
      <c r="F965" s="1634"/>
      <c r="G965" s="1635">
        <f>'4F'!G18</f>
        <v>1.6E-2</v>
      </c>
      <c r="H965" s="1636"/>
    </row>
    <row r="966" spans="1:8">
      <c r="A966" s="1634" t="str">
        <f>INDEX(Lists!$C$4:$C$24,MATCH(Validation!$B$3,Lists!$B$4:$B$24,0))</f>
        <v>TMS</v>
      </c>
      <c r="B966" s="2" t="str">
        <f>'4F'!BF19</f>
        <v>BM9027EXUWO</v>
      </c>
      <c r="C966" s="1634" t="str">
        <f>'4F'!BB19&amp;" - "&amp;'4F'!$BF$3&amp;" ("&amp;'4F'!$BF$4&amp;")"</f>
        <v>Amortisation - intangible fixed assets (on assets existing at 31 March 2015) - Household unmeasured (Water only)</v>
      </c>
      <c r="D966" s="2" t="s">
        <v>8</v>
      </c>
      <c r="E966" s="2" t="s">
        <v>9</v>
      </c>
      <c r="F966" s="1634"/>
      <c r="G966" s="1635">
        <f>'4F'!G19</f>
        <v>0</v>
      </c>
      <c r="H966" s="1636"/>
    </row>
    <row r="967" spans="1:8">
      <c r="A967" s="1634" t="str">
        <f>INDEX(Lists!$C$4:$C$24,MATCH(Validation!$B$3,Lists!$B$4:$B$24,0))</f>
        <v>TMS</v>
      </c>
      <c r="B967" s="2" t="str">
        <f>'4F'!BF20</f>
        <v>BM9027AQUWO</v>
      </c>
      <c r="C967" s="1634" t="str">
        <f>'4F'!BB20&amp;" - "&amp;'4F'!$BF$3&amp;" ("&amp;'4F'!$BF$4&amp;")"</f>
        <v>Amortisation - intangible fixed assets (on assets acquired since 1 April 2015) - Household unmeasured (Water only)</v>
      </c>
      <c r="D967" s="2" t="s">
        <v>8</v>
      </c>
      <c r="E967" s="2" t="s">
        <v>9</v>
      </c>
      <c r="F967" s="1634"/>
      <c r="G967" s="1635">
        <f>'4F'!G20</f>
        <v>7.0000000000000001E-3</v>
      </c>
      <c r="H967" s="1636"/>
    </row>
    <row r="968" spans="1:8">
      <c r="A968" s="1637" t="str">
        <f>INDEX(Lists!$C$4:$C$24,MATCH(Validation!$B$3,Lists!$B$4:$B$24,0))</f>
        <v>TMS</v>
      </c>
      <c r="B968" s="1651" t="str">
        <f>'4F'!BF23</f>
        <v>BM4017UWO</v>
      </c>
      <c r="C968" s="1637" t="str">
        <f>'4F'!BB23&amp;" - "&amp;'4F'!$BF$3&amp;" ("&amp;'4F'!$BF$4&amp;")"</f>
        <v>Capital expenditure - Household unmeasured (Water only)</v>
      </c>
      <c r="D968" s="1651" t="s">
        <v>8</v>
      </c>
      <c r="E968" s="1651" t="s">
        <v>9</v>
      </c>
      <c r="F968" s="1637"/>
      <c r="G968" s="1653">
        <f>'4F'!G23</f>
        <v>0.28399999999999997</v>
      </c>
      <c r="H968" s="1652"/>
    </row>
    <row r="969" spans="1:8">
      <c r="A969" s="1634" t="str">
        <f>INDEX(Lists!$C$4:$C$24,MATCH(Validation!$B$3,Lists!$B$4:$B$24,0))</f>
        <v>TMS</v>
      </c>
      <c r="B969" s="2" t="str">
        <f>'4F'!BG7</f>
        <v>BM9030USO</v>
      </c>
      <c r="C969" s="1634" t="str">
        <f>'4F'!BB7&amp;" - "&amp;'4F'!$BF$3&amp;" ("&amp;'4F'!$BG$4&amp;")"</f>
        <v>Customer services - Household unmeasured (Wastewater only)</v>
      </c>
      <c r="D969" s="2" t="s">
        <v>8</v>
      </c>
      <c r="E969" s="2" t="s">
        <v>9</v>
      </c>
      <c r="F969" s="1634"/>
      <c r="G969" s="1635">
        <f>'4F'!H7</f>
        <v>6.6760000000000002</v>
      </c>
      <c r="H969" s="1636"/>
    </row>
    <row r="970" spans="1:8">
      <c r="A970" s="1634" t="str">
        <f>INDEX(Lists!$C$4:$C$24,MATCH(Validation!$B$3,Lists!$B$4:$B$24,0))</f>
        <v>TMS</v>
      </c>
      <c r="B970" s="2" t="str">
        <f>'4F'!BG8</f>
        <v>BM9002USO</v>
      </c>
      <c r="C970" s="1634" t="str">
        <f>'4F'!BB8&amp;" - "&amp;'4F'!$BF$3&amp;" ("&amp;'4F'!$BG$4&amp;")"</f>
        <v>Debt management - Household unmeasured (Wastewater only)</v>
      </c>
      <c r="D970" s="2" t="s">
        <v>8</v>
      </c>
      <c r="E970" s="2" t="s">
        <v>9</v>
      </c>
      <c r="F970" s="1634"/>
      <c r="G970" s="1635">
        <f>'4F'!H8</f>
        <v>0.996</v>
      </c>
      <c r="H970" s="1636"/>
    </row>
    <row r="971" spans="1:8">
      <c r="A971" s="1634" t="str">
        <f>INDEX(Lists!$C$4:$C$24,MATCH(Validation!$B$3,Lists!$B$4:$B$24,0))</f>
        <v>TMS</v>
      </c>
      <c r="B971" s="2" t="str">
        <f>'4F'!BG9</f>
        <v>BM9003USO</v>
      </c>
      <c r="C971" s="1634" t="str">
        <f>'4F'!BB9&amp;" - "&amp;'4F'!$BF$3&amp;" ("&amp;'4F'!$BG$4&amp;")"</f>
        <v>Doubtful debts - Household unmeasured (Wastewater only)</v>
      </c>
      <c r="D971" s="2" t="s">
        <v>8</v>
      </c>
      <c r="E971" s="2" t="s">
        <v>9</v>
      </c>
      <c r="F971" s="1634"/>
      <c r="G971" s="1635">
        <f>'4F'!H9</f>
        <v>4.9139999999999997</v>
      </c>
      <c r="H971" s="1636"/>
    </row>
    <row r="972" spans="1:8">
      <c r="A972" s="1634" t="str">
        <f>INDEX(Lists!$C$4:$C$24,MATCH(Validation!$B$3,Lists!$B$4:$B$24,0))</f>
        <v>TMS</v>
      </c>
      <c r="B972" s="2" t="str">
        <f>'4F'!BG11</f>
        <v>BM9033USO</v>
      </c>
      <c r="C972" s="1634" t="str">
        <f>'4F'!BB11&amp;" - "&amp;'4F'!$BF$3&amp;" ("&amp;'4F'!$BG$4&amp;")"</f>
        <v>Other operating expenditure - Household unmeasured (Wastewater only)</v>
      </c>
      <c r="D972" s="2" t="s">
        <v>8</v>
      </c>
      <c r="E972" s="2" t="s">
        <v>9</v>
      </c>
      <c r="F972" s="1634"/>
      <c r="G972" s="1635">
        <f>'4F'!H11</f>
        <v>4.45</v>
      </c>
      <c r="H972" s="1636"/>
    </row>
    <row r="973" spans="1:8">
      <c r="A973" s="1634" t="str">
        <f>INDEX(Lists!$C$4:$C$24,MATCH(Validation!$B$3,Lists!$B$4:$B$24,0))</f>
        <v>TMS</v>
      </c>
      <c r="B973" s="2" t="str">
        <f>'4F'!BG14</f>
        <v>BM9022USO</v>
      </c>
      <c r="C973" s="1634" t="str">
        <f>'4F'!BB14&amp;" - "&amp;'4F'!$BF$3&amp;" ("&amp;'4F'!$BG$4&amp;")"</f>
        <v>Third party services operating expenditure - Household unmeasured (Wastewater only)</v>
      </c>
      <c r="D973" s="2" t="s">
        <v>8</v>
      </c>
      <c r="E973" s="2" t="s">
        <v>9</v>
      </c>
      <c r="F973" s="1634"/>
      <c r="G973" s="1635">
        <f>'4F'!H14</f>
        <v>0</v>
      </c>
      <c r="H973" s="1636"/>
    </row>
    <row r="974" spans="1:8">
      <c r="A974" s="1634" t="str">
        <f>INDEX(Lists!$C$4:$C$24,MATCH(Validation!$B$3,Lists!$B$4:$B$24,0))</f>
        <v>TMS</v>
      </c>
      <c r="B974" s="2" t="str">
        <f>'4F'!BG17</f>
        <v>BM4290EXUSO</v>
      </c>
      <c r="C974" s="1634" t="str">
        <f>'4F'!BB17&amp;" - "&amp;'4F'!$BF$3&amp;" ("&amp;'4F'!$BG$4&amp;")"</f>
        <v>Depreciation - tangible fixed assets (on assets existing at 31 March 2015) - Household unmeasured (Wastewater only)</v>
      </c>
      <c r="D974" s="2" t="s">
        <v>8</v>
      </c>
      <c r="E974" s="2" t="s">
        <v>9</v>
      </c>
      <c r="F974" s="1634"/>
      <c r="G974" s="1635">
        <f>'4F'!H17</f>
        <v>0</v>
      </c>
      <c r="H974" s="1636"/>
    </row>
    <row r="975" spans="1:8">
      <c r="A975" s="1634" t="str">
        <f>INDEX(Lists!$C$4:$C$24,MATCH(Validation!$B$3,Lists!$B$4:$B$24,0))</f>
        <v>TMS</v>
      </c>
      <c r="B975" s="2" t="str">
        <f>'4F'!BG18</f>
        <v>BM4290AQUSO</v>
      </c>
      <c r="C975" s="1634" t="str">
        <f>'4F'!BB18&amp;" - "&amp;'4F'!$BF$3&amp;" ("&amp;'4F'!$BG$4&amp;")"</f>
        <v>Depreciation - tangible fixed assets (on assets acquired since 1 April 2015) - Household unmeasured (Wastewater only)</v>
      </c>
      <c r="D975" s="2" t="s">
        <v>8</v>
      </c>
      <c r="E975" s="2" t="s">
        <v>9</v>
      </c>
      <c r="F975" s="1634"/>
      <c r="G975" s="1635">
        <f>'4F'!H18</f>
        <v>5.0000000000000001E-3</v>
      </c>
      <c r="H975" s="1636"/>
    </row>
    <row r="976" spans="1:8">
      <c r="A976" s="1634" t="str">
        <f>INDEX(Lists!$C$4:$C$24,MATCH(Validation!$B$3,Lists!$B$4:$B$24,0))</f>
        <v>TMS</v>
      </c>
      <c r="B976" s="2" t="str">
        <f>'4F'!BG19</f>
        <v>BM9027EXUSO</v>
      </c>
      <c r="C976" s="1634" t="str">
        <f>'4F'!BB19&amp;" - "&amp;'4F'!$BF$3&amp;" ("&amp;'4F'!$BG$4&amp;")"</f>
        <v>Amortisation - intangible fixed assets (on assets existing at 31 March 2015) - Household unmeasured (Wastewater only)</v>
      </c>
      <c r="D976" s="2" t="s">
        <v>8</v>
      </c>
      <c r="E976" s="2" t="s">
        <v>9</v>
      </c>
      <c r="F976" s="1634"/>
      <c r="G976" s="1635">
        <f>'4F'!H19</f>
        <v>0</v>
      </c>
      <c r="H976" s="1636"/>
    </row>
    <row r="977" spans="1:8">
      <c r="A977" s="1634" t="str">
        <f>INDEX(Lists!$C$4:$C$24,MATCH(Validation!$B$3,Lists!$B$4:$B$24,0))</f>
        <v>TMS</v>
      </c>
      <c r="B977" s="2" t="str">
        <f>'4F'!BG20</f>
        <v>BM9027AQUSO</v>
      </c>
      <c r="C977" s="1634" t="str">
        <f>'4F'!BB20&amp;" - "&amp;'4F'!$BF$3&amp;" ("&amp;'4F'!$BG$4&amp;")"</f>
        <v>Amortisation - intangible fixed assets (on assets acquired since 1 April 2015) - Household unmeasured (Wastewater only)</v>
      </c>
      <c r="D977" s="2" t="s">
        <v>8</v>
      </c>
      <c r="E977" s="2" t="s">
        <v>9</v>
      </c>
      <c r="F977" s="1634"/>
      <c r="G977" s="1635">
        <f>'4F'!H20</f>
        <v>2E-3</v>
      </c>
      <c r="H977" s="1636"/>
    </row>
    <row r="978" spans="1:8">
      <c r="A978" s="1637" t="str">
        <f>INDEX(Lists!$C$4:$C$24,MATCH(Validation!$B$3,Lists!$B$4:$B$24,0))</f>
        <v>TMS</v>
      </c>
      <c r="B978" s="1651" t="str">
        <f>'4F'!BG23</f>
        <v>BM4017USO</v>
      </c>
      <c r="C978" s="1637" t="str">
        <f>'4F'!BB23&amp;" - "&amp;'4F'!$BF$3&amp;" ("&amp;'4F'!$BG$4&amp;")"</f>
        <v>Capital expenditure - Household unmeasured (Wastewater only)</v>
      </c>
      <c r="D978" s="1651" t="s">
        <v>8</v>
      </c>
      <c r="E978" s="1651" t="s">
        <v>9</v>
      </c>
      <c r="F978" s="1637"/>
      <c r="G978" s="1653">
        <f>'4F'!H23</f>
        <v>8.6999999999999994E-2</v>
      </c>
      <c r="H978" s="1652"/>
    </row>
    <row r="979" spans="1:8">
      <c r="A979" s="1634" t="str">
        <f>INDEX(Lists!$C$4:$C$24,MATCH(Validation!$B$3,Lists!$B$4:$B$24,0))</f>
        <v>TMS</v>
      </c>
      <c r="B979" s="2" t="str">
        <f>'4F'!BH7</f>
        <v>BM9030UWS</v>
      </c>
      <c r="C979" s="1634" t="str">
        <f>'4F'!BB7&amp;" - "&amp;'4F'!$BF$3&amp;" ("&amp;'4F'!$BH$4&amp;")"</f>
        <v>Customer services - Household unmeasured (Water and wastewater)</v>
      </c>
      <c r="D979" s="2" t="s">
        <v>8</v>
      </c>
      <c r="E979" s="2" t="s">
        <v>9</v>
      </c>
      <c r="F979" s="1634"/>
      <c r="G979" s="1635">
        <f>'4F'!I7</f>
        <v>28.045999999999999</v>
      </c>
      <c r="H979" s="1636"/>
    </row>
    <row r="980" spans="1:8">
      <c r="A980" s="1634" t="str">
        <f>INDEX(Lists!$C$4:$C$24,MATCH(Validation!$B$3,Lists!$B$4:$B$24,0))</f>
        <v>TMS</v>
      </c>
      <c r="B980" s="2" t="str">
        <f>'4F'!BH8</f>
        <v>BM9002UWS</v>
      </c>
      <c r="C980" s="1634" t="str">
        <f>'4F'!BB8&amp;" - "&amp;'4F'!$BF$3&amp;" ("&amp;'4F'!$BH$4&amp;")"</f>
        <v>Debt management - Household unmeasured (Water and wastewater)</v>
      </c>
      <c r="D980" s="2" t="s">
        <v>8</v>
      </c>
      <c r="E980" s="2" t="s">
        <v>9</v>
      </c>
      <c r="F980" s="1634"/>
      <c r="G980" s="1635">
        <f>'4F'!I8</f>
        <v>6.1609999999999996</v>
      </c>
      <c r="H980" s="1636"/>
    </row>
    <row r="981" spans="1:8">
      <c r="A981" s="1634" t="str">
        <f>INDEX(Lists!$C$4:$C$24,MATCH(Validation!$B$3,Lists!$B$4:$B$24,0))</f>
        <v>TMS</v>
      </c>
      <c r="B981" s="2" t="str">
        <f>'4F'!BH9</f>
        <v>BM9003UWS</v>
      </c>
      <c r="C981" s="1634" t="str">
        <f>'4F'!BB9&amp;" - "&amp;'4F'!$BF$3&amp;" ("&amp;'4F'!$BH$4&amp;")"</f>
        <v>Doubtful debts - Household unmeasured (Water and wastewater)</v>
      </c>
      <c r="D981" s="2" t="s">
        <v>8</v>
      </c>
      <c r="E981" s="2" t="s">
        <v>9</v>
      </c>
      <c r="F981" s="1634"/>
      <c r="G981" s="1635">
        <f>'4F'!I9</f>
        <v>24.774000000000001</v>
      </c>
      <c r="H981" s="1636"/>
    </row>
    <row r="982" spans="1:8">
      <c r="A982" s="1634" t="str">
        <f>INDEX(Lists!$C$4:$C$24,MATCH(Validation!$B$3,Lists!$B$4:$B$24,0))</f>
        <v>TMS</v>
      </c>
      <c r="B982" s="2" t="str">
        <f>'4F'!BH11</f>
        <v>BM9033UWS</v>
      </c>
      <c r="C982" s="1634" t="str">
        <f>'4F'!BB11&amp;" - "&amp;'4F'!$BF$3&amp;" ("&amp;'4F'!$BH$4&amp;")"</f>
        <v>Other operating expenditure - Household unmeasured (Water and wastewater)</v>
      </c>
      <c r="D982" s="2" t="s">
        <v>8</v>
      </c>
      <c r="E982" s="2" t="s">
        <v>9</v>
      </c>
      <c r="F982" s="1634"/>
      <c r="G982" s="1635">
        <f>'4F'!I11</f>
        <v>12.202</v>
      </c>
      <c r="H982" s="1636"/>
    </row>
    <row r="983" spans="1:8">
      <c r="A983" s="1634" t="str">
        <f>INDEX(Lists!$C$4:$C$24,MATCH(Validation!$B$3,Lists!$B$4:$B$24,0))</f>
        <v>TMS</v>
      </c>
      <c r="B983" s="2" t="str">
        <f>'4F'!BH14</f>
        <v>BM9022UWS</v>
      </c>
      <c r="C983" s="1634" t="str">
        <f>'4F'!BB14&amp;" - "&amp;'4F'!$BF$3&amp;" ("&amp;'4F'!$BH$4&amp;")"</f>
        <v>Third party services operating expenditure - Household unmeasured (Water and wastewater)</v>
      </c>
      <c r="D983" s="2" t="s">
        <v>8</v>
      </c>
      <c r="E983" s="2" t="s">
        <v>9</v>
      </c>
      <c r="F983" s="1634"/>
      <c r="G983" s="1635">
        <f>'4F'!I14</f>
        <v>0</v>
      </c>
      <c r="H983" s="1636"/>
    </row>
    <row r="984" spans="1:8">
      <c r="A984" s="1634" t="str">
        <f>INDEX(Lists!$C$4:$C$24,MATCH(Validation!$B$3,Lists!$B$4:$B$24,0))</f>
        <v>TMS</v>
      </c>
      <c r="B984" s="2" t="str">
        <f>'4F'!BH17</f>
        <v>BM4290EXUWS</v>
      </c>
      <c r="C984" s="1634" t="str">
        <f>'4F'!BB17&amp;" - "&amp;'4F'!$BF$3&amp;" ("&amp;'4F'!$BH$4&amp;")"</f>
        <v>Depreciation - tangible fixed assets (on assets existing at 31 March 2015) - Household unmeasured (Water and wastewater)</v>
      </c>
      <c r="D984" s="2" t="s">
        <v>8</v>
      </c>
      <c r="E984" s="2" t="s">
        <v>9</v>
      </c>
      <c r="F984" s="1634"/>
      <c r="G984" s="1635">
        <f>'4F'!I17</f>
        <v>6.2E-2</v>
      </c>
      <c r="H984" s="1636"/>
    </row>
    <row r="985" spans="1:8">
      <c r="A985" s="1634" t="str">
        <f>INDEX(Lists!$C$4:$C$24,MATCH(Validation!$B$3,Lists!$B$4:$B$24,0))</f>
        <v>TMS</v>
      </c>
      <c r="B985" s="2" t="str">
        <f>'4F'!BH18</f>
        <v>BM4290AQUWS</v>
      </c>
      <c r="C985" s="1634" t="str">
        <f>'4F'!BB18&amp;" - "&amp;'4F'!$BF$3&amp;" ("&amp;'4F'!$BH$4&amp;")"</f>
        <v>Depreciation - tangible fixed assets (on assets acquired since 1 April 2015) - Household unmeasured (Water and wastewater)</v>
      </c>
      <c r="D985" s="2" t="s">
        <v>8</v>
      </c>
      <c r="E985" s="2" t="s">
        <v>9</v>
      </c>
      <c r="F985" s="1634"/>
      <c r="G985" s="1635">
        <f>'4F'!I18</f>
        <v>1.2789999999999999</v>
      </c>
      <c r="H985" s="1636"/>
    </row>
    <row r="986" spans="1:8">
      <c r="A986" s="1634" t="str">
        <f>INDEX(Lists!$C$4:$C$24,MATCH(Validation!$B$3,Lists!$B$4:$B$24,0))</f>
        <v>TMS</v>
      </c>
      <c r="B986" s="2" t="str">
        <f>'4F'!BH19</f>
        <v>BM9027EXUWS</v>
      </c>
      <c r="C986" s="1634" t="str">
        <f>'4F'!BB19&amp;" - "&amp;'4F'!$BF$3&amp;" ("&amp;'4F'!$BH$4&amp;")"</f>
        <v>Amortisation - intangible fixed assets (on assets existing at 31 March 2015) - Household unmeasured (Water and wastewater)</v>
      </c>
      <c r="D986" s="2" t="s">
        <v>8</v>
      </c>
      <c r="E986" s="2" t="s">
        <v>9</v>
      </c>
      <c r="F986" s="1634"/>
      <c r="G986" s="1635">
        <f>'4F'!I19</f>
        <v>0</v>
      </c>
      <c r="H986" s="1636"/>
    </row>
    <row r="987" spans="1:8">
      <c r="A987" s="1634" t="str">
        <f>INDEX(Lists!$C$4:$C$24,MATCH(Validation!$B$3,Lists!$B$4:$B$24,0))</f>
        <v>TMS</v>
      </c>
      <c r="B987" s="2" t="str">
        <f>'4F'!BH20</f>
        <v>BM9027AQUWS</v>
      </c>
      <c r="C987" s="1634" t="str">
        <f>'4F'!BB20&amp;" - "&amp;'4F'!$BF$3&amp;" ("&amp;'4F'!$BH$4&amp;")"</f>
        <v>Amortisation - intangible fixed assets (on assets acquired since 1 April 2015) - Household unmeasured (Water and wastewater)</v>
      </c>
      <c r="D987" s="2" t="s">
        <v>8</v>
      </c>
      <c r="E987" s="2" t="s">
        <v>9</v>
      </c>
      <c r="F987" s="1634"/>
      <c r="G987" s="1635">
        <f>'4F'!I20</f>
        <v>0.59599999999999997</v>
      </c>
      <c r="H987" s="1636"/>
    </row>
    <row r="988" spans="1:8">
      <c r="A988" s="1637" t="str">
        <f>INDEX(Lists!$C$4:$C$24,MATCH(Validation!$B$3,Lists!$B$4:$B$24,0))</f>
        <v>TMS</v>
      </c>
      <c r="B988" s="1651" t="str">
        <f>'4F'!BH23</f>
        <v>BM4017UWS</v>
      </c>
      <c r="C988" s="1637" t="str">
        <f>'4F'!BB23&amp;" - "&amp;'4F'!$BF$3&amp;" ("&amp;'4F'!$BH$4&amp;")"</f>
        <v>Capital expenditure - Household unmeasured (Water and wastewater)</v>
      </c>
      <c r="D988" s="1651" t="s">
        <v>8</v>
      </c>
      <c r="E988" s="1651" t="s">
        <v>9</v>
      </c>
      <c r="F988" s="1637"/>
      <c r="G988" s="1653">
        <f>'4F'!I23</f>
        <v>23.161999999999999</v>
      </c>
      <c r="H988" s="1652"/>
    </row>
    <row r="989" spans="1:8">
      <c r="A989" s="1634" t="str">
        <f>INDEX(Lists!$C$4:$C$24,MATCH(Validation!$B$3,Lists!$B$4:$B$24,0))</f>
        <v>TMS</v>
      </c>
      <c r="B989" s="2" t="str">
        <f>'4F'!BJ7</f>
        <v>BM9030MWO</v>
      </c>
      <c r="C989" s="1634" t="str">
        <f>'4F'!BB7&amp;" - "&amp;'4F'!$BJ$3&amp;" ("&amp;'4F'!$BJ$4&amp;")"</f>
        <v>Customer services - Household measured (Water only)</v>
      </c>
      <c r="D989" s="2" t="s">
        <v>8</v>
      </c>
      <c r="E989" s="2" t="s">
        <v>9</v>
      </c>
      <c r="F989" s="1634"/>
      <c r="G989" s="1635">
        <f>'4F'!K7</f>
        <v>0.35899999999999999</v>
      </c>
      <c r="H989" s="1636"/>
    </row>
    <row r="990" spans="1:8">
      <c r="A990" s="1634" t="str">
        <f>INDEX(Lists!$C$4:$C$24,MATCH(Validation!$B$3,Lists!$B$4:$B$24,0))</f>
        <v>TMS</v>
      </c>
      <c r="B990" s="2" t="str">
        <f>'4F'!BJ8</f>
        <v>BM9002MWO</v>
      </c>
      <c r="C990" s="1634" t="str">
        <f>'4F'!BB8&amp;" - "&amp;'4F'!$BJ$3&amp;" ("&amp;'4F'!$BJ$4&amp;")"</f>
        <v>Debt management - Household measured (Water only)</v>
      </c>
      <c r="D990" s="2" t="s">
        <v>8</v>
      </c>
      <c r="E990" s="2" t="s">
        <v>9</v>
      </c>
      <c r="F990" s="1634"/>
      <c r="G990" s="1635">
        <f>'4F'!K8</f>
        <v>6.5000000000000002E-2</v>
      </c>
      <c r="H990" s="1636"/>
    </row>
    <row r="991" spans="1:8">
      <c r="A991" s="1634" t="str">
        <f>INDEX(Lists!$C$4:$C$24,MATCH(Validation!$B$3,Lists!$B$4:$B$24,0))</f>
        <v>TMS</v>
      </c>
      <c r="B991" s="2" t="str">
        <f>'4F'!BJ9</f>
        <v>BM9003MWO</v>
      </c>
      <c r="C991" s="1634" t="str">
        <f>'4F'!BB9&amp;" - "&amp;'4F'!$BJ$3&amp;" ("&amp;'4F'!$BJ$4&amp;")"</f>
        <v>Doubtful debts - Household measured (Water only)</v>
      </c>
      <c r="D991" s="2" t="s">
        <v>8</v>
      </c>
      <c r="E991" s="2" t="s">
        <v>9</v>
      </c>
      <c r="F991" s="1634"/>
      <c r="G991" s="1635">
        <f>'4F'!K9</f>
        <v>0.13200000000000001</v>
      </c>
      <c r="H991" s="1636"/>
    </row>
    <row r="992" spans="1:8">
      <c r="A992" s="1634" t="str">
        <f>INDEX(Lists!$C$4:$C$24,MATCH(Validation!$B$3,Lists!$B$4:$B$24,0))</f>
        <v>TMS</v>
      </c>
      <c r="B992" s="2" t="str">
        <f>'4F'!BJ10</f>
        <v>BM9007MWO</v>
      </c>
      <c r="C992" s="1634" t="str">
        <f>'4F'!BB10&amp;" - "&amp;'4F'!$BJ$3&amp;" ("&amp;'4F'!$BJ$4&amp;")"</f>
        <v>Meter reading - Household measured (Water only)</v>
      </c>
      <c r="D992" s="2" t="s">
        <v>8</v>
      </c>
      <c r="E992" s="2" t="s">
        <v>9</v>
      </c>
      <c r="F992" s="1634"/>
      <c r="G992" s="1635">
        <f>'4F'!K10</f>
        <v>0.109</v>
      </c>
      <c r="H992" s="1636"/>
    </row>
    <row r="993" spans="1:8">
      <c r="A993" s="1634" t="str">
        <f>INDEX(Lists!$C$4:$C$24,MATCH(Validation!$B$3,Lists!$B$4:$B$24,0))</f>
        <v>TMS</v>
      </c>
      <c r="B993" s="2" t="str">
        <f>'4F'!BJ11</f>
        <v>BM9033MWO</v>
      </c>
      <c r="C993" s="1634" t="str">
        <f>'4F'!BB11&amp;" - "&amp;'4F'!$BJ$3&amp;" ("&amp;'4F'!$BJ$4&amp;")"</f>
        <v>Other operating expenditure - Household measured (Water only)</v>
      </c>
      <c r="D993" s="2" t="s">
        <v>8</v>
      </c>
      <c r="E993" s="2" t="s">
        <v>9</v>
      </c>
      <c r="F993" s="1634"/>
      <c r="G993" s="1635">
        <f>'4F'!K11</f>
        <v>0.129</v>
      </c>
      <c r="H993" s="1636"/>
    </row>
    <row r="994" spans="1:8">
      <c r="A994" s="1634" t="str">
        <f>INDEX(Lists!$C$4:$C$24,MATCH(Validation!$B$3,Lists!$B$4:$B$24,0))</f>
        <v>TMS</v>
      </c>
      <c r="B994" s="2" t="str">
        <f>'4F'!BJ14</f>
        <v>BM9022MWO</v>
      </c>
      <c r="C994" s="1634" t="str">
        <f>'4F'!BB14&amp;" - "&amp;'4F'!$BJ$3&amp;" ("&amp;'4F'!$BJ$4&amp;")"</f>
        <v>Third party services operating expenditure - Household measured (Water only)</v>
      </c>
      <c r="D994" s="2" t="s">
        <v>8</v>
      </c>
      <c r="E994" s="2" t="s">
        <v>9</v>
      </c>
      <c r="F994" s="1634"/>
      <c r="G994" s="1635">
        <f>'4F'!K14</f>
        <v>0</v>
      </c>
      <c r="H994" s="1636"/>
    </row>
    <row r="995" spans="1:8">
      <c r="A995" s="1634" t="str">
        <f>INDEX(Lists!$C$4:$C$24,MATCH(Validation!$B$3,Lists!$B$4:$B$24,0))</f>
        <v>TMS</v>
      </c>
      <c r="B995" s="2" t="str">
        <f>'4F'!BJ17</f>
        <v>BM4290EXMWO</v>
      </c>
      <c r="C995" s="1634" t="str">
        <f>'4F'!BB17&amp;" - "&amp;'4F'!$BJ$3&amp;" ("&amp;'4F'!$BJ$4&amp;")"</f>
        <v>Depreciation - tangible fixed assets (on assets existing at 31 March 2015) - Household measured (Water only)</v>
      </c>
      <c r="D995" s="2" t="s">
        <v>8</v>
      </c>
      <c r="E995" s="2" t="s">
        <v>9</v>
      </c>
      <c r="F995" s="1634"/>
      <c r="G995" s="1635">
        <f>'4F'!K17</f>
        <v>1E-3</v>
      </c>
      <c r="H995" s="1636"/>
    </row>
    <row r="996" spans="1:8">
      <c r="A996" s="1634" t="str">
        <f>INDEX(Lists!$C$4:$C$24,MATCH(Validation!$B$3,Lists!$B$4:$B$24,0))</f>
        <v>TMS</v>
      </c>
      <c r="B996" s="2" t="str">
        <f>'4F'!BJ18</f>
        <v>BM4290AQMWO</v>
      </c>
      <c r="C996" s="1634" t="str">
        <f>'4F'!BB18&amp;" - "&amp;'4F'!$BJ$3&amp;" ("&amp;'4F'!$BJ$4&amp;")"</f>
        <v>Depreciation - tangible fixed assets (on assets acquired since 1 April 2015) - Household measured (Water only)</v>
      </c>
      <c r="D996" s="2" t="s">
        <v>8</v>
      </c>
      <c r="E996" s="2" t="s">
        <v>9</v>
      </c>
      <c r="F996" s="1634"/>
      <c r="G996" s="1635">
        <f>'4F'!K18</f>
        <v>1.2999999999999999E-2</v>
      </c>
      <c r="H996" s="1636"/>
    </row>
    <row r="997" spans="1:8">
      <c r="A997" s="1634" t="str">
        <f>INDEX(Lists!$C$4:$C$24,MATCH(Validation!$B$3,Lists!$B$4:$B$24,0))</f>
        <v>TMS</v>
      </c>
      <c r="B997" s="2" t="str">
        <f>'4F'!BJ19</f>
        <v>BM9027EXMWO</v>
      </c>
      <c r="C997" s="1634" t="str">
        <f>'4F'!BB19&amp;" - "&amp;'4F'!$BJ$3&amp;" ("&amp;'4F'!$BJ$4&amp;")"</f>
        <v>Amortisation - intangible fixed assets (on assets existing at 31 March 2015) - Household measured (Water only)</v>
      </c>
      <c r="D997" s="2" t="s">
        <v>8</v>
      </c>
      <c r="E997" s="2" t="s">
        <v>9</v>
      </c>
      <c r="F997" s="1634"/>
      <c r="G997" s="1635">
        <f>'4F'!K19</f>
        <v>0</v>
      </c>
      <c r="H997" s="1636"/>
    </row>
    <row r="998" spans="1:8">
      <c r="A998" s="1634" t="str">
        <f>INDEX(Lists!$C$4:$C$24,MATCH(Validation!$B$3,Lists!$B$4:$B$24,0))</f>
        <v>TMS</v>
      </c>
      <c r="B998" s="2" t="str">
        <f>'4F'!BJ20</f>
        <v>BM9027AQMWO</v>
      </c>
      <c r="C998" s="1634" t="str">
        <f>'4F'!BB20&amp;" - "&amp;'4F'!$BJ$3&amp;" ("&amp;'4F'!$BJ$4&amp;")"</f>
        <v>Amortisation - intangible fixed assets (on assets acquired since 1 April 2015) - Household measured (Water only)</v>
      </c>
      <c r="D998" s="2" t="s">
        <v>8</v>
      </c>
      <c r="E998" s="2" t="s">
        <v>9</v>
      </c>
      <c r="F998" s="1634"/>
      <c r="G998" s="1635">
        <f>'4F'!K20</f>
        <v>6.0000000000000001E-3</v>
      </c>
      <c r="H998" s="1636"/>
    </row>
    <row r="999" spans="1:8">
      <c r="A999" s="1637" t="str">
        <f>INDEX(Lists!$C$4:$C$24,MATCH(Validation!$B$3,Lists!$B$4:$B$24,0))</f>
        <v>TMS</v>
      </c>
      <c r="B999" s="1651" t="str">
        <f>'4F'!BJ23</f>
        <v>BM4017MWO</v>
      </c>
      <c r="C999" s="1637" t="str">
        <f>'4F'!BB23&amp;" - "&amp;'4F'!$BJ$3&amp;" ("&amp;'4F'!$BJ$4&amp;")"</f>
        <v>Capital expenditure - Household measured (Water only)</v>
      </c>
      <c r="D999" s="1651" t="s">
        <v>8</v>
      </c>
      <c r="E999" s="1651" t="s">
        <v>9</v>
      </c>
      <c r="F999" s="1637"/>
      <c r="G999" s="1653">
        <f>'4F'!K23</f>
        <v>0.24399999999999999</v>
      </c>
      <c r="H999" s="1652"/>
    </row>
    <row r="1000" spans="1:8">
      <c r="A1000" s="1634" t="str">
        <f>INDEX(Lists!$C$4:$C$24,MATCH(Validation!$B$3,Lists!$B$4:$B$24,0))</f>
        <v>TMS</v>
      </c>
      <c r="B1000" s="2" t="str">
        <f>'4F'!BK7</f>
        <v>BM9030MSO</v>
      </c>
      <c r="C1000" s="1634" t="str">
        <f>'4F'!BB7&amp;" - "&amp;'4F'!$BJ$3&amp;" ("&amp;'4F'!$BK$3&amp;")"</f>
        <v>Customer services - Household measured ()</v>
      </c>
      <c r="D1000" s="2" t="s">
        <v>8</v>
      </c>
      <c r="E1000" s="2" t="s">
        <v>9</v>
      </c>
      <c r="F1000" s="1634"/>
      <c r="G1000" s="1635">
        <f>'4F'!L7</f>
        <v>8.3930000000000007</v>
      </c>
      <c r="H1000" s="1636"/>
    </row>
    <row r="1001" spans="1:8">
      <c r="A1001" s="1634" t="str">
        <f>INDEX(Lists!$C$4:$C$24,MATCH(Validation!$B$3,Lists!$B$4:$B$24,0))</f>
        <v>TMS</v>
      </c>
      <c r="B1001" s="2" t="str">
        <f>'4F'!BK8</f>
        <v>BM9002MSO</v>
      </c>
      <c r="C1001" s="1634" t="str">
        <f>'4F'!BB8&amp;" - "&amp;'4F'!$BJ$3&amp;" ("&amp;'4F'!$BK$3&amp;")"</f>
        <v>Debt management - Household measured ()</v>
      </c>
      <c r="D1001" s="2" t="s">
        <v>8</v>
      </c>
      <c r="E1001" s="2" t="s">
        <v>9</v>
      </c>
      <c r="F1001" s="1634"/>
      <c r="G1001" s="1635">
        <f>'4F'!L8</f>
        <v>1.262</v>
      </c>
      <c r="H1001" s="1636"/>
    </row>
    <row r="1002" spans="1:8">
      <c r="A1002" s="1634" t="str">
        <f>INDEX(Lists!$C$4:$C$24,MATCH(Validation!$B$3,Lists!$B$4:$B$24,0))</f>
        <v>TMS</v>
      </c>
      <c r="B1002" s="2" t="str">
        <f>'4F'!BK9</f>
        <v>BM9003MSO</v>
      </c>
      <c r="C1002" s="1634" t="str">
        <f>'4F'!BB9&amp;" - "&amp;'4F'!$BJ$3&amp;" ("&amp;'4F'!$BK$3&amp;")"</f>
        <v>Doubtful debts - Household measured ()</v>
      </c>
      <c r="D1002" s="2" t="s">
        <v>8</v>
      </c>
      <c r="E1002" s="2" t="s">
        <v>9</v>
      </c>
      <c r="F1002" s="1634"/>
      <c r="G1002" s="1635">
        <f>'4F'!L9</f>
        <v>6.0570000000000004</v>
      </c>
      <c r="H1002" s="1636"/>
    </row>
    <row r="1003" spans="1:8">
      <c r="A1003" s="1634" t="str">
        <f>INDEX(Lists!$C$4:$C$24,MATCH(Validation!$B$3,Lists!$B$4:$B$24,0))</f>
        <v>TMS</v>
      </c>
      <c r="B1003" s="2" t="str">
        <f>'4F'!BK10</f>
        <v>BM9007MSO</v>
      </c>
      <c r="C1003" s="1634" t="str">
        <f>'4F'!BB10&amp;" - "&amp;'4F'!$BJ$3&amp;" ("&amp;'4F'!$BK$3&amp;")"</f>
        <v>Meter reading - Household measured ()</v>
      </c>
      <c r="D1003" s="2" t="s">
        <v>8</v>
      </c>
      <c r="E1003" s="2" t="s">
        <v>9</v>
      </c>
      <c r="F1003" s="1634"/>
      <c r="G1003" s="1635">
        <f>'4F'!L10</f>
        <v>2.0009999999999999</v>
      </c>
      <c r="H1003" s="1636"/>
    </row>
    <row r="1004" spans="1:8">
      <c r="A1004" s="1634" t="str">
        <f>INDEX(Lists!$C$4:$C$24,MATCH(Validation!$B$3,Lists!$B$4:$B$24,0))</f>
        <v>TMS</v>
      </c>
      <c r="B1004" s="2" t="str">
        <f>'4F'!BK11</f>
        <v>BM9033MSO</v>
      </c>
      <c r="C1004" s="1634" t="str">
        <f>'4F'!BB11&amp;" - "&amp;'4F'!$BJ$3&amp;" ("&amp;'4F'!$BK$3&amp;")"</f>
        <v>Other operating expenditure - Household measured ()</v>
      </c>
      <c r="D1004" s="2" t="s">
        <v>8</v>
      </c>
      <c r="E1004" s="2" t="s">
        <v>9</v>
      </c>
      <c r="F1004" s="1634"/>
      <c r="G1004" s="1635">
        <f>'4F'!L11</f>
        <v>5.4950000000000001</v>
      </c>
      <c r="H1004" s="1636"/>
    </row>
    <row r="1005" spans="1:8">
      <c r="A1005" s="1634" t="str">
        <f>INDEX(Lists!$C$4:$C$24,MATCH(Validation!$B$3,Lists!$B$4:$B$24,0))</f>
        <v>TMS</v>
      </c>
      <c r="B1005" s="2" t="str">
        <f>'4F'!BK14</f>
        <v>BM9022MSO</v>
      </c>
      <c r="C1005" s="1634" t="str">
        <f>'4F'!BB14&amp;" - "&amp;'4F'!$BJ$3&amp;" ("&amp;'4F'!$BK$3&amp;")"</f>
        <v>Third party services operating expenditure - Household measured ()</v>
      </c>
      <c r="D1005" s="2" t="s">
        <v>8</v>
      </c>
      <c r="E1005" s="2" t="s">
        <v>9</v>
      </c>
      <c r="F1005" s="1634"/>
      <c r="G1005" s="1635">
        <f>'4F'!L14</f>
        <v>0</v>
      </c>
      <c r="H1005" s="1636"/>
    </row>
    <row r="1006" spans="1:8">
      <c r="A1006" s="1634" t="str">
        <f>INDEX(Lists!$C$4:$C$24,MATCH(Validation!$B$3,Lists!$B$4:$B$24,0))</f>
        <v>TMS</v>
      </c>
      <c r="B1006" s="2" t="str">
        <f>'4F'!BK17</f>
        <v>BM4290EXMSO</v>
      </c>
      <c r="C1006" s="1634" t="str">
        <f>'4F'!BB17&amp;" - "&amp;'4F'!$BJ$3&amp;" ("&amp;'4F'!$BK$3&amp;")"</f>
        <v>Depreciation - tangible fixed assets (on assets existing at 31 March 2015) - Household measured ()</v>
      </c>
      <c r="D1006" s="2" t="s">
        <v>8</v>
      </c>
      <c r="E1006" s="2" t="s">
        <v>9</v>
      </c>
      <c r="F1006" s="1634"/>
      <c r="G1006" s="1635">
        <f>'4F'!L17</f>
        <v>1E-3</v>
      </c>
      <c r="H1006" s="1636"/>
    </row>
    <row r="1007" spans="1:8">
      <c r="A1007" s="1634" t="str">
        <f>INDEX(Lists!$C$4:$C$24,MATCH(Validation!$B$3,Lists!$B$4:$B$24,0))</f>
        <v>TMS</v>
      </c>
      <c r="B1007" s="2" t="str">
        <f>'4F'!BK18</f>
        <v>BM4290AQMSO</v>
      </c>
      <c r="C1007" s="1634" t="str">
        <f>'4F'!BB18&amp;" - "&amp;'4F'!$BJ$3&amp;" ("&amp;'4F'!$BK$3&amp;")"</f>
        <v>Depreciation - tangible fixed assets (on assets acquired since 1 April 2015) - Household measured ()</v>
      </c>
      <c r="D1007" s="2" t="s">
        <v>8</v>
      </c>
      <c r="E1007" s="2" t="s">
        <v>9</v>
      </c>
      <c r="F1007" s="1634"/>
      <c r="G1007" s="1635">
        <f>'4F'!L18</f>
        <v>1.7999999999999999E-2</v>
      </c>
      <c r="H1007" s="1636"/>
    </row>
    <row r="1008" spans="1:8">
      <c r="A1008" s="1634" t="str">
        <f>INDEX(Lists!$C$4:$C$24,MATCH(Validation!$B$3,Lists!$B$4:$B$24,0))</f>
        <v>TMS</v>
      </c>
      <c r="B1008" s="2" t="str">
        <f>'4F'!BK19</f>
        <v>BM9027EXMSO</v>
      </c>
      <c r="C1008" s="1634" t="str">
        <f>'4F'!BB19&amp;" - "&amp;'4F'!$BJ$3&amp;" ("&amp;'4F'!$BK$3&amp;")"</f>
        <v>Amortisation - intangible fixed assets (on assets existing at 31 March 2015) - Household measured ()</v>
      </c>
      <c r="D1008" s="2" t="s">
        <v>8</v>
      </c>
      <c r="E1008" s="2" t="s">
        <v>9</v>
      </c>
      <c r="F1008" s="1634"/>
      <c r="G1008" s="1635">
        <f>'4F'!L19</f>
        <v>0</v>
      </c>
      <c r="H1008" s="1636"/>
    </row>
    <row r="1009" spans="1:8">
      <c r="A1009" s="1634" t="str">
        <f>INDEX(Lists!$C$4:$C$24,MATCH(Validation!$B$3,Lists!$B$4:$B$24,0))</f>
        <v>TMS</v>
      </c>
      <c r="B1009" s="2" t="str">
        <f>'4F'!BK20</f>
        <v>BM9027AQMSO</v>
      </c>
      <c r="C1009" s="1634" t="str">
        <f>'4F'!BB20&amp;" - "&amp;'4F'!$BJ$3&amp;" ("&amp;'4F'!$BK$3&amp;")"</f>
        <v>Amortisation - intangible fixed assets (on assets acquired since 1 April 2015) - Household measured ()</v>
      </c>
      <c r="D1009" s="2" t="s">
        <v>8</v>
      </c>
      <c r="E1009" s="2" t="s">
        <v>9</v>
      </c>
      <c r="F1009" s="1634"/>
      <c r="G1009" s="1635">
        <f>'4F'!L20</f>
        <v>8.0000000000000002E-3</v>
      </c>
      <c r="H1009" s="1636"/>
    </row>
    <row r="1010" spans="1:8">
      <c r="A1010" s="1637" t="str">
        <f>INDEX(Lists!$C$4:$C$24,MATCH(Validation!$B$3,Lists!$B$4:$B$24,0))</f>
        <v>TMS</v>
      </c>
      <c r="B1010" s="1651" t="str">
        <f>'4F'!BK23</f>
        <v>BM4017MSO</v>
      </c>
      <c r="C1010" s="1637" t="str">
        <f>'4F'!BB23&amp;" - "&amp;'4F'!$BJ$3&amp;" ("&amp;'4F'!$BK$3&amp;")"</f>
        <v>Capital expenditure - Household measured ()</v>
      </c>
      <c r="D1010" s="1651" t="s">
        <v>8</v>
      </c>
      <c r="E1010" s="1651" t="s">
        <v>9</v>
      </c>
      <c r="F1010" s="1637"/>
      <c r="G1010" s="1653">
        <f>'4F'!L23</f>
        <v>0.31900000000000001</v>
      </c>
      <c r="H1010" s="1652"/>
    </row>
    <row r="1011" spans="1:8">
      <c r="A1011" s="1634" t="str">
        <f>INDEX(Lists!$C$4:$C$24,MATCH(Validation!$B$3,Lists!$B$4:$B$24,0))</f>
        <v>TMS</v>
      </c>
      <c r="B1011" s="2" t="str">
        <f>'4F'!BL7</f>
        <v>BM9030MWS</v>
      </c>
      <c r="C1011" s="1634" t="str">
        <f>'4F'!BB7&amp;" - "&amp;'4F'!$BJ$3&amp;" ("&amp;'4F'!$BL$4&amp;")"</f>
        <v>Customer services - Household measured (Water and wastewater)</v>
      </c>
      <c r="D1011" s="2" t="s">
        <v>8</v>
      </c>
      <c r="E1011" s="2" t="s">
        <v>9</v>
      </c>
      <c r="F1011" s="1634"/>
      <c r="G1011" s="1635">
        <f>'4F'!M7</f>
        <v>21.274999999999999</v>
      </c>
      <c r="H1011" s="1636"/>
    </row>
    <row r="1012" spans="1:8">
      <c r="A1012" s="1634" t="str">
        <f>INDEX(Lists!$C$4:$C$24,MATCH(Validation!$B$3,Lists!$B$4:$B$24,0))</f>
        <v>TMS</v>
      </c>
      <c r="B1012" s="2" t="str">
        <f>'4F'!BL8</f>
        <v>BM9002MWS</v>
      </c>
      <c r="C1012" s="1634" t="str">
        <f>'4F'!BB8&amp;" - "&amp;'4F'!$BJ$3&amp;" ("&amp;'4F'!$BL$4&amp;")"</f>
        <v>Debt management - Household measured (Water and wastewater)</v>
      </c>
      <c r="D1012" s="2" t="s">
        <v>8</v>
      </c>
      <c r="E1012" s="2" t="s">
        <v>9</v>
      </c>
      <c r="F1012" s="1634"/>
      <c r="G1012" s="1635">
        <f>'4F'!M8</f>
        <v>3.9359999999999999</v>
      </c>
      <c r="H1012" s="1636"/>
    </row>
    <row r="1013" spans="1:8">
      <c r="A1013" s="1634" t="str">
        <f>INDEX(Lists!$C$4:$C$24,MATCH(Validation!$B$3,Lists!$B$4:$B$24,0))</f>
        <v>TMS</v>
      </c>
      <c r="B1013" s="2" t="str">
        <f>'4F'!BL9</f>
        <v>BM9003MWS</v>
      </c>
      <c r="C1013" s="1634" t="str">
        <f>'4F'!BB9&amp;" - "&amp;'4F'!$BJ$3&amp;" ("&amp;'4F'!$BL$4&amp;")"</f>
        <v>Doubtful debts - Household measured (Water and wastewater)</v>
      </c>
      <c r="D1013" s="2" t="s">
        <v>8</v>
      </c>
      <c r="E1013" s="2" t="s">
        <v>9</v>
      </c>
      <c r="F1013" s="1634"/>
      <c r="G1013" s="1635">
        <f>'4F'!M9</f>
        <v>16.006</v>
      </c>
      <c r="H1013" s="1636"/>
    </row>
    <row r="1014" spans="1:8">
      <c r="A1014" s="1634" t="str">
        <f>INDEX(Lists!$C$4:$C$24,MATCH(Validation!$B$3,Lists!$B$4:$B$24,0))</f>
        <v>TMS</v>
      </c>
      <c r="B1014" s="2" t="str">
        <f>'4F'!BL10</f>
        <v>BM9007MWS</v>
      </c>
      <c r="C1014" s="1634" t="str">
        <f>'4F'!BB10&amp;" - "&amp;'4F'!$BJ$3&amp;" ("&amp;'4F'!$BL$4&amp;")"</f>
        <v>Meter reading - Household measured (Water and wastewater)</v>
      </c>
      <c r="D1014" s="2" t="s">
        <v>8</v>
      </c>
      <c r="E1014" s="2" t="s">
        <v>9</v>
      </c>
      <c r="F1014" s="1634"/>
      <c r="G1014" s="1635">
        <f>'4F'!M10</f>
        <v>6.5919999999999996</v>
      </c>
      <c r="H1014" s="1636"/>
    </row>
    <row r="1015" spans="1:8">
      <c r="A1015" s="1634" t="str">
        <f>INDEX(Lists!$C$4:$C$24,MATCH(Validation!$B$3,Lists!$B$4:$B$24,0))</f>
        <v>TMS</v>
      </c>
      <c r="B1015" s="2" t="str">
        <f>'4F'!BL11</f>
        <v>BM9033MWS</v>
      </c>
      <c r="C1015" s="1634" t="str">
        <f>'4F'!BB11&amp;" - "&amp;'4F'!$BJ$3&amp;" ("&amp;'4F'!$BL$4&amp;")"</f>
        <v>Other operating expenditure - Household measured (Water and wastewater)</v>
      </c>
      <c r="D1015" s="2" t="s">
        <v>8</v>
      </c>
      <c r="E1015" s="2" t="s">
        <v>9</v>
      </c>
      <c r="F1015" s="1634"/>
      <c r="G1015" s="1635">
        <f>'4F'!M11</f>
        <v>7.7949999999999999</v>
      </c>
      <c r="H1015" s="1636"/>
    </row>
    <row r="1016" spans="1:8">
      <c r="A1016" s="1634" t="str">
        <f>INDEX(Lists!$C$4:$C$24,MATCH(Validation!$B$3,Lists!$B$4:$B$24,0))</f>
        <v>TMS</v>
      </c>
      <c r="B1016" s="2" t="str">
        <f>'4F'!BL14</f>
        <v>BM9022MWS</v>
      </c>
      <c r="C1016" s="1634" t="str">
        <f>'4F'!BB14&amp;" - "&amp;'4F'!$BJ$3&amp;" ("&amp;'4F'!$BL$4&amp;")"</f>
        <v>Third party services operating expenditure - Household measured (Water and wastewater)</v>
      </c>
      <c r="D1016" s="2" t="s">
        <v>8</v>
      </c>
      <c r="E1016" s="2" t="s">
        <v>9</v>
      </c>
      <c r="F1016" s="1634"/>
      <c r="G1016" s="1635">
        <f>'4F'!M14</f>
        <v>0</v>
      </c>
      <c r="H1016" s="1636"/>
    </row>
    <row r="1017" spans="1:8">
      <c r="A1017" s="1634" t="str">
        <f>INDEX(Lists!$C$4:$C$24,MATCH(Validation!$B$3,Lists!$B$4:$B$24,0))</f>
        <v>TMS</v>
      </c>
      <c r="B1017" s="2" t="str">
        <f>'4F'!BL17</f>
        <v>BM4290EXMWS</v>
      </c>
      <c r="C1017" s="1634" t="str">
        <f>'4F'!BB17&amp;" - "&amp;'4F'!$BJ$3&amp;" ("&amp;'4F'!$BL$4&amp;")"</f>
        <v>Depreciation - tangible fixed assets (on assets existing at 31 March 2015) - Household measured (Water and wastewater)</v>
      </c>
      <c r="D1017" s="2" t="s">
        <v>8</v>
      </c>
      <c r="E1017" s="2" t="s">
        <v>9</v>
      </c>
      <c r="F1017" s="1634"/>
      <c r="G1017" s="1635">
        <f>'4F'!M17</f>
        <v>0.04</v>
      </c>
      <c r="H1017" s="1636"/>
    </row>
    <row r="1018" spans="1:8">
      <c r="A1018" s="1634" t="str">
        <f>INDEX(Lists!$C$4:$C$24,MATCH(Validation!$B$3,Lists!$B$4:$B$24,0))</f>
        <v>TMS</v>
      </c>
      <c r="B1018" s="2" t="str">
        <f>'4F'!BL18</f>
        <v>BM4290AQMWS</v>
      </c>
      <c r="C1018" s="1634" t="str">
        <f>'4F'!BB18&amp;" - "&amp;'4F'!$BJ$3&amp;" ("&amp;'4F'!$BL$4&amp;")"</f>
        <v>Depreciation - tangible fixed assets (on assets acquired since 1 April 2015) - Household measured (Water and wastewater)</v>
      </c>
      <c r="D1018" s="2" t="s">
        <v>8</v>
      </c>
      <c r="E1018" s="2" t="s">
        <v>9</v>
      </c>
      <c r="F1018" s="1634"/>
      <c r="G1018" s="1635">
        <f>'4F'!M18</f>
        <v>0.81699999999999995</v>
      </c>
      <c r="H1018" s="1636"/>
    </row>
    <row r="1019" spans="1:8">
      <c r="A1019" s="1634" t="str">
        <f>INDEX(Lists!$C$4:$C$24,MATCH(Validation!$B$3,Lists!$B$4:$B$24,0))</f>
        <v>TMS</v>
      </c>
      <c r="B1019" s="2" t="str">
        <f>'4F'!BL19</f>
        <v>BM9027EXMWS</v>
      </c>
      <c r="C1019" s="1634" t="str">
        <f>'4F'!BB19&amp;" - "&amp;'4F'!$BJ$3&amp;" ("&amp;'4F'!$BL$4&amp;")"</f>
        <v>Amortisation - intangible fixed assets (on assets existing at 31 March 2015) - Household measured (Water and wastewater)</v>
      </c>
      <c r="D1019" s="2" t="s">
        <v>8</v>
      </c>
      <c r="E1019" s="2" t="s">
        <v>9</v>
      </c>
      <c r="F1019" s="1634"/>
      <c r="G1019" s="1635">
        <f>'4F'!M19</f>
        <v>0</v>
      </c>
      <c r="H1019" s="1636"/>
    </row>
    <row r="1020" spans="1:8">
      <c r="A1020" s="1634" t="str">
        <f>INDEX(Lists!$C$4:$C$24,MATCH(Validation!$B$3,Lists!$B$4:$B$24,0))</f>
        <v>TMS</v>
      </c>
      <c r="B1020" s="2" t="str">
        <f>'4F'!BL20</f>
        <v>BM9027AQMWS</v>
      </c>
      <c r="C1020" s="1634" t="str">
        <f>'4F'!BB20&amp;" - "&amp;'4F'!$BJ$3&amp;" ("&amp;'4F'!$BL$4&amp;")"</f>
        <v>Amortisation - intangible fixed assets (on assets acquired since 1 April 2015) - Household measured (Water and wastewater)</v>
      </c>
      <c r="D1020" s="2" t="s">
        <v>8</v>
      </c>
      <c r="E1020" s="2" t="s">
        <v>9</v>
      </c>
      <c r="F1020" s="1634"/>
      <c r="G1020" s="1635">
        <f>'4F'!M20</f>
        <v>0.38100000000000001</v>
      </c>
      <c r="H1020" s="1636"/>
    </row>
    <row r="1021" spans="1:8">
      <c r="A1021" s="1637" t="str">
        <f>INDEX(Lists!$C$4:$C$24,MATCH(Validation!$B$3,Lists!$B$4:$B$24,0))</f>
        <v>TMS</v>
      </c>
      <c r="B1021" s="1651" t="str">
        <f>'4F'!BL23</f>
        <v>BM4017MWS</v>
      </c>
      <c r="C1021" s="1637" t="str">
        <f>'4F'!BB23&amp;" - "&amp;'4F'!$BJ$3&amp;" ("&amp;'4F'!$BL$4&amp;")"</f>
        <v>Capital expenditure - Household measured (Water and wastewater)</v>
      </c>
      <c r="D1021" s="1651" t="s">
        <v>8</v>
      </c>
      <c r="E1021" s="1651" t="s">
        <v>9</v>
      </c>
      <c r="F1021" s="1637"/>
      <c r="G1021" s="1653">
        <f>'4F'!M23</f>
        <v>14.795999999999999</v>
      </c>
      <c r="H1021" s="1652"/>
    </row>
    <row r="1022" spans="1:8">
      <c r="A1022" s="1634" t="str">
        <f>INDEX(Lists!$C$4:$C$24,MATCH(Validation!$B$3,Lists!$B$4:$B$24,0))</f>
        <v>TMS</v>
      </c>
      <c r="B1022" s="2" t="str">
        <f>'4F'!BN26</f>
        <v>R3006</v>
      </c>
      <c r="C1022" s="1634" t="str">
        <f>'4F'!BB26</f>
        <v>Demand-side water efficiency - gross expenditure</v>
      </c>
      <c r="D1022" s="2" t="s">
        <v>8</v>
      </c>
      <c r="E1022" s="2" t="s">
        <v>9</v>
      </c>
      <c r="F1022" s="1634"/>
      <c r="G1022" s="1635">
        <f>'4F'!O26</f>
        <v>7.2629999999999999</v>
      </c>
      <c r="H1022" s="1636"/>
    </row>
    <row r="1023" spans="1:8">
      <c r="A1023" s="1634" t="str">
        <f>INDEX(Lists!$C$4:$C$24,MATCH(Validation!$B$3,Lists!$B$4:$B$24,0))</f>
        <v>TMS</v>
      </c>
      <c r="B1023" s="2" t="str">
        <f>'4F'!BN27</f>
        <v>R3007</v>
      </c>
      <c r="C1023" s="1634" t="str">
        <f>'4F'!BB27</f>
        <v>Demand-side water efficiency - expenditure funded by wholesale</v>
      </c>
      <c r="D1023" s="2" t="s">
        <v>8</v>
      </c>
      <c r="E1023" s="2" t="s">
        <v>9</v>
      </c>
      <c r="F1023" s="1634"/>
      <c r="G1023" s="1635">
        <f>'4F'!O27</f>
        <v>5.3780000000000001</v>
      </c>
      <c r="H1023" s="1636"/>
    </row>
    <row r="1024" spans="1:8">
      <c r="A1024" s="1634" t="str">
        <f>INDEX(Lists!$C$4:$C$24,MATCH(Validation!$B$3,Lists!$B$4:$B$24,0))</f>
        <v>TMS</v>
      </c>
      <c r="B1024" s="2" t="str">
        <f>'4F'!BN29</f>
        <v>R3009</v>
      </c>
      <c r="C1024" s="1634" t="str">
        <f>'4F'!BB29</f>
        <v>Customer-side leak repairs - gross expenditure</v>
      </c>
      <c r="D1024" s="2" t="s">
        <v>8</v>
      </c>
      <c r="E1024" s="2" t="s">
        <v>9</v>
      </c>
      <c r="F1024" s="1634"/>
      <c r="G1024" s="1635">
        <f>'4F'!O29</f>
        <v>9.0090000000000003</v>
      </c>
      <c r="H1024" s="1636"/>
    </row>
    <row r="1025" spans="1:8" ht="15" thickBot="1">
      <c r="A1025" s="1634" t="str">
        <f>INDEX(Lists!$C$4:$C$24,MATCH(Validation!$B$3,Lists!$B$4:$B$24,0))</f>
        <v>TMS</v>
      </c>
      <c r="B1025" s="1648" t="str">
        <f>'4F'!BN30</f>
        <v>R3010</v>
      </c>
      <c r="C1025" s="1642" t="str">
        <f>'4F'!BB30</f>
        <v>Customer-side leak repairs - expenditure funded by wholesale</v>
      </c>
      <c r="D1025" s="2" t="s">
        <v>8</v>
      </c>
      <c r="E1025" s="2" t="s">
        <v>9</v>
      </c>
      <c r="F1025" s="1634"/>
      <c r="G1025" s="1658">
        <f>'4F'!O30</f>
        <v>-8.6120000000000001</v>
      </c>
      <c r="H1025" s="1636"/>
    </row>
    <row r="1026" spans="1:8">
      <c r="A1026" s="1641" t="str">
        <f>INDEX(Lists!$C$4:$C$24,MATCH(Validation!$B$3,Lists!$B$4:$B$24,0))</f>
        <v>TMS</v>
      </c>
      <c r="B1026" s="1634" t="str">
        <f>'4G'!AH7</f>
        <v>BM349TAS</v>
      </c>
      <c r="C1026" s="1634" t="str">
        <f>'4G'!AD7&amp;" - "&amp;'4G'!$AH$3</f>
        <v>Capital maintenance charges - Water</v>
      </c>
      <c r="D1026" s="1644" t="s">
        <v>8</v>
      </c>
      <c r="E1026" s="1644" t="s">
        <v>9</v>
      </c>
      <c r="F1026" s="1641"/>
      <c r="G1026" s="1659">
        <f>'4G'!G7</f>
        <v>-351.43400000000003</v>
      </c>
      <c r="H1026" s="1645"/>
    </row>
    <row r="1027" spans="1:8">
      <c r="A1027" s="1634" t="str">
        <f>INDEX(Lists!$C$4:$C$24,MATCH(Validation!$B$3,Lists!$B$4:$B$24,0))</f>
        <v>TMS</v>
      </c>
      <c r="B1027" s="1634" t="str">
        <f>'4G'!AH11</f>
        <v>A10007WW</v>
      </c>
      <c r="C1027" s="1634" t="str">
        <f>'4G'!AD11&amp;" - "&amp;'4G'!$AH$3</f>
        <v>Other income - Water</v>
      </c>
      <c r="D1027" s="2" t="s">
        <v>8</v>
      </c>
      <c r="E1027" s="2" t="s">
        <v>9</v>
      </c>
      <c r="F1027" s="1634"/>
      <c r="G1027" s="1635">
        <f>'4G'!G11</f>
        <v>29.571999999999999</v>
      </c>
      <c r="H1027" s="1636"/>
    </row>
    <row r="1028" spans="1:8">
      <c r="A1028" s="1634" t="str">
        <f>INDEX(Lists!$C$4:$C$24,MATCH(Validation!$B$3,Lists!$B$4:$B$24,0))</f>
        <v>TMS</v>
      </c>
      <c r="B1028" s="1634" t="str">
        <f>'4G'!AH12</f>
        <v>A10008WW</v>
      </c>
      <c r="C1028" s="1634" t="str">
        <f>'4G'!AD12&amp;" - "&amp;'4G'!$AH$3</f>
        <v>Interest income - Water</v>
      </c>
      <c r="D1028" s="2" t="s">
        <v>8</v>
      </c>
      <c r="E1028" s="2" t="s">
        <v>9</v>
      </c>
      <c r="F1028" s="1634"/>
      <c r="G1028" s="1635">
        <f>'4G'!G12</f>
        <v>42.661000000000001</v>
      </c>
      <c r="H1028" s="1636"/>
    </row>
    <row r="1029" spans="1:8">
      <c r="A1029" s="1634" t="str">
        <f>INDEX(Lists!$C$4:$C$24,MATCH(Validation!$B$3,Lists!$B$4:$B$24,0))</f>
        <v>TMS</v>
      </c>
      <c r="B1029" s="1634" t="str">
        <f>'4G'!AH13</f>
        <v>A10009WW</v>
      </c>
      <c r="C1029" s="1634" t="str">
        <f>'4G'!AD13&amp;" - "&amp;'4G'!$AH$3</f>
        <v>Interest expense - Water</v>
      </c>
      <c r="D1029" s="2" t="s">
        <v>8</v>
      </c>
      <c r="E1029" s="2" t="s">
        <v>9</v>
      </c>
      <c r="F1029" s="1634"/>
      <c r="G1029" s="1635">
        <f>'4G'!G13</f>
        <v>-261.30799999999999</v>
      </c>
      <c r="H1029" s="1636"/>
    </row>
    <row r="1030" spans="1:8">
      <c r="A1030" s="1634" t="str">
        <f>INDEX(Lists!$C$4:$C$24,MATCH(Validation!$B$3,Lists!$B$4:$B$24,0))</f>
        <v>TMS</v>
      </c>
      <c r="B1030" s="1634" t="str">
        <f>'4G'!AH14</f>
        <v>A10010WW</v>
      </c>
      <c r="C1030" s="1634" t="str">
        <f>'4G'!AD14&amp;" - "&amp;'4G'!$AH$3</f>
        <v>Other interest expense - Water</v>
      </c>
      <c r="D1030" s="2" t="s">
        <v>8</v>
      </c>
      <c r="E1030" s="2" t="s">
        <v>9</v>
      </c>
      <c r="F1030" s="1634"/>
      <c r="G1030" s="1635">
        <f>'4G'!G14</f>
        <v>-3.7320000000000002</v>
      </c>
      <c r="H1030" s="1636"/>
    </row>
    <row r="1031" spans="1:8">
      <c r="A1031" s="1637" t="str">
        <f>INDEX(Lists!$C$4:$C$24,MATCH(Validation!$B$3,Lists!$B$4:$B$24,0))</f>
        <v>TMS</v>
      </c>
      <c r="B1031" s="1637" t="str">
        <f>'4G'!AH17</f>
        <v>A10012WW</v>
      </c>
      <c r="C1031" s="1637" t="str">
        <f>'4G'!AD17&amp;" - "&amp;'4G'!$AH$3</f>
        <v>Fair value gains/(losses) on financial instruments - Water</v>
      </c>
      <c r="D1031" s="1651" t="s">
        <v>8</v>
      </c>
      <c r="E1031" s="1651" t="s">
        <v>9</v>
      </c>
      <c r="F1031" s="1637"/>
      <c r="G1031" s="1653">
        <f>'4G'!G17</f>
        <v>-19.361999999999998</v>
      </c>
      <c r="H1031" s="1652"/>
    </row>
    <row r="1032" spans="1:8">
      <c r="A1032" s="1634" t="str">
        <f>INDEX(Lists!$C$4:$C$24,MATCH(Validation!$B$3,Lists!$B$4:$B$24,0))</f>
        <v>TMS</v>
      </c>
      <c r="B1032" s="1634" t="str">
        <f>'4G'!AI7</f>
        <v>BM815TAS</v>
      </c>
      <c r="C1032" s="1634" t="str">
        <f>'4G'!AD7&amp;" - "&amp;'4G'!$AI$3</f>
        <v>Capital maintenance charges - Wastewater</v>
      </c>
      <c r="D1032" s="2" t="s">
        <v>8</v>
      </c>
      <c r="E1032" s="2" t="s">
        <v>9</v>
      </c>
      <c r="F1032" s="1634"/>
      <c r="G1032" s="1635">
        <f>'4G'!H7</f>
        <v>-394.017</v>
      </c>
      <c r="H1032" s="1636"/>
    </row>
    <row r="1033" spans="1:8">
      <c r="A1033" s="1634" t="str">
        <f>INDEX(Lists!$C$4:$C$24,MATCH(Validation!$B$3,Lists!$B$4:$B$24,0))</f>
        <v>TMS</v>
      </c>
      <c r="B1033" s="1634" t="str">
        <f>'4G'!AI11</f>
        <v>A10007WS</v>
      </c>
      <c r="C1033" s="1634" t="str">
        <f>'4G'!AD11&amp;" - "&amp;'4G'!$AI$3</f>
        <v>Other income - Wastewater</v>
      </c>
      <c r="D1033" s="2" t="s">
        <v>8</v>
      </c>
      <c r="E1033" s="2" t="s">
        <v>9</v>
      </c>
      <c r="F1033" s="1634"/>
      <c r="G1033" s="1635">
        <f>'4G'!H11</f>
        <v>34.683</v>
      </c>
      <c r="H1033" s="1636"/>
    </row>
    <row r="1034" spans="1:8">
      <c r="A1034" s="1634" t="str">
        <f>INDEX(Lists!$C$4:$C$24,MATCH(Validation!$B$3,Lists!$B$4:$B$24,0))</f>
        <v>TMS</v>
      </c>
      <c r="B1034" s="1634" t="str">
        <f>'4G'!AI12</f>
        <v>A10008WS</v>
      </c>
      <c r="C1034" s="1634" t="str">
        <f>'4G'!AD12&amp;" - "&amp;'4G'!$AI$3</f>
        <v>Interest income - Wastewater</v>
      </c>
      <c r="D1034" s="2" t="s">
        <v>8</v>
      </c>
      <c r="E1034" s="2" t="s">
        <v>9</v>
      </c>
      <c r="F1034" s="1634"/>
      <c r="G1034" s="1635">
        <f>'4G'!H12</f>
        <v>50.033999999999999</v>
      </c>
      <c r="H1034" s="1636"/>
    </row>
    <row r="1035" spans="1:8">
      <c r="A1035" s="1634" t="str">
        <f>INDEX(Lists!$C$4:$C$24,MATCH(Validation!$B$3,Lists!$B$4:$B$24,0))</f>
        <v>TMS</v>
      </c>
      <c r="B1035" s="1634" t="str">
        <f>'4G'!AI13</f>
        <v>A10009WS</v>
      </c>
      <c r="C1035" s="1634" t="str">
        <f>'4G'!AD13&amp;" - "&amp;'4G'!$AI$3</f>
        <v>Interest expense - Wastewater</v>
      </c>
      <c r="D1035" s="2" t="s">
        <v>8</v>
      </c>
      <c r="E1035" s="2" t="s">
        <v>9</v>
      </c>
      <c r="F1035" s="1634"/>
      <c r="G1035" s="1635">
        <f>'4G'!H13</f>
        <v>-306.47000000000003</v>
      </c>
      <c r="H1035" s="1636"/>
    </row>
    <row r="1036" spans="1:8">
      <c r="A1036" s="1634" t="str">
        <f>INDEX(Lists!$C$4:$C$24,MATCH(Validation!$B$3,Lists!$B$4:$B$24,0))</f>
        <v>TMS</v>
      </c>
      <c r="B1036" s="1634" t="str">
        <f>'4G'!AI14</f>
        <v>A10010WS</v>
      </c>
      <c r="C1036" s="1634" t="str">
        <f>'4G'!AD14&amp;" - "&amp;'4G'!$AI$3</f>
        <v>Other interest expense - Wastewater</v>
      </c>
      <c r="D1036" s="2" t="s">
        <v>8</v>
      </c>
      <c r="E1036" s="2" t="s">
        <v>9</v>
      </c>
      <c r="F1036" s="1634"/>
      <c r="G1036" s="1635">
        <f>'4G'!H14</f>
        <v>-4.3769999999999998</v>
      </c>
      <c r="H1036" s="1636"/>
    </row>
    <row r="1037" spans="1:8">
      <c r="A1037" s="1637" t="str">
        <f>INDEX(Lists!$C$4:$C$24,MATCH(Validation!$B$3,Lists!$B$4:$B$24,0))</f>
        <v>TMS</v>
      </c>
      <c r="B1037" s="1637" t="str">
        <f>'4G'!AI17</f>
        <v>A10012WS</v>
      </c>
      <c r="C1037" s="1637" t="str">
        <f>'4G'!AD17&amp;" - "&amp;'4G'!$AI$3</f>
        <v>Fair value gains/(losses) on financial instruments - Wastewater</v>
      </c>
      <c r="D1037" s="1651" t="s">
        <v>8</v>
      </c>
      <c r="E1037" s="1651" t="s">
        <v>9</v>
      </c>
      <c r="F1037" s="1637"/>
      <c r="G1037" s="1653">
        <f>'4G'!H17</f>
        <v>-22.709</v>
      </c>
      <c r="H1037" s="1652"/>
    </row>
    <row r="1038" spans="1:8">
      <c r="A1038" s="1634" t="str">
        <f>INDEX(Lists!$C$4:$C$24,MATCH(Validation!$B$3,Lists!$B$4:$B$24,0))</f>
        <v>TMS</v>
      </c>
      <c r="B1038" s="1634" t="str">
        <f>'4G'!AJ7</f>
        <v>BM815TASTTT</v>
      </c>
      <c r="C1038" s="1634" t="str">
        <f>'4G'!AD7&amp;" - "&amp;'4G'!$AJ$3</f>
        <v>Capital maintenance charges - TTT</v>
      </c>
      <c r="D1038" s="2" t="s">
        <v>8</v>
      </c>
      <c r="E1038" s="1636" t="s">
        <v>9</v>
      </c>
      <c r="F1038" s="1634"/>
      <c r="G1038" s="1635">
        <f>'4G'!I7</f>
        <v>-0.65700000000000003</v>
      </c>
      <c r="H1038" s="1636"/>
    </row>
    <row r="1039" spans="1:8">
      <c r="A1039" s="1634" t="str">
        <f>INDEX(Lists!$C$4:$C$24,MATCH(Validation!$B$3,Lists!$B$4:$B$24,0))</f>
        <v>TMS</v>
      </c>
      <c r="B1039" s="1634" t="str">
        <f>'4G'!AJ11</f>
        <v>A10007WSTTT</v>
      </c>
      <c r="C1039" s="1634" t="str">
        <f>'4G'!AD11&amp;" - "&amp;'4G'!$AJ$3</f>
        <v>Other income - TTT</v>
      </c>
      <c r="D1039" s="2" t="s">
        <v>8</v>
      </c>
      <c r="E1039" s="1636" t="s">
        <v>9</v>
      </c>
      <c r="F1039" s="1634"/>
      <c r="G1039" s="1635">
        <f>'4G'!I11</f>
        <v>7.0629999999999997</v>
      </c>
      <c r="H1039" s="1636"/>
    </row>
    <row r="1040" spans="1:8">
      <c r="A1040" s="1634" t="str">
        <f>INDEX(Lists!$C$4:$C$24,MATCH(Validation!$B$3,Lists!$B$4:$B$24,0))</f>
        <v>TMS</v>
      </c>
      <c r="B1040" s="1634" t="str">
        <f>'4G'!AJ12</f>
        <v>A10008WSTTT</v>
      </c>
      <c r="C1040" s="1634" t="str">
        <f>'4G'!AD12&amp;" - "&amp;'4G'!$AJ$3</f>
        <v>Interest income - TTT</v>
      </c>
      <c r="D1040" s="2" t="s">
        <v>8</v>
      </c>
      <c r="E1040" s="1636" t="s">
        <v>9</v>
      </c>
      <c r="F1040" s="1634"/>
      <c r="G1040" s="1635">
        <f>'4G'!I12</f>
        <v>10.189</v>
      </c>
      <c r="H1040" s="1636"/>
    </row>
    <row r="1041" spans="1:8">
      <c r="A1041" s="1634" t="str">
        <f>INDEX(Lists!$C$4:$C$24,MATCH(Validation!$B$3,Lists!$B$4:$B$24,0))</f>
        <v>TMS</v>
      </c>
      <c r="B1041" s="1634" t="str">
        <f>'4G'!AJ13</f>
        <v>A10009WSTTT</v>
      </c>
      <c r="C1041" s="1634" t="str">
        <f>'4G'!AD13&amp;" - "&amp;'4G'!$AJ$3</f>
        <v>Interest expense - TTT</v>
      </c>
      <c r="D1041" s="2" t="s">
        <v>8</v>
      </c>
      <c r="E1041" s="1636" t="s">
        <v>9</v>
      </c>
      <c r="F1041" s="1634"/>
      <c r="G1041" s="1635">
        <f>'4G'!I13</f>
        <v>-62.411999999999999</v>
      </c>
      <c r="H1041" s="1636"/>
    </row>
    <row r="1042" spans="1:8">
      <c r="A1042" s="1634" t="str">
        <f>INDEX(Lists!$C$4:$C$24,MATCH(Validation!$B$3,Lists!$B$4:$B$24,0))</f>
        <v>TMS</v>
      </c>
      <c r="B1042" s="1634" t="str">
        <f>'4G'!AJ14</f>
        <v>A10010WSTTT</v>
      </c>
      <c r="C1042" s="1634" t="str">
        <f>'4G'!AD14&amp;" - "&amp;'4G'!$AJ$3</f>
        <v>Other interest expense - TTT</v>
      </c>
      <c r="D1042" s="2" t="s">
        <v>8</v>
      </c>
      <c r="E1042" s="1636" t="s">
        <v>9</v>
      </c>
      <c r="F1042" s="1634"/>
      <c r="G1042" s="1635">
        <f>'4G'!I14</f>
        <v>-0.89100000000000001</v>
      </c>
      <c r="H1042" s="1636"/>
    </row>
    <row r="1043" spans="1:8" ht="15" thickBot="1">
      <c r="A1043" s="1642" t="str">
        <f>INDEX(Lists!$C$4:$C$24,MATCH(Validation!$B$3,Lists!$B$4:$B$24,0))</f>
        <v>TMS</v>
      </c>
      <c r="B1043" s="1634" t="str">
        <f>'4G'!AJ17</f>
        <v>A10012WSTTT</v>
      </c>
      <c r="C1043" s="1634" t="str">
        <f>'4G'!AD17&amp;" - "&amp;'4G'!$AJ$3</f>
        <v>Fair value gains/(losses) on financial instruments - TTT</v>
      </c>
      <c r="D1043" s="1648" t="s">
        <v>8</v>
      </c>
      <c r="E1043" s="1649" t="s">
        <v>9</v>
      </c>
      <c r="F1043" s="1634"/>
      <c r="G1043" s="1635">
        <f>'4G'!I17</f>
        <v>-4.625</v>
      </c>
      <c r="H1043" s="1636"/>
    </row>
    <row r="1044" spans="1:8">
      <c r="A1044" s="1693" t="str">
        <f>INDEX(Lists!$C$4:$C$24,MATCH(Validation!$B$3,Lists!$B$4:$B$24,0))</f>
        <v>TMS</v>
      </c>
      <c r="B1044" s="1693" t="str">
        <f>'4H'!AF10</f>
        <v>T19004PT</v>
      </c>
      <c r="C1044" s="1693" t="str">
        <f>'4H'!AB10</f>
        <v>Post tax return on regulated equity</v>
      </c>
      <c r="D1044" s="1644" t="s">
        <v>10</v>
      </c>
      <c r="E1044" s="1644" t="s">
        <v>9</v>
      </c>
      <c r="F1044" s="1641"/>
      <c r="G1044" s="1694">
        <f>'4H'!G10</f>
        <v>2.5404167307332692E-2</v>
      </c>
      <c r="H1044" s="1645"/>
    </row>
    <row r="1045" spans="1:8">
      <c r="A1045" s="1677" t="str">
        <f>INDEX(Lists!$C$4:$C$24,MATCH(Validation!$B$3,Lists!$B$4:$B$24,0))</f>
        <v>TMS</v>
      </c>
      <c r="B1045" s="1677" t="str">
        <f>'4H'!AF11</f>
        <v>T19004</v>
      </c>
      <c r="C1045" s="1677" t="str">
        <f>'4H'!AB11</f>
        <v>RORE (return on regulated equity)</v>
      </c>
      <c r="D1045" s="2" t="s">
        <v>10</v>
      </c>
      <c r="E1045" s="2" t="s">
        <v>9</v>
      </c>
      <c r="F1045" s="1634"/>
      <c r="G1045" s="1678">
        <f>'4H'!G11</f>
        <v>4.8599999999999997E-2</v>
      </c>
      <c r="H1045" s="1636"/>
    </row>
    <row r="1046" spans="1:8">
      <c r="A1046" s="1677" t="str">
        <f>INDEX(Lists!$C$4:$C$24,MATCH(Validation!$B$3,Lists!$B$4:$B$24,0))</f>
        <v>TMS</v>
      </c>
      <c r="B1046" s="1677" t="str">
        <f>'4H'!AF12</f>
        <v>CR1050</v>
      </c>
      <c r="C1046" s="1677" t="str">
        <f>'4H'!AB12</f>
        <v>Dividend yield</v>
      </c>
      <c r="D1046" s="2" t="s">
        <v>10</v>
      </c>
      <c r="E1046" s="2" t="s">
        <v>9</v>
      </c>
      <c r="F1046" s="1634"/>
      <c r="G1046" s="1678">
        <f>'4H'!G12</f>
        <v>1.8550902062123606E-2</v>
      </c>
      <c r="H1046" s="1636"/>
    </row>
    <row r="1047" spans="1:8">
      <c r="A1047" s="1634" t="str">
        <f>INDEX(Lists!$C$4:$C$24,MATCH(Validation!$B$3,Lists!$B$4:$B$24,0))</f>
        <v>TMS</v>
      </c>
      <c r="B1047" s="1634" t="str">
        <f>'4H'!AF15</f>
        <v>A8012FM</v>
      </c>
      <c r="C1047" s="1634" t="str">
        <f>'4H'!AB15</f>
        <v>Credit rating</v>
      </c>
      <c r="D1047" s="2" t="s">
        <v>20</v>
      </c>
      <c r="E1047" s="2" t="s">
        <v>9</v>
      </c>
      <c r="F1047" s="1634"/>
      <c r="G1047" s="1683" t="str">
        <f>'4H'!G15</f>
        <v>Baa1 negative</v>
      </c>
      <c r="H1047" s="1636"/>
    </row>
    <row r="1048" spans="1:8">
      <c r="A1048" s="1677" t="str">
        <f>INDEX(Lists!$C$4:$C$24,MATCH(Validation!$B$3,Lists!$B$4:$B$24,0))</f>
        <v>TMS</v>
      </c>
      <c r="B1048" s="1677" t="str">
        <f>'4H'!AF16</f>
        <v>CR19006</v>
      </c>
      <c r="C1048" s="1677" t="str">
        <f>'4H'!AB16</f>
        <v>Return on RCV</v>
      </c>
      <c r="D1048" s="2" t="s">
        <v>10</v>
      </c>
      <c r="E1048" s="2" t="s">
        <v>9</v>
      </c>
      <c r="F1048" s="1634"/>
      <c r="G1048" s="1678">
        <f>'4H'!G16</f>
        <v>4.4368176986843193E-2</v>
      </c>
      <c r="H1048" s="1636"/>
    </row>
    <row r="1049" spans="1:8">
      <c r="A1049" s="1692" t="str">
        <f>INDEX(Lists!$C$4:$C$24,MATCH(Validation!$B$3,Lists!$B$4:$B$24,0))</f>
        <v>TMS</v>
      </c>
      <c r="B1049" s="1692" t="str">
        <f>'4H'!AF17</f>
        <v>CR2610</v>
      </c>
      <c r="C1049" s="1692" t="str">
        <f>'4H'!AB17</f>
        <v>Dividend cover</v>
      </c>
      <c r="D1049" s="2" t="s">
        <v>21</v>
      </c>
      <c r="E1049" s="2" t="s">
        <v>9</v>
      </c>
      <c r="F1049" s="1634"/>
      <c r="G1049" s="1678">
        <f>'4H'!G17</f>
        <v>-4.0860342680141284E-2</v>
      </c>
      <c r="H1049" s="1636"/>
    </row>
    <row r="1050" spans="1:8">
      <c r="A1050" s="1692" t="str">
        <f>INDEX(Lists!$C$4:$C$24,MATCH(Validation!$B$3,Lists!$B$4:$B$24,0))</f>
        <v>TMS</v>
      </c>
      <c r="B1050" s="1692" t="str">
        <f>'4H'!AF19</f>
        <v>CR1051</v>
      </c>
      <c r="C1050" s="1692" t="str">
        <f>'4H'!AB19</f>
        <v>Interest cover (cash)</v>
      </c>
      <c r="D1050" s="2" t="s">
        <v>21</v>
      </c>
      <c r="E1050" s="2" t="s">
        <v>9</v>
      </c>
      <c r="F1050" s="1634"/>
      <c r="G1050" s="1678">
        <f>'4H'!G19</f>
        <v>3.2344358715333685</v>
      </c>
      <c r="H1050" s="1636"/>
    </row>
    <row r="1051" spans="1:8">
      <c r="A1051" s="1692" t="str">
        <f>INDEX(Lists!$C$4:$C$24,MATCH(Validation!$B$3,Lists!$B$4:$B$24,0))</f>
        <v>TMS</v>
      </c>
      <c r="B1051" s="1692" t="str">
        <f>'4H'!AF20</f>
        <v>CR1052</v>
      </c>
      <c r="C1051" s="1692" t="str">
        <f>'4H'!AB20</f>
        <v>Adjusted interest cover (cash)</v>
      </c>
      <c r="D1051" s="2" t="s">
        <v>21</v>
      </c>
      <c r="E1051" s="2" t="s">
        <v>9</v>
      </c>
      <c r="F1051" s="1634"/>
      <c r="G1051" s="1678">
        <f>'4H'!G20</f>
        <v>1.6572044138034403</v>
      </c>
      <c r="H1051" s="1636"/>
    </row>
    <row r="1052" spans="1:8">
      <c r="A1052" s="1677" t="str">
        <f>INDEX(Lists!$C$4:$C$24,MATCH(Validation!$B$3,Lists!$B$4:$B$24,0))</f>
        <v>TMS</v>
      </c>
      <c r="B1052" s="1677" t="str">
        <f>'4H'!AF22</f>
        <v>CR1054</v>
      </c>
      <c r="C1052" s="1677" t="str">
        <f>'4H'!AB22</f>
        <v>Effective tax rate</v>
      </c>
      <c r="D1052" s="2" t="s">
        <v>10</v>
      </c>
      <c r="E1052" s="2" t="s">
        <v>9</v>
      </c>
      <c r="F1052" s="1634"/>
      <c r="G1052" s="1678">
        <f>'4H'!G22</f>
        <v>3.2172737837404153E-2</v>
      </c>
      <c r="H1052" s="1636"/>
    </row>
    <row r="1053" spans="1:8">
      <c r="A1053" s="1677" t="str">
        <f>INDEX(Lists!$C$4:$C$24,MATCH(Validation!$B$3,Lists!$B$4:$B$24,0))</f>
        <v>TMS</v>
      </c>
      <c r="B1053" s="1677" t="str">
        <f>'4H'!AF34</f>
        <v>CR1061</v>
      </c>
      <c r="C1053" s="1677" t="str">
        <f>'4H'!AB34</f>
        <v>Proportion of borrowings due within 1 year or less</v>
      </c>
      <c r="D1053" s="2" t="s">
        <v>10</v>
      </c>
      <c r="E1053" s="2" t="s">
        <v>9</v>
      </c>
      <c r="F1053" s="1634"/>
      <c r="G1053" s="1678">
        <f>'4H'!G34</f>
        <v>8.3999999999999995E-3</v>
      </c>
      <c r="H1053" s="1636"/>
    </row>
    <row r="1054" spans="1:8">
      <c r="A1054" s="1677" t="str">
        <f>INDEX(Lists!$C$4:$C$24,MATCH(Validation!$B$3,Lists!$B$4:$B$24,0))</f>
        <v>TMS</v>
      </c>
      <c r="B1054" s="1677" t="str">
        <f>'4H'!AF35</f>
        <v>CR1062</v>
      </c>
      <c r="C1054" s="1677" t="str">
        <f>'4H'!AB35</f>
        <v>Proportion of borrowings due in more than 1 year but no more than 2 years</v>
      </c>
      <c r="D1054" s="2" t="s">
        <v>10</v>
      </c>
      <c r="E1054" s="2" t="s">
        <v>9</v>
      </c>
      <c r="F1054" s="1634"/>
      <c r="G1054" s="1678">
        <f>'4H'!G35</f>
        <v>4.2000000000000003E-2</v>
      </c>
      <c r="H1054" s="1636"/>
    </row>
    <row r="1055" spans="1:8">
      <c r="A1055" s="1677" t="str">
        <f>INDEX(Lists!$C$4:$C$24,MATCH(Validation!$B$3,Lists!$B$4:$B$24,0))</f>
        <v>TMS</v>
      </c>
      <c r="B1055" s="1677" t="str">
        <f>'4H'!AF36</f>
        <v>CR1063</v>
      </c>
      <c r="C1055" s="1677" t="str">
        <f>'4H'!AB36</f>
        <v>Proportion of borrowings due in more than 2 years but but no more than 5 years</v>
      </c>
      <c r="D1055" s="2" t="s">
        <v>10</v>
      </c>
      <c r="E1055" s="2" t="s">
        <v>9</v>
      </c>
      <c r="F1055" s="1634"/>
      <c r="G1055" s="1678">
        <f>'4H'!G36</f>
        <v>9.0499999999999997E-2</v>
      </c>
      <c r="H1055" s="1636"/>
    </row>
    <row r="1056" spans="1:8">
      <c r="A1056" s="1677" t="str">
        <f>INDEX(Lists!$C$4:$C$24,MATCH(Validation!$B$3,Lists!$B$4:$B$24,0))</f>
        <v>TMS</v>
      </c>
      <c r="B1056" s="1677" t="str">
        <f>'4H'!AF37</f>
        <v>CR1064</v>
      </c>
      <c r="C1056" s="1677" t="str">
        <f>'4H'!AB37</f>
        <v>Proportion of borrowings due in more than 5 years but no more than 20 years</v>
      </c>
      <c r="D1056" s="2" t="s">
        <v>10</v>
      </c>
      <c r="E1056" s="2" t="s">
        <v>9</v>
      </c>
      <c r="F1056" s="1634"/>
      <c r="G1056" s="1678">
        <f>'4H'!G37</f>
        <v>0.51259999999999994</v>
      </c>
      <c r="H1056" s="1636"/>
    </row>
    <row r="1057" spans="1:8" ht="15" thickBot="1">
      <c r="A1057" s="1695" t="str">
        <f>INDEX(Lists!$C$4:$C$24,MATCH(Validation!$B$3,Lists!$B$4:$B$24,0))</f>
        <v>TMS</v>
      </c>
      <c r="B1057" s="1695" t="str">
        <f>'4H'!AF38</f>
        <v>CR1065</v>
      </c>
      <c r="C1057" s="1695" t="str">
        <f>'4H'!AB38</f>
        <v>Proportion of borrowings due in more than 20 years</v>
      </c>
      <c r="D1057" s="1648" t="s">
        <v>10</v>
      </c>
      <c r="E1057" s="1648" t="s">
        <v>9</v>
      </c>
      <c r="F1057" s="1642"/>
      <c r="G1057" s="1682">
        <f>'4H'!G38</f>
        <v>0.34649999999999997</v>
      </c>
      <c r="H1057" s="1649"/>
    </row>
    <row r="1058" spans="1:8">
      <c r="A1058" s="1645" t="str">
        <f>INDEX(Lists!$C$4:$C$24,MATCH(Validation!$B$3,Lists!$B$4:$B$24,0))</f>
        <v>TMS</v>
      </c>
      <c r="B1058" s="1645" t="str">
        <f>'4I'!BF8</f>
        <v>CR2021N1</v>
      </c>
      <c r="C1058" s="1645" t="str">
        <f>'4I'!$BB$7&amp;" - "&amp;'4I'!BB8&amp;": "&amp;'4I'!$BF$3&amp;" - "&amp;'4I'!$BF$4</f>
        <v>Interest rate swap (sterling) - Floating to fixed rate: Nominal value by maturity (net) - 1 to 2 years</v>
      </c>
      <c r="D1058" s="1644" t="s">
        <v>8</v>
      </c>
      <c r="E1058" s="1644" t="s">
        <v>9</v>
      </c>
      <c r="F1058" s="1641"/>
      <c r="G1058" s="1659">
        <f>'4I'!G8</f>
        <v>0</v>
      </c>
      <c r="H1058" s="1645"/>
    </row>
    <row r="1059" spans="1:8">
      <c r="A1059" s="1636" t="str">
        <f>INDEX(Lists!$C$4:$C$24,MATCH(Validation!$B$3,Lists!$B$4:$B$24,0))</f>
        <v>TMS</v>
      </c>
      <c r="B1059" s="1636" t="str">
        <f>'4I'!BF9</f>
        <v>CR2022N1</v>
      </c>
      <c r="C1059" s="1636" t="str">
        <f>'4I'!$BB$7&amp;" - "&amp;'4I'!BB9&amp;": "&amp;'4I'!$BF$3&amp;" - "&amp;'4I'!$BF$4</f>
        <v>Interest rate swap (sterling) - Floating from fixed rate: Nominal value by maturity (net) - 1 to 2 years</v>
      </c>
      <c r="D1059" s="2" t="s">
        <v>8</v>
      </c>
      <c r="E1059" s="2" t="s">
        <v>9</v>
      </c>
      <c r="F1059" s="1634"/>
      <c r="G1059" s="1635">
        <f>'4I'!G9</f>
        <v>0</v>
      </c>
      <c r="H1059" s="1636"/>
    </row>
    <row r="1060" spans="1:8">
      <c r="A1060" s="1636" t="str">
        <f>INDEX(Lists!$C$4:$C$24,MATCH(Validation!$B$3,Lists!$B$4:$B$24,0))</f>
        <v>TMS</v>
      </c>
      <c r="B1060" s="1636" t="str">
        <f>'4I'!BF10</f>
        <v>CR2023N1</v>
      </c>
      <c r="C1060" s="1636" t="str">
        <f>'4I'!$BB$7&amp;" - "&amp;'4I'!BB10&amp;": "&amp;'4I'!$BF$3&amp;" - "&amp;'4I'!$BF$4</f>
        <v>Interest rate swap (sterling) - Floating to index linked: Nominal value by maturity (net) - 1 to 2 years</v>
      </c>
      <c r="D1060" s="2" t="s">
        <v>8</v>
      </c>
      <c r="E1060" s="2" t="s">
        <v>9</v>
      </c>
      <c r="F1060" s="1634"/>
      <c r="G1060" s="1635">
        <f>'4I'!G10</f>
        <v>0</v>
      </c>
      <c r="H1060" s="1636"/>
    </row>
    <row r="1061" spans="1:8">
      <c r="A1061" s="1636" t="str">
        <f>INDEX(Lists!$C$4:$C$24,MATCH(Validation!$B$3,Lists!$B$4:$B$24,0))</f>
        <v>TMS</v>
      </c>
      <c r="B1061" s="1636" t="str">
        <f>'4I'!BF11</f>
        <v>CR2024N1</v>
      </c>
      <c r="C1061" s="1636" t="str">
        <f>'4I'!$BB$7&amp;" - "&amp;'4I'!BB11&amp;": "&amp;'4I'!$BF$3&amp;" - "&amp;'4I'!$BF$4</f>
        <v>Interest rate swap (sterling) - Floating from index linked: Nominal value by maturity (net) - 1 to 2 years</v>
      </c>
      <c r="D1061" s="2" t="s">
        <v>8</v>
      </c>
      <c r="E1061" s="2" t="s">
        <v>9</v>
      </c>
      <c r="F1061" s="1634"/>
      <c r="G1061" s="1635">
        <f>'4I'!G11</f>
        <v>0</v>
      </c>
      <c r="H1061" s="1636"/>
    </row>
    <row r="1062" spans="1:8">
      <c r="A1062" s="1636" t="str">
        <f>INDEX(Lists!$C$4:$C$24,MATCH(Validation!$B$3,Lists!$B$4:$B$24,0))</f>
        <v>TMS</v>
      </c>
      <c r="B1062" s="1636" t="str">
        <f>'4I'!BF12</f>
        <v>CR2025N1</v>
      </c>
      <c r="C1062" s="1636" t="str">
        <f>'4I'!$BB$7&amp;" - "&amp;'4I'!BB12&amp;": "&amp;'4I'!$BF$3&amp;" - "&amp;'4I'!$BF$4</f>
        <v>Interest rate swap (sterling) - Fixed to index-linked: Nominal value by maturity (net) - 1 to 2 years</v>
      </c>
      <c r="D1062" s="2" t="s">
        <v>8</v>
      </c>
      <c r="E1062" s="2" t="s">
        <v>9</v>
      </c>
      <c r="F1062" s="1634"/>
      <c r="G1062" s="1635">
        <f>'4I'!G12</f>
        <v>0</v>
      </c>
      <c r="H1062" s="1636"/>
    </row>
    <row r="1063" spans="1:8">
      <c r="A1063" s="1636" t="str">
        <f>INDEX(Lists!$C$4:$C$24,MATCH(Validation!$B$3,Lists!$B$4:$B$24,0))</f>
        <v>TMS</v>
      </c>
      <c r="B1063" s="1636" t="str">
        <f>'4I'!BF13</f>
        <v>CR2026N1</v>
      </c>
      <c r="C1063" s="1636" t="str">
        <f>'4I'!$BB$7&amp;" - "&amp;'4I'!BB13&amp;": "&amp;'4I'!$BF$3&amp;" - "&amp;'4I'!$BF$4</f>
        <v>Interest rate swap (sterling) - Fixed from index-linked: Nominal value by maturity (net) - 1 to 2 years</v>
      </c>
      <c r="D1063" s="2" t="s">
        <v>8</v>
      </c>
      <c r="E1063" s="2" t="s">
        <v>9</v>
      </c>
      <c r="F1063" s="1634"/>
      <c r="G1063" s="1635">
        <f>'4I'!G13</f>
        <v>0</v>
      </c>
      <c r="H1063" s="1636"/>
    </row>
    <row r="1064" spans="1:8">
      <c r="A1064" s="1636" t="str">
        <f>INDEX(Lists!$C$4:$C$24,MATCH(Validation!$B$3,Lists!$B$4:$B$24,0))</f>
        <v>TMS</v>
      </c>
      <c r="B1064" s="1636" t="str">
        <f>'4I'!BF17</f>
        <v>CR2005N1</v>
      </c>
      <c r="C1064" s="1636" t="str">
        <f>'4I'!$BB$16&amp;" - "&amp;'4I'!BB17&amp;": "&amp;'4I'!$BF$3&amp;" - "&amp;'4I'!$BF$4</f>
        <v>Foreign Exchange - Cross currency swap USD: Nominal value by maturity (net) - 1 to 2 years</v>
      </c>
      <c r="D1064" s="2" t="s">
        <v>8</v>
      </c>
      <c r="E1064" s="2" t="s">
        <v>9</v>
      </c>
      <c r="F1064" s="1634"/>
      <c r="G1064" s="1635">
        <f>'4I'!G17</f>
        <v>0</v>
      </c>
      <c r="H1064" s="1636"/>
    </row>
    <row r="1065" spans="1:8">
      <c r="A1065" s="1636" t="str">
        <f>INDEX(Lists!$C$4:$C$24,MATCH(Validation!$B$3,Lists!$B$4:$B$24,0))</f>
        <v>TMS</v>
      </c>
      <c r="B1065" s="1636" t="str">
        <f>'4I'!BF18</f>
        <v>CR2006N1</v>
      </c>
      <c r="C1065" s="1636" t="str">
        <f>'4I'!$BB$16&amp;" - "&amp;'4I'!BB18&amp;": "&amp;'4I'!$BF$3&amp;" - "&amp;'4I'!$BF$4</f>
        <v>Foreign Exchange - Cross currency swap EUR: Nominal value by maturity (net) - 1 to 2 years</v>
      </c>
      <c r="D1065" s="2" t="s">
        <v>8</v>
      </c>
      <c r="E1065" s="2" t="s">
        <v>9</v>
      </c>
      <c r="F1065" s="1634"/>
      <c r="G1065" s="1635">
        <f>'4I'!G18</f>
        <v>0</v>
      </c>
      <c r="H1065" s="1636"/>
    </row>
    <row r="1066" spans="1:8">
      <c r="A1066" s="1636" t="str">
        <f>INDEX(Lists!$C$4:$C$24,MATCH(Validation!$B$3,Lists!$B$4:$B$24,0))</f>
        <v>TMS</v>
      </c>
      <c r="B1066" s="1636" t="str">
        <f>'4I'!BF19</f>
        <v>CR2007N1</v>
      </c>
      <c r="C1066" s="1636" t="str">
        <f>'4I'!$BB$16&amp;" - "&amp;'4I'!BB19&amp;": "&amp;'4I'!$BF$3&amp;" - "&amp;'4I'!$BF$4</f>
        <v>Foreign Exchange - Cross currency swap YEN: Nominal value by maturity (net) - 1 to 2 years</v>
      </c>
      <c r="D1066" s="2" t="s">
        <v>8</v>
      </c>
      <c r="E1066" s="2" t="s">
        <v>9</v>
      </c>
      <c r="F1066" s="1634"/>
      <c r="G1066" s="1635">
        <f>'4I'!G19</f>
        <v>0</v>
      </c>
      <c r="H1066" s="1636"/>
    </row>
    <row r="1067" spans="1:8">
      <c r="A1067" s="1636" t="str">
        <f>INDEX(Lists!$C$4:$C$24,MATCH(Validation!$B$3,Lists!$B$4:$B$24,0))</f>
        <v>TMS</v>
      </c>
      <c r="B1067" s="1636" t="str">
        <f>'4I'!BF20</f>
        <v>CR2008N1</v>
      </c>
      <c r="C1067" s="1636" t="str">
        <f>'4I'!$BB$16&amp;" - "&amp;'4I'!BB20&amp;": "&amp;'4I'!$BF$3&amp;" - "&amp;'4I'!$BF$4</f>
        <v>Foreign Exchange - Cross currency swap Other: Nominal value by maturity (net) - 1 to 2 years</v>
      </c>
      <c r="D1067" s="2" t="s">
        <v>8</v>
      </c>
      <c r="E1067" s="2" t="s">
        <v>9</v>
      </c>
      <c r="F1067" s="1634"/>
      <c r="G1067" s="1635">
        <f>'4I'!G20</f>
        <v>0</v>
      </c>
      <c r="H1067" s="1636"/>
    </row>
    <row r="1068" spans="1:8">
      <c r="A1068" s="1636" t="str">
        <f>INDEX(Lists!$C$4:$C$24,MATCH(Validation!$B$3,Lists!$B$4:$B$24,0))</f>
        <v>TMS</v>
      </c>
      <c r="B1068" s="1636" t="str">
        <f>'4I'!BF24</f>
        <v>CR20010N1</v>
      </c>
      <c r="C1068" s="1636" t="str">
        <f>'4I'!$BB$23&amp;" - "&amp;'4I'!BB24&amp;": "&amp;'4I'!$BF$3&amp;" - "&amp;'4I'!$BF$4</f>
        <v>Currency interest rate  - Currency interest rate swaps USD: Nominal value by maturity (net) - 1 to 2 years</v>
      </c>
      <c r="D1068" s="2" t="s">
        <v>8</v>
      </c>
      <c r="E1068" s="2" t="s">
        <v>9</v>
      </c>
      <c r="F1068" s="1634"/>
      <c r="G1068" s="1635">
        <f>'4I'!G24</f>
        <v>0</v>
      </c>
      <c r="H1068" s="1636"/>
    </row>
    <row r="1069" spans="1:8">
      <c r="A1069" s="1636" t="str">
        <f>INDEX(Lists!$C$4:$C$24,MATCH(Validation!$B$3,Lists!$B$4:$B$24,0))</f>
        <v>TMS</v>
      </c>
      <c r="B1069" s="1636" t="str">
        <f>'4I'!BF25</f>
        <v>CR20011N1</v>
      </c>
      <c r="C1069" s="1636" t="str">
        <f>'4I'!$BB$23&amp;" - "&amp;'4I'!BB25&amp;": "&amp;'4I'!$BF$3&amp;" - "&amp;'4I'!$BF$4</f>
        <v>Currency interest rate  - Currency interest rate swaps EUR: Nominal value by maturity (net) - 1 to 2 years</v>
      </c>
      <c r="D1069" s="2" t="s">
        <v>8</v>
      </c>
      <c r="E1069" s="2" t="s">
        <v>9</v>
      </c>
      <c r="F1069" s="1634"/>
      <c r="G1069" s="1635">
        <f>'4I'!G25</f>
        <v>0</v>
      </c>
      <c r="H1069" s="1636"/>
    </row>
    <row r="1070" spans="1:8">
      <c r="A1070" s="1636" t="str">
        <f>INDEX(Lists!$C$4:$C$24,MATCH(Validation!$B$3,Lists!$B$4:$B$24,0))</f>
        <v>TMS</v>
      </c>
      <c r="B1070" s="1636" t="str">
        <f>'4I'!BF26</f>
        <v>CR20012N1</v>
      </c>
      <c r="C1070" s="1636" t="str">
        <f>'4I'!$BB$23&amp;" - "&amp;'4I'!BB26&amp;": "&amp;'4I'!$BF$3&amp;" - "&amp;'4I'!$BF$4</f>
        <v>Currency interest rate  - Currency interest rate swaps YEN: Nominal value by maturity (net) - 1 to 2 years</v>
      </c>
      <c r="D1070" s="2" t="s">
        <v>8</v>
      </c>
      <c r="E1070" s="2" t="s">
        <v>9</v>
      </c>
      <c r="F1070" s="1634"/>
      <c r="G1070" s="1635">
        <f>'4I'!G26</f>
        <v>0</v>
      </c>
      <c r="H1070" s="1636"/>
    </row>
    <row r="1071" spans="1:8">
      <c r="A1071" s="1636" t="str">
        <f>INDEX(Lists!$C$4:$C$24,MATCH(Validation!$B$3,Lists!$B$4:$B$24,0))</f>
        <v>TMS</v>
      </c>
      <c r="B1071" s="1636" t="str">
        <f>'4I'!BF27</f>
        <v>CR20013N1</v>
      </c>
      <c r="C1071" s="1636" t="str">
        <f>'4I'!$BB$23&amp;" - "&amp;'4I'!BB27&amp;": "&amp;'4I'!$BF$3&amp;" - "&amp;'4I'!$BF$4</f>
        <v>Currency interest rate  - Currency interest rate swaps Other: Nominal value by maturity (net) - 1 to 2 years</v>
      </c>
      <c r="D1071" s="2" t="s">
        <v>8</v>
      </c>
      <c r="E1071" s="2" t="s">
        <v>9</v>
      </c>
      <c r="F1071" s="1634"/>
      <c r="G1071" s="1635">
        <f>'4I'!G27</f>
        <v>0</v>
      </c>
      <c r="H1071" s="1636"/>
    </row>
    <row r="1072" spans="1:8">
      <c r="A1072" s="1636" t="str">
        <f>INDEX(Lists!$C$4:$C$24,MATCH(Validation!$B$3,Lists!$B$4:$B$24,0))</f>
        <v>TMS</v>
      </c>
      <c r="B1072" s="1636" t="str">
        <f>'4I'!BF31</f>
        <v>CR20015N1</v>
      </c>
      <c r="C1072" s="1636" t="str">
        <f>'4I'!$BB$30&amp;" - "&amp;'4I'!BB31&amp;": "&amp;'4I'!$BF$3&amp;" - "&amp;'4I'!$BF$4</f>
        <v>Forward currency contracts - Forward currency contracts USD: Nominal value by maturity (net) - 1 to 2 years</v>
      </c>
      <c r="D1072" s="2" t="s">
        <v>8</v>
      </c>
      <c r="E1072" s="2" t="s">
        <v>9</v>
      </c>
      <c r="F1072" s="1634"/>
      <c r="G1072" s="1635">
        <f>'4I'!G31</f>
        <v>0</v>
      </c>
      <c r="H1072" s="1636"/>
    </row>
    <row r="1073" spans="1:8">
      <c r="A1073" s="1636" t="str">
        <f>INDEX(Lists!$C$4:$C$24,MATCH(Validation!$B$3,Lists!$B$4:$B$24,0))</f>
        <v>TMS</v>
      </c>
      <c r="B1073" s="1636" t="str">
        <f>'4I'!BF32</f>
        <v>CR20016N1</v>
      </c>
      <c r="C1073" s="1636" t="str">
        <f>'4I'!$BB$30&amp;" - "&amp;'4I'!BB32&amp;": "&amp;'4I'!$BF$3&amp;" - "&amp;'4I'!$BF$4</f>
        <v>Forward currency contracts - Forward currency contracts EUR: Nominal value by maturity (net) - 1 to 2 years</v>
      </c>
      <c r="D1073" s="2" t="s">
        <v>8</v>
      </c>
      <c r="E1073" s="2" t="s">
        <v>9</v>
      </c>
      <c r="F1073" s="1634"/>
      <c r="G1073" s="1635">
        <f>'4I'!G32</f>
        <v>0</v>
      </c>
      <c r="H1073" s="1636"/>
    </row>
    <row r="1074" spans="1:8">
      <c r="A1074" s="1636" t="str">
        <f>INDEX(Lists!$C$4:$C$24,MATCH(Validation!$B$3,Lists!$B$4:$B$24,0))</f>
        <v>TMS</v>
      </c>
      <c r="B1074" s="1636" t="str">
        <f>'4I'!BF33</f>
        <v>CR20017N1</v>
      </c>
      <c r="C1074" s="1636" t="str">
        <f>'4I'!$BB$30&amp;" - "&amp;'4I'!BB33&amp;": "&amp;'4I'!$BF$3&amp;" - "&amp;'4I'!$BF$4</f>
        <v>Forward currency contracts - Forward currency contracts YEN: Nominal value by maturity (net) - 1 to 2 years</v>
      </c>
      <c r="D1074" s="2" t="s">
        <v>8</v>
      </c>
      <c r="E1074" s="2" t="s">
        <v>9</v>
      </c>
      <c r="F1074" s="1634"/>
      <c r="G1074" s="1635">
        <f>'4I'!G33</f>
        <v>0</v>
      </c>
      <c r="H1074" s="1636"/>
    </row>
    <row r="1075" spans="1:8">
      <c r="A1075" s="1636" t="str">
        <f>INDEX(Lists!$C$4:$C$24,MATCH(Validation!$B$3,Lists!$B$4:$B$24,0))</f>
        <v>TMS</v>
      </c>
      <c r="B1075" s="1636" t="str">
        <f>'4I'!BF34</f>
        <v>CR20018N1</v>
      </c>
      <c r="C1075" s="1636" t="str">
        <f>'4I'!$BB$30&amp;" - "&amp;'4I'!BB34&amp;": "&amp;'4I'!$BF$3&amp;" - "&amp;'4I'!$BF$4</f>
        <v>Forward currency contracts - Forward currency contracts Other: Nominal value by maturity (net) - 1 to 2 years</v>
      </c>
      <c r="D1075" s="2" t="s">
        <v>8</v>
      </c>
      <c r="E1075" s="2" t="s">
        <v>9</v>
      </c>
      <c r="F1075" s="1634"/>
      <c r="G1075" s="1635">
        <f>'4I'!G34</f>
        <v>0</v>
      </c>
      <c r="H1075" s="1636"/>
    </row>
    <row r="1076" spans="1:8">
      <c r="A1076" s="1652" t="str">
        <f>INDEX(Lists!$C$4:$C$24,MATCH(Validation!$B$3,Lists!$B$4:$B$24,0))</f>
        <v>TMS</v>
      </c>
      <c r="B1076" s="1652" t="str">
        <f>'4I'!BF38</f>
        <v>CR2028N1</v>
      </c>
      <c r="C1076" s="1637" t="str">
        <f>'4I'!BB38&amp;": "&amp;'4I'!$BF$3&amp;" - "&amp;'4I'!$BF$4</f>
        <v>Other financial derivatives: Nominal value by maturity (net) - 1 to 2 years</v>
      </c>
      <c r="D1076" s="1651" t="s">
        <v>8</v>
      </c>
      <c r="E1076" s="1651" t="s">
        <v>9</v>
      </c>
      <c r="F1076" s="1637"/>
      <c r="G1076" s="1653">
        <f>'4I'!G38</f>
        <v>0</v>
      </c>
      <c r="H1076" s="1652"/>
    </row>
    <row r="1077" spans="1:8">
      <c r="A1077" s="1636" t="str">
        <f>INDEX(Lists!$C$4:$C$24,MATCH(Validation!$B$3,Lists!$B$4:$B$24,0))</f>
        <v>TMS</v>
      </c>
      <c r="B1077" s="1636" t="str">
        <f>'4I'!BG8</f>
        <v>CR2021N2</v>
      </c>
      <c r="C1077" s="1636" t="str">
        <f>'4I'!$BB$7&amp;" - "&amp;'4I'!BB8&amp;": "&amp;'4I'!$BF$3&amp;" - "&amp;'4I'!$BG$4</f>
        <v>Interest rate swap (sterling) - Floating to fixed rate: Nominal value by maturity (net) - 2 to 5 years</v>
      </c>
      <c r="D1077" s="2" t="s">
        <v>8</v>
      </c>
      <c r="E1077" s="2" t="s">
        <v>9</v>
      </c>
      <c r="F1077" s="1634"/>
      <c r="G1077" s="1635">
        <f>'4I'!H8</f>
        <v>1000</v>
      </c>
      <c r="H1077" s="1636"/>
    </row>
    <row r="1078" spans="1:8">
      <c r="A1078" s="1636" t="str">
        <f>INDEX(Lists!$C$4:$C$24,MATCH(Validation!$B$3,Lists!$B$4:$B$24,0))</f>
        <v>TMS</v>
      </c>
      <c r="B1078" s="1636" t="str">
        <f>'4I'!BG9</f>
        <v>CR2022N2</v>
      </c>
      <c r="C1078" s="1636" t="str">
        <f>'4I'!$BB$7&amp;" - "&amp;'4I'!BB9&amp;": "&amp;'4I'!$BF$3&amp;" - "&amp;'4I'!$BG$4</f>
        <v>Interest rate swap (sterling) - Floating from fixed rate: Nominal value by maturity (net) - 2 to 5 years</v>
      </c>
      <c r="D1078" s="2" t="s">
        <v>8</v>
      </c>
      <c r="E1078" s="2" t="s">
        <v>9</v>
      </c>
      <c r="F1078" s="1634"/>
      <c r="G1078" s="1635">
        <f>'4I'!H9</f>
        <v>1000</v>
      </c>
      <c r="H1078" s="1636"/>
    </row>
    <row r="1079" spans="1:8">
      <c r="A1079" s="1636" t="str">
        <f>INDEX(Lists!$C$4:$C$24,MATCH(Validation!$B$3,Lists!$B$4:$B$24,0))</f>
        <v>TMS</v>
      </c>
      <c r="B1079" s="1636" t="str">
        <f>'4I'!BG10</f>
        <v>CR2023N2</v>
      </c>
      <c r="C1079" s="1636" t="str">
        <f>'4I'!$BB$7&amp;" - "&amp;'4I'!BB10&amp;": "&amp;'4I'!$BF$3&amp;" - "&amp;'4I'!$BG$4</f>
        <v>Interest rate swap (sterling) - Floating to index linked: Nominal value by maturity (net) - 2 to 5 years</v>
      </c>
      <c r="D1079" s="2" t="s">
        <v>8</v>
      </c>
      <c r="E1079" s="2" t="s">
        <v>9</v>
      </c>
      <c r="F1079" s="1634"/>
      <c r="G1079" s="1635">
        <f>'4I'!H10</f>
        <v>0</v>
      </c>
      <c r="H1079" s="1636"/>
    </row>
    <row r="1080" spans="1:8">
      <c r="A1080" s="1636" t="str">
        <f>INDEX(Lists!$C$4:$C$24,MATCH(Validation!$B$3,Lists!$B$4:$B$24,0))</f>
        <v>TMS</v>
      </c>
      <c r="B1080" s="1636" t="str">
        <f>'4I'!BG11</f>
        <v>CR2024N2</v>
      </c>
      <c r="C1080" s="1636" t="str">
        <f>'4I'!$BB$7&amp;" - "&amp;'4I'!BB11&amp;": "&amp;'4I'!$BF$3&amp;" - "&amp;'4I'!$BG$4</f>
        <v>Interest rate swap (sterling) - Floating from index linked: Nominal value by maturity (net) - 2 to 5 years</v>
      </c>
      <c r="D1080" s="2" t="s">
        <v>8</v>
      </c>
      <c r="E1080" s="2" t="s">
        <v>9</v>
      </c>
      <c r="F1080" s="1634"/>
      <c r="G1080" s="1635">
        <f>'4I'!H11</f>
        <v>0</v>
      </c>
      <c r="H1080" s="1636"/>
    </row>
    <row r="1081" spans="1:8">
      <c r="A1081" s="1636" t="str">
        <f>INDEX(Lists!$C$4:$C$24,MATCH(Validation!$B$3,Lists!$B$4:$B$24,0))</f>
        <v>TMS</v>
      </c>
      <c r="B1081" s="1636" t="str">
        <f>'4I'!BG12</f>
        <v>CR2025N2</v>
      </c>
      <c r="C1081" s="1636" t="str">
        <f>'4I'!$BB$7&amp;" - "&amp;'4I'!BB12&amp;": "&amp;'4I'!$BF$3&amp;" - "&amp;'4I'!$BG$4</f>
        <v>Interest rate swap (sterling) - Fixed to index-linked: Nominal value by maturity (net) - 2 to 5 years</v>
      </c>
      <c r="D1081" s="2" t="s">
        <v>8</v>
      </c>
      <c r="E1081" s="2" t="s">
        <v>9</v>
      </c>
      <c r="F1081" s="1634"/>
      <c r="G1081" s="1635">
        <f>'4I'!H12</f>
        <v>0</v>
      </c>
      <c r="H1081" s="1636"/>
    </row>
    <row r="1082" spans="1:8">
      <c r="A1082" s="1636" t="str">
        <f>INDEX(Lists!$C$4:$C$24,MATCH(Validation!$B$3,Lists!$B$4:$B$24,0))</f>
        <v>TMS</v>
      </c>
      <c r="B1082" s="1636" t="str">
        <f>'4I'!BG13</f>
        <v>CR2026N2</v>
      </c>
      <c r="C1082" s="1636" t="str">
        <f>'4I'!$BB$7&amp;" - "&amp;'4I'!BB13&amp;": "&amp;'4I'!$BF$3&amp;" - "&amp;'4I'!$BG$4</f>
        <v>Interest rate swap (sterling) - Fixed from index-linked: Nominal value by maturity (net) - 2 to 5 years</v>
      </c>
      <c r="D1082" s="2" t="s">
        <v>8</v>
      </c>
      <c r="E1082" s="2" t="s">
        <v>9</v>
      </c>
      <c r="F1082" s="1634"/>
      <c r="G1082" s="1635">
        <f>'4I'!H13</f>
        <v>0</v>
      </c>
      <c r="H1082" s="1636"/>
    </row>
    <row r="1083" spans="1:8">
      <c r="A1083" s="1636" t="str">
        <f>INDEX(Lists!$C$4:$C$24,MATCH(Validation!$B$3,Lists!$B$4:$B$24,0))</f>
        <v>TMS</v>
      </c>
      <c r="B1083" s="1636" t="str">
        <f>'4I'!BG17</f>
        <v>CR2005N2</v>
      </c>
      <c r="C1083" s="1636" t="str">
        <f>'4I'!$BB$16&amp;" - "&amp;'4I'!BB17&amp;": "&amp;'4I'!$BF$3&amp;" - "&amp;'4I'!$BG$4</f>
        <v>Foreign Exchange - Cross currency swap USD: Nominal value by maturity (net) - 2 to 5 years</v>
      </c>
      <c r="D1083" s="2" t="s">
        <v>8</v>
      </c>
      <c r="E1083" s="2" t="s">
        <v>9</v>
      </c>
      <c r="F1083" s="1634"/>
      <c r="G1083" s="1635">
        <f>'4I'!H17</f>
        <v>38.700000000000003</v>
      </c>
      <c r="H1083" s="1636"/>
    </row>
    <row r="1084" spans="1:8">
      <c r="A1084" s="1636" t="str">
        <f>INDEX(Lists!$C$4:$C$24,MATCH(Validation!$B$3,Lists!$B$4:$B$24,0))</f>
        <v>TMS</v>
      </c>
      <c r="B1084" s="1636" t="str">
        <f>'4I'!BG18</f>
        <v>CR2006N2</v>
      </c>
      <c r="C1084" s="1636" t="str">
        <f>'4I'!$BB$16&amp;" - "&amp;'4I'!BB18&amp;": "&amp;'4I'!$BF$3&amp;" - "&amp;'4I'!$BG$4</f>
        <v>Foreign Exchange - Cross currency swap EUR: Nominal value by maturity (net) - 2 to 5 years</v>
      </c>
      <c r="D1084" s="2" t="s">
        <v>8</v>
      </c>
      <c r="E1084" s="2" t="s">
        <v>9</v>
      </c>
      <c r="F1084" s="1634"/>
      <c r="G1084" s="1635">
        <f>'4I'!H18</f>
        <v>0</v>
      </c>
      <c r="H1084" s="1636"/>
    </row>
    <row r="1085" spans="1:8">
      <c r="A1085" s="1636" t="str">
        <f>INDEX(Lists!$C$4:$C$24,MATCH(Validation!$B$3,Lists!$B$4:$B$24,0))</f>
        <v>TMS</v>
      </c>
      <c r="B1085" s="1636" t="str">
        <f>'4I'!BG19</f>
        <v>CR2007N2</v>
      </c>
      <c r="C1085" s="1636" t="str">
        <f>'4I'!$BB$16&amp;" - "&amp;'4I'!BB19&amp;": "&amp;'4I'!$BF$3&amp;" - "&amp;'4I'!$BG$4</f>
        <v>Foreign Exchange - Cross currency swap YEN: Nominal value by maturity (net) - 2 to 5 years</v>
      </c>
      <c r="D1085" s="2" t="s">
        <v>8</v>
      </c>
      <c r="E1085" s="2" t="s">
        <v>9</v>
      </c>
      <c r="F1085" s="1634"/>
      <c r="G1085" s="1635">
        <f>'4I'!H19</f>
        <v>0</v>
      </c>
      <c r="H1085" s="1636"/>
    </row>
    <row r="1086" spans="1:8">
      <c r="A1086" s="1636" t="str">
        <f>INDEX(Lists!$C$4:$C$24,MATCH(Validation!$B$3,Lists!$B$4:$B$24,0))</f>
        <v>TMS</v>
      </c>
      <c r="B1086" s="1636" t="str">
        <f>'4I'!BG20</f>
        <v>CR2008N2</v>
      </c>
      <c r="C1086" s="1636" t="str">
        <f>'4I'!$BB$16&amp;" - "&amp;'4I'!BB20&amp;": "&amp;'4I'!$BF$3&amp;" - "&amp;'4I'!$BG$4</f>
        <v>Foreign Exchange - Cross currency swap Other: Nominal value by maturity (net) - 2 to 5 years</v>
      </c>
      <c r="D1086" s="2" t="s">
        <v>8</v>
      </c>
      <c r="E1086" s="2" t="s">
        <v>9</v>
      </c>
      <c r="F1086" s="1634"/>
      <c r="G1086" s="1635">
        <f>'4I'!H20</f>
        <v>0</v>
      </c>
      <c r="H1086" s="1636"/>
    </row>
    <row r="1087" spans="1:8">
      <c r="A1087" s="1636" t="str">
        <f>INDEX(Lists!$C$4:$C$24,MATCH(Validation!$B$3,Lists!$B$4:$B$24,0))</f>
        <v>TMS</v>
      </c>
      <c r="B1087" s="1636" t="str">
        <f>'4I'!BG24</f>
        <v>CR20010N2</v>
      </c>
      <c r="C1087" s="1636" t="str">
        <f>'4I'!$BB$23&amp;" - "&amp;'4I'!BB24&amp;": "&amp;'4I'!$BF$3&amp;" - "&amp;'4I'!$BG$4</f>
        <v>Currency interest rate  - Currency interest rate swaps USD: Nominal value by maturity (net) - 2 to 5 years</v>
      </c>
      <c r="D1087" s="2" t="s">
        <v>8</v>
      </c>
      <c r="E1087" s="2" t="s">
        <v>9</v>
      </c>
      <c r="F1087" s="1634"/>
      <c r="G1087" s="1635">
        <f>'4I'!H24</f>
        <v>0</v>
      </c>
      <c r="H1087" s="1636"/>
    </row>
    <row r="1088" spans="1:8">
      <c r="A1088" s="1636" t="str">
        <f>INDEX(Lists!$C$4:$C$24,MATCH(Validation!$B$3,Lists!$B$4:$B$24,0))</f>
        <v>TMS</v>
      </c>
      <c r="B1088" s="1636" t="str">
        <f>'4I'!BG25</f>
        <v>CR20011N2</v>
      </c>
      <c r="C1088" s="1636" t="str">
        <f>'4I'!$BB$23&amp;" - "&amp;'4I'!BB25&amp;": "&amp;'4I'!$BF$3&amp;" - "&amp;'4I'!$BG$4</f>
        <v>Currency interest rate  - Currency interest rate swaps EUR: Nominal value by maturity (net) - 2 to 5 years</v>
      </c>
      <c r="D1088" s="2" t="s">
        <v>8</v>
      </c>
      <c r="E1088" s="2" t="s">
        <v>9</v>
      </c>
      <c r="F1088" s="1634"/>
      <c r="G1088" s="1635">
        <f>'4I'!H25</f>
        <v>0</v>
      </c>
      <c r="H1088" s="1636"/>
    </row>
    <row r="1089" spans="1:8">
      <c r="A1089" s="1636" t="str">
        <f>INDEX(Lists!$C$4:$C$24,MATCH(Validation!$B$3,Lists!$B$4:$B$24,0))</f>
        <v>TMS</v>
      </c>
      <c r="B1089" s="1636" t="str">
        <f>'4I'!BG26</f>
        <v>CR20012N2</v>
      </c>
      <c r="C1089" s="1636" t="str">
        <f>'4I'!$BB$23&amp;" - "&amp;'4I'!BB26&amp;": "&amp;'4I'!$BF$3&amp;" - "&amp;'4I'!$BG$4</f>
        <v>Currency interest rate  - Currency interest rate swaps YEN: Nominal value by maturity (net) - 2 to 5 years</v>
      </c>
      <c r="D1089" s="2" t="s">
        <v>8</v>
      </c>
      <c r="E1089" s="2" t="s">
        <v>9</v>
      </c>
      <c r="F1089" s="1634"/>
      <c r="G1089" s="1635">
        <f>'4I'!H26</f>
        <v>0</v>
      </c>
      <c r="H1089" s="1636"/>
    </row>
    <row r="1090" spans="1:8">
      <c r="A1090" s="1636" t="str">
        <f>INDEX(Lists!$C$4:$C$24,MATCH(Validation!$B$3,Lists!$B$4:$B$24,0))</f>
        <v>TMS</v>
      </c>
      <c r="B1090" s="1636" t="str">
        <f>'4I'!BG27</f>
        <v>CR20013N2</v>
      </c>
      <c r="C1090" s="1636" t="str">
        <f>'4I'!$BB$23&amp;" - "&amp;'4I'!BB27&amp;": "&amp;'4I'!$BF$3&amp;" - "&amp;'4I'!$BG$4</f>
        <v>Currency interest rate  - Currency interest rate swaps Other: Nominal value by maturity (net) - 2 to 5 years</v>
      </c>
      <c r="D1090" s="2" t="s">
        <v>8</v>
      </c>
      <c r="E1090" s="2" t="s">
        <v>9</v>
      </c>
      <c r="F1090" s="1634"/>
      <c r="G1090" s="1635">
        <f>'4I'!H27</f>
        <v>0</v>
      </c>
      <c r="H1090" s="1636"/>
    </row>
    <row r="1091" spans="1:8">
      <c r="A1091" s="1636" t="str">
        <f>INDEX(Lists!$C$4:$C$24,MATCH(Validation!$B$3,Lists!$B$4:$B$24,0))</f>
        <v>TMS</v>
      </c>
      <c r="B1091" s="1636" t="str">
        <f>'4I'!BG31</f>
        <v>CR20015N2</v>
      </c>
      <c r="C1091" s="1636" t="str">
        <f>'4I'!$BB$30&amp;" - "&amp;'4I'!BB31&amp;": "&amp;'4I'!$BF$3&amp;" - "&amp;'4I'!$BG$4</f>
        <v>Forward currency contracts - Forward currency contracts USD: Nominal value by maturity (net) - 2 to 5 years</v>
      </c>
      <c r="D1091" s="2" t="s">
        <v>8</v>
      </c>
      <c r="E1091" s="2" t="s">
        <v>9</v>
      </c>
      <c r="F1091" s="1634"/>
      <c r="G1091" s="1635">
        <f>'4I'!H31</f>
        <v>0</v>
      </c>
      <c r="H1091" s="1636"/>
    </row>
    <row r="1092" spans="1:8">
      <c r="A1092" s="1636" t="str">
        <f>INDEX(Lists!$C$4:$C$24,MATCH(Validation!$B$3,Lists!$B$4:$B$24,0))</f>
        <v>TMS</v>
      </c>
      <c r="B1092" s="1636" t="str">
        <f>'4I'!BG32</f>
        <v>CR20016N2</v>
      </c>
      <c r="C1092" s="1636" t="str">
        <f>'4I'!$BB$30&amp;" - "&amp;'4I'!BB32&amp;": "&amp;'4I'!$BF$3&amp;" - "&amp;'4I'!$BG$4</f>
        <v>Forward currency contracts - Forward currency contracts EUR: Nominal value by maturity (net) - 2 to 5 years</v>
      </c>
      <c r="D1092" s="2" t="s">
        <v>8</v>
      </c>
      <c r="E1092" s="2" t="s">
        <v>9</v>
      </c>
      <c r="F1092" s="1634"/>
      <c r="G1092" s="1635">
        <f>'4I'!H32</f>
        <v>0</v>
      </c>
      <c r="H1092" s="1636"/>
    </row>
    <row r="1093" spans="1:8">
      <c r="A1093" s="1636" t="str">
        <f>INDEX(Lists!$C$4:$C$24,MATCH(Validation!$B$3,Lists!$B$4:$B$24,0))</f>
        <v>TMS</v>
      </c>
      <c r="B1093" s="1636" t="str">
        <f>'4I'!BG33</f>
        <v>CR20017N2</v>
      </c>
      <c r="C1093" s="1636" t="str">
        <f>'4I'!$BB$30&amp;" - "&amp;'4I'!BB33&amp;": "&amp;'4I'!$BF$3&amp;" - "&amp;'4I'!$BG$4</f>
        <v>Forward currency contracts - Forward currency contracts YEN: Nominal value by maturity (net) - 2 to 5 years</v>
      </c>
      <c r="D1093" s="2" t="s">
        <v>8</v>
      </c>
      <c r="E1093" s="2" t="s">
        <v>9</v>
      </c>
      <c r="F1093" s="1634"/>
      <c r="G1093" s="1635">
        <f>'4I'!H33</f>
        <v>0</v>
      </c>
      <c r="H1093" s="1636"/>
    </row>
    <row r="1094" spans="1:8">
      <c r="A1094" s="1636" t="str">
        <f>INDEX(Lists!$C$4:$C$24,MATCH(Validation!$B$3,Lists!$B$4:$B$24,0))</f>
        <v>TMS</v>
      </c>
      <c r="B1094" s="1636" t="str">
        <f>'4I'!BG34</f>
        <v>CR20018N2</v>
      </c>
      <c r="C1094" s="1636" t="str">
        <f>'4I'!$BB$30&amp;" - "&amp;'4I'!BB34&amp;": "&amp;'4I'!$BF$3&amp;" - "&amp;'4I'!$BG$4</f>
        <v>Forward currency contracts - Forward currency contracts Other: Nominal value by maturity (net) - 2 to 5 years</v>
      </c>
      <c r="D1094" s="2" t="s">
        <v>8</v>
      </c>
      <c r="E1094" s="2" t="s">
        <v>9</v>
      </c>
      <c r="F1094" s="1634"/>
      <c r="G1094" s="1635">
        <f>'4I'!H34</f>
        <v>0</v>
      </c>
      <c r="H1094" s="1636"/>
    </row>
    <row r="1095" spans="1:8">
      <c r="A1095" s="1652" t="str">
        <f>INDEX(Lists!$C$4:$C$24,MATCH(Validation!$B$3,Lists!$B$4:$B$24,0))</f>
        <v>TMS</v>
      </c>
      <c r="B1095" s="1652" t="str">
        <f>'4I'!BG38</f>
        <v>CR2028N2</v>
      </c>
      <c r="C1095" s="1637" t="str">
        <f>'4I'!BB38&amp;": "&amp;'4I'!$BF$3&amp;" - "&amp;'4I'!$BG$4</f>
        <v>Other financial derivatives: Nominal value by maturity (net) - 2 to 5 years</v>
      </c>
      <c r="D1095" s="1651" t="s">
        <v>8</v>
      </c>
      <c r="E1095" s="1651" t="s">
        <v>9</v>
      </c>
      <c r="F1095" s="1637"/>
      <c r="G1095" s="1653">
        <f>'4I'!H38</f>
        <v>0</v>
      </c>
      <c r="H1095" s="1652"/>
    </row>
    <row r="1096" spans="1:8">
      <c r="A1096" s="1636" t="str">
        <f>INDEX(Lists!$C$4:$C$24,MATCH(Validation!$B$3,Lists!$B$4:$B$24,0))</f>
        <v>TMS</v>
      </c>
      <c r="B1096" s="1636" t="str">
        <f>'4I'!BH8</f>
        <v>CR2021N5</v>
      </c>
      <c r="C1096" s="1636" t="str">
        <f>'4I'!$BB$7&amp;" - "&amp;'4I'!BB8&amp;": "&amp;'4I'!$BF$3&amp;" - "&amp;'4I'!$BH$4</f>
        <v>Interest rate swap (sterling) - Floating to fixed rate: Nominal value by maturity (net) - Over 5 years</v>
      </c>
      <c r="D1096" s="2" t="s">
        <v>8</v>
      </c>
      <c r="E1096" s="2" t="s">
        <v>9</v>
      </c>
      <c r="F1096" s="1634"/>
      <c r="G1096" s="1635">
        <f>'4I'!I8</f>
        <v>1250</v>
      </c>
      <c r="H1096" s="1636"/>
    </row>
    <row r="1097" spans="1:8">
      <c r="A1097" s="1636" t="str">
        <f>INDEX(Lists!$C$4:$C$24,MATCH(Validation!$B$3,Lists!$B$4:$B$24,0))</f>
        <v>TMS</v>
      </c>
      <c r="B1097" s="1636" t="str">
        <f>'4I'!BH9</f>
        <v>CR2022N5</v>
      </c>
      <c r="C1097" s="1636" t="str">
        <f>'4I'!$BB$7&amp;" - "&amp;'4I'!BB9&amp;": "&amp;'4I'!$BF$3&amp;" - "&amp;'4I'!$BH$4</f>
        <v>Interest rate swap (sterling) - Floating from fixed rate: Nominal value by maturity (net) - Over 5 years</v>
      </c>
      <c r="D1097" s="2" t="s">
        <v>8</v>
      </c>
      <c r="E1097" s="2" t="s">
        <v>9</v>
      </c>
      <c r="F1097" s="1634"/>
      <c r="G1097" s="1635">
        <f>'4I'!I9</f>
        <v>693.6</v>
      </c>
      <c r="H1097" s="1636"/>
    </row>
    <row r="1098" spans="1:8">
      <c r="A1098" s="1636" t="str">
        <f>INDEX(Lists!$C$4:$C$24,MATCH(Validation!$B$3,Lists!$B$4:$B$24,0))</f>
        <v>TMS</v>
      </c>
      <c r="B1098" s="1636" t="str">
        <f>'4I'!BH10</f>
        <v>CR2023N5</v>
      </c>
      <c r="C1098" s="1636" t="str">
        <f>'4I'!$BB$7&amp;" - "&amp;'4I'!BB10&amp;": "&amp;'4I'!$BF$3&amp;" - "&amp;'4I'!$BH$4</f>
        <v>Interest rate swap (sterling) - Floating to index linked: Nominal value by maturity (net) - Over 5 years</v>
      </c>
      <c r="D1098" s="2" t="s">
        <v>8</v>
      </c>
      <c r="E1098" s="2" t="s">
        <v>9</v>
      </c>
      <c r="F1098" s="1634"/>
      <c r="G1098" s="1635">
        <f>'4I'!I10</f>
        <v>20</v>
      </c>
      <c r="H1098" s="1636"/>
    </row>
    <row r="1099" spans="1:8">
      <c r="A1099" s="1636" t="str">
        <f>INDEX(Lists!$C$4:$C$24,MATCH(Validation!$B$3,Lists!$B$4:$B$24,0))</f>
        <v>TMS</v>
      </c>
      <c r="B1099" s="1636" t="str">
        <f>'4I'!BH11</f>
        <v>CR2024N5</v>
      </c>
      <c r="C1099" s="1636" t="str">
        <f>'4I'!$BB$7&amp;" - "&amp;'4I'!BB11&amp;": "&amp;'4I'!$BF$3&amp;" - "&amp;'4I'!$BH$4</f>
        <v>Interest rate swap (sterling) - Floating from index linked: Nominal value by maturity (net) - Over 5 years</v>
      </c>
      <c r="D1099" s="2" t="s">
        <v>8</v>
      </c>
      <c r="E1099" s="2" t="s">
        <v>9</v>
      </c>
      <c r="F1099" s="1634"/>
      <c r="G1099" s="1635">
        <f>'4I'!I11</f>
        <v>0</v>
      </c>
      <c r="H1099" s="1636"/>
    </row>
    <row r="1100" spans="1:8">
      <c r="A1100" s="1636" t="str">
        <f>INDEX(Lists!$C$4:$C$24,MATCH(Validation!$B$3,Lists!$B$4:$B$24,0))</f>
        <v>TMS</v>
      </c>
      <c r="B1100" s="1636" t="str">
        <f>'4I'!BH12</f>
        <v>CR2025N5</v>
      </c>
      <c r="C1100" s="1636" t="str">
        <f>'4I'!$BB$7&amp;" - "&amp;'4I'!BB12&amp;": "&amp;'4I'!$BF$3&amp;" - "&amp;'4I'!$BH$4</f>
        <v>Interest rate swap (sterling) - Fixed to index-linked: Nominal value by maturity (net) - Over 5 years</v>
      </c>
      <c r="D1100" s="2" t="s">
        <v>8</v>
      </c>
      <c r="E1100" s="2" t="s">
        <v>9</v>
      </c>
      <c r="F1100" s="1634"/>
      <c r="G1100" s="1635">
        <f>'4I'!I12</f>
        <v>1123.7</v>
      </c>
      <c r="H1100" s="1636"/>
    </row>
    <row r="1101" spans="1:8">
      <c r="A1101" s="1636" t="str">
        <f>INDEX(Lists!$C$4:$C$24,MATCH(Validation!$B$3,Lists!$B$4:$B$24,0))</f>
        <v>TMS</v>
      </c>
      <c r="B1101" s="1636" t="str">
        <f>'4I'!BH13</f>
        <v>CR2026N5</v>
      </c>
      <c r="C1101" s="1636" t="str">
        <f>'4I'!$BB$7&amp;" - "&amp;'4I'!BB13&amp;": "&amp;'4I'!$BF$3&amp;" - "&amp;'4I'!$BH$4</f>
        <v>Interest rate swap (sterling) - Fixed from index-linked: Nominal value by maturity (net) - Over 5 years</v>
      </c>
      <c r="D1101" s="2" t="s">
        <v>8</v>
      </c>
      <c r="E1101" s="2" t="s">
        <v>9</v>
      </c>
      <c r="F1101" s="1634"/>
      <c r="G1101" s="1635">
        <f>'4I'!I13</f>
        <v>0</v>
      </c>
      <c r="H1101" s="1636"/>
    </row>
    <row r="1102" spans="1:8">
      <c r="A1102" s="1636" t="str">
        <f>INDEX(Lists!$C$4:$C$24,MATCH(Validation!$B$3,Lists!$B$4:$B$24,0))</f>
        <v>TMS</v>
      </c>
      <c r="B1102" s="1636" t="str">
        <f>'4I'!BH17</f>
        <v>CR2005N5</v>
      </c>
      <c r="C1102" s="1636" t="str">
        <f>'4I'!$BB$16&amp;" - "&amp;'4I'!BB17&amp;": "&amp;'4I'!$BF$3&amp;" - "&amp;'4I'!$BH$4</f>
        <v>Foreign Exchange - Cross currency swap USD: Nominal value by maturity (net) - Over 5 years</v>
      </c>
      <c r="D1102" s="2" t="s">
        <v>8</v>
      </c>
      <c r="E1102" s="2" t="s">
        <v>9</v>
      </c>
      <c r="F1102" s="1634"/>
      <c r="G1102" s="1635">
        <f>'4I'!I17</f>
        <v>200.4</v>
      </c>
      <c r="H1102" s="1636"/>
    </row>
    <row r="1103" spans="1:8">
      <c r="A1103" s="1636" t="str">
        <f>INDEX(Lists!$C$4:$C$24,MATCH(Validation!$B$3,Lists!$B$4:$B$24,0))</f>
        <v>TMS</v>
      </c>
      <c r="B1103" s="1636" t="str">
        <f>'4I'!BH18</f>
        <v>CR2006N5</v>
      </c>
      <c r="C1103" s="1636" t="str">
        <f>'4I'!$BB$16&amp;" - "&amp;'4I'!BB18&amp;": "&amp;'4I'!$BF$3&amp;" - "&amp;'4I'!$BH$4</f>
        <v>Foreign Exchange - Cross currency swap EUR: Nominal value by maturity (net) - Over 5 years</v>
      </c>
      <c r="D1103" s="2" t="s">
        <v>8</v>
      </c>
      <c r="E1103" s="2" t="s">
        <v>9</v>
      </c>
      <c r="F1103" s="1634"/>
      <c r="G1103" s="1635">
        <f>'4I'!I18</f>
        <v>0</v>
      </c>
      <c r="H1103" s="1636"/>
    </row>
    <row r="1104" spans="1:8">
      <c r="A1104" s="1636" t="str">
        <f>INDEX(Lists!$C$4:$C$24,MATCH(Validation!$B$3,Lists!$B$4:$B$24,0))</f>
        <v>TMS</v>
      </c>
      <c r="B1104" s="1636" t="str">
        <f>'4I'!BH19</f>
        <v>CR2007N5</v>
      </c>
      <c r="C1104" s="1636" t="str">
        <f>'4I'!$BB$16&amp;" - "&amp;'4I'!BB19&amp;": "&amp;'4I'!$BF$3&amp;" - "&amp;'4I'!$BH$4</f>
        <v>Foreign Exchange - Cross currency swap YEN: Nominal value by maturity (net) - Over 5 years</v>
      </c>
      <c r="D1104" s="2" t="s">
        <v>8</v>
      </c>
      <c r="E1104" s="2" t="s">
        <v>9</v>
      </c>
      <c r="F1104" s="1634"/>
      <c r="G1104" s="1635">
        <f>'4I'!I19</f>
        <v>153.6</v>
      </c>
      <c r="H1104" s="1636"/>
    </row>
    <row r="1105" spans="1:8">
      <c r="A1105" s="1636" t="str">
        <f>INDEX(Lists!$C$4:$C$24,MATCH(Validation!$B$3,Lists!$B$4:$B$24,0))</f>
        <v>TMS</v>
      </c>
      <c r="B1105" s="1636" t="str">
        <f>'4I'!BH20</f>
        <v>CR2008N5</v>
      </c>
      <c r="C1105" s="1636" t="str">
        <f>'4I'!$BB$16&amp;" - "&amp;'4I'!BB20&amp;": "&amp;'4I'!$BF$3&amp;" - "&amp;'4I'!$BH$4</f>
        <v>Foreign Exchange - Cross currency swap Other: Nominal value by maturity (net) - Over 5 years</v>
      </c>
      <c r="D1105" s="2" t="s">
        <v>8</v>
      </c>
      <c r="E1105" s="2" t="s">
        <v>9</v>
      </c>
      <c r="F1105" s="1634"/>
      <c r="G1105" s="1635">
        <f>'4I'!I20</f>
        <v>0</v>
      </c>
      <c r="H1105" s="1636"/>
    </row>
    <row r="1106" spans="1:8">
      <c r="A1106" s="1636" t="str">
        <f>INDEX(Lists!$C$4:$C$24,MATCH(Validation!$B$3,Lists!$B$4:$B$24,0))</f>
        <v>TMS</v>
      </c>
      <c r="B1106" s="1636" t="str">
        <f>'4I'!BH24</f>
        <v>CR20010N5</v>
      </c>
      <c r="C1106" s="1636" t="str">
        <f>'4I'!$BB$23&amp;" - "&amp;'4I'!BB24&amp;": "&amp;'4I'!$BF$3&amp;" - "&amp;'4I'!$BH$4</f>
        <v>Currency interest rate  - Currency interest rate swaps USD: Nominal value by maturity (net) - Over 5 years</v>
      </c>
      <c r="D1106" s="2" t="s">
        <v>8</v>
      </c>
      <c r="E1106" s="2" t="s">
        <v>9</v>
      </c>
      <c r="F1106" s="1634"/>
      <c r="G1106" s="1635">
        <f>'4I'!I24</f>
        <v>0</v>
      </c>
      <c r="H1106" s="1636"/>
    </row>
    <row r="1107" spans="1:8">
      <c r="A1107" s="1636" t="str">
        <f>INDEX(Lists!$C$4:$C$24,MATCH(Validation!$B$3,Lists!$B$4:$B$24,0))</f>
        <v>TMS</v>
      </c>
      <c r="B1107" s="1636" t="str">
        <f>'4I'!BH25</f>
        <v>CR20011N5</v>
      </c>
      <c r="C1107" s="1636" t="str">
        <f>'4I'!$BB$23&amp;" - "&amp;'4I'!BB25&amp;": "&amp;'4I'!$BF$3&amp;" - "&amp;'4I'!$BH$4</f>
        <v>Currency interest rate  - Currency interest rate swaps EUR: Nominal value by maturity (net) - Over 5 years</v>
      </c>
      <c r="D1107" s="2" t="s">
        <v>8</v>
      </c>
      <c r="E1107" s="2" t="s">
        <v>9</v>
      </c>
      <c r="F1107" s="1634"/>
      <c r="G1107" s="1635">
        <f>'4I'!I25</f>
        <v>0</v>
      </c>
      <c r="H1107" s="1636"/>
    </row>
    <row r="1108" spans="1:8">
      <c r="A1108" s="1636" t="str">
        <f>INDEX(Lists!$C$4:$C$24,MATCH(Validation!$B$3,Lists!$B$4:$B$24,0))</f>
        <v>TMS</v>
      </c>
      <c r="B1108" s="1636" t="str">
        <f>'4I'!BH26</f>
        <v>CR20012N5</v>
      </c>
      <c r="C1108" s="1636" t="str">
        <f>'4I'!$BB$23&amp;" - "&amp;'4I'!BB26&amp;": "&amp;'4I'!$BF$3&amp;" - "&amp;'4I'!$BH$4</f>
        <v>Currency interest rate  - Currency interest rate swaps YEN: Nominal value by maturity (net) - Over 5 years</v>
      </c>
      <c r="D1108" s="2" t="s">
        <v>8</v>
      </c>
      <c r="E1108" s="2" t="s">
        <v>9</v>
      </c>
      <c r="F1108" s="1634"/>
      <c r="G1108" s="1635">
        <f>'4I'!I26</f>
        <v>0</v>
      </c>
      <c r="H1108" s="1636"/>
    </row>
    <row r="1109" spans="1:8">
      <c r="A1109" s="1636" t="str">
        <f>INDEX(Lists!$C$4:$C$24,MATCH(Validation!$B$3,Lists!$B$4:$B$24,0))</f>
        <v>TMS</v>
      </c>
      <c r="B1109" s="1636" t="str">
        <f>'4I'!BH27</f>
        <v>CR20013N5</v>
      </c>
      <c r="C1109" s="1636" t="str">
        <f>'4I'!$BB$23&amp;" - "&amp;'4I'!BB27&amp;": "&amp;'4I'!$BF$3&amp;" - "&amp;'4I'!$BH$4</f>
        <v>Currency interest rate  - Currency interest rate swaps Other: Nominal value by maturity (net) - Over 5 years</v>
      </c>
      <c r="D1109" s="2" t="s">
        <v>8</v>
      </c>
      <c r="E1109" s="2" t="s">
        <v>9</v>
      </c>
      <c r="F1109" s="1634"/>
      <c r="G1109" s="1635">
        <f>'4I'!I27</f>
        <v>0</v>
      </c>
      <c r="H1109" s="1636"/>
    </row>
    <row r="1110" spans="1:8">
      <c r="A1110" s="1636" t="str">
        <f>INDEX(Lists!$C$4:$C$24,MATCH(Validation!$B$3,Lists!$B$4:$B$24,0))</f>
        <v>TMS</v>
      </c>
      <c r="B1110" s="1636" t="str">
        <f>'4I'!BH31</f>
        <v>CR20015N5</v>
      </c>
      <c r="C1110" s="1636" t="str">
        <f>'4I'!$BB$30&amp;" - "&amp;'4I'!BB31&amp;": "&amp;'4I'!$BF$3&amp;" - "&amp;'4I'!$BH$4</f>
        <v>Forward currency contracts - Forward currency contracts USD: Nominal value by maturity (net) - Over 5 years</v>
      </c>
      <c r="D1110" s="2" t="s">
        <v>8</v>
      </c>
      <c r="E1110" s="2" t="s">
        <v>9</v>
      </c>
      <c r="F1110" s="1634"/>
      <c r="G1110" s="1635">
        <f>'4I'!I31</f>
        <v>0</v>
      </c>
      <c r="H1110" s="1636"/>
    </row>
    <row r="1111" spans="1:8">
      <c r="A1111" s="1636" t="str">
        <f>INDEX(Lists!$C$4:$C$24,MATCH(Validation!$B$3,Lists!$B$4:$B$24,0))</f>
        <v>TMS</v>
      </c>
      <c r="B1111" s="1636" t="str">
        <f>'4I'!BH32</f>
        <v>CR20016N5</v>
      </c>
      <c r="C1111" s="1636" t="str">
        <f>'4I'!$BB$30&amp;" - "&amp;'4I'!BB32&amp;": "&amp;'4I'!$BF$3&amp;" - "&amp;'4I'!$BH$4</f>
        <v>Forward currency contracts - Forward currency contracts EUR: Nominal value by maturity (net) - Over 5 years</v>
      </c>
      <c r="D1111" s="2" t="s">
        <v>8</v>
      </c>
      <c r="E1111" s="2" t="s">
        <v>9</v>
      </c>
      <c r="F1111" s="1634"/>
      <c r="G1111" s="1635">
        <f>'4I'!I32</f>
        <v>0</v>
      </c>
      <c r="H1111" s="1636"/>
    </row>
    <row r="1112" spans="1:8">
      <c r="A1112" s="1636" t="str">
        <f>INDEX(Lists!$C$4:$C$24,MATCH(Validation!$B$3,Lists!$B$4:$B$24,0))</f>
        <v>TMS</v>
      </c>
      <c r="B1112" s="1636" t="str">
        <f>'4I'!BH33</f>
        <v>CR20017N5</v>
      </c>
      <c r="C1112" s="1636" t="str">
        <f>'4I'!$BB$30&amp;" - "&amp;'4I'!BB33&amp;": "&amp;'4I'!$BF$3&amp;" - "&amp;'4I'!$BH$4</f>
        <v>Forward currency contracts - Forward currency contracts YEN: Nominal value by maturity (net) - Over 5 years</v>
      </c>
      <c r="D1112" s="2" t="s">
        <v>8</v>
      </c>
      <c r="E1112" s="2" t="s">
        <v>9</v>
      </c>
      <c r="F1112" s="1634"/>
      <c r="G1112" s="1635">
        <f>'4I'!I33</f>
        <v>0</v>
      </c>
      <c r="H1112" s="1636"/>
    </row>
    <row r="1113" spans="1:8">
      <c r="A1113" s="1636" t="str">
        <f>INDEX(Lists!$C$4:$C$24,MATCH(Validation!$B$3,Lists!$B$4:$B$24,0))</f>
        <v>TMS</v>
      </c>
      <c r="B1113" s="1636" t="str">
        <f>'4I'!BH34</f>
        <v>CR20018N5</v>
      </c>
      <c r="C1113" s="1636" t="str">
        <f>'4I'!$BB$30&amp;" - "&amp;'4I'!BB34&amp;": "&amp;'4I'!$BF$3&amp;" - "&amp;'4I'!$BH$4</f>
        <v>Forward currency contracts - Forward currency contracts Other: Nominal value by maturity (net) - Over 5 years</v>
      </c>
      <c r="D1113" s="2" t="s">
        <v>8</v>
      </c>
      <c r="E1113" s="2" t="s">
        <v>9</v>
      </c>
      <c r="F1113" s="1634"/>
      <c r="G1113" s="1635">
        <f>'4I'!I34</f>
        <v>0</v>
      </c>
      <c r="H1113" s="1636"/>
    </row>
    <row r="1114" spans="1:8">
      <c r="A1114" s="1652" t="str">
        <f>INDEX(Lists!$C$4:$C$24,MATCH(Validation!$B$3,Lists!$B$4:$B$24,0))</f>
        <v>TMS</v>
      </c>
      <c r="B1114" s="1652" t="str">
        <f>'4I'!BH38</f>
        <v>CR2028N5</v>
      </c>
      <c r="C1114" s="1652" t="str">
        <f>'4I'!BB38&amp;": "&amp;'4I'!$BF$3&amp;" - "&amp;'4I'!$BH$4</f>
        <v>Other financial derivatives: Nominal value by maturity (net) - Over 5 years</v>
      </c>
      <c r="D1114" s="1651" t="s">
        <v>8</v>
      </c>
      <c r="E1114" s="1651" t="s">
        <v>9</v>
      </c>
      <c r="F1114" s="1637"/>
      <c r="G1114" s="1653">
        <f>'4I'!I38</f>
        <v>0</v>
      </c>
      <c r="H1114" s="1652"/>
    </row>
    <row r="1115" spans="1:8">
      <c r="A1115" s="1636" t="str">
        <f>INDEX(Lists!$C$4:$C$24,MATCH(Validation!$B$3,Lists!$B$4:$B$24,0))</f>
        <v>TMS</v>
      </c>
      <c r="B1115" s="1636" t="str">
        <f>'4I'!BJ8</f>
        <v>CR2021MM</v>
      </c>
      <c r="C1115" s="1636" t="str">
        <f>'4I'!$BB$7&amp;" - "&amp;'4I'!BB8&amp;": "&amp;'4I'!$BI$3&amp;" - "&amp;'4I'!$BJ$4</f>
        <v>Interest rate swap (sterling) - Floating to fixed rate: Total value at 31 March 2018 - Mark to Market</v>
      </c>
      <c r="D1115" s="2" t="s">
        <v>8</v>
      </c>
      <c r="E1115" s="2" t="s">
        <v>9</v>
      </c>
      <c r="F1115" s="1634"/>
      <c r="G1115" s="1635">
        <f>'4I'!K8</f>
        <v>199.3</v>
      </c>
      <c r="H1115" s="1636"/>
    </row>
    <row r="1116" spans="1:8">
      <c r="A1116" s="1636" t="str">
        <f>INDEX(Lists!$C$4:$C$24,MATCH(Validation!$B$3,Lists!$B$4:$B$24,0))</f>
        <v>TMS</v>
      </c>
      <c r="B1116" s="1636" t="str">
        <f>'4I'!BJ9</f>
        <v>CR2022MM</v>
      </c>
      <c r="C1116" s="1636" t="str">
        <f>'4I'!$BB$7&amp;" - "&amp;'4I'!BB9&amp;": "&amp;'4I'!$BI$3&amp;" - "&amp;'4I'!$BJ$4</f>
        <v>Interest rate swap (sterling) - Floating from fixed rate: Total value at 31 March 2018 - Mark to Market</v>
      </c>
      <c r="D1116" s="2" t="s">
        <v>8</v>
      </c>
      <c r="E1116" s="2" t="s">
        <v>9</v>
      </c>
      <c r="F1116" s="1634"/>
      <c r="G1116" s="1635">
        <f>'4I'!K9</f>
        <v>22.3</v>
      </c>
      <c r="H1116" s="1636"/>
    </row>
    <row r="1117" spans="1:8">
      <c r="A1117" s="1636" t="str">
        <f>INDEX(Lists!$C$4:$C$24,MATCH(Validation!$B$3,Lists!$B$4:$B$24,0))</f>
        <v>TMS</v>
      </c>
      <c r="B1117" s="1636" t="str">
        <f>'4I'!BJ10</f>
        <v>CR2023MM</v>
      </c>
      <c r="C1117" s="1636" t="str">
        <f>'4I'!$BB$7&amp;" - "&amp;'4I'!BB10&amp;": "&amp;'4I'!$BI$3&amp;" - "&amp;'4I'!$BJ$4</f>
        <v>Interest rate swap (sterling) - Floating to index linked: Total value at 31 March 2018 - Mark to Market</v>
      </c>
      <c r="D1117" s="2" t="s">
        <v>8</v>
      </c>
      <c r="E1117" s="2" t="s">
        <v>9</v>
      </c>
      <c r="F1117" s="1634"/>
      <c r="G1117" s="1635">
        <f>'4I'!K10</f>
        <v>0.9</v>
      </c>
      <c r="H1117" s="1636"/>
    </row>
    <row r="1118" spans="1:8">
      <c r="A1118" s="1636" t="str">
        <f>INDEX(Lists!$C$4:$C$24,MATCH(Validation!$B$3,Lists!$B$4:$B$24,0))</f>
        <v>TMS</v>
      </c>
      <c r="B1118" s="1636" t="str">
        <f>'4I'!BJ11</f>
        <v>CR2024MM</v>
      </c>
      <c r="C1118" s="1636" t="str">
        <f>'4I'!$BB$7&amp;" - "&amp;'4I'!BB11&amp;": "&amp;'4I'!$BI$3&amp;" - "&amp;'4I'!$BJ$4</f>
        <v>Interest rate swap (sterling) - Floating from index linked: Total value at 31 March 2018 - Mark to Market</v>
      </c>
      <c r="D1118" s="2" t="s">
        <v>8</v>
      </c>
      <c r="E1118" s="2" t="s">
        <v>9</v>
      </c>
      <c r="F1118" s="1634"/>
      <c r="G1118" s="1635">
        <f>'4I'!K11</f>
        <v>0</v>
      </c>
      <c r="H1118" s="1636"/>
    </row>
    <row r="1119" spans="1:8">
      <c r="A1119" s="1636" t="str">
        <f>INDEX(Lists!$C$4:$C$24,MATCH(Validation!$B$3,Lists!$B$4:$B$24,0))</f>
        <v>TMS</v>
      </c>
      <c r="B1119" s="1636" t="str">
        <f>'4I'!BJ12</f>
        <v>CR2025MM</v>
      </c>
      <c r="C1119" s="1636" t="str">
        <f>'4I'!$BB$7&amp;" - "&amp;'4I'!BB12&amp;": "&amp;'4I'!$BI$3&amp;" - "&amp;'4I'!$BJ$4</f>
        <v>Interest rate swap (sterling) - Fixed to index-linked: Total value at 31 March 2018 - Mark to Market</v>
      </c>
      <c r="D1119" s="2" t="s">
        <v>8</v>
      </c>
      <c r="E1119" s="2" t="s">
        <v>9</v>
      </c>
      <c r="F1119" s="1634"/>
      <c r="G1119" s="1635">
        <f>'4I'!K12</f>
        <v>262</v>
      </c>
      <c r="H1119" s="1636"/>
    </row>
    <row r="1120" spans="1:8">
      <c r="A1120" s="1636" t="str">
        <f>INDEX(Lists!$C$4:$C$24,MATCH(Validation!$B$3,Lists!$B$4:$B$24,0))</f>
        <v>TMS</v>
      </c>
      <c r="B1120" s="1636" t="str">
        <f>'4I'!BJ13</f>
        <v>CR2026MM</v>
      </c>
      <c r="C1120" s="1636" t="str">
        <f>'4I'!$BB$7&amp;" - "&amp;'4I'!BB13&amp;": "&amp;'4I'!$BI$3&amp;" - "&amp;'4I'!$BJ$4</f>
        <v>Interest rate swap (sterling) - Fixed from index-linked: Total value at 31 March 2018 - Mark to Market</v>
      </c>
      <c r="D1120" s="2" t="s">
        <v>8</v>
      </c>
      <c r="E1120" s="2" t="s">
        <v>9</v>
      </c>
      <c r="F1120" s="1634"/>
      <c r="G1120" s="1635">
        <f>'4I'!K13</f>
        <v>0</v>
      </c>
      <c r="H1120" s="1636"/>
    </row>
    <row r="1121" spans="1:8">
      <c r="A1121" s="1636" t="str">
        <f>INDEX(Lists!$C$4:$C$24,MATCH(Validation!$B$3,Lists!$B$4:$B$24,0))</f>
        <v>TMS</v>
      </c>
      <c r="B1121" s="1636" t="str">
        <f>'4I'!BJ17</f>
        <v>CR2005MM</v>
      </c>
      <c r="C1121" s="1636" t="str">
        <f>'4I'!$BB$16&amp;" - "&amp;'4I'!BB17&amp;": "&amp;'4I'!$BI$3&amp;" - "&amp;'4I'!$BJ$4</f>
        <v>Foreign Exchange - Cross currency swap USD: Total value at 31 March 2018 - Mark to Market</v>
      </c>
      <c r="D1121" s="2" t="s">
        <v>8</v>
      </c>
      <c r="E1121" s="2" t="s">
        <v>9</v>
      </c>
      <c r="F1121" s="1634"/>
      <c r="G1121" s="1635">
        <f>'4I'!K17</f>
        <v>1.4</v>
      </c>
      <c r="H1121" s="1636"/>
    </row>
    <row r="1122" spans="1:8">
      <c r="A1122" s="1636" t="str">
        <f>INDEX(Lists!$C$4:$C$24,MATCH(Validation!$B$3,Lists!$B$4:$B$24,0))</f>
        <v>TMS</v>
      </c>
      <c r="B1122" s="1636" t="str">
        <f>'4I'!BJ18</f>
        <v>CR2006MM</v>
      </c>
      <c r="C1122" s="1636" t="str">
        <f>'4I'!$BB$16&amp;" - "&amp;'4I'!BB18&amp;": "&amp;'4I'!$BI$3&amp;" - "&amp;'4I'!$BJ$4</f>
        <v>Foreign Exchange - Cross currency swap EUR: Total value at 31 March 2018 - Mark to Market</v>
      </c>
      <c r="D1122" s="2" t="s">
        <v>8</v>
      </c>
      <c r="E1122" s="2" t="s">
        <v>9</v>
      </c>
      <c r="F1122" s="1634"/>
      <c r="G1122" s="1635">
        <f>'4I'!K18</f>
        <v>0</v>
      </c>
      <c r="H1122" s="1636"/>
    </row>
    <row r="1123" spans="1:8">
      <c r="A1123" s="1636" t="str">
        <f>INDEX(Lists!$C$4:$C$24,MATCH(Validation!$B$3,Lists!$B$4:$B$24,0))</f>
        <v>TMS</v>
      </c>
      <c r="B1123" s="1636" t="str">
        <f>'4I'!BJ19</f>
        <v>CR2007MM</v>
      </c>
      <c r="C1123" s="1636" t="str">
        <f>'4I'!$BB$16&amp;" - "&amp;'4I'!BB19&amp;": "&amp;'4I'!$BI$3&amp;" - "&amp;'4I'!$BJ$4</f>
        <v>Foreign Exchange - Cross currency swap YEN: Total value at 31 March 2018 - Mark to Market</v>
      </c>
      <c r="D1123" s="2" t="s">
        <v>8</v>
      </c>
      <c r="E1123" s="2" t="s">
        <v>9</v>
      </c>
      <c r="F1123" s="1634"/>
      <c r="G1123" s="1635">
        <f>'4I'!K19</f>
        <v>41.3</v>
      </c>
      <c r="H1123" s="1636"/>
    </row>
    <row r="1124" spans="1:8">
      <c r="A1124" s="1636" t="str">
        <f>INDEX(Lists!$C$4:$C$24,MATCH(Validation!$B$3,Lists!$B$4:$B$24,0))</f>
        <v>TMS</v>
      </c>
      <c r="B1124" s="1636" t="str">
        <f>'4I'!BJ20</f>
        <v>CR2008MM</v>
      </c>
      <c r="C1124" s="1636" t="str">
        <f>'4I'!$BB$16&amp;" - "&amp;'4I'!BB20&amp;": "&amp;'4I'!$BI$3&amp;" - "&amp;'4I'!$BJ$4</f>
        <v>Foreign Exchange - Cross currency swap Other: Total value at 31 March 2018 - Mark to Market</v>
      </c>
      <c r="D1124" s="2" t="s">
        <v>8</v>
      </c>
      <c r="E1124" s="2" t="s">
        <v>9</v>
      </c>
      <c r="F1124" s="1634"/>
      <c r="G1124" s="1635">
        <f>'4I'!K20</f>
        <v>0</v>
      </c>
      <c r="H1124" s="1636"/>
    </row>
    <row r="1125" spans="1:8">
      <c r="A1125" s="1636" t="str">
        <f>INDEX(Lists!$C$4:$C$24,MATCH(Validation!$B$3,Lists!$B$4:$B$24,0))</f>
        <v>TMS</v>
      </c>
      <c r="B1125" s="1636" t="str">
        <f>'4I'!BJ24</f>
        <v>CR20010MM</v>
      </c>
      <c r="C1125" s="1636" t="str">
        <f>'4I'!$BB$23&amp;" - "&amp;'4I'!BB24&amp;": "&amp;'4I'!$BI$3&amp;" - "&amp;'4I'!$BJ$4</f>
        <v>Currency interest rate  - Currency interest rate swaps USD: Total value at 31 March 2018 - Mark to Market</v>
      </c>
      <c r="D1125" s="2" t="s">
        <v>8</v>
      </c>
      <c r="E1125" s="2" t="s">
        <v>9</v>
      </c>
      <c r="F1125" s="1634"/>
      <c r="G1125" s="1635">
        <f>'4I'!K24</f>
        <v>0</v>
      </c>
      <c r="H1125" s="1636"/>
    </row>
    <row r="1126" spans="1:8">
      <c r="A1126" s="1636" t="str">
        <f>INDEX(Lists!$C$4:$C$24,MATCH(Validation!$B$3,Lists!$B$4:$B$24,0))</f>
        <v>TMS</v>
      </c>
      <c r="B1126" s="1636" t="str">
        <f>'4I'!BJ25</f>
        <v>CR20011MM</v>
      </c>
      <c r="C1126" s="1636" t="str">
        <f>'4I'!$BB$23&amp;" - "&amp;'4I'!BB25&amp;": "&amp;'4I'!$BI$3&amp;" - "&amp;'4I'!$BJ$4</f>
        <v>Currency interest rate  - Currency interest rate swaps EUR: Total value at 31 March 2018 - Mark to Market</v>
      </c>
      <c r="D1126" s="2" t="s">
        <v>8</v>
      </c>
      <c r="E1126" s="2" t="s">
        <v>9</v>
      </c>
      <c r="F1126" s="1634"/>
      <c r="G1126" s="1635">
        <f>'4I'!K25</f>
        <v>0</v>
      </c>
      <c r="H1126" s="1636"/>
    </row>
    <row r="1127" spans="1:8">
      <c r="A1127" s="1636" t="str">
        <f>INDEX(Lists!$C$4:$C$24,MATCH(Validation!$B$3,Lists!$B$4:$B$24,0))</f>
        <v>TMS</v>
      </c>
      <c r="B1127" s="1636" t="str">
        <f>'4I'!BJ26</f>
        <v>CR20012MM</v>
      </c>
      <c r="C1127" s="1636" t="str">
        <f>'4I'!$BB$23&amp;" - "&amp;'4I'!BB26&amp;": "&amp;'4I'!$BI$3&amp;" - "&amp;'4I'!$BJ$4</f>
        <v>Currency interest rate  - Currency interest rate swaps YEN: Total value at 31 March 2018 - Mark to Market</v>
      </c>
      <c r="D1127" s="2" t="s">
        <v>8</v>
      </c>
      <c r="E1127" s="2" t="s">
        <v>9</v>
      </c>
      <c r="F1127" s="1634"/>
      <c r="G1127" s="1635">
        <f>'4I'!K26</f>
        <v>0</v>
      </c>
      <c r="H1127" s="1636"/>
    </row>
    <row r="1128" spans="1:8">
      <c r="A1128" s="1636" t="str">
        <f>INDEX(Lists!$C$4:$C$24,MATCH(Validation!$B$3,Lists!$B$4:$B$24,0))</f>
        <v>TMS</v>
      </c>
      <c r="B1128" s="1636" t="str">
        <f>'4I'!BJ27</f>
        <v>CR20013MM</v>
      </c>
      <c r="C1128" s="1636" t="str">
        <f>'4I'!$BB$23&amp;" - "&amp;'4I'!BB27&amp;": "&amp;'4I'!$BI$3&amp;" - "&amp;'4I'!$BJ$4</f>
        <v>Currency interest rate  - Currency interest rate swaps Other: Total value at 31 March 2018 - Mark to Market</v>
      </c>
      <c r="D1128" s="2" t="s">
        <v>8</v>
      </c>
      <c r="E1128" s="2" t="s">
        <v>9</v>
      </c>
      <c r="F1128" s="1634"/>
      <c r="G1128" s="1635">
        <f>'4I'!K27</f>
        <v>0</v>
      </c>
      <c r="H1128" s="1636"/>
    </row>
    <row r="1129" spans="1:8">
      <c r="A1129" s="1636" t="str">
        <f>INDEX(Lists!$C$4:$C$24,MATCH(Validation!$B$3,Lists!$B$4:$B$24,0))</f>
        <v>TMS</v>
      </c>
      <c r="B1129" s="1636" t="str">
        <f>'4I'!BJ31</f>
        <v>CR20015MM</v>
      </c>
      <c r="C1129" s="1636" t="str">
        <f>'4I'!$BB$30&amp;" - "&amp;'4I'!BB31&amp;": "&amp;'4I'!$BI$3&amp;" - "&amp;'4I'!$BJ$4</f>
        <v>Forward currency contracts - Forward currency contracts USD: Total value at 31 March 2018 - Mark to Market</v>
      </c>
      <c r="D1129" s="2" t="s">
        <v>8</v>
      </c>
      <c r="E1129" s="2" t="s">
        <v>9</v>
      </c>
      <c r="F1129" s="1634"/>
      <c r="G1129" s="1635">
        <f>'4I'!K31</f>
        <v>0</v>
      </c>
      <c r="H1129" s="1636"/>
    </row>
    <row r="1130" spans="1:8">
      <c r="A1130" s="1636" t="str">
        <f>INDEX(Lists!$C$4:$C$24,MATCH(Validation!$B$3,Lists!$B$4:$B$24,0))</f>
        <v>TMS</v>
      </c>
      <c r="B1130" s="1636" t="str">
        <f>'4I'!BJ32</f>
        <v>CR20016MM</v>
      </c>
      <c r="C1130" s="1636" t="str">
        <f>'4I'!$BB$30&amp;" - "&amp;'4I'!BB32&amp;": "&amp;'4I'!$BI$3&amp;" - "&amp;'4I'!$BJ$4</f>
        <v>Forward currency contracts - Forward currency contracts EUR: Total value at 31 March 2018 - Mark to Market</v>
      </c>
      <c r="D1130" s="2" t="s">
        <v>8</v>
      </c>
      <c r="E1130" s="2" t="s">
        <v>9</v>
      </c>
      <c r="F1130" s="1634"/>
      <c r="G1130" s="1635">
        <f>'4I'!K32</f>
        <v>0</v>
      </c>
      <c r="H1130" s="1636"/>
    </row>
    <row r="1131" spans="1:8">
      <c r="A1131" s="1636" t="str">
        <f>INDEX(Lists!$C$4:$C$24,MATCH(Validation!$B$3,Lists!$B$4:$B$24,0))</f>
        <v>TMS</v>
      </c>
      <c r="B1131" s="1636" t="str">
        <f>'4I'!BJ33</f>
        <v>CR20017MM</v>
      </c>
      <c r="C1131" s="1636" t="str">
        <f>'4I'!$BB$30&amp;" - "&amp;'4I'!BB33&amp;": "&amp;'4I'!$BI$3&amp;" - "&amp;'4I'!$BJ$4</f>
        <v>Forward currency contracts - Forward currency contracts YEN: Total value at 31 March 2018 - Mark to Market</v>
      </c>
      <c r="D1131" s="2" t="s">
        <v>8</v>
      </c>
      <c r="E1131" s="2" t="s">
        <v>9</v>
      </c>
      <c r="F1131" s="1634"/>
      <c r="G1131" s="1635">
        <f>'4I'!K33</f>
        <v>0</v>
      </c>
      <c r="H1131" s="1636"/>
    </row>
    <row r="1132" spans="1:8">
      <c r="A1132" s="1636" t="str">
        <f>INDEX(Lists!$C$4:$C$24,MATCH(Validation!$B$3,Lists!$B$4:$B$24,0))</f>
        <v>TMS</v>
      </c>
      <c r="B1132" s="1636" t="str">
        <f>'4I'!BJ34</f>
        <v>CR20018MM</v>
      </c>
      <c r="C1132" s="1636" t="str">
        <f>'4I'!$BB$30&amp;" - "&amp;'4I'!BB34&amp;": "&amp;'4I'!$BI$3&amp;" - "&amp;'4I'!$BJ$4</f>
        <v>Forward currency contracts - Forward currency contracts Other: Total value at 31 March 2018 - Mark to Market</v>
      </c>
      <c r="D1132" s="2" t="s">
        <v>8</v>
      </c>
      <c r="E1132" s="2" t="s">
        <v>9</v>
      </c>
      <c r="F1132" s="1634"/>
      <c r="G1132" s="1635">
        <f>'4I'!K34</f>
        <v>0</v>
      </c>
      <c r="H1132" s="1636"/>
    </row>
    <row r="1133" spans="1:8">
      <c r="A1133" s="1652" t="str">
        <f>INDEX(Lists!$C$4:$C$24,MATCH(Validation!$B$3,Lists!$B$4:$B$24,0))</f>
        <v>TMS</v>
      </c>
      <c r="B1133" s="1652" t="str">
        <f>'4I'!BJ38</f>
        <v>CR2028MM</v>
      </c>
      <c r="C1133" s="1637" t="str">
        <f>'4I'!BB38&amp;": "&amp;'4I'!$BI$3&amp;" - "&amp;'4I'!$BJ$4</f>
        <v>Other financial derivatives: Total value at 31 March 2018 - Mark to Market</v>
      </c>
      <c r="D1133" s="1651" t="s">
        <v>8</v>
      </c>
      <c r="E1133" s="1651" t="s">
        <v>9</v>
      </c>
      <c r="F1133" s="1637"/>
      <c r="G1133" s="1653">
        <f>'4I'!K38</f>
        <v>0</v>
      </c>
      <c r="H1133" s="1652"/>
    </row>
    <row r="1134" spans="1:8">
      <c r="A1134" s="1696" t="str">
        <f>INDEX(Lists!$C$4:$C$24,MATCH(Validation!$B$3,Lists!$B$4:$B$24,0))</f>
        <v>TMS</v>
      </c>
      <c r="B1134" s="1696" t="str">
        <f>'4I'!BK8</f>
        <v>CR2021TA</v>
      </c>
      <c r="C1134" s="1636" t="str">
        <f>'4I'!$BB$7&amp;" - "&amp;'4I'!BB8&amp;" - "&amp;'4I'!$BK$3</f>
        <v>Interest rate swap (sterling) - Floating to fixed rate - Total accretion at 31 March 2018</v>
      </c>
      <c r="D1134" s="2" t="s">
        <v>8</v>
      </c>
      <c r="E1134" s="2" t="s">
        <v>9</v>
      </c>
      <c r="F1134" s="1634"/>
      <c r="G1134" s="1635">
        <f>'4I'!L8</f>
        <v>0</v>
      </c>
      <c r="H1134" s="1636"/>
    </row>
    <row r="1135" spans="1:8">
      <c r="A1135" s="1696" t="str">
        <f>INDEX(Lists!$C$4:$C$24,MATCH(Validation!$B$3,Lists!$B$4:$B$24,0))</f>
        <v>TMS</v>
      </c>
      <c r="B1135" s="1696" t="str">
        <f>'4I'!BK9</f>
        <v>CR2022TA</v>
      </c>
      <c r="C1135" s="1636" t="str">
        <f>'4I'!$BB$7&amp;" - "&amp;'4I'!BB9&amp;" - "&amp;'4I'!$BK$3</f>
        <v>Interest rate swap (sterling) - Floating from fixed rate - Total accretion at 31 March 2018</v>
      </c>
      <c r="D1135" s="2" t="s">
        <v>8</v>
      </c>
      <c r="E1135" s="2" t="s">
        <v>9</v>
      </c>
      <c r="F1135" s="1634"/>
      <c r="G1135" s="1635">
        <f>'4I'!L9</f>
        <v>0</v>
      </c>
      <c r="H1135" s="1636"/>
    </row>
    <row r="1136" spans="1:8">
      <c r="A1136" s="1696" t="str">
        <f>INDEX(Lists!$C$4:$C$24,MATCH(Validation!$B$3,Lists!$B$4:$B$24,0))</f>
        <v>TMS</v>
      </c>
      <c r="B1136" s="1696" t="str">
        <f>'4I'!BK10</f>
        <v>CR2023TA</v>
      </c>
      <c r="C1136" s="1636" t="str">
        <f>'4I'!$BB$7&amp;" - "&amp;'4I'!BB10&amp;" - "&amp;'4I'!$BK$3</f>
        <v>Interest rate swap (sterling) - Floating to index linked - Total accretion at 31 March 2018</v>
      </c>
      <c r="D1136" s="2" t="s">
        <v>8</v>
      </c>
      <c r="E1136" s="2" t="s">
        <v>9</v>
      </c>
      <c r="F1136" s="1634"/>
      <c r="G1136" s="1635">
        <f>'4I'!L10</f>
        <v>1.3</v>
      </c>
      <c r="H1136" s="1636"/>
    </row>
    <row r="1137" spans="1:8">
      <c r="A1137" s="1696" t="str">
        <f>INDEX(Lists!$C$4:$C$24,MATCH(Validation!$B$3,Lists!$B$4:$B$24,0))</f>
        <v>TMS</v>
      </c>
      <c r="B1137" s="1696" t="str">
        <f>'4I'!BK11</f>
        <v>CR2024TA</v>
      </c>
      <c r="C1137" s="1636" t="str">
        <f>'4I'!$BB$7&amp;" - "&amp;'4I'!BB11&amp;" - "&amp;'4I'!$BK$3</f>
        <v>Interest rate swap (sterling) - Floating from index linked - Total accretion at 31 March 2018</v>
      </c>
      <c r="D1137" s="2" t="s">
        <v>8</v>
      </c>
      <c r="E1137" s="2" t="s">
        <v>9</v>
      </c>
      <c r="F1137" s="1634"/>
      <c r="G1137" s="1635">
        <f>'4I'!L11</f>
        <v>0</v>
      </c>
      <c r="H1137" s="1636"/>
    </row>
    <row r="1138" spans="1:8">
      <c r="A1138" s="1696" t="str">
        <f>INDEX(Lists!$C$4:$C$24,MATCH(Validation!$B$3,Lists!$B$4:$B$24,0))</f>
        <v>TMS</v>
      </c>
      <c r="B1138" s="1696" t="str">
        <f>'4I'!BK12</f>
        <v>CR2025TA</v>
      </c>
      <c r="C1138" s="1636" t="str">
        <f>'4I'!$BB$7&amp;" - "&amp;'4I'!BB12&amp;" - "&amp;'4I'!$BK$3</f>
        <v>Interest rate swap (sterling) - Fixed to index-linked - Total accretion at 31 March 2018</v>
      </c>
      <c r="D1138" s="2" t="s">
        <v>8</v>
      </c>
      <c r="E1138" s="2" t="s">
        <v>9</v>
      </c>
      <c r="F1138" s="1634"/>
      <c r="G1138" s="1635">
        <f>'4I'!L12</f>
        <v>217.6</v>
      </c>
      <c r="H1138" s="1636"/>
    </row>
    <row r="1139" spans="1:8">
      <c r="A1139" s="1696" t="str">
        <f>INDEX(Lists!$C$4:$C$24,MATCH(Validation!$B$3,Lists!$B$4:$B$24,0))</f>
        <v>TMS</v>
      </c>
      <c r="B1139" s="1696" t="str">
        <f>'4I'!BK13</f>
        <v>CR2026TA</v>
      </c>
      <c r="C1139" s="1636" t="str">
        <f>'4I'!$BB$7&amp;" - "&amp;'4I'!BB13&amp;" - "&amp;'4I'!$BK$3</f>
        <v>Interest rate swap (sterling) - Fixed from index-linked - Total accretion at 31 March 2018</v>
      </c>
      <c r="D1139" s="2" t="s">
        <v>8</v>
      </c>
      <c r="E1139" s="2" t="s">
        <v>9</v>
      </c>
      <c r="F1139" s="1634"/>
      <c r="G1139" s="1635">
        <f>'4I'!L13</f>
        <v>0</v>
      </c>
      <c r="H1139" s="1636"/>
    </row>
    <row r="1140" spans="1:8">
      <c r="A1140" s="1696" t="str">
        <f>INDEX(Lists!$C$4:$C$24,MATCH(Validation!$B$3,Lists!$B$4:$B$24,0))</f>
        <v>TMS</v>
      </c>
      <c r="B1140" s="1696" t="str">
        <f>'4I'!BK17</f>
        <v>CR2005TA</v>
      </c>
      <c r="C1140" s="1636" t="str">
        <f>'4I'!$BB$16&amp;" - "&amp;'4I'!BB17&amp;" - "&amp;'4I'!$BK$3</f>
        <v>Foreign Exchange - Cross currency swap USD - Total accretion at 31 March 2018</v>
      </c>
      <c r="D1140" s="2" t="s">
        <v>8</v>
      </c>
      <c r="E1140" s="2" t="s">
        <v>9</v>
      </c>
      <c r="F1140" s="1634"/>
      <c r="G1140" s="1635">
        <f>'4I'!L17</f>
        <v>0</v>
      </c>
      <c r="H1140" s="1636"/>
    </row>
    <row r="1141" spans="1:8">
      <c r="A1141" s="1696" t="str">
        <f>INDEX(Lists!$C$4:$C$24,MATCH(Validation!$B$3,Lists!$B$4:$B$24,0))</f>
        <v>TMS</v>
      </c>
      <c r="B1141" s="1696" t="str">
        <f>'4I'!BK18</f>
        <v>CR2006TA</v>
      </c>
      <c r="C1141" s="1636" t="str">
        <f>'4I'!$BB$16&amp;" - "&amp;'4I'!BB18&amp;" - "&amp;'4I'!$BK$3</f>
        <v>Foreign Exchange - Cross currency swap EUR - Total accretion at 31 March 2018</v>
      </c>
      <c r="D1141" s="2" t="s">
        <v>8</v>
      </c>
      <c r="E1141" s="2" t="s">
        <v>9</v>
      </c>
      <c r="F1141" s="1634"/>
      <c r="G1141" s="1635">
        <f>'4I'!L18</f>
        <v>0</v>
      </c>
      <c r="H1141" s="1636"/>
    </row>
    <row r="1142" spans="1:8">
      <c r="A1142" s="1696" t="str">
        <f>INDEX(Lists!$C$4:$C$24,MATCH(Validation!$B$3,Lists!$B$4:$B$24,0))</f>
        <v>TMS</v>
      </c>
      <c r="B1142" s="1696" t="str">
        <f>'4I'!BK19</f>
        <v>CR2007TA</v>
      </c>
      <c r="C1142" s="1636" t="str">
        <f>'4I'!$BB$16&amp;" - "&amp;'4I'!BB19&amp;" - "&amp;'4I'!$BK$3</f>
        <v>Foreign Exchange - Cross currency swap YEN - Total accretion at 31 March 2018</v>
      </c>
      <c r="D1142" s="2" t="s">
        <v>8</v>
      </c>
      <c r="E1142" s="2" t="s">
        <v>9</v>
      </c>
      <c r="F1142" s="1634"/>
      <c r="G1142" s="1635">
        <f>'4I'!L19</f>
        <v>0</v>
      </c>
      <c r="H1142" s="1636"/>
    </row>
    <row r="1143" spans="1:8">
      <c r="A1143" s="1696" t="str">
        <f>INDEX(Lists!$C$4:$C$24,MATCH(Validation!$B$3,Lists!$B$4:$B$24,0))</f>
        <v>TMS</v>
      </c>
      <c r="B1143" s="1696" t="str">
        <f>'4I'!BK20</f>
        <v>CR2008TA</v>
      </c>
      <c r="C1143" s="1636" t="str">
        <f>'4I'!$BB$16&amp;" - "&amp;'4I'!BB20&amp;" - "&amp;'4I'!$BK$3</f>
        <v>Foreign Exchange - Cross currency swap Other - Total accretion at 31 March 2018</v>
      </c>
      <c r="D1143" s="2" t="s">
        <v>8</v>
      </c>
      <c r="E1143" s="2" t="s">
        <v>9</v>
      </c>
      <c r="F1143" s="1634"/>
      <c r="G1143" s="1635">
        <f>'4I'!L20</f>
        <v>0</v>
      </c>
      <c r="H1143" s="1636"/>
    </row>
    <row r="1144" spans="1:8">
      <c r="A1144" s="1696" t="str">
        <f>INDEX(Lists!$C$4:$C$24,MATCH(Validation!$B$3,Lists!$B$4:$B$24,0))</f>
        <v>TMS</v>
      </c>
      <c r="B1144" s="1696" t="str">
        <f>'4I'!BK24</f>
        <v>CR20010TA</v>
      </c>
      <c r="C1144" s="1636" t="str">
        <f>'4I'!$BB$23&amp;" - "&amp;'4I'!BB24&amp;" - "&amp;'4I'!$BK$3</f>
        <v>Currency interest rate  - Currency interest rate swaps USD - Total accretion at 31 March 2018</v>
      </c>
      <c r="D1144" s="2" t="s">
        <v>8</v>
      </c>
      <c r="E1144" s="2" t="s">
        <v>9</v>
      </c>
      <c r="F1144" s="1634"/>
      <c r="G1144" s="1635">
        <f>'4I'!L24</f>
        <v>0</v>
      </c>
      <c r="H1144" s="1636"/>
    </row>
    <row r="1145" spans="1:8">
      <c r="A1145" s="1696" t="str">
        <f>INDEX(Lists!$C$4:$C$24,MATCH(Validation!$B$3,Lists!$B$4:$B$24,0))</f>
        <v>TMS</v>
      </c>
      <c r="B1145" s="1696" t="str">
        <f>'4I'!BK25</f>
        <v>CR20011TA</v>
      </c>
      <c r="C1145" s="1636" t="str">
        <f>'4I'!$BB$23&amp;" - "&amp;'4I'!BB25&amp;" - "&amp;'4I'!$BK$3</f>
        <v>Currency interest rate  - Currency interest rate swaps EUR - Total accretion at 31 March 2018</v>
      </c>
      <c r="D1145" s="2" t="s">
        <v>8</v>
      </c>
      <c r="E1145" s="2" t="s">
        <v>9</v>
      </c>
      <c r="F1145" s="1634"/>
      <c r="G1145" s="1635">
        <f>'4I'!L25</f>
        <v>0</v>
      </c>
      <c r="H1145" s="1636"/>
    </row>
    <row r="1146" spans="1:8">
      <c r="A1146" s="1696" t="str">
        <f>INDEX(Lists!$C$4:$C$24,MATCH(Validation!$B$3,Lists!$B$4:$B$24,0))</f>
        <v>TMS</v>
      </c>
      <c r="B1146" s="1696" t="str">
        <f>'4I'!BK26</f>
        <v>CR20012TA</v>
      </c>
      <c r="C1146" s="1636" t="str">
        <f>'4I'!$BB$23&amp;" - "&amp;'4I'!BB26&amp;" - "&amp;'4I'!$BK$3</f>
        <v>Currency interest rate  - Currency interest rate swaps YEN - Total accretion at 31 March 2018</v>
      </c>
      <c r="D1146" s="2" t="s">
        <v>8</v>
      </c>
      <c r="E1146" s="2" t="s">
        <v>9</v>
      </c>
      <c r="F1146" s="1634"/>
      <c r="G1146" s="1635">
        <f>'4I'!L26</f>
        <v>0</v>
      </c>
      <c r="H1146" s="1636"/>
    </row>
    <row r="1147" spans="1:8">
      <c r="A1147" s="1696" t="str">
        <f>INDEX(Lists!$C$4:$C$24,MATCH(Validation!$B$3,Lists!$B$4:$B$24,0))</f>
        <v>TMS</v>
      </c>
      <c r="B1147" s="1696" t="str">
        <f>'4I'!BK27</f>
        <v>CR20013TA</v>
      </c>
      <c r="C1147" s="1636" t="str">
        <f>'4I'!$BB$23&amp;" - "&amp;'4I'!BB27&amp;" - "&amp;'4I'!$BK$3</f>
        <v>Currency interest rate  - Currency interest rate swaps Other - Total accretion at 31 March 2018</v>
      </c>
      <c r="D1147" s="2" t="s">
        <v>8</v>
      </c>
      <c r="E1147" s="2" t="s">
        <v>9</v>
      </c>
      <c r="F1147" s="1634"/>
      <c r="G1147" s="1635">
        <f>'4I'!L27</f>
        <v>0</v>
      </c>
      <c r="H1147" s="1636"/>
    </row>
    <row r="1148" spans="1:8">
      <c r="A1148" s="1696" t="str">
        <f>INDEX(Lists!$C$4:$C$24,MATCH(Validation!$B$3,Lists!$B$4:$B$24,0))</f>
        <v>TMS</v>
      </c>
      <c r="B1148" s="1696" t="str">
        <f>'4I'!BK31</f>
        <v>CR20015TA</v>
      </c>
      <c r="C1148" s="1636" t="str">
        <f>'4I'!$BB$30&amp;" - "&amp;'4I'!BB31&amp;" - "&amp;'4I'!$BK$3</f>
        <v>Forward currency contracts - Forward currency contracts USD - Total accretion at 31 March 2018</v>
      </c>
      <c r="D1148" s="2" t="s">
        <v>8</v>
      </c>
      <c r="E1148" s="2" t="s">
        <v>9</v>
      </c>
      <c r="F1148" s="1634"/>
      <c r="G1148" s="1635">
        <f>'4I'!L31</f>
        <v>0</v>
      </c>
      <c r="H1148" s="1636"/>
    </row>
    <row r="1149" spans="1:8">
      <c r="A1149" s="1696" t="str">
        <f>INDEX(Lists!$C$4:$C$24,MATCH(Validation!$B$3,Lists!$B$4:$B$24,0))</f>
        <v>TMS</v>
      </c>
      <c r="B1149" s="1696" t="str">
        <f>'4I'!BK32</f>
        <v>CR20016TA</v>
      </c>
      <c r="C1149" s="1636" t="str">
        <f>'4I'!$BB$30&amp;" - "&amp;'4I'!BB32&amp;" - "&amp;'4I'!$BK$3</f>
        <v>Forward currency contracts - Forward currency contracts EUR - Total accretion at 31 March 2018</v>
      </c>
      <c r="D1149" s="2" t="s">
        <v>8</v>
      </c>
      <c r="E1149" s="2" t="s">
        <v>9</v>
      </c>
      <c r="F1149" s="1634"/>
      <c r="G1149" s="1635">
        <f>'4I'!L32</f>
        <v>0</v>
      </c>
      <c r="H1149" s="1636"/>
    </row>
    <row r="1150" spans="1:8">
      <c r="A1150" s="1696" t="str">
        <f>INDEX(Lists!$C$4:$C$24,MATCH(Validation!$B$3,Lists!$B$4:$B$24,0))</f>
        <v>TMS</v>
      </c>
      <c r="B1150" s="1696" t="str">
        <f>'4I'!BK33</f>
        <v>CR20017TA</v>
      </c>
      <c r="C1150" s="1636" t="str">
        <f>'4I'!$BB$30&amp;" - "&amp;'4I'!BB33&amp;" - "&amp;'4I'!$BK$3</f>
        <v>Forward currency contracts - Forward currency contracts YEN - Total accretion at 31 March 2018</v>
      </c>
      <c r="D1150" s="2" t="s">
        <v>8</v>
      </c>
      <c r="E1150" s="2" t="s">
        <v>9</v>
      </c>
      <c r="F1150" s="1634"/>
      <c r="G1150" s="1635">
        <f>'4I'!L33</f>
        <v>0</v>
      </c>
      <c r="H1150" s="1636"/>
    </row>
    <row r="1151" spans="1:8">
      <c r="A1151" s="1696" t="str">
        <f>INDEX(Lists!$C$4:$C$24,MATCH(Validation!$B$3,Lists!$B$4:$B$24,0))</f>
        <v>TMS</v>
      </c>
      <c r="B1151" s="1696" t="str">
        <f>'4I'!BK34</f>
        <v>CR20018TA</v>
      </c>
      <c r="C1151" s="1636" t="str">
        <f>'4I'!$BB$30&amp;" - "&amp;'4I'!BB34&amp;" - "&amp;'4I'!$BK$3</f>
        <v>Forward currency contracts - Forward currency contracts Other - Total accretion at 31 March 2018</v>
      </c>
      <c r="D1151" s="2" t="s">
        <v>8</v>
      </c>
      <c r="E1151" s="2" t="s">
        <v>9</v>
      </c>
      <c r="F1151" s="1634"/>
      <c r="G1151" s="1635">
        <f>'4I'!L34</f>
        <v>0</v>
      </c>
      <c r="H1151" s="1636"/>
    </row>
    <row r="1152" spans="1:8">
      <c r="A1152" s="1724" t="str">
        <f>INDEX(Lists!$C$4:$C$24,MATCH(Validation!$B$3,Lists!$B$4:$B$24,0))</f>
        <v>TMS</v>
      </c>
      <c r="B1152" s="1724" t="str">
        <f>'4I'!BK38</f>
        <v>CR2028TA</v>
      </c>
      <c r="C1152" s="1637" t="str">
        <f>'4I'!BB38&amp;" - "&amp;'4I'!$BK$3</f>
        <v>Other financial derivatives - Total accretion at 31 March 2018</v>
      </c>
      <c r="D1152" s="1651" t="s">
        <v>8</v>
      </c>
      <c r="E1152" s="1651" t="s">
        <v>9</v>
      </c>
      <c r="F1152" s="1637"/>
      <c r="G1152" s="1653">
        <f>'4I'!L38</f>
        <v>0</v>
      </c>
      <c r="H1152" s="1652"/>
    </row>
    <row r="1153" spans="1:8">
      <c r="A1153" s="1696" t="str">
        <f>INDEX(Lists!$C$4:$C$24,MATCH(Validation!$B$3,Lists!$B$4:$B$24,0))</f>
        <v>TMS</v>
      </c>
      <c r="B1153" s="1696" t="str">
        <f>'4I'!BN8</f>
        <v>CR2021IRP</v>
      </c>
      <c r="C1153" s="1636" t="str">
        <f>'4I'!$BB$7&amp;" - "&amp;'4I'!BB8&amp;": "&amp;'4I'!$BN$3&amp;" - "&amp;'4I'!$BN$4</f>
        <v>Interest rate swap (sterling) - Floating to fixed rate: Interest rate
(weighted average for 12 months to 31 March 2018) - Payable</v>
      </c>
      <c r="D1153" s="2" t="s">
        <v>10</v>
      </c>
      <c r="E1153" s="2" t="s">
        <v>9</v>
      </c>
      <c r="F1153" s="1634"/>
      <c r="G1153" s="1678">
        <f>'4I'!O8</f>
        <v>3.2000000000000001E-2</v>
      </c>
      <c r="H1153" s="1636"/>
    </row>
    <row r="1154" spans="1:8">
      <c r="A1154" s="1696" t="str">
        <f>INDEX(Lists!$C$4:$C$24,MATCH(Validation!$B$3,Lists!$B$4:$B$24,0))</f>
        <v>TMS</v>
      </c>
      <c r="B1154" s="1696" t="str">
        <f>'4I'!BN9</f>
        <v>CR2022IRP</v>
      </c>
      <c r="C1154" s="1636" t="str">
        <f>'4I'!$BB$7&amp;" - "&amp;'4I'!BB9&amp;": "&amp;'4I'!$BN$3&amp;" - "&amp;'4I'!$BN$4</f>
        <v>Interest rate swap (sterling) - Floating from fixed rate: Interest rate
(weighted average for 12 months to 31 March 2018) - Payable</v>
      </c>
      <c r="D1154" s="2" t="s">
        <v>10</v>
      </c>
      <c r="E1154" s="2" t="s">
        <v>9</v>
      </c>
      <c r="F1154" s="1634"/>
      <c r="G1154" s="1678">
        <f>'4I'!O9</f>
        <v>6.0000000000000001E-3</v>
      </c>
      <c r="H1154" s="1636"/>
    </row>
    <row r="1155" spans="1:8">
      <c r="A1155" s="1696" t="str">
        <f>INDEX(Lists!$C$4:$C$24,MATCH(Validation!$B$3,Lists!$B$4:$B$24,0))</f>
        <v>TMS</v>
      </c>
      <c r="B1155" s="1696" t="str">
        <f>'4I'!BN10</f>
        <v>CR2023IRP</v>
      </c>
      <c r="C1155" s="1636" t="str">
        <f>'4I'!$BB$7&amp;" - "&amp;'4I'!BB10&amp;": "&amp;'4I'!$BN$3&amp;" - "&amp;'4I'!$BN$4</f>
        <v>Interest rate swap (sterling) - Floating to index linked: Interest rate
(weighted average for 12 months to 31 March 2018) - Payable</v>
      </c>
      <c r="D1155" s="2" t="s">
        <v>10</v>
      </c>
      <c r="E1155" s="2" t="s">
        <v>9</v>
      </c>
      <c r="F1155" s="1634"/>
      <c r="G1155" s="1678">
        <f>'4I'!O10</f>
        <v>0.05</v>
      </c>
      <c r="H1155" s="1636"/>
    </row>
    <row r="1156" spans="1:8">
      <c r="A1156" s="1696" t="str">
        <f>INDEX(Lists!$C$4:$C$24,MATCH(Validation!$B$3,Lists!$B$4:$B$24,0))</f>
        <v>TMS</v>
      </c>
      <c r="B1156" s="1696" t="str">
        <f>'4I'!BN11</f>
        <v>CR2024IRP</v>
      </c>
      <c r="C1156" s="1636" t="str">
        <f>'4I'!$BB$7&amp;" - "&amp;'4I'!BB11&amp;": "&amp;'4I'!$BN$3&amp;" - "&amp;'4I'!$BN$4</f>
        <v>Interest rate swap (sterling) - Floating from index linked: Interest rate
(weighted average for 12 months to 31 March 2018) - Payable</v>
      </c>
      <c r="D1156" s="2" t="s">
        <v>10</v>
      </c>
      <c r="E1156" s="2" t="s">
        <v>9</v>
      </c>
      <c r="F1156" s="1634"/>
      <c r="G1156" s="1678">
        <f>'4I'!O11</f>
        <v>0</v>
      </c>
      <c r="H1156" s="1636"/>
    </row>
    <row r="1157" spans="1:8">
      <c r="A1157" s="1696" t="str">
        <f>INDEX(Lists!$C$4:$C$24,MATCH(Validation!$B$3,Lists!$B$4:$B$24,0))</f>
        <v>TMS</v>
      </c>
      <c r="B1157" s="1696" t="str">
        <f>'4I'!BN12</f>
        <v>CR2025IRP</v>
      </c>
      <c r="C1157" s="1636" t="str">
        <f>'4I'!$BB$7&amp;" - "&amp;'4I'!BB12&amp;": "&amp;'4I'!$BN$3&amp;" - "&amp;'4I'!$BN$4</f>
        <v>Interest rate swap (sterling) - Fixed to index-linked: Interest rate
(weighted average for 12 months to 31 March 2018) - Payable</v>
      </c>
      <c r="D1157" s="2" t="s">
        <v>10</v>
      </c>
      <c r="E1157" s="2" t="s">
        <v>9</v>
      </c>
      <c r="F1157" s="1634"/>
      <c r="G1157" s="1678">
        <f>'4I'!O12</f>
        <v>5.7000000000000002E-2</v>
      </c>
      <c r="H1157" s="1636"/>
    </row>
    <row r="1158" spans="1:8">
      <c r="A1158" s="1696" t="str">
        <f>INDEX(Lists!$C$4:$C$24,MATCH(Validation!$B$3,Lists!$B$4:$B$24,0))</f>
        <v>TMS</v>
      </c>
      <c r="B1158" s="1696" t="str">
        <f>'4I'!BN13</f>
        <v>CR2026IRP</v>
      </c>
      <c r="C1158" s="1636" t="str">
        <f>'4I'!$BB$7&amp;" - "&amp;'4I'!BB13&amp;": "&amp;'4I'!$BN$3&amp;" - "&amp;'4I'!$BN$4</f>
        <v>Interest rate swap (sterling) - Fixed from index-linked: Interest rate
(weighted average for 12 months to 31 March 2018) - Payable</v>
      </c>
      <c r="D1158" s="2" t="s">
        <v>10</v>
      </c>
      <c r="E1158" s="2" t="s">
        <v>9</v>
      </c>
      <c r="F1158" s="1634"/>
      <c r="G1158" s="1678">
        <f>'4I'!O13</f>
        <v>0</v>
      </c>
      <c r="H1158" s="1636"/>
    </row>
    <row r="1159" spans="1:8">
      <c r="A1159" s="1696" t="str">
        <f>INDEX(Lists!$C$4:$C$24,MATCH(Validation!$B$3,Lists!$B$4:$B$24,0))</f>
        <v>TMS</v>
      </c>
      <c r="B1159" s="1696" t="str">
        <f>'4I'!BN17</f>
        <v>CR2005IRP</v>
      </c>
      <c r="C1159" s="1636" t="str">
        <f>'4I'!$BB$16&amp;" - "&amp;'4I'!BB17&amp;": "&amp;'4I'!$BN$3&amp;" - "&amp;'4I'!$BN$4</f>
        <v>Foreign Exchange - Cross currency swap USD: Interest rate
(weighted average for 12 months to 31 March 2018) - Payable</v>
      </c>
      <c r="D1159" s="2" t="s">
        <v>10</v>
      </c>
      <c r="E1159" s="2" t="s">
        <v>9</v>
      </c>
      <c r="F1159" s="1634"/>
      <c r="G1159" s="1678">
        <f>'4I'!O17</f>
        <v>2.3E-2</v>
      </c>
      <c r="H1159" s="1636"/>
    </row>
    <row r="1160" spans="1:8">
      <c r="A1160" s="1696" t="str">
        <f>INDEX(Lists!$C$4:$C$24,MATCH(Validation!$B$3,Lists!$B$4:$B$24,0))</f>
        <v>TMS</v>
      </c>
      <c r="B1160" s="1696" t="str">
        <f>'4I'!BN18</f>
        <v>CR2006IRP</v>
      </c>
      <c r="C1160" s="1636" t="str">
        <f>'4I'!$BB$16&amp;" - "&amp;'4I'!BB18&amp;": "&amp;'4I'!$BN$3&amp;" - "&amp;'4I'!$BN$4</f>
        <v>Foreign Exchange - Cross currency swap EUR: Interest rate
(weighted average for 12 months to 31 March 2018) - Payable</v>
      </c>
      <c r="D1160" s="2" t="s">
        <v>10</v>
      </c>
      <c r="E1160" s="2" t="s">
        <v>9</v>
      </c>
      <c r="F1160" s="1634"/>
      <c r="G1160" s="1678">
        <f>'4I'!O18</f>
        <v>0</v>
      </c>
      <c r="H1160" s="1636"/>
    </row>
    <row r="1161" spans="1:8">
      <c r="A1161" s="1696" t="str">
        <f>INDEX(Lists!$C$4:$C$24,MATCH(Validation!$B$3,Lists!$B$4:$B$24,0))</f>
        <v>TMS</v>
      </c>
      <c r="B1161" s="1696" t="str">
        <f>'4I'!BN19</f>
        <v>CR2007IRP</v>
      </c>
      <c r="C1161" s="1636" t="str">
        <f>'4I'!$BB$16&amp;" - "&amp;'4I'!BB19&amp;": "&amp;'4I'!$BN$3&amp;" - "&amp;'4I'!$BN$4</f>
        <v>Foreign Exchange - Cross currency swap YEN: Interest rate
(weighted average for 12 months to 31 March 2018) - Payable</v>
      </c>
      <c r="D1161" s="2" t="s">
        <v>10</v>
      </c>
      <c r="E1161" s="2" t="s">
        <v>9</v>
      </c>
      <c r="F1161" s="1634"/>
      <c r="G1161" s="1678">
        <f>'4I'!O19</f>
        <v>6.6000000000000003E-2</v>
      </c>
      <c r="H1161" s="1636"/>
    </row>
    <row r="1162" spans="1:8">
      <c r="A1162" s="1696" t="str">
        <f>INDEX(Lists!$C$4:$C$24,MATCH(Validation!$B$3,Lists!$B$4:$B$24,0))</f>
        <v>TMS</v>
      </c>
      <c r="B1162" s="1696" t="str">
        <f>'4I'!BN20</f>
        <v>CR2008IRP</v>
      </c>
      <c r="C1162" s="1636" t="str">
        <f>'4I'!$BB$16&amp;" - "&amp;'4I'!BB20&amp;": "&amp;'4I'!$BN$3&amp;" - "&amp;'4I'!$BN$4</f>
        <v>Foreign Exchange - Cross currency swap Other: Interest rate
(weighted average for 12 months to 31 March 2018) - Payable</v>
      </c>
      <c r="D1162" s="2" t="s">
        <v>10</v>
      </c>
      <c r="E1162" s="2" t="s">
        <v>9</v>
      </c>
      <c r="F1162" s="1634"/>
      <c r="G1162" s="1678">
        <f>'4I'!O20</f>
        <v>0</v>
      </c>
      <c r="H1162" s="1636"/>
    </row>
    <row r="1163" spans="1:8">
      <c r="A1163" s="1696" t="str">
        <f>INDEX(Lists!$C$4:$C$24,MATCH(Validation!$B$3,Lists!$B$4:$B$24,0))</f>
        <v>TMS</v>
      </c>
      <c r="B1163" s="1696" t="str">
        <f>'4I'!BN24</f>
        <v>CR20010IRP</v>
      </c>
      <c r="C1163" s="1636" t="str">
        <f>'4I'!$BB$23&amp;" - "&amp;'4I'!BB24&amp;": "&amp;'4I'!$BN$3&amp;" - "&amp;'4I'!$BN$4</f>
        <v>Currency interest rate  - Currency interest rate swaps USD: Interest rate
(weighted average for 12 months to 31 March 2018) - Payable</v>
      </c>
      <c r="D1163" s="2" t="s">
        <v>10</v>
      </c>
      <c r="E1163" s="2" t="s">
        <v>9</v>
      </c>
      <c r="F1163" s="1634"/>
      <c r="G1163" s="1678">
        <f>'4I'!O24</f>
        <v>0</v>
      </c>
      <c r="H1163" s="1636"/>
    </row>
    <row r="1164" spans="1:8">
      <c r="A1164" s="1696" t="str">
        <f>INDEX(Lists!$C$4:$C$24,MATCH(Validation!$B$3,Lists!$B$4:$B$24,0))</f>
        <v>TMS</v>
      </c>
      <c r="B1164" s="1696" t="str">
        <f>'4I'!BN25</f>
        <v>CR20011IRP</v>
      </c>
      <c r="C1164" s="1636" t="str">
        <f>'4I'!$BB$23&amp;" - "&amp;'4I'!BB25&amp;": "&amp;'4I'!$BN$3&amp;" - "&amp;'4I'!$BN$4</f>
        <v>Currency interest rate  - Currency interest rate swaps EUR: Interest rate
(weighted average for 12 months to 31 March 2018) - Payable</v>
      </c>
      <c r="D1164" s="2" t="s">
        <v>10</v>
      </c>
      <c r="E1164" s="2" t="s">
        <v>9</v>
      </c>
      <c r="F1164" s="1634"/>
      <c r="G1164" s="1678">
        <f>'4I'!O25</f>
        <v>0</v>
      </c>
      <c r="H1164" s="1636"/>
    </row>
    <row r="1165" spans="1:8">
      <c r="A1165" s="1696" t="str">
        <f>INDEX(Lists!$C$4:$C$24,MATCH(Validation!$B$3,Lists!$B$4:$B$24,0))</f>
        <v>TMS</v>
      </c>
      <c r="B1165" s="1696" t="str">
        <f>'4I'!BN26</f>
        <v>CR20012IRP</v>
      </c>
      <c r="C1165" s="1636" t="str">
        <f>'4I'!$BB$23&amp;" - "&amp;'4I'!BB26&amp;": "&amp;'4I'!$BN$3&amp;" - "&amp;'4I'!$BN$4</f>
        <v>Currency interest rate  - Currency interest rate swaps YEN: Interest rate
(weighted average for 12 months to 31 March 2018) - Payable</v>
      </c>
      <c r="D1165" s="2" t="s">
        <v>10</v>
      </c>
      <c r="E1165" s="2" t="s">
        <v>9</v>
      </c>
      <c r="F1165" s="1634"/>
      <c r="G1165" s="1678">
        <f>'4I'!O26</f>
        <v>0</v>
      </c>
      <c r="H1165" s="1636"/>
    </row>
    <row r="1166" spans="1:8">
      <c r="A1166" s="1696" t="str">
        <f>INDEX(Lists!$C$4:$C$24,MATCH(Validation!$B$3,Lists!$B$4:$B$24,0))</f>
        <v>TMS</v>
      </c>
      <c r="B1166" s="1696" t="str">
        <f>'4I'!BN27</f>
        <v>CR20013IRP</v>
      </c>
      <c r="C1166" s="1636" t="str">
        <f>'4I'!$BB$23&amp;" - "&amp;'4I'!BB27&amp;": "&amp;'4I'!$BN$3&amp;" - "&amp;'4I'!$BN$4</f>
        <v>Currency interest rate  - Currency interest rate swaps Other: Interest rate
(weighted average for 12 months to 31 March 2018) - Payable</v>
      </c>
      <c r="D1166" s="2" t="s">
        <v>10</v>
      </c>
      <c r="E1166" s="2" t="s">
        <v>9</v>
      </c>
      <c r="F1166" s="1634"/>
      <c r="G1166" s="1678">
        <f>'4I'!O27</f>
        <v>0</v>
      </c>
      <c r="H1166" s="1636"/>
    </row>
    <row r="1167" spans="1:8">
      <c r="A1167" s="1696" t="str">
        <f>INDEX(Lists!$C$4:$C$24,MATCH(Validation!$B$3,Lists!$B$4:$B$24,0))</f>
        <v>TMS</v>
      </c>
      <c r="B1167" s="1696" t="str">
        <f>'4I'!BN31</f>
        <v>CR20015IRP</v>
      </c>
      <c r="C1167" s="1636" t="str">
        <f>'4I'!$BB$30&amp;" - "&amp;'4I'!BB31&amp;": "&amp;'4I'!$BN$3&amp;" - "&amp;'4I'!$BN$4</f>
        <v>Forward currency contracts - Forward currency contracts USD: Interest rate
(weighted average for 12 months to 31 March 2018) - Payable</v>
      </c>
      <c r="D1167" s="2" t="s">
        <v>10</v>
      </c>
      <c r="E1167" s="2" t="s">
        <v>9</v>
      </c>
      <c r="F1167" s="1634"/>
      <c r="G1167" s="1678">
        <f>'4I'!O31</f>
        <v>0</v>
      </c>
      <c r="H1167" s="1636"/>
    </row>
    <row r="1168" spans="1:8">
      <c r="A1168" s="1696" t="str">
        <f>INDEX(Lists!$C$4:$C$24,MATCH(Validation!$B$3,Lists!$B$4:$B$24,0))</f>
        <v>TMS</v>
      </c>
      <c r="B1168" s="1696" t="str">
        <f>'4I'!BN32</f>
        <v>CR20016IRP</v>
      </c>
      <c r="C1168" s="1636" t="str">
        <f>'4I'!$BB$30&amp;" - "&amp;'4I'!BB32&amp;": "&amp;'4I'!$BN$3&amp;" - "&amp;'4I'!$BN$4</f>
        <v>Forward currency contracts - Forward currency contracts EUR: Interest rate
(weighted average for 12 months to 31 March 2018) - Payable</v>
      </c>
      <c r="D1168" s="2" t="s">
        <v>10</v>
      </c>
      <c r="E1168" s="2" t="s">
        <v>9</v>
      </c>
      <c r="F1168" s="1634"/>
      <c r="G1168" s="1678">
        <f>'4I'!O32</f>
        <v>0</v>
      </c>
      <c r="H1168" s="1636"/>
    </row>
    <row r="1169" spans="1:8">
      <c r="A1169" s="1696" t="str">
        <f>INDEX(Lists!$C$4:$C$24,MATCH(Validation!$B$3,Lists!$B$4:$B$24,0))</f>
        <v>TMS</v>
      </c>
      <c r="B1169" s="1696" t="str">
        <f>'4I'!BN33</f>
        <v>CR20017IRP</v>
      </c>
      <c r="C1169" s="1636" t="str">
        <f>'4I'!$BB$30&amp;" - "&amp;'4I'!BB33&amp;": "&amp;'4I'!$BN$3&amp;" - "&amp;'4I'!$BN$4</f>
        <v>Forward currency contracts - Forward currency contracts YEN: Interest rate
(weighted average for 12 months to 31 March 2018) - Payable</v>
      </c>
      <c r="D1169" s="2" t="s">
        <v>10</v>
      </c>
      <c r="E1169" s="2" t="s">
        <v>9</v>
      </c>
      <c r="F1169" s="1634"/>
      <c r="G1169" s="1678">
        <f>'4I'!O33</f>
        <v>0</v>
      </c>
      <c r="H1169" s="1636"/>
    </row>
    <row r="1170" spans="1:8">
      <c r="A1170" s="1696" t="str">
        <f>INDEX(Lists!$C$4:$C$24,MATCH(Validation!$B$3,Lists!$B$4:$B$24,0))</f>
        <v>TMS</v>
      </c>
      <c r="B1170" s="1696" t="str">
        <f>'4I'!BN34</f>
        <v>CR20018IRP</v>
      </c>
      <c r="C1170" s="1636" t="str">
        <f>'4I'!$BB$30&amp;" - "&amp;'4I'!BB34&amp;": "&amp;'4I'!$BN$3&amp;" - "&amp;'4I'!$BN$4</f>
        <v>Forward currency contracts - Forward currency contracts Other: Interest rate
(weighted average for 12 months to 31 March 2018) - Payable</v>
      </c>
      <c r="D1170" s="2" t="s">
        <v>10</v>
      </c>
      <c r="E1170" s="2" t="s">
        <v>9</v>
      </c>
      <c r="F1170" s="1634"/>
      <c r="G1170" s="1678">
        <f>'4I'!O34</f>
        <v>0</v>
      </c>
      <c r="H1170" s="1636"/>
    </row>
    <row r="1171" spans="1:8">
      <c r="A1171" s="1724" t="str">
        <f>INDEX(Lists!$C$4:$C$24,MATCH(Validation!$B$3,Lists!$B$4:$B$24,0))</f>
        <v>TMS</v>
      </c>
      <c r="B1171" s="1724" t="str">
        <f>'4I'!BN38</f>
        <v>CR2028IRP</v>
      </c>
      <c r="C1171" s="1637" t="str">
        <f>'4I'!BB38&amp;": "&amp;'4I'!$BN$3&amp;" - "&amp;'4I'!$BN$4</f>
        <v>Other financial derivatives: Interest rate
(weighted average for 12 months to 31 March 2018) - Payable</v>
      </c>
      <c r="D1171" s="1651" t="s">
        <v>10</v>
      </c>
      <c r="E1171" s="1651" t="s">
        <v>9</v>
      </c>
      <c r="F1171" s="1637"/>
      <c r="G1171" s="1680">
        <f>'4I'!O38</f>
        <v>0</v>
      </c>
      <c r="H1171" s="1652"/>
    </row>
    <row r="1172" spans="1:8">
      <c r="A1172" s="1696" t="str">
        <f>INDEX(Lists!$C$4:$C$24,MATCH(Validation!$B$3,Lists!$B$4:$B$24,0))</f>
        <v>TMS</v>
      </c>
      <c r="B1172" s="1696" t="str">
        <f>'4I'!BO8</f>
        <v>CR2021IRR</v>
      </c>
      <c r="C1172" s="1636" t="str">
        <f>'4I'!$BB$7&amp;" - "&amp;'4I'!BB8&amp;": "&amp;'4I'!$BN$3&amp;" - "&amp;'4I'!$BO$4</f>
        <v>Interest rate swap (sterling) - Floating to fixed rate: Interest rate
(weighted average for 12 months to 31 March 2018) - Receivable</v>
      </c>
      <c r="D1172" s="2" t="s">
        <v>10</v>
      </c>
      <c r="E1172" s="2" t="s">
        <v>9</v>
      </c>
      <c r="F1172" s="1634"/>
      <c r="G1172" s="1678">
        <f>'4I'!P8</f>
        <v>6.0000000000000001E-3</v>
      </c>
      <c r="H1172" s="1636"/>
    </row>
    <row r="1173" spans="1:8">
      <c r="A1173" s="1696" t="str">
        <f>INDEX(Lists!$C$4:$C$24,MATCH(Validation!$B$3,Lists!$B$4:$B$24,0))</f>
        <v>TMS</v>
      </c>
      <c r="B1173" s="1696" t="str">
        <f>'4I'!BO9</f>
        <v>CR2022IRR</v>
      </c>
      <c r="C1173" s="1636" t="str">
        <f>'4I'!$BB$7&amp;" - "&amp;'4I'!BB9&amp;": "&amp;'4I'!$BN$3&amp;" - "&amp;'4I'!$BO$4</f>
        <v>Interest rate swap (sterling) - Floating from fixed rate: Interest rate
(weighted average for 12 months to 31 March 2018) - Receivable</v>
      </c>
      <c r="D1173" s="2" t="s">
        <v>10</v>
      </c>
      <c r="E1173" s="2" t="s">
        <v>9</v>
      </c>
      <c r="F1173" s="1634"/>
      <c r="G1173" s="1678">
        <f>'4I'!P9</f>
        <v>0.01</v>
      </c>
      <c r="H1173" s="1636"/>
    </row>
    <row r="1174" spans="1:8">
      <c r="A1174" s="1696" t="str">
        <f>INDEX(Lists!$C$4:$C$24,MATCH(Validation!$B$3,Lists!$B$4:$B$24,0))</f>
        <v>TMS</v>
      </c>
      <c r="B1174" s="1696" t="str">
        <f>'4I'!BO10</f>
        <v>CR2023IRR</v>
      </c>
      <c r="C1174" s="1636" t="str">
        <f>'4I'!$BB$7&amp;" - "&amp;'4I'!BB10&amp;": "&amp;'4I'!$BN$3&amp;" - "&amp;'4I'!$BO$4</f>
        <v>Interest rate swap (sterling) - Floating to index linked: Interest rate
(weighted average for 12 months to 31 March 2018) - Receivable</v>
      </c>
      <c r="D1174" s="2" t="s">
        <v>10</v>
      </c>
      <c r="E1174" s="2" t="s">
        <v>9</v>
      </c>
      <c r="F1174" s="1634"/>
      <c r="G1174" s="1678">
        <f>'4I'!P10</f>
        <v>2.8999999999999998E-2</v>
      </c>
      <c r="H1174" s="1636"/>
    </row>
    <row r="1175" spans="1:8">
      <c r="A1175" s="1696" t="str">
        <f>INDEX(Lists!$C$4:$C$24,MATCH(Validation!$B$3,Lists!$B$4:$B$24,0))</f>
        <v>TMS</v>
      </c>
      <c r="B1175" s="1696" t="str">
        <f>'4I'!BO11</f>
        <v>CR2024IRR</v>
      </c>
      <c r="C1175" s="1636" t="str">
        <f>'4I'!$BB$7&amp;" - "&amp;'4I'!BB11&amp;": "&amp;'4I'!$BN$3&amp;" - "&amp;'4I'!$BO$4</f>
        <v>Interest rate swap (sterling) - Floating from index linked: Interest rate
(weighted average for 12 months to 31 March 2018) - Receivable</v>
      </c>
      <c r="D1175" s="2" t="s">
        <v>10</v>
      </c>
      <c r="E1175" s="2" t="s">
        <v>9</v>
      </c>
      <c r="F1175" s="1634"/>
      <c r="G1175" s="1678">
        <f>'4I'!P11</f>
        <v>0</v>
      </c>
      <c r="H1175" s="1636"/>
    </row>
    <row r="1176" spans="1:8">
      <c r="A1176" s="1696" t="str">
        <f>INDEX(Lists!$C$4:$C$24,MATCH(Validation!$B$3,Lists!$B$4:$B$24,0))</f>
        <v>TMS</v>
      </c>
      <c r="B1176" s="1696" t="str">
        <f>'4I'!BO12</f>
        <v>CR2025IRR</v>
      </c>
      <c r="C1176" s="1636" t="str">
        <f>'4I'!$BB$7&amp;" - "&amp;'4I'!BB12&amp;": "&amp;'4I'!$BN$3&amp;" - "&amp;'4I'!$BO$4</f>
        <v>Interest rate swap (sterling) - Fixed to index-linked: Interest rate
(weighted average for 12 months to 31 March 2018) - Receivable</v>
      </c>
      <c r="D1176" s="2" t="s">
        <v>10</v>
      </c>
      <c r="E1176" s="2" t="s">
        <v>9</v>
      </c>
      <c r="F1176" s="1634"/>
      <c r="G1176" s="1678">
        <f>'4I'!P12</f>
        <v>5.2000000000000005E-2</v>
      </c>
      <c r="H1176" s="1636"/>
    </row>
    <row r="1177" spans="1:8">
      <c r="A1177" s="1696" t="str">
        <f>INDEX(Lists!$C$4:$C$24,MATCH(Validation!$B$3,Lists!$B$4:$B$24,0))</f>
        <v>TMS</v>
      </c>
      <c r="B1177" s="1696" t="str">
        <f>'4I'!BO13</f>
        <v>CR2026IRR</v>
      </c>
      <c r="C1177" s="1636" t="str">
        <f>'4I'!$BB$7&amp;" - "&amp;'4I'!BB13&amp;": "&amp;'4I'!$BN$3&amp;" - "&amp;'4I'!$BO$4</f>
        <v>Interest rate swap (sterling) - Fixed from index-linked: Interest rate
(weighted average for 12 months to 31 March 2018) - Receivable</v>
      </c>
      <c r="D1177" s="2" t="s">
        <v>10</v>
      </c>
      <c r="E1177" s="2" t="s">
        <v>9</v>
      </c>
      <c r="F1177" s="1634"/>
      <c r="G1177" s="1678">
        <f>'4I'!P13</f>
        <v>0</v>
      </c>
      <c r="H1177" s="1636"/>
    </row>
    <row r="1178" spans="1:8">
      <c r="A1178" s="1696" t="str">
        <f>INDEX(Lists!$C$4:$C$24,MATCH(Validation!$B$3,Lists!$B$4:$B$24,0))</f>
        <v>TMS</v>
      </c>
      <c r="B1178" s="1696" t="str">
        <f>'4I'!BO17</f>
        <v>CR2005IRR</v>
      </c>
      <c r="C1178" s="1636" t="str">
        <f>'4I'!$BB$16&amp;" - "&amp;'4I'!BB17&amp;": "&amp;'4I'!$BN$3&amp;" - "&amp;'4I'!$BO$4</f>
        <v>Foreign Exchange - Cross currency swap USD: Interest rate
(weighted average for 12 months to 31 March 2018) - Receivable</v>
      </c>
      <c r="D1178" s="2" t="s">
        <v>10</v>
      </c>
      <c r="E1178" s="2" t="s">
        <v>9</v>
      </c>
      <c r="F1178" s="1634"/>
      <c r="G1178" s="1678">
        <f>'4I'!P17</f>
        <v>3.5000000000000003E-2</v>
      </c>
      <c r="H1178" s="1636"/>
    </row>
    <row r="1179" spans="1:8">
      <c r="A1179" s="1696" t="str">
        <f>INDEX(Lists!$C$4:$C$24,MATCH(Validation!$B$3,Lists!$B$4:$B$24,0))</f>
        <v>TMS</v>
      </c>
      <c r="B1179" s="1696" t="str">
        <f>'4I'!BO18</f>
        <v>CR2006IRR</v>
      </c>
      <c r="C1179" s="1636" t="str">
        <f>'4I'!$BB$16&amp;" - "&amp;'4I'!BB18&amp;": "&amp;'4I'!$BN$3&amp;" - "&amp;'4I'!$BO$4</f>
        <v>Foreign Exchange - Cross currency swap EUR: Interest rate
(weighted average for 12 months to 31 March 2018) - Receivable</v>
      </c>
      <c r="D1179" s="2" t="s">
        <v>10</v>
      </c>
      <c r="E1179" s="2" t="s">
        <v>9</v>
      </c>
      <c r="F1179" s="1634"/>
      <c r="G1179" s="1678">
        <f>'4I'!P18</f>
        <v>0</v>
      </c>
      <c r="H1179" s="1636"/>
    </row>
    <row r="1180" spans="1:8">
      <c r="A1180" s="1696" t="str">
        <f>INDEX(Lists!$C$4:$C$24,MATCH(Validation!$B$3,Lists!$B$4:$B$24,0))</f>
        <v>TMS</v>
      </c>
      <c r="B1180" s="1696" t="str">
        <f>'4I'!BO19</f>
        <v>CR2007IRR</v>
      </c>
      <c r="C1180" s="1636" t="str">
        <f>'4I'!$BB$16&amp;" - "&amp;'4I'!BB19&amp;": "&amp;'4I'!$BN$3&amp;" - "&amp;'4I'!$BO$4</f>
        <v>Foreign Exchange - Cross currency swap YEN: Interest rate
(weighted average for 12 months to 31 March 2018) - Receivable</v>
      </c>
      <c r="D1180" s="2" t="s">
        <v>10</v>
      </c>
      <c r="E1180" s="2" t="s">
        <v>9</v>
      </c>
      <c r="F1180" s="1634"/>
      <c r="G1180" s="1678">
        <f>'4I'!P19</f>
        <v>3.3000000000000002E-2</v>
      </c>
      <c r="H1180" s="1636"/>
    </row>
    <row r="1181" spans="1:8">
      <c r="A1181" s="1696" t="str">
        <f>INDEX(Lists!$C$4:$C$24,MATCH(Validation!$B$3,Lists!$B$4:$B$24,0))</f>
        <v>TMS</v>
      </c>
      <c r="B1181" s="1696" t="str">
        <f>'4I'!BO20</f>
        <v>CR2008IRR</v>
      </c>
      <c r="C1181" s="1636" t="str">
        <f>'4I'!$BB$16&amp;" - "&amp;'4I'!BB20&amp;": "&amp;'4I'!$BN$3&amp;" - "&amp;'4I'!$BO$4</f>
        <v>Foreign Exchange - Cross currency swap Other: Interest rate
(weighted average for 12 months to 31 March 2018) - Receivable</v>
      </c>
      <c r="D1181" s="2" t="s">
        <v>10</v>
      </c>
      <c r="E1181" s="2" t="s">
        <v>9</v>
      </c>
      <c r="F1181" s="1634"/>
      <c r="G1181" s="1678">
        <f>'4I'!P20</f>
        <v>0</v>
      </c>
      <c r="H1181" s="1636"/>
    </row>
    <row r="1182" spans="1:8">
      <c r="A1182" s="1696" t="str">
        <f>INDEX(Lists!$C$4:$C$24,MATCH(Validation!$B$3,Lists!$B$4:$B$24,0))</f>
        <v>TMS</v>
      </c>
      <c r="B1182" s="1696" t="str">
        <f>'4I'!BO24</f>
        <v>CR20010IRR</v>
      </c>
      <c r="C1182" s="1636" t="str">
        <f>'4I'!$BB$23&amp;" - "&amp;'4I'!BB24&amp;": "&amp;'4I'!$BN$3&amp;" - "&amp;'4I'!$BO$4</f>
        <v>Currency interest rate  - Currency interest rate swaps USD: Interest rate
(weighted average for 12 months to 31 March 2018) - Receivable</v>
      </c>
      <c r="D1182" s="2" t="s">
        <v>10</v>
      </c>
      <c r="E1182" s="2" t="s">
        <v>9</v>
      </c>
      <c r="F1182" s="1634"/>
      <c r="G1182" s="1678">
        <f>'4I'!P24</f>
        <v>0</v>
      </c>
      <c r="H1182" s="1636"/>
    </row>
    <row r="1183" spans="1:8">
      <c r="A1183" s="1696" t="str">
        <f>INDEX(Lists!$C$4:$C$24,MATCH(Validation!$B$3,Lists!$B$4:$B$24,0))</f>
        <v>TMS</v>
      </c>
      <c r="B1183" s="1696" t="str">
        <f>'4I'!BO25</f>
        <v>CR20011IRR</v>
      </c>
      <c r="C1183" s="1636" t="str">
        <f>'4I'!$BB$23&amp;" - "&amp;'4I'!BB25&amp;": "&amp;'4I'!$BN$3&amp;" - "&amp;'4I'!$BO$4</f>
        <v>Currency interest rate  - Currency interest rate swaps EUR: Interest rate
(weighted average for 12 months to 31 March 2018) - Receivable</v>
      </c>
      <c r="D1183" s="2" t="s">
        <v>10</v>
      </c>
      <c r="E1183" s="2" t="s">
        <v>9</v>
      </c>
      <c r="F1183" s="1634"/>
      <c r="G1183" s="1678">
        <f>'4I'!P25</f>
        <v>0</v>
      </c>
      <c r="H1183" s="1636"/>
    </row>
    <row r="1184" spans="1:8">
      <c r="A1184" s="1696" t="str">
        <f>INDEX(Lists!$C$4:$C$24,MATCH(Validation!$B$3,Lists!$B$4:$B$24,0))</f>
        <v>TMS</v>
      </c>
      <c r="B1184" s="1696" t="str">
        <f>'4I'!BO26</f>
        <v>CR20012IRR</v>
      </c>
      <c r="C1184" s="1636" t="str">
        <f>'4I'!$BB$23&amp;" - "&amp;'4I'!BB26&amp;": "&amp;'4I'!$BN$3&amp;" - "&amp;'4I'!$BO$4</f>
        <v>Currency interest rate  - Currency interest rate swaps YEN: Interest rate
(weighted average for 12 months to 31 March 2018) - Receivable</v>
      </c>
      <c r="D1184" s="2" t="s">
        <v>10</v>
      </c>
      <c r="E1184" s="2" t="s">
        <v>9</v>
      </c>
      <c r="F1184" s="1634"/>
      <c r="G1184" s="1678">
        <f>'4I'!P26</f>
        <v>0</v>
      </c>
      <c r="H1184" s="1636"/>
    </row>
    <row r="1185" spans="1:8">
      <c r="A1185" s="1696" t="str">
        <f>INDEX(Lists!$C$4:$C$24,MATCH(Validation!$B$3,Lists!$B$4:$B$24,0))</f>
        <v>TMS</v>
      </c>
      <c r="B1185" s="1696" t="str">
        <f>'4I'!BO27</f>
        <v>CR20013IRR</v>
      </c>
      <c r="C1185" s="1636" t="str">
        <f>'4I'!$BB$23&amp;" - "&amp;'4I'!BB27&amp;": "&amp;'4I'!$BN$3&amp;" - "&amp;'4I'!$BO$4</f>
        <v>Currency interest rate  - Currency interest rate swaps Other: Interest rate
(weighted average for 12 months to 31 March 2018) - Receivable</v>
      </c>
      <c r="D1185" s="2" t="s">
        <v>10</v>
      </c>
      <c r="E1185" s="2" t="s">
        <v>9</v>
      </c>
      <c r="F1185" s="1634"/>
      <c r="G1185" s="1678">
        <f>'4I'!P27</f>
        <v>0</v>
      </c>
      <c r="H1185" s="1636"/>
    </row>
    <row r="1186" spans="1:8">
      <c r="A1186" s="1696" t="str">
        <f>INDEX(Lists!$C$4:$C$24,MATCH(Validation!$B$3,Lists!$B$4:$B$24,0))</f>
        <v>TMS</v>
      </c>
      <c r="B1186" s="1696" t="str">
        <f>'4I'!BO31</f>
        <v>CR20015IRR</v>
      </c>
      <c r="C1186" s="1636" t="str">
        <f>'4I'!$BB$30&amp;" - "&amp;'4I'!BB31&amp;": "&amp;'4I'!$BN$3&amp;" - "&amp;'4I'!$BO$4</f>
        <v>Forward currency contracts - Forward currency contracts USD: Interest rate
(weighted average for 12 months to 31 March 2018) - Receivable</v>
      </c>
      <c r="D1186" s="2" t="s">
        <v>10</v>
      </c>
      <c r="E1186" s="2" t="s">
        <v>9</v>
      </c>
      <c r="F1186" s="1634"/>
      <c r="G1186" s="1678">
        <f>'4I'!P31</f>
        <v>0</v>
      </c>
      <c r="H1186" s="1636"/>
    </row>
    <row r="1187" spans="1:8">
      <c r="A1187" s="1696" t="str">
        <f>INDEX(Lists!$C$4:$C$24,MATCH(Validation!$B$3,Lists!$B$4:$B$24,0))</f>
        <v>TMS</v>
      </c>
      <c r="B1187" s="1696" t="str">
        <f>'4I'!BO32</f>
        <v>CR20016IRR</v>
      </c>
      <c r="C1187" s="1636" t="str">
        <f>'4I'!$BB$30&amp;" - "&amp;'4I'!BB32&amp;": "&amp;'4I'!$BN$3&amp;" - "&amp;'4I'!$BO$4</f>
        <v>Forward currency contracts - Forward currency contracts EUR: Interest rate
(weighted average for 12 months to 31 March 2018) - Receivable</v>
      </c>
      <c r="D1187" s="2" t="s">
        <v>10</v>
      </c>
      <c r="E1187" s="2" t="s">
        <v>9</v>
      </c>
      <c r="F1187" s="1634"/>
      <c r="G1187" s="1678">
        <f>'4I'!P32</f>
        <v>0</v>
      </c>
      <c r="H1187" s="1636"/>
    </row>
    <row r="1188" spans="1:8">
      <c r="A1188" s="1696" t="str">
        <f>INDEX(Lists!$C$4:$C$24,MATCH(Validation!$B$3,Lists!$B$4:$B$24,0))</f>
        <v>TMS</v>
      </c>
      <c r="B1188" s="1696" t="str">
        <f>'4I'!BO33</f>
        <v>CR20017IRR</v>
      </c>
      <c r="C1188" s="1636" t="str">
        <f>'4I'!$BB$30&amp;" - "&amp;'4I'!BB33&amp;": "&amp;'4I'!$BN$3&amp;" - "&amp;'4I'!$BO$4</f>
        <v>Forward currency contracts - Forward currency contracts YEN: Interest rate
(weighted average for 12 months to 31 March 2018) - Receivable</v>
      </c>
      <c r="D1188" s="2" t="s">
        <v>10</v>
      </c>
      <c r="E1188" s="2" t="s">
        <v>9</v>
      </c>
      <c r="F1188" s="1634"/>
      <c r="G1188" s="1678">
        <f>'4I'!P33</f>
        <v>0</v>
      </c>
      <c r="H1188" s="1636"/>
    </row>
    <row r="1189" spans="1:8">
      <c r="A1189" s="1696" t="str">
        <f>INDEX(Lists!$C$4:$C$24,MATCH(Validation!$B$3,Lists!$B$4:$B$24,0))</f>
        <v>TMS</v>
      </c>
      <c r="B1189" s="1696" t="str">
        <f>'4I'!BO34</f>
        <v>CR20018IRR</v>
      </c>
      <c r="C1189" s="1636" t="str">
        <f>'4I'!$BB$30&amp;" - "&amp;'4I'!BB34&amp;": "&amp;'4I'!$BN$3&amp;" - "&amp;'4I'!$BO$4</f>
        <v>Forward currency contracts - Forward currency contracts Other: Interest rate
(weighted average for 12 months to 31 March 2018) - Receivable</v>
      </c>
      <c r="D1189" s="2" t="s">
        <v>10</v>
      </c>
      <c r="E1189" s="2" t="s">
        <v>9</v>
      </c>
      <c r="F1189" s="1634"/>
      <c r="G1189" s="1678">
        <f>'4I'!P34</f>
        <v>0</v>
      </c>
      <c r="H1189" s="1636"/>
    </row>
    <row r="1190" spans="1:8" ht="15" thickBot="1">
      <c r="A1190" s="1697" t="str">
        <f>INDEX(Lists!$C$4:$C$24,MATCH(Validation!$B$3,Lists!$B$4:$B$24,0))</f>
        <v>TMS</v>
      </c>
      <c r="B1190" s="1697" t="str">
        <f>'4I'!BO38</f>
        <v>CR2028IRR</v>
      </c>
      <c r="C1190" s="1642" t="str">
        <f>'4I'!BB38&amp;": "&amp;'4I'!$BN$3&amp;" - "&amp;'4I'!$BO$4</f>
        <v>Other financial derivatives: Interest rate
(weighted average for 12 months to 31 March 2018) - Receivable</v>
      </c>
      <c r="D1190" s="1648" t="s">
        <v>10</v>
      </c>
      <c r="E1190" s="1648" t="s">
        <v>9</v>
      </c>
      <c r="F1190" s="1642"/>
      <c r="G1190" s="1682">
        <f>'4I'!P38</f>
        <v>0</v>
      </c>
      <c r="H1190" s="1649"/>
    </row>
    <row r="1191" spans="1:8">
      <c r="A1191" s="1618" t="str">
        <f>INDEX(Lists!$C$4:$C$24,MATCH(Validation!$B$3,Lists!$B$4:$B$24,0))</f>
        <v>TMS</v>
      </c>
      <c r="B1191" s="1731" t="str">
        <f>'4J'!AM7</f>
        <v>WS1001AL</v>
      </c>
      <c r="C1191" s="1619" t="str">
        <f>+'4J'!$C7&amp;" - "&amp;'4J'!G$4</f>
        <v>Power - Abstraction licences</v>
      </c>
      <c r="D1191" s="1618" t="str">
        <f>'4J'!E7</f>
        <v>£m</v>
      </c>
      <c r="E1191" s="1645" t="s">
        <v>9</v>
      </c>
      <c r="F1191" s="1644"/>
      <c r="G1191" s="1659">
        <f>'4J'!G7</f>
        <v>0</v>
      </c>
      <c r="H1191" s="1645"/>
    </row>
    <row r="1192" spans="1:8">
      <c r="A1192" s="1620" t="str">
        <f>INDEX(Lists!$C$4:$C$24,MATCH(Validation!$B$3,Lists!$B$4:$B$24,0))</f>
        <v>TMS</v>
      </c>
      <c r="B1192" s="1732" t="str">
        <f>'4J'!AM8</f>
        <v>WS1002AL</v>
      </c>
      <c r="C1192" t="str">
        <f>+'4J'!$C8&amp;" - "&amp;'4J'!G$4</f>
        <v>Income treated as negative expenditure - Abstraction licences</v>
      </c>
      <c r="D1192" s="1620" t="str">
        <f>'4J'!E8</f>
        <v>£m</v>
      </c>
      <c r="E1192" s="1636" t="s">
        <v>9</v>
      </c>
      <c r="G1192" s="1635">
        <f>'4J'!G8</f>
        <v>0</v>
      </c>
      <c r="H1192" s="1636"/>
    </row>
    <row r="1193" spans="1:8">
      <c r="A1193" s="1620" t="str">
        <f>INDEX(Lists!$C$4:$C$24,MATCH(Validation!$B$3,Lists!$B$4:$B$24,0))</f>
        <v>TMS</v>
      </c>
      <c r="B1193" s="1732" t="str">
        <f>'4J'!AM9</f>
        <v>WS1003AL</v>
      </c>
      <c r="C1193" t="str">
        <f>+'4J'!$C9&amp;" - "&amp;'4J'!G$4</f>
        <v>Abstraction charges/ discharge consents - Abstraction licences</v>
      </c>
      <c r="D1193" s="1620" t="str">
        <f>'4J'!E9</f>
        <v>£m</v>
      </c>
      <c r="E1193" s="1636" t="s">
        <v>9</v>
      </c>
      <c r="G1193" s="1635">
        <f>'4J'!G9</f>
        <v>13.113</v>
      </c>
      <c r="H1193" s="1636"/>
    </row>
    <row r="1194" spans="1:8">
      <c r="A1194" s="1620" t="str">
        <f>INDEX(Lists!$C$4:$C$24,MATCH(Validation!$B$3,Lists!$B$4:$B$24,0))</f>
        <v>TMS</v>
      </c>
      <c r="B1194" s="1732" t="str">
        <f>'4J'!AM10</f>
        <v>WS1004AL</v>
      </c>
      <c r="C1194" t="str">
        <f>+'4J'!$C10&amp;" - "&amp;'4J'!G$4</f>
        <v>Bulk supply - Abstraction licences</v>
      </c>
      <c r="D1194" s="1620" t="str">
        <f>'4J'!E10</f>
        <v>£m</v>
      </c>
      <c r="E1194" s="1636" t="s">
        <v>9</v>
      </c>
      <c r="G1194" s="1635">
        <f>'4J'!G10</f>
        <v>0</v>
      </c>
      <c r="H1194" s="1636"/>
    </row>
    <row r="1195" spans="1:8">
      <c r="A1195" s="1620" t="str">
        <f>INDEX(Lists!$C$4:$C$24,MATCH(Validation!$B$3,Lists!$B$4:$B$24,0))</f>
        <v>TMS</v>
      </c>
      <c r="B1195" s="1732" t="str">
        <f>'4J'!AM12</f>
        <v>WS1005AL</v>
      </c>
      <c r="C1195" t="str">
        <f>+'4J'!$C$11&amp;" "&amp;'4J'!$C12&amp;" - "&amp;'4J'!G$4</f>
        <v>Other operating expenditure - Renewals expensed in year (Infrastructure) - Abstraction licences</v>
      </c>
      <c r="D1195" s="1620" t="str">
        <f>'4J'!E12</f>
        <v>£m</v>
      </c>
      <c r="E1195" s="1636" t="s">
        <v>9</v>
      </c>
      <c r="G1195" s="1635">
        <f>'4J'!G12</f>
        <v>0</v>
      </c>
      <c r="H1195" s="1636"/>
    </row>
    <row r="1196" spans="1:8">
      <c r="A1196" s="1620" t="str">
        <f>INDEX(Lists!$C$4:$C$24,MATCH(Validation!$B$3,Lists!$B$4:$B$24,0))</f>
        <v>TMS</v>
      </c>
      <c r="B1196" s="1732" t="str">
        <f>'4J'!AM13</f>
        <v>WS1006AL</v>
      </c>
      <c r="C1196" t="str">
        <f>+'4J'!$C$11&amp;" "&amp;'4J'!$C13&amp;" - "&amp;'4J'!G$4</f>
        <v>Other operating expenditure - Renewals expensed in year (Non-Infrastructure) - Abstraction licences</v>
      </c>
      <c r="D1196" s="1620" t="str">
        <f>'4J'!E13</f>
        <v>£m</v>
      </c>
      <c r="E1196" s="1636" t="s">
        <v>9</v>
      </c>
      <c r="G1196" s="1635">
        <f>'4J'!G13</f>
        <v>0</v>
      </c>
      <c r="H1196" s="1636"/>
    </row>
    <row r="1197" spans="1:8">
      <c r="A1197" s="1620" t="str">
        <f>INDEX(Lists!$C$4:$C$24,MATCH(Validation!$B$3,Lists!$B$4:$B$24,0))</f>
        <v>TMS</v>
      </c>
      <c r="B1197" s="1732" t="str">
        <f>'4J'!AM14</f>
        <v>WS1007AL</v>
      </c>
      <c r="C1197" t="str">
        <f>+'4J'!$C$11&amp;" "&amp;'4J'!$C14&amp;" - "&amp;'4J'!G$4</f>
        <v>Other operating expenditure - Other operating expenditure excluding renewals - Abstraction licences</v>
      </c>
      <c r="D1197" s="1620" t="str">
        <f>'4J'!E14</f>
        <v>£m</v>
      </c>
      <c r="E1197" s="1636" t="s">
        <v>9</v>
      </c>
      <c r="G1197" s="1635">
        <f>'4J'!G14</f>
        <v>0.8</v>
      </c>
      <c r="H1197" s="1636"/>
    </row>
    <row r="1198" spans="1:8">
      <c r="A1198" s="1620" t="str">
        <f>INDEX(Lists!$C$4:$C$24,MATCH(Validation!$B$3,Lists!$B$4:$B$24,0))</f>
        <v>TMS</v>
      </c>
      <c r="B1198" s="1732" t="str">
        <f>'4J'!AM15</f>
        <v>WS1008AL</v>
      </c>
      <c r="C1198" t="str">
        <f>+'4J'!$C15&amp;" - "&amp;'4J'!G$4</f>
        <v>Local authority and Cumulo rates - Abstraction licences</v>
      </c>
      <c r="D1198" s="1620" t="str">
        <f>'4J'!E15</f>
        <v>£m</v>
      </c>
      <c r="E1198" s="1636" t="s">
        <v>9</v>
      </c>
      <c r="G1198" s="1635">
        <f>'4J'!G15</f>
        <v>0</v>
      </c>
      <c r="H1198" s="1636"/>
    </row>
    <row r="1199" spans="1:8">
      <c r="A1199" s="1620" t="str">
        <f>INDEX(Lists!$C$4:$C$24,MATCH(Validation!$B$3,Lists!$B$4:$B$24,0))</f>
        <v>TMS</v>
      </c>
      <c r="B1199" s="1732" t="str">
        <f>'4J'!AM18</f>
        <v>WS1010AL</v>
      </c>
      <c r="C1199" t="str">
        <f>+'4J'!$C18&amp;" - "&amp;'4J'!G$4</f>
        <v>Third party services - Abstraction licences</v>
      </c>
      <c r="D1199" s="1620" t="str">
        <f>'4J'!E18</f>
        <v>£m</v>
      </c>
      <c r="E1199" s="1636" t="s">
        <v>9</v>
      </c>
      <c r="G1199" s="1635">
        <f>'4J'!G18</f>
        <v>0</v>
      </c>
      <c r="H1199" s="1636"/>
    </row>
    <row r="1200" spans="1:8">
      <c r="A1200" s="1620" t="str">
        <f>INDEX(Lists!$C$4:$C$24,MATCH(Validation!$B$3,Lists!$B$4:$B$24,0))</f>
        <v>TMS</v>
      </c>
      <c r="B1200" s="1732" t="str">
        <f>'4J'!AM22</f>
        <v>WS1012AL</v>
      </c>
      <c r="C1200" t="str">
        <f>+'4J'!$C22&amp;" - "&amp;'4J'!G$4</f>
        <v>Maintaining the long term capability of the assets - infra - Abstraction licences</v>
      </c>
      <c r="D1200" s="1620" t="str">
        <f>'4J'!E22</f>
        <v>£m</v>
      </c>
      <c r="E1200" s="1636" t="s">
        <v>9</v>
      </c>
      <c r="G1200" s="1635">
        <f>'4J'!G22</f>
        <v>0</v>
      </c>
      <c r="H1200" s="1636"/>
    </row>
    <row r="1201" spans="1:8">
      <c r="A1201" s="1620" t="str">
        <f>INDEX(Lists!$C$4:$C$24,MATCH(Validation!$B$3,Lists!$B$4:$B$24,0))</f>
        <v>TMS</v>
      </c>
      <c r="B1201" s="1732" t="str">
        <f>'4J'!AM23</f>
        <v>WS1013AL</v>
      </c>
      <c r="C1201" t="str">
        <f>+'4J'!$C23&amp;" - "&amp;'4J'!G$4</f>
        <v>Maintaining the long term capability of the assets - non-infra - Abstraction licences</v>
      </c>
      <c r="D1201" s="1620" t="str">
        <f>'4J'!E23</f>
        <v>£m</v>
      </c>
      <c r="E1201" s="1636" t="s">
        <v>9</v>
      </c>
      <c r="G1201" s="1635">
        <f>'4J'!G23</f>
        <v>2.1488923882887555E-2</v>
      </c>
      <c r="H1201" s="1636"/>
    </row>
    <row r="1202" spans="1:8">
      <c r="A1202" s="1620" t="str">
        <f>INDEX(Lists!$C$4:$C$24,MATCH(Validation!$B$3,Lists!$B$4:$B$24,0))</f>
        <v>TMS</v>
      </c>
      <c r="B1202" s="1732" t="str">
        <f>'4J'!AM24</f>
        <v>WS1014AL</v>
      </c>
      <c r="C1202" t="str">
        <f>+'4J'!$C24&amp;" - "&amp;'4J'!G$4</f>
        <v>Other capital expenditure - infra - Abstraction licences</v>
      </c>
      <c r="D1202" s="1620" t="str">
        <f>'4J'!E24</f>
        <v>£m</v>
      </c>
      <c r="E1202" s="1636" t="s">
        <v>9</v>
      </c>
      <c r="G1202" s="1635">
        <f>'4J'!G24</f>
        <v>0</v>
      </c>
      <c r="H1202" s="1636"/>
    </row>
    <row r="1203" spans="1:8">
      <c r="A1203" s="1620" t="str">
        <f>INDEX(Lists!$C$4:$C$24,MATCH(Validation!$B$3,Lists!$B$4:$B$24,0))</f>
        <v>TMS</v>
      </c>
      <c r="B1203" s="1732" t="str">
        <f>'4J'!AM25</f>
        <v>WS1015AL</v>
      </c>
      <c r="C1203" t="str">
        <f>+'4J'!$C25&amp;" - "&amp;'4J'!G$4</f>
        <v>Other capital expenditure - non-infra - Abstraction licences</v>
      </c>
      <c r="D1203" s="1620" t="str">
        <f>'4J'!E25</f>
        <v>£m</v>
      </c>
      <c r="E1203" s="1636" t="s">
        <v>9</v>
      </c>
      <c r="G1203" s="1635">
        <f>'4J'!G25</f>
        <v>0</v>
      </c>
      <c r="H1203" s="1636"/>
    </row>
    <row r="1204" spans="1:8">
      <c r="A1204" s="1620" t="str">
        <f>INDEX(Lists!$C$4:$C$24,MATCH(Validation!$B$3,Lists!$B$4:$B$24,0))</f>
        <v>TMS</v>
      </c>
      <c r="B1204" s="1732" t="str">
        <f>'4J'!AM26</f>
        <v>WS1016AL</v>
      </c>
      <c r="C1204" t="str">
        <f>+'4J'!$C26&amp;" - "&amp;'4J'!G$4</f>
        <v>Infrastructure network reinforcement - Abstraction licences</v>
      </c>
      <c r="D1204" s="1620" t="str">
        <f>'4J'!E26</f>
        <v>£m</v>
      </c>
      <c r="E1204" s="1636" t="s">
        <v>9</v>
      </c>
      <c r="G1204" s="1635">
        <f>'4J'!G26</f>
        <v>0</v>
      </c>
      <c r="H1204" s="1636"/>
    </row>
    <row r="1205" spans="1:8">
      <c r="A1205" s="1620" t="str">
        <f>INDEX(Lists!$C$4:$C$24,MATCH(Validation!$B$3,Lists!$B$4:$B$24,0))</f>
        <v>TMS</v>
      </c>
      <c r="B1205" s="1732" t="str">
        <f>'4J'!AM28</f>
        <v>WS1018AL</v>
      </c>
      <c r="C1205" t="str">
        <f>+'4J'!$C28&amp;" - "&amp;'4J'!G$4</f>
        <v>Third party services - Abstraction licences</v>
      </c>
      <c r="D1205" s="1620" t="str">
        <f>'4J'!E28</f>
        <v>£m</v>
      </c>
      <c r="E1205" s="1636" t="s">
        <v>9</v>
      </c>
      <c r="G1205" s="1635">
        <f>'4J'!G28</f>
        <v>0</v>
      </c>
      <c r="H1205" s="1636"/>
    </row>
    <row r="1206" spans="1:8">
      <c r="A1206" s="1620" t="str">
        <f>INDEX(Lists!$C$4:$C$24,MATCH(Validation!$B$3,Lists!$B$4:$B$24,0))</f>
        <v>TMS</v>
      </c>
      <c r="B1206" s="1732" t="str">
        <f>'4J'!AM30</f>
        <v>WS1020AL</v>
      </c>
      <c r="C1206" t="str">
        <f>+'4J'!$C30&amp;" - "&amp;'4J'!G$4</f>
        <v>Grants and contributions - Abstraction licences</v>
      </c>
      <c r="D1206" s="1620" t="str">
        <f>'4J'!E30</f>
        <v>£m</v>
      </c>
      <c r="E1206" s="1636" t="s">
        <v>9</v>
      </c>
      <c r="G1206" s="1635">
        <f>'4J'!G30</f>
        <v>0</v>
      </c>
      <c r="H1206" s="1636"/>
    </row>
    <row r="1207" spans="1:8">
      <c r="A1207" s="1620" t="str">
        <f>INDEX(Lists!$C$4:$C$24,MATCH(Validation!$B$3,Lists!$B$4:$B$24,0))</f>
        <v>TMS</v>
      </c>
      <c r="B1207" s="1732" t="str">
        <f>'4J'!AM34</f>
        <v>WS1022AL</v>
      </c>
      <c r="C1207" t="str">
        <f>+'4J'!$C34&amp;" - "&amp;'4J'!G$4</f>
        <v>Pension deficit recovery payments - Abstraction licences</v>
      </c>
      <c r="D1207" s="1620" t="str">
        <f>'4J'!E34</f>
        <v>£m</v>
      </c>
      <c r="E1207" s="1636" t="s">
        <v>9</v>
      </c>
      <c r="G1207" s="1635">
        <f>'4J'!G34</f>
        <v>3.6999999999999998E-2</v>
      </c>
      <c r="H1207" s="1636"/>
    </row>
    <row r="1208" spans="1:8">
      <c r="A1208" s="1620" t="str">
        <f>INDEX(Lists!$C$4:$C$24,MATCH(Validation!$B$3,Lists!$B$4:$B$24,0))</f>
        <v>TMS</v>
      </c>
      <c r="B1208" s="1732" t="str">
        <f>'4J'!AM35</f>
        <v>WS1023AL</v>
      </c>
      <c r="C1208" t="str">
        <f>+'4J'!$C35&amp;" - "&amp;'4J'!G$4</f>
        <v>Other cash items - Abstraction licences</v>
      </c>
      <c r="D1208" s="1620" t="str">
        <f>'4J'!E35</f>
        <v>£m</v>
      </c>
      <c r="E1208" s="1636" t="s">
        <v>9</v>
      </c>
      <c r="G1208" s="1635">
        <f>'4J'!G35</f>
        <v>0</v>
      </c>
      <c r="H1208" s="1636"/>
    </row>
    <row r="1209" spans="1:8">
      <c r="A1209" s="1620" t="str">
        <f>INDEX(Lists!$C$4:$C$24,MATCH(Validation!$B$3,Lists!$B$4:$B$24,0))</f>
        <v>TMS</v>
      </c>
      <c r="B1209" s="1732" t="str">
        <f>'4J'!AM39</f>
        <v>BP3357001AL</v>
      </c>
      <c r="C1209" t="str">
        <f>+'4J'!$C$38&amp;" - Item 1"&amp;" - "&amp;'4J'!G$4</f>
        <v>Atypical expenditure - Item 1 - Abstraction licences</v>
      </c>
      <c r="D1209" s="1620" t="str">
        <f>'4J'!E39</f>
        <v>£m</v>
      </c>
      <c r="E1209" s="1636" t="s">
        <v>9</v>
      </c>
      <c r="F1209" s="2" t="str">
        <f>IF(OR(ISBLANK('4J'!$C39),'4J'!$C39="Item 1"), "##BLANK", '4J'!$C39)</f>
        <v>Restructuring costs</v>
      </c>
      <c r="G1209" s="1635">
        <f>IF(ISBLANK('4J'!G39), "##BLANK", '4J'!G39)</f>
        <v>7.2999999999999995E-2</v>
      </c>
      <c r="H1209" s="1636"/>
    </row>
    <row r="1210" spans="1:8">
      <c r="A1210" s="1620" t="str">
        <f>INDEX(Lists!$C$4:$C$24,MATCH(Validation!$B$3,Lists!$B$4:$B$24,0))</f>
        <v>TMS</v>
      </c>
      <c r="B1210" s="1732" t="str">
        <f>'4J'!AM40</f>
        <v>BP3357002AL</v>
      </c>
      <c r="C1210" t="str">
        <f>+'4J'!$C$38&amp;" - Item 2"&amp;" - "&amp;'4J'!G$4</f>
        <v>Atypical expenditure - Item 2 - Abstraction licences</v>
      </c>
      <c r="D1210" s="1620" t="str">
        <f>'4J'!E40</f>
        <v>£m</v>
      </c>
      <c r="E1210" s="1636" t="s">
        <v>9</v>
      </c>
      <c r="F1210" s="2" t="str">
        <f>IF(OR(ISBLANK('4J'!$C40),'4J'!$C40="Item 2"), "##BLANK", '4J'!$C40)</f>
        <v>##BLANK</v>
      </c>
      <c r="G1210" s="1635" t="str">
        <f>IF(ISBLANK('4J'!G40), "##BLANK", '4J'!G40)</f>
        <v>##BLANK</v>
      </c>
      <c r="H1210" s="1636"/>
    </row>
    <row r="1211" spans="1:8">
      <c r="A1211" s="1620" t="str">
        <f>INDEX(Lists!$C$4:$C$24,MATCH(Validation!$B$3,Lists!$B$4:$B$24,0))</f>
        <v>TMS</v>
      </c>
      <c r="B1211" s="1732" t="str">
        <f>'4J'!AM41</f>
        <v>BP3357003AL</v>
      </c>
      <c r="C1211" t="str">
        <f>+'4J'!$C$38&amp;" - Item 3"&amp;" - "&amp;'4J'!G$4</f>
        <v>Atypical expenditure - Item 3 - Abstraction licences</v>
      </c>
      <c r="D1211" s="1620" t="str">
        <f>'4J'!E41</f>
        <v>£m</v>
      </c>
      <c r="E1211" s="1636" t="s">
        <v>9</v>
      </c>
      <c r="F1211" s="2" t="str">
        <f>IF(OR(ISBLANK('4J'!$C41),'4J'!$C41="Item 3"), "##BLANK", '4J'!$C41)</f>
        <v>##BLANK</v>
      </c>
      <c r="G1211" s="1635" t="str">
        <f>IF(ISBLANK('4J'!G41), "##BLANK", '4J'!G41)</f>
        <v>##BLANK</v>
      </c>
      <c r="H1211" s="1636"/>
    </row>
    <row r="1212" spans="1:8">
      <c r="A1212" s="1620" t="str">
        <f>INDEX(Lists!$C$4:$C$24,MATCH(Validation!$B$3,Lists!$B$4:$B$24,0))</f>
        <v>TMS</v>
      </c>
      <c r="B1212" s="1732" t="str">
        <f>'4J'!AM42</f>
        <v>BP3357004AL</v>
      </c>
      <c r="C1212" t="str">
        <f>+'4J'!$C$38&amp;" - Item 4"&amp;" - "&amp;'4J'!G$4</f>
        <v>Atypical expenditure - Item 4 - Abstraction licences</v>
      </c>
      <c r="D1212" s="1620" t="str">
        <f>'4J'!E42</f>
        <v>£m</v>
      </c>
      <c r="E1212" s="1636" t="s">
        <v>9</v>
      </c>
      <c r="F1212" s="2" t="str">
        <f>IF(OR(ISBLANK('4J'!$C42),'4J'!$C42="Item 4"), "##BLANK", '4J'!$C42)</f>
        <v>##BLANK</v>
      </c>
      <c r="G1212" s="1635" t="str">
        <f>IF(ISBLANK('4J'!G42), "##BLANK", '4J'!G42)</f>
        <v>##BLANK</v>
      </c>
      <c r="H1212" s="1636"/>
    </row>
    <row r="1213" spans="1:8">
      <c r="A1213" s="1620" t="str">
        <f>INDEX(Lists!$C$4:$C$24,MATCH(Validation!$B$3,Lists!$B$4:$B$24,0))</f>
        <v>TMS</v>
      </c>
      <c r="B1213" s="1732" t="str">
        <f>'4J'!AM43</f>
        <v>BP3357005AL</v>
      </c>
      <c r="C1213" t="str">
        <f>+'4J'!$C$38&amp;" - Item 5"&amp;" - "&amp;'4J'!G$4</f>
        <v>Atypical expenditure - Item 5 - Abstraction licences</v>
      </c>
      <c r="D1213" s="1620" t="str">
        <f>'4J'!E43</f>
        <v>£m</v>
      </c>
      <c r="E1213" s="1636" t="s">
        <v>9</v>
      </c>
      <c r="F1213" s="2" t="str">
        <f>IF(OR(ISBLANK('4J'!$C43),'4J'!$C43="Item 5"), "##BLANK", '4J'!$C43)</f>
        <v>##BLANK</v>
      </c>
      <c r="G1213" s="1635" t="str">
        <f>IF(ISBLANK('4J'!G43), "##BLANK", '4J'!G43)</f>
        <v>##BLANK</v>
      </c>
      <c r="H1213" s="1636"/>
    </row>
    <row r="1214" spans="1:8">
      <c r="A1214" s="1620" t="str">
        <f>INDEX(Lists!$C$4:$C$24,MATCH(Validation!$B$3,Lists!$B$4:$B$24,0))</f>
        <v>TMS</v>
      </c>
      <c r="B1214" s="1732" t="str">
        <f>'4J'!AM44</f>
        <v>BP3357006AL</v>
      </c>
      <c r="C1214" t="str">
        <f>+'4J'!$C$38&amp;" - Item 6"&amp;" - "&amp;'4J'!G$4</f>
        <v>Atypical expenditure - Item 6 - Abstraction licences</v>
      </c>
      <c r="D1214" s="1620" t="str">
        <f>'4J'!E44</f>
        <v>£m</v>
      </c>
      <c r="E1214" s="1636" t="s">
        <v>9</v>
      </c>
      <c r="F1214" s="2" t="str">
        <f>IF(OR(ISBLANK('4J'!$C44),'4J'!$C44="Item 6"), "##BLANK", '4J'!$C44)</f>
        <v>##BLANK</v>
      </c>
      <c r="G1214" s="1635" t="str">
        <f>IF(ISBLANK('4J'!G44), "##BLANK", '4J'!G44)</f>
        <v>##BLANK</v>
      </c>
      <c r="H1214" s="1636"/>
    </row>
    <row r="1215" spans="1:8">
      <c r="A1215" s="1620" t="str">
        <f>INDEX(Lists!$C$4:$C$24,MATCH(Validation!$B$3,Lists!$B$4:$B$24,0))</f>
        <v>TMS</v>
      </c>
      <c r="B1215" s="1732" t="str">
        <f>'4J'!AM45</f>
        <v>BP3357007AL</v>
      </c>
      <c r="C1215" t="str">
        <f>+'4J'!$C$38&amp;" - Item 7"&amp;" - "&amp;'4J'!G$4</f>
        <v>Atypical expenditure - Item 7 - Abstraction licences</v>
      </c>
      <c r="D1215" s="1620" t="str">
        <f>'4J'!E45</f>
        <v>£m</v>
      </c>
      <c r="E1215" s="1636" t="s">
        <v>9</v>
      </c>
      <c r="F1215" s="2" t="str">
        <f>IF(OR(ISBLANK('4J'!$C45),'4J'!$C45="Item 7"), "##BLANK", '4J'!$C45)</f>
        <v>##BLANK</v>
      </c>
      <c r="G1215" s="1635" t="str">
        <f>IF(ISBLANK('4J'!G45), "##BLANK", '4J'!G45)</f>
        <v>##BLANK</v>
      </c>
      <c r="H1215" s="1636"/>
    </row>
    <row r="1216" spans="1:8">
      <c r="A1216" s="1620" t="str">
        <f>INDEX(Lists!$C$4:$C$24,MATCH(Validation!$B$3,Lists!$B$4:$B$24,0))</f>
        <v>TMS</v>
      </c>
      <c r="B1216" s="1732" t="str">
        <f>'4J'!AM46</f>
        <v>BP3357008AL</v>
      </c>
      <c r="C1216" t="str">
        <f>+'4J'!$C$38&amp;" - Item 8"&amp;" - "&amp;'4J'!G$4</f>
        <v>Atypical expenditure - Item 8 - Abstraction licences</v>
      </c>
      <c r="D1216" s="1620" t="str">
        <f>'4J'!E46</f>
        <v>£m</v>
      </c>
      <c r="E1216" s="1636" t="s">
        <v>9</v>
      </c>
      <c r="F1216" s="2" t="str">
        <f>IF(OR(ISBLANK('4J'!$C46),'4J'!$C46="Item 8"), "##BLANK", '4J'!$C46)</f>
        <v>##BLANK</v>
      </c>
      <c r="G1216" s="1635" t="str">
        <f>IF(ISBLANK('4J'!G46), "##BLANK", '4J'!G46)</f>
        <v>##BLANK</v>
      </c>
      <c r="H1216" s="1636"/>
    </row>
    <row r="1217" spans="1:8">
      <c r="A1217" s="1620" t="str">
        <f>INDEX(Lists!$C$4:$C$24,MATCH(Validation!$B$3,Lists!$B$4:$B$24,0))</f>
        <v>TMS</v>
      </c>
      <c r="B1217" s="1732" t="str">
        <f>'4J'!AM47</f>
        <v>BP3357009AL</v>
      </c>
      <c r="C1217" t="str">
        <f>+'4J'!$C$38&amp;" - Item 9"&amp;" - "&amp;'4J'!G$4</f>
        <v>Atypical expenditure - Item 9 - Abstraction licences</v>
      </c>
      <c r="D1217" s="1620" t="str">
        <f>'4J'!E47</f>
        <v>£m</v>
      </c>
      <c r="E1217" s="1636" t="s">
        <v>9</v>
      </c>
      <c r="F1217" s="2" t="str">
        <f>IF(OR(ISBLANK('4J'!$C47),'4J'!$C47="Item 9"), "##BLANK", '4J'!$C47)</f>
        <v>##BLANK</v>
      </c>
      <c r="G1217" s="1635" t="str">
        <f>IF(ISBLANK('4J'!G47), "##BLANK", '4J'!G47)</f>
        <v>##BLANK</v>
      </c>
      <c r="H1217" s="1636"/>
    </row>
    <row r="1218" spans="1:8" ht="15" thickBot="1">
      <c r="A1218" s="1620" t="str">
        <f>INDEX(Lists!$C$4:$C$24,MATCH(Validation!$B$3,Lists!$B$4:$B$24,0))</f>
        <v>TMS</v>
      </c>
      <c r="B1218" s="1732" t="str">
        <f>'4J'!AM48</f>
        <v>BP3357010AL</v>
      </c>
      <c r="C1218" t="str">
        <f>+'4J'!$C$38&amp;" - Item 10"&amp;" - "&amp;'4J'!G$4</f>
        <v>Atypical expenditure - Item 10 - Abstraction licences</v>
      </c>
      <c r="D1218" s="1620" t="str">
        <f>'4J'!E48</f>
        <v>£m</v>
      </c>
      <c r="E1218" s="1636" t="s">
        <v>9</v>
      </c>
      <c r="F1218" s="2" t="str">
        <f>IF(OR(ISBLANK('4J'!$C48),'4J'!$C48="Item 10"), "##BLANK", '4J'!$C48)</f>
        <v>##BLANK</v>
      </c>
      <c r="G1218" s="1635" t="str">
        <f>IF(ISBLANK('4J'!G48), "##BLANK", '4J'!G48)</f>
        <v>##BLANK</v>
      </c>
      <c r="H1218" s="1636"/>
    </row>
    <row r="1219" spans="1:8">
      <c r="A1219" s="1618" t="str">
        <f>INDEX(Lists!$C$4:$C$24,MATCH(Validation!$B$3,Lists!$B$4:$B$24,0))</f>
        <v>TMS</v>
      </c>
      <c r="B1219" s="1731" t="str">
        <f>'4J'!AN7</f>
        <v>WS1001RWA</v>
      </c>
      <c r="C1219" s="1619" t="str">
        <f>+'4J'!$C7&amp;" - "&amp;'4J'!H$4</f>
        <v>Power - Raw water abstraction</v>
      </c>
      <c r="D1219" s="1618" t="str">
        <f t="shared" ref="D1219:D1282" si="0">D1191</f>
        <v>£m</v>
      </c>
      <c r="E1219" s="1645" t="s">
        <v>9</v>
      </c>
      <c r="F1219" s="1644"/>
      <c r="G1219" s="1659">
        <f>'4J'!H7</f>
        <v>13.356</v>
      </c>
      <c r="H1219" s="1645"/>
    </row>
    <row r="1220" spans="1:8">
      <c r="A1220" s="1620" t="str">
        <f>INDEX(Lists!$C$4:$C$24,MATCH(Validation!$B$3,Lists!$B$4:$B$24,0))</f>
        <v>TMS</v>
      </c>
      <c r="B1220" s="1732" t="str">
        <f>'4J'!AN8</f>
        <v>WS1002RWA</v>
      </c>
      <c r="C1220" t="str">
        <f>+'4J'!$C8&amp;" - "&amp;'4J'!H$4</f>
        <v>Income treated as negative expenditure - Raw water abstraction</v>
      </c>
      <c r="D1220" s="1620" t="str">
        <f t="shared" si="0"/>
        <v>£m</v>
      </c>
      <c r="E1220" s="1636" t="s">
        <v>9</v>
      </c>
      <c r="G1220" s="1635">
        <f>'4J'!H8</f>
        <v>-0.122</v>
      </c>
      <c r="H1220" s="1636"/>
    </row>
    <row r="1221" spans="1:8">
      <c r="A1221" s="1620" t="str">
        <f>INDEX(Lists!$C$4:$C$24,MATCH(Validation!$B$3,Lists!$B$4:$B$24,0))</f>
        <v>TMS</v>
      </c>
      <c r="B1221" s="1732" t="str">
        <f>'4J'!AN9</f>
        <v>WS1003RWA</v>
      </c>
      <c r="C1221" t="str">
        <f>+'4J'!$C9&amp;" - "&amp;'4J'!H$4</f>
        <v>Abstraction charges/ discharge consents - Raw water abstraction</v>
      </c>
      <c r="D1221" s="1620" t="str">
        <f t="shared" si="0"/>
        <v>£m</v>
      </c>
      <c r="E1221" s="1636" t="s">
        <v>9</v>
      </c>
      <c r="G1221" s="1635">
        <f>'4J'!H9</f>
        <v>3.0000000000000001E-3</v>
      </c>
      <c r="H1221" s="1636"/>
    </row>
    <row r="1222" spans="1:8">
      <c r="A1222" s="1620" t="str">
        <f>INDEX(Lists!$C$4:$C$24,MATCH(Validation!$B$3,Lists!$B$4:$B$24,0))</f>
        <v>TMS</v>
      </c>
      <c r="B1222" s="1732" t="str">
        <f>'4J'!AN10</f>
        <v>WS1004RWA</v>
      </c>
      <c r="C1222" t="str">
        <f>+'4J'!$C10&amp;" - "&amp;'4J'!H$4</f>
        <v>Bulk supply - Raw water abstraction</v>
      </c>
      <c r="D1222" s="1620" t="str">
        <f t="shared" si="0"/>
        <v>£m</v>
      </c>
      <c r="E1222" s="1636" t="s">
        <v>9</v>
      </c>
      <c r="G1222" s="1635">
        <f>'4J'!H10</f>
        <v>2.5760000000000001</v>
      </c>
      <c r="H1222" s="1636"/>
    </row>
    <row r="1223" spans="1:8">
      <c r="A1223" s="1620" t="str">
        <f>INDEX(Lists!$C$4:$C$24,MATCH(Validation!$B$3,Lists!$B$4:$B$24,0))</f>
        <v>TMS</v>
      </c>
      <c r="B1223" s="1732" t="str">
        <f>'4J'!AN12</f>
        <v>WS1005RWA</v>
      </c>
      <c r="C1223" t="str">
        <f>+'4J'!$C$11&amp;" "&amp;'4J'!$C12&amp;" - "&amp;'4J'!H$4</f>
        <v>Other operating expenditure - Renewals expensed in year (Infrastructure) - Raw water abstraction</v>
      </c>
      <c r="D1223" s="1620" t="str">
        <f t="shared" si="0"/>
        <v>£m</v>
      </c>
      <c r="E1223" s="1636" t="s">
        <v>9</v>
      </c>
      <c r="G1223" s="1635">
        <f>'4J'!H12</f>
        <v>0</v>
      </c>
      <c r="H1223" s="1636"/>
    </row>
    <row r="1224" spans="1:8">
      <c r="A1224" s="1620" t="str">
        <f>INDEX(Lists!$C$4:$C$24,MATCH(Validation!$B$3,Lists!$B$4:$B$24,0))</f>
        <v>TMS</v>
      </c>
      <c r="B1224" s="1732" t="str">
        <f>'4J'!AN13</f>
        <v>WS1006RWA</v>
      </c>
      <c r="C1224" t="str">
        <f>+'4J'!$C$11&amp;" "&amp;'4J'!$C13&amp;" - "&amp;'4J'!H$4</f>
        <v>Other operating expenditure - Renewals expensed in year (Non-Infrastructure) - Raw water abstraction</v>
      </c>
      <c r="D1224" s="1620" t="str">
        <f t="shared" si="0"/>
        <v>£m</v>
      </c>
      <c r="E1224" s="1636" t="s">
        <v>9</v>
      </c>
      <c r="G1224" s="1635">
        <f>'4J'!H13</f>
        <v>0</v>
      </c>
      <c r="H1224" s="1636"/>
    </row>
    <row r="1225" spans="1:8">
      <c r="A1225" s="1620" t="str">
        <f>INDEX(Lists!$C$4:$C$24,MATCH(Validation!$B$3,Lists!$B$4:$B$24,0))</f>
        <v>TMS</v>
      </c>
      <c r="B1225" s="1732" t="str">
        <f>'4J'!AN14</f>
        <v>WS1007RWA</v>
      </c>
      <c r="C1225" t="str">
        <f>+'4J'!$C$11&amp;" "&amp;'4J'!$C14&amp;" - "&amp;'4J'!H$4</f>
        <v>Other operating expenditure - Other operating expenditure excluding renewals - Raw water abstraction</v>
      </c>
      <c r="D1225" s="1620" t="str">
        <f t="shared" si="0"/>
        <v>£m</v>
      </c>
      <c r="E1225" s="1636" t="s">
        <v>9</v>
      </c>
      <c r="G1225" s="1635">
        <f>'4J'!H14</f>
        <v>26.317</v>
      </c>
      <c r="H1225" s="1636"/>
    </row>
    <row r="1226" spans="1:8">
      <c r="A1226" s="1620" t="str">
        <f>INDEX(Lists!$C$4:$C$24,MATCH(Validation!$B$3,Lists!$B$4:$B$24,0))</f>
        <v>TMS</v>
      </c>
      <c r="B1226" s="1732" t="str">
        <f>'4J'!AN15</f>
        <v>WS1008RWA</v>
      </c>
      <c r="C1226" t="str">
        <f>+'4J'!$C15&amp;" - "&amp;'4J'!H$4</f>
        <v>Local authority and Cumulo rates - Raw water abstraction</v>
      </c>
      <c r="D1226" s="1620" t="str">
        <f t="shared" si="0"/>
        <v>£m</v>
      </c>
      <c r="E1226" s="1636" t="s">
        <v>9</v>
      </c>
      <c r="G1226" s="1635">
        <f>'4J'!H15</f>
        <v>3.4950000000000001</v>
      </c>
      <c r="H1226" s="1636"/>
    </row>
    <row r="1227" spans="1:8">
      <c r="A1227" s="1620" t="str">
        <f>INDEX(Lists!$C$4:$C$24,MATCH(Validation!$B$3,Lists!$B$4:$B$24,0))</f>
        <v>TMS</v>
      </c>
      <c r="B1227" s="1732" t="str">
        <f>'4J'!AN18</f>
        <v>WS1010RWA</v>
      </c>
      <c r="C1227" t="str">
        <f>+'4J'!$C18&amp;" - "&amp;'4J'!H$4</f>
        <v>Third party services - Raw water abstraction</v>
      </c>
      <c r="D1227" s="1620" t="str">
        <f t="shared" si="0"/>
        <v>£m</v>
      </c>
      <c r="E1227" s="1636" t="s">
        <v>9</v>
      </c>
      <c r="G1227" s="1635">
        <f>'4J'!H18</f>
        <v>2.3340000000000001</v>
      </c>
      <c r="H1227" s="1636"/>
    </row>
    <row r="1228" spans="1:8">
      <c r="A1228" s="1620" t="str">
        <f>INDEX(Lists!$C$4:$C$24,MATCH(Validation!$B$3,Lists!$B$4:$B$24,0))</f>
        <v>TMS</v>
      </c>
      <c r="B1228" s="1732" t="str">
        <f>'4J'!AN22</f>
        <v>WS1012RWA</v>
      </c>
      <c r="C1228" t="str">
        <f>+'4J'!$C22&amp;" - "&amp;'4J'!H$4</f>
        <v>Maintaining the long term capability of the assets - infra - Raw water abstraction</v>
      </c>
      <c r="D1228" s="1620" t="str">
        <f t="shared" si="0"/>
        <v>£m</v>
      </c>
      <c r="E1228" s="1636" t="s">
        <v>9</v>
      </c>
      <c r="G1228" s="1635">
        <f>'4J'!H22</f>
        <v>6.2858851926954085</v>
      </c>
      <c r="H1228" s="1636"/>
    </row>
    <row r="1229" spans="1:8">
      <c r="A1229" s="1620" t="str">
        <f>INDEX(Lists!$C$4:$C$24,MATCH(Validation!$B$3,Lists!$B$4:$B$24,0))</f>
        <v>TMS</v>
      </c>
      <c r="B1229" s="1732" t="str">
        <f>'4J'!AN23</f>
        <v>WS1013RWA</v>
      </c>
      <c r="C1229" t="str">
        <f>+'4J'!$C23&amp;" - "&amp;'4J'!H$4</f>
        <v>Maintaining the long term capability of the assets - non-infra - Raw water abstraction</v>
      </c>
      <c r="D1229" s="1620" t="str">
        <f t="shared" si="0"/>
        <v>£m</v>
      </c>
      <c r="E1229" s="1636" t="s">
        <v>9</v>
      </c>
      <c r="G1229" s="1635">
        <f>'4J'!H23</f>
        <v>15.523377478348067</v>
      </c>
      <c r="H1229" s="1636"/>
    </row>
    <row r="1230" spans="1:8">
      <c r="A1230" s="1620" t="str">
        <f>INDEX(Lists!$C$4:$C$24,MATCH(Validation!$B$3,Lists!$B$4:$B$24,0))</f>
        <v>TMS</v>
      </c>
      <c r="B1230" s="1732" t="str">
        <f>'4J'!AN24</f>
        <v>WS1014RWA</v>
      </c>
      <c r="C1230" t="str">
        <f>+'4J'!$C24&amp;" - "&amp;'4J'!H$4</f>
        <v>Other capital expenditure - infra - Raw water abstraction</v>
      </c>
      <c r="D1230" s="1620" t="str">
        <f t="shared" si="0"/>
        <v>£m</v>
      </c>
      <c r="E1230" s="1636" t="s">
        <v>9</v>
      </c>
      <c r="G1230" s="1635">
        <f>'4J'!H24</f>
        <v>1.9540892622208079</v>
      </c>
      <c r="H1230" s="1636"/>
    </row>
    <row r="1231" spans="1:8">
      <c r="A1231" s="1620" t="str">
        <f>INDEX(Lists!$C$4:$C$24,MATCH(Validation!$B$3,Lists!$B$4:$B$24,0))</f>
        <v>TMS</v>
      </c>
      <c r="B1231" s="1732" t="str">
        <f>'4J'!AN25</f>
        <v>WS1015RWA</v>
      </c>
      <c r="C1231" t="str">
        <f>+'4J'!$C25&amp;" - "&amp;'4J'!H$4</f>
        <v>Other capital expenditure - non-infra - Raw water abstraction</v>
      </c>
      <c r="D1231" s="1620" t="str">
        <f t="shared" si="0"/>
        <v>£m</v>
      </c>
      <c r="E1231" s="1636" t="s">
        <v>9</v>
      </c>
      <c r="G1231" s="1635">
        <f>'4J'!H25</f>
        <v>-1.3813189626353544</v>
      </c>
      <c r="H1231" s="1636"/>
    </row>
    <row r="1232" spans="1:8">
      <c r="A1232" s="1620" t="str">
        <f>INDEX(Lists!$C$4:$C$24,MATCH(Validation!$B$3,Lists!$B$4:$B$24,0))</f>
        <v>TMS</v>
      </c>
      <c r="B1232" s="1732" t="str">
        <f>'4J'!AN26</f>
        <v>WS1016RWA</v>
      </c>
      <c r="C1232" t="str">
        <f>+'4J'!$C26&amp;" - "&amp;'4J'!H$4</f>
        <v>Infrastructure network reinforcement - Raw water abstraction</v>
      </c>
      <c r="D1232" s="1620" t="str">
        <f t="shared" si="0"/>
        <v>£m</v>
      </c>
      <c r="E1232" s="1636" t="s">
        <v>9</v>
      </c>
      <c r="G1232" s="1635">
        <f>'4J'!H26</f>
        <v>0</v>
      </c>
      <c r="H1232" s="1636"/>
    </row>
    <row r="1233" spans="1:8">
      <c r="A1233" s="1620" t="str">
        <f>INDEX(Lists!$C$4:$C$24,MATCH(Validation!$B$3,Lists!$B$4:$B$24,0))</f>
        <v>TMS</v>
      </c>
      <c r="B1233" s="1732" t="str">
        <f>'4J'!AN28</f>
        <v>WS1018RWA</v>
      </c>
      <c r="C1233" t="str">
        <f>+'4J'!$C28&amp;" - "&amp;'4J'!H$4</f>
        <v>Third party services - Raw water abstraction</v>
      </c>
      <c r="D1233" s="1620" t="str">
        <f t="shared" si="0"/>
        <v>£m</v>
      </c>
      <c r="E1233" s="1636" t="s">
        <v>9</v>
      </c>
      <c r="G1233" s="1635">
        <f>'4J'!H28</f>
        <v>0</v>
      </c>
      <c r="H1233" s="1636"/>
    </row>
    <row r="1234" spans="1:8">
      <c r="A1234" s="1620" t="str">
        <f>INDEX(Lists!$C$4:$C$24,MATCH(Validation!$B$3,Lists!$B$4:$B$24,0))</f>
        <v>TMS</v>
      </c>
      <c r="B1234" s="1732" t="str">
        <f>'4J'!AN30</f>
        <v>WS1020RWA</v>
      </c>
      <c r="C1234" t="str">
        <f>+'4J'!$C30&amp;" - "&amp;'4J'!H$4</f>
        <v>Grants and contributions - Raw water abstraction</v>
      </c>
      <c r="D1234" s="1620" t="str">
        <f t="shared" si="0"/>
        <v>£m</v>
      </c>
      <c r="E1234" s="1636" t="s">
        <v>9</v>
      </c>
      <c r="G1234" s="1635">
        <f>'4J'!H30</f>
        <v>0</v>
      </c>
      <c r="H1234" s="1636"/>
    </row>
    <row r="1235" spans="1:8">
      <c r="A1235" s="1620" t="str">
        <f>INDEX(Lists!$C$4:$C$24,MATCH(Validation!$B$3,Lists!$B$4:$B$24,0))</f>
        <v>TMS</v>
      </c>
      <c r="B1235" s="1732" t="str">
        <f>'4J'!AN34</f>
        <v>WS1022RWA</v>
      </c>
      <c r="C1235" t="str">
        <f>+'4J'!$C34&amp;" - "&amp;'4J'!H$4</f>
        <v>Pension deficit recovery payments - Raw water abstraction</v>
      </c>
      <c r="D1235" s="1620" t="str">
        <f t="shared" si="0"/>
        <v>£m</v>
      </c>
      <c r="E1235" s="1636" t="s">
        <v>9</v>
      </c>
      <c r="G1235" s="1635">
        <f>'4J'!H34</f>
        <v>1.024</v>
      </c>
      <c r="H1235" s="1636"/>
    </row>
    <row r="1236" spans="1:8">
      <c r="A1236" s="1620" t="str">
        <f>INDEX(Lists!$C$4:$C$24,MATCH(Validation!$B$3,Lists!$B$4:$B$24,0))</f>
        <v>TMS</v>
      </c>
      <c r="B1236" s="1732" t="str">
        <f>'4J'!AN35</f>
        <v>WS1023RWA</v>
      </c>
      <c r="C1236" t="str">
        <f>+'4J'!$C35&amp;" - "&amp;'4J'!H$4</f>
        <v>Other cash items - Raw water abstraction</v>
      </c>
      <c r="D1236" s="1620" t="str">
        <f t="shared" si="0"/>
        <v>£m</v>
      </c>
      <c r="E1236" s="1636" t="s">
        <v>9</v>
      </c>
      <c r="G1236" s="1635">
        <f>'4J'!H35</f>
        <v>0</v>
      </c>
      <c r="H1236" s="1636"/>
    </row>
    <row r="1237" spans="1:8">
      <c r="A1237" s="1620" t="str">
        <f>INDEX(Lists!$C$4:$C$24,MATCH(Validation!$B$3,Lists!$B$4:$B$24,0))</f>
        <v>TMS</v>
      </c>
      <c r="B1237" s="1732" t="str">
        <f>'4J'!AN39</f>
        <v>BP3357001RWA</v>
      </c>
      <c r="C1237" t="str">
        <f>+'4J'!$C$38&amp;" - Item 1"&amp;" - "&amp;'4J'!H$4</f>
        <v>Atypical expenditure - Item 1 - Raw water abstraction</v>
      </c>
      <c r="D1237" s="1620" t="str">
        <f t="shared" si="0"/>
        <v>£m</v>
      </c>
      <c r="E1237" s="1636" t="s">
        <v>9</v>
      </c>
      <c r="F1237" s="2" t="str">
        <f>+F1209</f>
        <v>Restructuring costs</v>
      </c>
      <c r="G1237" s="1635">
        <f>IF(ISBLANK('4J'!H39), "##BLANK", '4J'!H39)</f>
        <v>0.255</v>
      </c>
      <c r="H1237" s="1636"/>
    </row>
    <row r="1238" spans="1:8">
      <c r="A1238" s="1620" t="str">
        <f>INDEX(Lists!$C$4:$C$24,MATCH(Validation!$B$3,Lists!$B$4:$B$24,0))</f>
        <v>TMS</v>
      </c>
      <c r="B1238" s="1732" t="str">
        <f>'4J'!AN40</f>
        <v>BP3357002RWA</v>
      </c>
      <c r="C1238" t="str">
        <f>+'4J'!$C$38&amp;" - Item 2"&amp;" - "&amp;'4J'!H$4</f>
        <v>Atypical expenditure - Item 2 - Raw water abstraction</v>
      </c>
      <c r="D1238" s="1620" t="str">
        <f t="shared" si="0"/>
        <v>£m</v>
      </c>
      <c r="E1238" s="1636" t="s">
        <v>9</v>
      </c>
      <c r="F1238" s="2" t="str">
        <f t="shared" ref="F1238:F1246" si="1">+F1210</f>
        <v>##BLANK</v>
      </c>
      <c r="G1238" s="1635" t="str">
        <f>IF(ISBLANK('4J'!H40), "##BLANK", '4J'!H40)</f>
        <v>##BLANK</v>
      </c>
      <c r="H1238" s="1636"/>
    </row>
    <row r="1239" spans="1:8">
      <c r="A1239" s="1620" t="str">
        <f>INDEX(Lists!$C$4:$C$24,MATCH(Validation!$B$3,Lists!$B$4:$B$24,0))</f>
        <v>TMS</v>
      </c>
      <c r="B1239" s="1732" t="str">
        <f>'4J'!AN41</f>
        <v>BP3357003RWA</v>
      </c>
      <c r="C1239" t="str">
        <f>+'4J'!$C$38&amp;" - Item 3"&amp;" - "&amp;'4J'!H$4</f>
        <v>Atypical expenditure - Item 3 - Raw water abstraction</v>
      </c>
      <c r="D1239" s="1620" t="str">
        <f t="shared" si="0"/>
        <v>£m</v>
      </c>
      <c r="E1239" s="1636" t="s">
        <v>9</v>
      </c>
      <c r="F1239" s="2" t="str">
        <f t="shared" si="1"/>
        <v>##BLANK</v>
      </c>
      <c r="G1239" s="1635" t="str">
        <f>IF(ISBLANK('4J'!H41), "##BLANK", '4J'!H41)</f>
        <v>##BLANK</v>
      </c>
      <c r="H1239" s="1636"/>
    </row>
    <row r="1240" spans="1:8">
      <c r="A1240" s="1620" t="str">
        <f>INDEX(Lists!$C$4:$C$24,MATCH(Validation!$B$3,Lists!$B$4:$B$24,0))</f>
        <v>TMS</v>
      </c>
      <c r="B1240" s="1732" t="str">
        <f>'4J'!AN42</f>
        <v>BP3357004RWA</v>
      </c>
      <c r="C1240" t="str">
        <f>+'4J'!$C$38&amp;" - Item 4"&amp;" - "&amp;'4J'!H$4</f>
        <v>Atypical expenditure - Item 4 - Raw water abstraction</v>
      </c>
      <c r="D1240" s="1620" t="str">
        <f t="shared" si="0"/>
        <v>£m</v>
      </c>
      <c r="E1240" s="1636" t="s">
        <v>9</v>
      </c>
      <c r="F1240" s="2" t="str">
        <f t="shared" si="1"/>
        <v>##BLANK</v>
      </c>
      <c r="G1240" s="1635" t="str">
        <f>IF(ISBLANK('4J'!H42), "##BLANK", '4J'!H42)</f>
        <v>##BLANK</v>
      </c>
      <c r="H1240" s="1636"/>
    </row>
    <row r="1241" spans="1:8">
      <c r="A1241" s="1620" t="str">
        <f>INDEX(Lists!$C$4:$C$24,MATCH(Validation!$B$3,Lists!$B$4:$B$24,0))</f>
        <v>TMS</v>
      </c>
      <c r="B1241" s="1732" t="str">
        <f>'4J'!AN43</f>
        <v>BP3357005RWA</v>
      </c>
      <c r="C1241" t="str">
        <f>+'4J'!$C$38&amp;" - Item 5"&amp;" - "&amp;'4J'!H$4</f>
        <v>Atypical expenditure - Item 5 - Raw water abstraction</v>
      </c>
      <c r="D1241" s="1620" t="str">
        <f t="shared" si="0"/>
        <v>£m</v>
      </c>
      <c r="E1241" s="1636" t="s">
        <v>9</v>
      </c>
      <c r="F1241" s="2" t="str">
        <f t="shared" si="1"/>
        <v>##BLANK</v>
      </c>
      <c r="G1241" s="1635" t="str">
        <f>IF(ISBLANK('4J'!H43), "##BLANK", '4J'!H43)</f>
        <v>##BLANK</v>
      </c>
      <c r="H1241" s="1636"/>
    </row>
    <row r="1242" spans="1:8">
      <c r="A1242" s="1620" t="str">
        <f>INDEX(Lists!$C$4:$C$24,MATCH(Validation!$B$3,Lists!$B$4:$B$24,0))</f>
        <v>TMS</v>
      </c>
      <c r="B1242" s="1732" t="str">
        <f>'4J'!AN44</f>
        <v>BP3357006RWA</v>
      </c>
      <c r="C1242" t="str">
        <f>+'4J'!$C$38&amp;" - Item 6"&amp;" - "&amp;'4J'!H$4</f>
        <v>Atypical expenditure - Item 6 - Raw water abstraction</v>
      </c>
      <c r="D1242" s="1620" t="str">
        <f t="shared" si="0"/>
        <v>£m</v>
      </c>
      <c r="E1242" s="1636" t="s">
        <v>9</v>
      </c>
      <c r="F1242" s="2" t="str">
        <f t="shared" si="1"/>
        <v>##BLANK</v>
      </c>
      <c r="G1242" s="1635" t="str">
        <f>IF(ISBLANK('4J'!H44), "##BLANK", '4J'!H44)</f>
        <v>##BLANK</v>
      </c>
      <c r="H1242" s="1636"/>
    </row>
    <row r="1243" spans="1:8">
      <c r="A1243" s="1620" t="str">
        <f>INDEX(Lists!$C$4:$C$24,MATCH(Validation!$B$3,Lists!$B$4:$B$24,0))</f>
        <v>TMS</v>
      </c>
      <c r="B1243" s="1732" t="str">
        <f>'4J'!AN45</f>
        <v>BP3357007RWA</v>
      </c>
      <c r="C1243" t="str">
        <f>+'4J'!$C$38&amp;" - Item 7"&amp;" - "&amp;'4J'!H$4</f>
        <v>Atypical expenditure - Item 7 - Raw water abstraction</v>
      </c>
      <c r="D1243" s="1620" t="str">
        <f t="shared" si="0"/>
        <v>£m</v>
      </c>
      <c r="E1243" s="1636" t="s">
        <v>9</v>
      </c>
      <c r="F1243" s="2" t="str">
        <f t="shared" si="1"/>
        <v>##BLANK</v>
      </c>
      <c r="G1243" s="1635" t="str">
        <f>IF(ISBLANK('4J'!H45), "##BLANK", '4J'!H45)</f>
        <v>##BLANK</v>
      </c>
      <c r="H1243" s="1636"/>
    </row>
    <row r="1244" spans="1:8">
      <c r="A1244" s="1620" t="str">
        <f>INDEX(Lists!$C$4:$C$24,MATCH(Validation!$B$3,Lists!$B$4:$B$24,0))</f>
        <v>TMS</v>
      </c>
      <c r="B1244" s="1732" t="str">
        <f>'4J'!AN46</f>
        <v>BP3357008RWA</v>
      </c>
      <c r="C1244" t="str">
        <f>+'4J'!$C$38&amp;" - Item 8"&amp;" - "&amp;'4J'!H$4</f>
        <v>Atypical expenditure - Item 8 - Raw water abstraction</v>
      </c>
      <c r="D1244" s="1620" t="str">
        <f t="shared" si="0"/>
        <v>£m</v>
      </c>
      <c r="E1244" s="1636" t="s">
        <v>9</v>
      </c>
      <c r="F1244" s="2" t="str">
        <f t="shared" si="1"/>
        <v>##BLANK</v>
      </c>
      <c r="G1244" s="1635" t="str">
        <f>IF(ISBLANK('4J'!H46), "##BLANK", '4J'!H46)</f>
        <v>##BLANK</v>
      </c>
      <c r="H1244" s="1636"/>
    </row>
    <row r="1245" spans="1:8">
      <c r="A1245" s="1620" t="str">
        <f>INDEX(Lists!$C$4:$C$24,MATCH(Validation!$B$3,Lists!$B$4:$B$24,0))</f>
        <v>TMS</v>
      </c>
      <c r="B1245" s="1732" t="str">
        <f>'4J'!AN47</f>
        <v>BP3357009RWA</v>
      </c>
      <c r="C1245" t="str">
        <f>+'4J'!$C$38&amp;" - Item 9"&amp;" - "&amp;'4J'!H$4</f>
        <v>Atypical expenditure - Item 9 - Raw water abstraction</v>
      </c>
      <c r="D1245" s="1620" t="str">
        <f t="shared" si="0"/>
        <v>£m</v>
      </c>
      <c r="E1245" s="1636" t="s">
        <v>9</v>
      </c>
      <c r="F1245" s="2" t="str">
        <f t="shared" si="1"/>
        <v>##BLANK</v>
      </c>
      <c r="G1245" s="1635" t="str">
        <f>IF(ISBLANK('4J'!H47), "##BLANK", '4J'!H47)</f>
        <v>##BLANK</v>
      </c>
      <c r="H1245" s="1636"/>
    </row>
    <row r="1246" spans="1:8">
      <c r="A1246" s="1730" t="str">
        <f>INDEX(Lists!$C$4:$C$24,MATCH(Validation!$B$3,Lists!$B$4:$B$24,0))</f>
        <v>TMS</v>
      </c>
      <c r="B1246" s="1734" t="str">
        <f>'4J'!AN48</f>
        <v>BP3357010RWA</v>
      </c>
      <c r="C1246" s="1819" t="str">
        <f>+'4J'!$C$38&amp;" - Item 10"&amp;" - "&amp;'4J'!H$4</f>
        <v>Atypical expenditure - Item 10 - Raw water abstraction</v>
      </c>
      <c r="D1246" s="1730" t="str">
        <f t="shared" si="0"/>
        <v>£m</v>
      </c>
      <c r="E1246" s="1652" t="s">
        <v>9</v>
      </c>
      <c r="F1246" s="1637" t="str">
        <f t="shared" si="1"/>
        <v>##BLANK</v>
      </c>
      <c r="G1246" s="1653" t="str">
        <f>IF(ISBLANK('4J'!H48), "##BLANK", '4J'!H48)</f>
        <v>##BLANK</v>
      </c>
      <c r="H1246" s="1652"/>
    </row>
    <row r="1247" spans="1:8">
      <c r="A1247" s="1620" t="str">
        <f>INDEX(Lists!$C$4:$C$24,MATCH(Validation!$B$3,Lists!$B$4:$B$24,0))</f>
        <v>TMS</v>
      </c>
      <c r="B1247" s="1732" t="str">
        <f>'4J'!AO7</f>
        <v>WS1001RWT</v>
      </c>
      <c r="C1247" t="str">
        <f>+'4J'!$C7&amp;" - "&amp;'4J'!I$4</f>
        <v>Power - Raw water transport</v>
      </c>
      <c r="D1247" s="1620" t="str">
        <f t="shared" si="0"/>
        <v>£m</v>
      </c>
      <c r="E1247" s="1636" t="s">
        <v>9</v>
      </c>
      <c r="G1247" s="1635">
        <f>'4J'!I7</f>
        <v>0.318</v>
      </c>
      <c r="H1247" s="1636"/>
    </row>
    <row r="1248" spans="1:8">
      <c r="A1248" s="1620" t="str">
        <f>INDEX(Lists!$C$4:$C$24,MATCH(Validation!$B$3,Lists!$B$4:$B$24,0))</f>
        <v>TMS</v>
      </c>
      <c r="B1248" s="1732" t="str">
        <f>'4J'!AO8</f>
        <v>WS1002RWT</v>
      </c>
      <c r="C1248" t="str">
        <f>+'4J'!$C8&amp;" - "&amp;'4J'!I$4</f>
        <v>Income treated as negative expenditure - Raw water transport</v>
      </c>
      <c r="D1248" s="1620" t="str">
        <f t="shared" si="0"/>
        <v>£m</v>
      </c>
      <c r="E1248" s="1636" t="s">
        <v>9</v>
      </c>
      <c r="G1248" s="1635">
        <f>'4J'!I8</f>
        <v>-0.01</v>
      </c>
      <c r="H1248" s="1636"/>
    </row>
    <row r="1249" spans="1:8">
      <c r="A1249" s="1620" t="str">
        <f>INDEX(Lists!$C$4:$C$24,MATCH(Validation!$B$3,Lists!$B$4:$B$24,0))</f>
        <v>TMS</v>
      </c>
      <c r="B1249" s="1732" t="str">
        <f>'4J'!AO9</f>
        <v>WS1003RWT</v>
      </c>
      <c r="C1249" t="str">
        <f>+'4J'!$C9&amp;" - "&amp;'4J'!I$4</f>
        <v>Abstraction charges/ discharge consents - Raw water transport</v>
      </c>
      <c r="D1249" s="1620" t="str">
        <f t="shared" si="0"/>
        <v>£m</v>
      </c>
      <c r="E1249" s="1636" t="s">
        <v>9</v>
      </c>
      <c r="G1249" s="1635">
        <f>'4J'!I9</f>
        <v>0</v>
      </c>
      <c r="H1249" s="1636"/>
    </row>
    <row r="1250" spans="1:8">
      <c r="A1250" s="1620" t="str">
        <f>INDEX(Lists!$C$4:$C$24,MATCH(Validation!$B$3,Lists!$B$4:$B$24,0))</f>
        <v>TMS</v>
      </c>
      <c r="B1250" s="1732" t="str">
        <f>'4J'!AO10</f>
        <v>WS1004RWT</v>
      </c>
      <c r="C1250" t="str">
        <f>+'4J'!$C10&amp;" - "&amp;'4J'!I$4</f>
        <v>Bulk supply - Raw water transport</v>
      </c>
      <c r="D1250" s="1620" t="str">
        <f t="shared" si="0"/>
        <v>£m</v>
      </c>
      <c r="E1250" s="1636" t="s">
        <v>9</v>
      </c>
      <c r="G1250" s="1635">
        <f>'4J'!I10</f>
        <v>0</v>
      </c>
      <c r="H1250" s="1636"/>
    </row>
    <row r="1251" spans="1:8">
      <c r="A1251" s="1620" t="str">
        <f>INDEX(Lists!$C$4:$C$24,MATCH(Validation!$B$3,Lists!$B$4:$B$24,0))</f>
        <v>TMS</v>
      </c>
      <c r="B1251" s="1732" t="str">
        <f>'4J'!AO12</f>
        <v>WS1005RWT</v>
      </c>
      <c r="C1251" t="str">
        <f>+'4J'!$C$11&amp;" "&amp;'4J'!$C12&amp;" - "&amp;'4J'!I$4</f>
        <v>Other operating expenditure - Renewals expensed in year (Infrastructure) - Raw water transport</v>
      </c>
      <c r="D1251" s="1620" t="str">
        <f t="shared" si="0"/>
        <v>£m</v>
      </c>
      <c r="E1251" s="1636" t="s">
        <v>9</v>
      </c>
      <c r="G1251" s="1635">
        <f>'4J'!I12</f>
        <v>0</v>
      </c>
      <c r="H1251" s="1636"/>
    </row>
    <row r="1252" spans="1:8">
      <c r="A1252" s="1620" t="str">
        <f>INDEX(Lists!$C$4:$C$24,MATCH(Validation!$B$3,Lists!$B$4:$B$24,0))</f>
        <v>TMS</v>
      </c>
      <c r="B1252" s="1732" t="str">
        <f>'4J'!AO13</f>
        <v>WS1006RWT</v>
      </c>
      <c r="C1252" t="str">
        <f>+'4J'!$C$11&amp;" "&amp;'4J'!$C13&amp;" - "&amp;'4J'!I$4</f>
        <v>Other operating expenditure - Renewals expensed in year (Non-Infrastructure) - Raw water transport</v>
      </c>
      <c r="D1252" s="1620" t="str">
        <f t="shared" si="0"/>
        <v>£m</v>
      </c>
      <c r="E1252" s="1636" t="s">
        <v>9</v>
      </c>
      <c r="G1252" s="1635">
        <f>'4J'!I13</f>
        <v>0</v>
      </c>
      <c r="H1252" s="1636"/>
    </row>
    <row r="1253" spans="1:8">
      <c r="A1253" s="1620" t="str">
        <f>INDEX(Lists!$C$4:$C$24,MATCH(Validation!$B$3,Lists!$B$4:$B$24,0))</f>
        <v>TMS</v>
      </c>
      <c r="B1253" s="1732" t="str">
        <f>'4J'!AO14</f>
        <v>WS1007RWT</v>
      </c>
      <c r="C1253" t="str">
        <f>+'4J'!$C$11&amp;" "&amp;'4J'!$C14&amp;" - "&amp;'4J'!I$4</f>
        <v>Other operating expenditure - Other operating expenditure excluding renewals - Raw water transport</v>
      </c>
      <c r="D1253" s="1620" t="str">
        <f t="shared" si="0"/>
        <v>£m</v>
      </c>
      <c r="E1253" s="1636" t="s">
        <v>9</v>
      </c>
      <c r="G1253" s="1635">
        <f>'4J'!I14</f>
        <v>1.649</v>
      </c>
      <c r="H1253" s="1636"/>
    </row>
    <row r="1254" spans="1:8">
      <c r="A1254" s="1620" t="str">
        <f>INDEX(Lists!$C$4:$C$24,MATCH(Validation!$B$3,Lists!$B$4:$B$24,0))</f>
        <v>TMS</v>
      </c>
      <c r="B1254" s="1732" t="str">
        <f>'4J'!AO15</f>
        <v>WS1008RWT</v>
      </c>
      <c r="C1254" t="str">
        <f>+'4J'!$C15&amp;" - "&amp;'4J'!I$4</f>
        <v>Local authority and Cumulo rates - Raw water transport</v>
      </c>
      <c r="D1254" s="1620" t="str">
        <f t="shared" si="0"/>
        <v>£m</v>
      </c>
      <c r="E1254" s="1636" t="s">
        <v>9</v>
      </c>
      <c r="G1254" s="1635">
        <f>'4J'!I15</f>
        <v>6.3019999999999996</v>
      </c>
      <c r="H1254" s="1636"/>
    </row>
    <row r="1255" spans="1:8">
      <c r="A1255" s="1620" t="str">
        <f>INDEX(Lists!$C$4:$C$24,MATCH(Validation!$B$3,Lists!$B$4:$B$24,0))</f>
        <v>TMS</v>
      </c>
      <c r="B1255" s="1732" t="str">
        <f>'4J'!AO18</f>
        <v>WS1010RWT</v>
      </c>
      <c r="C1255" t="str">
        <f>+'4J'!$C18&amp;" - "&amp;'4J'!I$4</f>
        <v>Third party services - Raw water transport</v>
      </c>
      <c r="D1255" s="1620" t="str">
        <f t="shared" si="0"/>
        <v>£m</v>
      </c>
      <c r="E1255" s="1636" t="s">
        <v>9</v>
      </c>
      <c r="G1255" s="1635">
        <f>'4J'!I18</f>
        <v>0</v>
      </c>
      <c r="H1255" s="1636"/>
    </row>
    <row r="1256" spans="1:8">
      <c r="A1256" s="1620" t="str">
        <f>INDEX(Lists!$C$4:$C$24,MATCH(Validation!$B$3,Lists!$B$4:$B$24,0))</f>
        <v>TMS</v>
      </c>
      <c r="B1256" s="1732" t="str">
        <f>'4J'!AO22</f>
        <v>WS1012RWT</v>
      </c>
      <c r="C1256" t="str">
        <f>+'4J'!$C22&amp;" - "&amp;'4J'!I$4</f>
        <v>Maintaining the long term capability of the assets - infra - Raw water transport</v>
      </c>
      <c r="D1256" s="1620" t="str">
        <f t="shared" si="0"/>
        <v>£m</v>
      </c>
      <c r="E1256" s="1636" t="s">
        <v>9</v>
      </c>
      <c r="G1256" s="1635">
        <f>'4J'!I22</f>
        <v>4.7197112960627861</v>
      </c>
      <c r="H1256" s="1636"/>
    </row>
    <row r="1257" spans="1:8">
      <c r="A1257" s="1620" t="str">
        <f>INDEX(Lists!$C$4:$C$24,MATCH(Validation!$B$3,Lists!$B$4:$B$24,0))</f>
        <v>TMS</v>
      </c>
      <c r="B1257" s="1732" t="str">
        <f>'4J'!AO23</f>
        <v>WS1013RWT</v>
      </c>
      <c r="C1257" t="str">
        <f>+'4J'!$C23&amp;" - "&amp;'4J'!I$4</f>
        <v>Maintaining the long term capability of the assets - non-infra - Raw water transport</v>
      </c>
      <c r="D1257" s="1620" t="str">
        <f t="shared" si="0"/>
        <v>£m</v>
      </c>
      <c r="E1257" s="1636" t="s">
        <v>9</v>
      </c>
      <c r="G1257" s="1635">
        <f>'4J'!I23</f>
        <v>1.6177735409377132</v>
      </c>
      <c r="H1257" s="1636"/>
    </row>
    <row r="1258" spans="1:8">
      <c r="A1258" s="1620" t="str">
        <f>INDEX(Lists!$C$4:$C$24,MATCH(Validation!$B$3,Lists!$B$4:$B$24,0))</f>
        <v>TMS</v>
      </c>
      <c r="B1258" s="1732" t="str">
        <f>'4J'!AO24</f>
        <v>WS1014RWT</v>
      </c>
      <c r="C1258" t="str">
        <f>+'4J'!$C24&amp;" - "&amp;'4J'!I$4</f>
        <v>Other capital expenditure - infra - Raw water transport</v>
      </c>
      <c r="D1258" s="1620" t="str">
        <f t="shared" si="0"/>
        <v>£m</v>
      </c>
      <c r="E1258" s="1636" t="s">
        <v>9</v>
      </c>
      <c r="G1258" s="1635">
        <f>'4J'!I24</f>
        <v>0.33528750874400953</v>
      </c>
      <c r="H1258" s="1636"/>
    </row>
    <row r="1259" spans="1:8">
      <c r="A1259" s="1620" t="str">
        <f>INDEX(Lists!$C$4:$C$24,MATCH(Validation!$B$3,Lists!$B$4:$B$24,0))</f>
        <v>TMS</v>
      </c>
      <c r="B1259" s="1732" t="str">
        <f>'4J'!AO25</f>
        <v>WS1015RWT</v>
      </c>
      <c r="C1259" t="str">
        <f>+'4J'!$C25&amp;" - "&amp;'4J'!I$4</f>
        <v>Other capital expenditure - non-infra - Raw water transport</v>
      </c>
      <c r="D1259" s="1620" t="str">
        <f t="shared" si="0"/>
        <v>£m</v>
      </c>
      <c r="E1259" s="1636" t="s">
        <v>9</v>
      </c>
      <c r="G1259" s="1635">
        <f>'4J'!I25</f>
        <v>2.7080983690393461E-2</v>
      </c>
      <c r="H1259" s="1636"/>
    </row>
    <row r="1260" spans="1:8">
      <c r="A1260" s="1620" t="str">
        <f>INDEX(Lists!$C$4:$C$24,MATCH(Validation!$B$3,Lists!$B$4:$B$24,0))</f>
        <v>TMS</v>
      </c>
      <c r="B1260" s="1732" t="str">
        <f>'4J'!AO26</f>
        <v>WS1016RWT</v>
      </c>
      <c r="C1260" t="str">
        <f>+'4J'!$C26&amp;" - "&amp;'4J'!I$4</f>
        <v>Infrastructure network reinforcement - Raw water transport</v>
      </c>
      <c r="D1260" s="1620" t="str">
        <f t="shared" si="0"/>
        <v>£m</v>
      </c>
      <c r="E1260" s="1636" t="s">
        <v>9</v>
      </c>
      <c r="G1260" s="1635">
        <f>'4J'!I26</f>
        <v>6.4169760000000006E-2</v>
      </c>
      <c r="H1260" s="1636"/>
    </row>
    <row r="1261" spans="1:8">
      <c r="A1261" s="1620" t="str">
        <f>INDEX(Lists!$C$4:$C$24,MATCH(Validation!$B$3,Lists!$B$4:$B$24,0))</f>
        <v>TMS</v>
      </c>
      <c r="B1261" s="1732" t="str">
        <f>'4J'!AO28</f>
        <v>WS1018RWT</v>
      </c>
      <c r="C1261" t="str">
        <f>+'4J'!$C28&amp;" - "&amp;'4J'!I$4</f>
        <v>Third party services - Raw water transport</v>
      </c>
      <c r="D1261" s="1620" t="str">
        <f t="shared" si="0"/>
        <v>£m</v>
      </c>
      <c r="E1261" s="1636" t="s">
        <v>9</v>
      </c>
      <c r="G1261" s="1635">
        <f>'4J'!I28</f>
        <v>0</v>
      </c>
      <c r="H1261" s="1636"/>
    </row>
    <row r="1262" spans="1:8">
      <c r="A1262" s="1620" t="str">
        <f>INDEX(Lists!$C$4:$C$24,MATCH(Validation!$B$3,Lists!$B$4:$B$24,0))</f>
        <v>TMS</v>
      </c>
      <c r="B1262" s="1732" t="str">
        <f>'4J'!AO30</f>
        <v>WS1020RWT</v>
      </c>
      <c r="C1262" t="str">
        <f>+'4J'!$C30&amp;" - "&amp;'4J'!I$4</f>
        <v>Grants and contributions - Raw water transport</v>
      </c>
      <c r="D1262" s="1620" t="str">
        <f t="shared" si="0"/>
        <v>£m</v>
      </c>
      <c r="E1262" s="1636" t="s">
        <v>9</v>
      </c>
      <c r="G1262" s="1635">
        <f>'4J'!I30</f>
        <v>0</v>
      </c>
      <c r="H1262" s="1636"/>
    </row>
    <row r="1263" spans="1:8">
      <c r="A1263" s="1620" t="str">
        <f>INDEX(Lists!$C$4:$C$24,MATCH(Validation!$B$3,Lists!$B$4:$B$24,0))</f>
        <v>TMS</v>
      </c>
      <c r="B1263" s="1732" t="str">
        <f>'4J'!AO34</f>
        <v>WS1022RWT</v>
      </c>
      <c r="C1263" t="str">
        <f>+'4J'!$C34&amp;" - "&amp;'4J'!I$4</f>
        <v>Pension deficit recovery payments - Raw water transport</v>
      </c>
      <c r="D1263" s="1620" t="str">
        <f t="shared" si="0"/>
        <v>£m</v>
      </c>
      <c r="E1263" s="1636" t="s">
        <v>9</v>
      </c>
      <c r="G1263" s="1635">
        <f>'4J'!I34</f>
        <v>8.3000000000000004E-2</v>
      </c>
      <c r="H1263" s="1636"/>
    </row>
    <row r="1264" spans="1:8">
      <c r="A1264" s="1620" t="str">
        <f>INDEX(Lists!$C$4:$C$24,MATCH(Validation!$B$3,Lists!$B$4:$B$24,0))</f>
        <v>TMS</v>
      </c>
      <c r="B1264" s="1732" t="str">
        <f>'4J'!AO35</f>
        <v>WS1023RWT</v>
      </c>
      <c r="C1264" t="str">
        <f>+'4J'!$C35&amp;" - "&amp;'4J'!I$4</f>
        <v>Other cash items - Raw water transport</v>
      </c>
      <c r="D1264" s="1620" t="str">
        <f t="shared" si="0"/>
        <v>£m</v>
      </c>
      <c r="E1264" s="1636" t="s">
        <v>9</v>
      </c>
      <c r="G1264" s="1635">
        <f>'4J'!I35</f>
        <v>0</v>
      </c>
      <c r="H1264" s="1636"/>
    </row>
    <row r="1265" spans="1:8">
      <c r="A1265" s="1620" t="str">
        <f>INDEX(Lists!$C$4:$C$24,MATCH(Validation!$B$3,Lists!$B$4:$B$24,0))</f>
        <v>TMS</v>
      </c>
      <c r="B1265" s="1732" t="str">
        <f>'4J'!AO39</f>
        <v>BP3357001RWT</v>
      </c>
      <c r="C1265" t="str">
        <f>+'4J'!$C$38&amp;" - Item 1"&amp;" - "&amp;'4J'!I$4</f>
        <v>Atypical expenditure - Item 1 - Raw water transport</v>
      </c>
      <c r="D1265" s="1620" t="str">
        <f t="shared" si="0"/>
        <v>£m</v>
      </c>
      <c r="E1265" s="1636" t="s">
        <v>9</v>
      </c>
      <c r="F1265" s="2" t="str">
        <f>F1209</f>
        <v>Restructuring costs</v>
      </c>
      <c r="G1265" s="1635">
        <f>IF(ISBLANK('4J'!I39), "##BLANK", '4J'!I39)</f>
        <v>4.2999999999999997E-2</v>
      </c>
      <c r="H1265" s="1636"/>
    </row>
    <row r="1266" spans="1:8">
      <c r="A1266" s="1620" t="str">
        <f>INDEX(Lists!$C$4:$C$24,MATCH(Validation!$B$3,Lists!$B$4:$B$24,0))</f>
        <v>TMS</v>
      </c>
      <c r="B1266" s="1732" t="str">
        <f>'4J'!AO40</f>
        <v>BP3357002RWT</v>
      </c>
      <c r="C1266" t="str">
        <f>+'4J'!$C$38&amp;" - Item 2"&amp;" - "&amp;'4J'!I$4</f>
        <v>Atypical expenditure - Item 2 - Raw water transport</v>
      </c>
      <c r="D1266" s="1620" t="str">
        <f t="shared" si="0"/>
        <v>£m</v>
      </c>
      <c r="E1266" s="1636" t="s">
        <v>9</v>
      </c>
      <c r="F1266" s="2" t="str">
        <f t="shared" ref="F1266:F1274" si="2">F1210</f>
        <v>##BLANK</v>
      </c>
      <c r="G1266" s="1635" t="str">
        <f>IF(ISBLANK('4J'!I40), "##BLANK", '4J'!I40)</f>
        <v>##BLANK</v>
      </c>
      <c r="H1266" s="1636"/>
    </row>
    <row r="1267" spans="1:8">
      <c r="A1267" s="1620" t="str">
        <f>INDEX(Lists!$C$4:$C$24,MATCH(Validation!$B$3,Lists!$B$4:$B$24,0))</f>
        <v>TMS</v>
      </c>
      <c r="B1267" s="1732" t="str">
        <f>'4J'!AO41</f>
        <v>BP3357003RWT</v>
      </c>
      <c r="C1267" t="str">
        <f>+'4J'!$C$38&amp;" - Item 3"&amp;" - "&amp;'4J'!I$4</f>
        <v>Atypical expenditure - Item 3 - Raw water transport</v>
      </c>
      <c r="D1267" s="1620" t="str">
        <f t="shared" si="0"/>
        <v>£m</v>
      </c>
      <c r="E1267" s="1636" t="s">
        <v>9</v>
      </c>
      <c r="F1267" s="2" t="str">
        <f t="shared" si="2"/>
        <v>##BLANK</v>
      </c>
      <c r="G1267" s="1635" t="str">
        <f>IF(ISBLANK('4J'!I41), "##BLANK", '4J'!I41)</f>
        <v>##BLANK</v>
      </c>
      <c r="H1267" s="1636"/>
    </row>
    <row r="1268" spans="1:8">
      <c r="A1268" s="1620" t="str">
        <f>INDEX(Lists!$C$4:$C$24,MATCH(Validation!$B$3,Lists!$B$4:$B$24,0))</f>
        <v>TMS</v>
      </c>
      <c r="B1268" s="1732" t="str">
        <f>'4J'!AO42</f>
        <v>BP3357004RWT</v>
      </c>
      <c r="C1268" t="str">
        <f>+'4J'!$C$38&amp;" - Item 4"&amp;" - "&amp;'4J'!I$4</f>
        <v>Atypical expenditure - Item 4 - Raw water transport</v>
      </c>
      <c r="D1268" s="1620" t="str">
        <f t="shared" si="0"/>
        <v>£m</v>
      </c>
      <c r="E1268" s="1636" t="s">
        <v>9</v>
      </c>
      <c r="F1268" s="2" t="str">
        <f t="shared" si="2"/>
        <v>##BLANK</v>
      </c>
      <c r="G1268" s="1635" t="str">
        <f>IF(ISBLANK('4J'!I42), "##BLANK", '4J'!I42)</f>
        <v>##BLANK</v>
      </c>
      <c r="H1268" s="1636"/>
    </row>
    <row r="1269" spans="1:8">
      <c r="A1269" s="1620" t="str">
        <f>INDEX(Lists!$C$4:$C$24,MATCH(Validation!$B$3,Lists!$B$4:$B$24,0))</f>
        <v>TMS</v>
      </c>
      <c r="B1269" s="1732" t="str">
        <f>'4J'!AO43</f>
        <v>BP3357005RWT</v>
      </c>
      <c r="C1269" t="str">
        <f>+'4J'!$C$38&amp;" - Item 5"&amp;" - "&amp;'4J'!I$4</f>
        <v>Atypical expenditure - Item 5 - Raw water transport</v>
      </c>
      <c r="D1269" s="1620" t="str">
        <f t="shared" si="0"/>
        <v>£m</v>
      </c>
      <c r="E1269" s="1636" t="s">
        <v>9</v>
      </c>
      <c r="F1269" s="2" t="str">
        <f t="shared" si="2"/>
        <v>##BLANK</v>
      </c>
      <c r="G1269" s="1635" t="str">
        <f>IF(ISBLANK('4J'!I43), "##BLANK", '4J'!I43)</f>
        <v>##BLANK</v>
      </c>
      <c r="H1269" s="1636"/>
    </row>
    <row r="1270" spans="1:8">
      <c r="A1270" s="1620" t="str">
        <f>INDEX(Lists!$C$4:$C$24,MATCH(Validation!$B$3,Lists!$B$4:$B$24,0))</f>
        <v>TMS</v>
      </c>
      <c r="B1270" s="1732" t="str">
        <f>'4J'!AO44</f>
        <v>BP3357006RWT</v>
      </c>
      <c r="C1270" t="str">
        <f>+'4J'!$C$38&amp;" - Item 6"&amp;" - "&amp;'4J'!I$4</f>
        <v>Atypical expenditure - Item 6 - Raw water transport</v>
      </c>
      <c r="D1270" s="1620" t="str">
        <f t="shared" si="0"/>
        <v>£m</v>
      </c>
      <c r="E1270" s="1636" t="s">
        <v>9</v>
      </c>
      <c r="F1270" s="2" t="str">
        <f t="shared" si="2"/>
        <v>##BLANK</v>
      </c>
      <c r="G1270" s="1635" t="str">
        <f>IF(ISBLANK('4J'!I44), "##BLANK", '4J'!I44)</f>
        <v>##BLANK</v>
      </c>
      <c r="H1270" s="1636"/>
    </row>
    <row r="1271" spans="1:8">
      <c r="A1271" s="1620" t="str">
        <f>INDEX(Lists!$C$4:$C$24,MATCH(Validation!$B$3,Lists!$B$4:$B$24,0))</f>
        <v>TMS</v>
      </c>
      <c r="B1271" s="1732" t="str">
        <f>'4J'!AO45</f>
        <v>BP3357007RWT</v>
      </c>
      <c r="C1271" t="str">
        <f>+'4J'!$C$38&amp;" - Item 7"&amp;" - "&amp;'4J'!I$4</f>
        <v>Atypical expenditure - Item 7 - Raw water transport</v>
      </c>
      <c r="D1271" s="1620" t="str">
        <f t="shared" si="0"/>
        <v>£m</v>
      </c>
      <c r="E1271" s="1636" t="s">
        <v>9</v>
      </c>
      <c r="F1271" s="2" t="str">
        <f t="shared" si="2"/>
        <v>##BLANK</v>
      </c>
      <c r="G1271" s="1635" t="str">
        <f>IF(ISBLANK('4J'!I45), "##BLANK", '4J'!I45)</f>
        <v>##BLANK</v>
      </c>
      <c r="H1271" s="1636"/>
    </row>
    <row r="1272" spans="1:8">
      <c r="A1272" s="1620" t="str">
        <f>INDEX(Lists!$C$4:$C$24,MATCH(Validation!$B$3,Lists!$B$4:$B$24,0))</f>
        <v>TMS</v>
      </c>
      <c r="B1272" s="1732" t="str">
        <f>'4J'!AO46</f>
        <v>BP3357008RWT</v>
      </c>
      <c r="C1272" t="str">
        <f>+'4J'!$C$38&amp;" - Item 8"&amp;" - "&amp;'4J'!I$4</f>
        <v>Atypical expenditure - Item 8 - Raw water transport</v>
      </c>
      <c r="D1272" s="1620" t="str">
        <f t="shared" si="0"/>
        <v>£m</v>
      </c>
      <c r="E1272" s="1636" t="s">
        <v>9</v>
      </c>
      <c r="F1272" s="2" t="str">
        <f t="shared" si="2"/>
        <v>##BLANK</v>
      </c>
      <c r="G1272" s="1635" t="str">
        <f>IF(ISBLANK('4J'!I46), "##BLANK", '4J'!I46)</f>
        <v>##BLANK</v>
      </c>
      <c r="H1272" s="1636"/>
    </row>
    <row r="1273" spans="1:8">
      <c r="A1273" s="1620" t="str">
        <f>INDEX(Lists!$C$4:$C$24,MATCH(Validation!$B$3,Lists!$B$4:$B$24,0))</f>
        <v>TMS</v>
      </c>
      <c r="B1273" s="1732" t="str">
        <f>'4J'!AO47</f>
        <v>BP3357009RWT</v>
      </c>
      <c r="C1273" t="str">
        <f>+'4J'!$C$38&amp;" - Item 9"&amp;" - "&amp;'4J'!I$4</f>
        <v>Atypical expenditure - Item 9 - Raw water transport</v>
      </c>
      <c r="D1273" s="1620" t="str">
        <f t="shared" si="0"/>
        <v>£m</v>
      </c>
      <c r="E1273" s="1636" t="s">
        <v>9</v>
      </c>
      <c r="F1273" s="2" t="str">
        <f t="shared" si="2"/>
        <v>##BLANK</v>
      </c>
      <c r="G1273" s="1635" t="str">
        <f>IF(ISBLANK('4J'!I47), "##BLANK", '4J'!I47)</f>
        <v>##BLANK</v>
      </c>
      <c r="H1273" s="1636"/>
    </row>
    <row r="1274" spans="1:8">
      <c r="A1274" s="1730" t="str">
        <f>INDEX(Lists!$C$4:$C$24,MATCH(Validation!$B$3,Lists!$B$4:$B$24,0))</f>
        <v>TMS</v>
      </c>
      <c r="B1274" s="1734" t="str">
        <f>'4J'!AO48</f>
        <v>BP3357010RWT</v>
      </c>
      <c r="C1274" s="1819" t="str">
        <f>+'4J'!$C$38&amp;" - Item 10"&amp;" - "&amp;'4J'!I$4</f>
        <v>Atypical expenditure - Item 10 - Raw water transport</v>
      </c>
      <c r="D1274" s="1730" t="str">
        <f t="shared" si="0"/>
        <v>£m</v>
      </c>
      <c r="E1274" s="1652" t="s">
        <v>9</v>
      </c>
      <c r="F1274" s="1637" t="str">
        <f t="shared" si="2"/>
        <v>##BLANK</v>
      </c>
      <c r="G1274" s="1653" t="str">
        <f>IF(ISBLANK('4J'!I48), "##BLANK", '4J'!I48)</f>
        <v>##BLANK</v>
      </c>
      <c r="H1274" s="1652"/>
    </row>
    <row r="1275" spans="1:8">
      <c r="A1275" s="1620" t="str">
        <f>INDEX(Lists!$C$4:$C$24,MATCH(Validation!$B$3,Lists!$B$4:$B$24,0))</f>
        <v>TMS</v>
      </c>
      <c r="B1275" s="1732" t="str">
        <f>'4J'!AP7</f>
        <v>WS1001RWS</v>
      </c>
      <c r="C1275" t="str">
        <f>+'4J'!$C7&amp;" - "&amp;'4J'!J$4</f>
        <v>Power - Raw water storage</v>
      </c>
      <c r="D1275" s="1620" t="str">
        <f t="shared" si="0"/>
        <v>£m</v>
      </c>
      <c r="E1275" s="1636" t="s">
        <v>9</v>
      </c>
      <c r="G1275" s="1635">
        <f>'4J'!J7</f>
        <v>0</v>
      </c>
      <c r="H1275" s="1636"/>
    </row>
    <row r="1276" spans="1:8">
      <c r="A1276" s="1620" t="str">
        <f>INDEX(Lists!$C$4:$C$24,MATCH(Validation!$B$3,Lists!$B$4:$B$24,0))</f>
        <v>TMS</v>
      </c>
      <c r="B1276" s="1732" t="str">
        <f>'4J'!AP8</f>
        <v>WS1002RWS</v>
      </c>
      <c r="C1276" t="str">
        <f>+'4J'!$C8&amp;" - "&amp;'4J'!J$4</f>
        <v>Income treated as negative expenditure - Raw water storage</v>
      </c>
      <c r="D1276" s="1620" t="str">
        <f t="shared" si="0"/>
        <v>£m</v>
      </c>
      <c r="E1276" s="1636" t="s">
        <v>9</v>
      </c>
      <c r="G1276" s="1635">
        <f>'4J'!J8</f>
        <v>0</v>
      </c>
      <c r="H1276" s="1636"/>
    </row>
    <row r="1277" spans="1:8">
      <c r="A1277" s="1620" t="str">
        <f>INDEX(Lists!$C$4:$C$24,MATCH(Validation!$B$3,Lists!$B$4:$B$24,0))</f>
        <v>TMS</v>
      </c>
      <c r="B1277" s="1732" t="str">
        <f>'4J'!AP9</f>
        <v>WS1003RWS</v>
      </c>
      <c r="C1277" t="str">
        <f>+'4J'!$C9&amp;" - "&amp;'4J'!J$4</f>
        <v>Abstraction charges/ discharge consents - Raw water storage</v>
      </c>
      <c r="D1277" s="1620" t="str">
        <f t="shared" si="0"/>
        <v>£m</v>
      </c>
      <c r="E1277" s="1636" t="s">
        <v>9</v>
      </c>
      <c r="G1277" s="1635">
        <f>'4J'!J9</f>
        <v>0</v>
      </c>
      <c r="H1277" s="1636"/>
    </row>
    <row r="1278" spans="1:8">
      <c r="A1278" s="1620" t="str">
        <f>INDEX(Lists!$C$4:$C$24,MATCH(Validation!$B$3,Lists!$B$4:$B$24,0))</f>
        <v>TMS</v>
      </c>
      <c r="B1278" s="1732" t="str">
        <f>'4J'!AP10</f>
        <v>WS1004RWS</v>
      </c>
      <c r="C1278" t="str">
        <f>+'4J'!$C10&amp;" - "&amp;'4J'!J$4</f>
        <v>Bulk supply - Raw water storage</v>
      </c>
      <c r="D1278" s="1620" t="str">
        <f t="shared" si="0"/>
        <v>£m</v>
      </c>
      <c r="E1278" s="1636" t="s">
        <v>9</v>
      </c>
      <c r="G1278" s="1635">
        <f>'4J'!J10</f>
        <v>0</v>
      </c>
      <c r="H1278" s="1636"/>
    </row>
    <row r="1279" spans="1:8">
      <c r="A1279" s="1620" t="str">
        <f>INDEX(Lists!$C$4:$C$24,MATCH(Validation!$B$3,Lists!$B$4:$B$24,0))</f>
        <v>TMS</v>
      </c>
      <c r="B1279" s="1732" t="str">
        <f>'4J'!AP12</f>
        <v>WS1005RWS</v>
      </c>
      <c r="C1279" t="str">
        <f>+'4J'!$C$11&amp;" "&amp;'4J'!$C12&amp;" - "&amp;'4J'!J$4</f>
        <v>Other operating expenditure - Renewals expensed in year (Infrastructure) - Raw water storage</v>
      </c>
      <c r="D1279" s="1620" t="str">
        <f t="shared" si="0"/>
        <v>£m</v>
      </c>
      <c r="E1279" s="1636" t="s">
        <v>9</v>
      </c>
      <c r="G1279" s="1635">
        <f>'4J'!J12</f>
        <v>0</v>
      </c>
      <c r="H1279" s="1636"/>
    </row>
    <row r="1280" spans="1:8">
      <c r="A1280" s="1620" t="str">
        <f>INDEX(Lists!$C$4:$C$24,MATCH(Validation!$B$3,Lists!$B$4:$B$24,0))</f>
        <v>TMS</v>
      </c>
      <c r="B1280" s="1732" t="str">
        <f>'4J'!AP13</f>
        <v>WS1006RWS</v>
      </c>
      <c r="C1280" t="str">
        <f>+'4J'!$C$11&amp;" "&amp;'4J'!$C13&amp;" - "&amp;'4J'!J$4</f>
        <v>Other operating expenditure - Renewals expensed in year (Non-Infrastructure) - Raw water storage</v>
      </c>
      <c r="D1280" s="1620" t="str">
        <f t="shared" si="0"/>
        <v>£m</v>
      </c>
      <c r="E1280" s="1636" t="s">
        <v>9</v>
      </c>
      <c r="G1280" s="1635">
        <f>'4J'!J13</f>
        <v>0</v>
      </c>
      <c r="H1280" s="1636"/>
    </row>
    <row r="1281" spans="1:8">
      <c r="A1281" s="1620" t="str">
        <f>INDEX(Lists!$C$4:$C$24,MATCH(Validation!$B$3,Lists!$B$4:$B$24,0))</f>
        <v>TMS</v>
      </c>
      <c r="B1281" s="1732" t="str">
        <f>'4J'!AP14</f>
        <v>WS1007RWS</v>
      </c>
      <c r="C1281" t="str">
        <f>+'4J'!$C$11&amp;" "&amp;'4J'!$C14&amp;" - "&amp;'4J'!J$4</f>
        <v>Other operating expenditure - Other operating expenditure excluding renewals - Raw water storage</v>
      </c>
      <c r="D1281" s="1620" t="str">
        <f t="shared" si="0"/>
        <v>£m</v>
      </c>
      <c r="E1281" s="1636" t="s">
        <v>9</v>
      </c>
      <c r="G1281" s="1635">
        <f>'4J'!J14</f>
        <v>0</v>
      </c>
      <c r="H1281" s="1636"/>
    </row>
    <row r="1282" spans="1:8">
      <c r="A1282" s="1620" t="str">
        <f>INDEX(Lists!$C$4:$C$24,MATCH(Validation!$B$3,Lists!$B$4:$B$24,0))</f>
        <v>TMS</v>
      </c>
      <c r="B1282" s="1732" t="str">
        <f>'4J'!AP15</f>
        <v>WS1008RWS</v>
      </c>
      <c r="C1282" t="str">
        <f>+'4J'!$C15&amp;" - "&amp;'4J'!J$4</f>
        <v>Local authority and Cumulo rates - Raw water storage</v>
      </c>
      <c r="D1282" s="1620" t="str">
        <f t="shared" si="0"/>
        <v>£m</v>
      </c>
      <c r="E1282" s="1636" t="s">
        <v>9</v>
      </c>
      <c r="G1282" s="1635">
        <f>'4J'!J15</f>
        <v>0</v>
      </c>
      <c r="H1282" s="1636"/>
    </row>
    <row r="1283" spans="1:8">
      <c r="A1283" s="1620" t="str">
        <f>INDEX(Lists!$C$4:$C$24,MATCH(Validation!$B$3,Lists!$B$4:$B$24,0))</f>
        <v>TMS</v>
      </c>
      <c r="B1283" s="1732" t="str">
        <f>'4J'!AP18</f>
        <v>WS1010RWS</v>
      </c>
      <c r="C1283" t="str">
        <f>+'4J'!$C18&amp;" - "&amp;'4J'!J$4</f>
        <v>Third party services - Raw water storage</v>
      </c>
      <c r="D1283" s="1620" t="str">
        <f t="shared" ref="D1283:D1346" si="3">D1255</f>
        <v>£m</v>
      </c>
      <c r="E1283" s="1636" t="s">
        <v>9</v>
      </c>
      <c r="G1283" s="1635">
        <f>'4J'!J18</f>
        <v>0</v>
      </c>
      <c r="H1283" s="1636"/>
    </row>
    <row r="1284" spans="1:8">
      <c r="A1284" s="1620" t="str">
        <f>INDEX(Lists!$C$4:$C$24,MATCH(Validation!$B$3,Lists!$B$4:$B$24,0))</f>
        <v>TMS</v>
      </c>
      <c r="B1284" s="1732" t="str">
        <f>'4J'!AP22</f>
        <v>WS1012RWS</v>
      </c>
      <c r="C1284" t="str">
        <f>+'4J'!$C22&amp;" - "&amp;'4J'!J$4</f>
        <v>Maintaining the long term capability of the assets - infra - Raw water storage</v>
      </c>
      <c r="D1284" s="1620" t="str">
        <f t="shared" si="3"/>
        <v>£m</v>
      </c>
      <c r="E1284" s="1636" t="s">
        <v>9</v>
      </c>
      <c r="G1284" s="1635">
        <f>'4J'!J22</f>
        <v>0</v>
      </c>
      <c r="H1284" s="1636"/>
    </row>
    <row r="1285" spans="1:8">
      <c r="A1285" s="1620" t="str">
        <f>INDEX(Lists!$C$4:$C$24,MATCH(Validation!$B$3,Lists!$B$4:$B$24,0))</f>
        <v>TMS</v>
      </c>
      <c r="B1285" s="1732" t="str">
        <f>'4J'!AP23</f>
        <v>WS1013RWS</v>
      </c>
      <c r="C1285" t="str">
        <f>+'4J'!$C23&amp;" - "&amp;'4J'!J$4</f>
        <v>Maintaining the long term capability of the assets - non-infra - Raw water storage</v>
      </c>
      <c r="D1285" s="1620" t="str">
        <f t="shared" si="3"/>
        <v>£m</v>
      </c>
      <c r="E1285" s="1636" t="s">
        <v>9</v>
      </c>
      <c r="G1285" s="1635">
        <f>'4J'!J23</f>
        <v>0</v>
      </c>
      <c r="H1285" s="1636"/>
    </row>
    <row r="1286" spans="1:8">
      <c r="A1286" s="1620" t="str">
        <f>INDEX(Lists!$C$4:$C$24,MATCH(Validation!$B$3,Lists!$B$4:$B$24,0))</f>
        <v>TMS</v>
      </c>
      <c r="B1286" s="1732" t="str">
        <f>'4J'!AP24</f>
        <v>WS1014RWS</v>
      </c>
      <c r="C1286" t="str">
        <f>+'4J'!$C24&amp;" - "&amp;'4J'!J$4</f>
        <v>Other capital expenditure - infra - Raw water storage</v>
      </c>
      <c r="D1286" s="1620" t="str">
        <f t="shared" si="3"/>
        <v>£m</v>
      </c>
      <c r="E1286" s="1636" t="s">
        <v>9</v>
      </c>
      <c r="G1286" s="1635">
        <f>'4J'!J24</f>
        <v>0</v>
      </c>
      <c r="H1286" s="1636"/>
    </row>
    <row r="1287" spans="1:8">
      <c r="A1287" s="1620" t="str">
        <f>INDEX(Lists!$C$4:$C$24,MATCH(Validation!$B$3,Lists!$B$4:$B$24,0))</f>
        <v>TMS</v>
      </c>
      <c r="B1287" s="1732" t="str">
        <f>'4J'!AP25</f>
        <v>WS1015RWS</v>
      </c>
      <c r="C1287" t="str">
        <f>+'4J'!$C25&amp;" - "&amp;'4J'!J$4</f>
        <v>Other capital expenditure - non-infra - Raw water storage</v>
      </c>
      <c r="D1287" s="1620" t="str">
        <f t="shared" si="3"/>
        <v>£m</v>
      </c>
      <c r="E1287" s="1636" t="s">
        <v>9</v>
      </c>
      <c r="G1287" s="1635">
        <f>'4J'!J25</f>
        <v>0</v>
      </c>
      <c r="H1287" s="1636"/>
    </row>
    <row r="1288" spans="1:8">
      <c r="A1288" s="1620" t="str">
        <f>INDEX(Lists!$C$4:$C$24,MATCH(Validation!$B$3,Lists!$B$4:$B$24,0))</f>
        <v>TMS</v>
      </c>
      <c r="B1288" s="1732" t="str">
        <f>'4J'!AP26</f>
        <v>WS1016RWS</v>
      </c>
      <c r="C1288" t="str">
        <f>+'4J'!$C26&amp;" - "&amp;'4J'!J$4</f>
        <v>Infrastructure network reinforcement - Raw water storage</v>
      </c>
      <c r="D1288" s="1620" t="str">
        <f t="shared" si="3"/>
        <v>£m</v>
      </c>
      <c r="E1288" s="1636" t="s">
        <v>9</v>
      </c>
      <c r="G1288" s="1635">
        <f>'4J'!J26</f>
        <v>0</v>
      </c>
      <c r="H1288" s="1636"/>
    </row>
    <row r="1289" spans="1:8">
      <c r="A1289" s="1620" t="str">
        <f>INDEX(Lists!$C$4:$C$24,MATCH(Validation!$B$3,Lists!$B$4:$B$24,0))</f>
        <v>TMS</v>
      </c>
      <c r="B1289" s="1732" t="str">
        <f>'4J'!AP28</f>
        <v>WS1018RWS</v>
      </c>
      <c r="C1289" t="str">
        <f>+'4J'!$C28&amp;" - "&amp;'4J'!J$4</f>
        <v>Third party services - Raw water storage</v>
      </c>
      <c r="D1289" s="1620" t="str">
        <f t="shared" si="3"/>
        <v>£m</v>
      </c>
      <c r="E1289" s="1636" t="s">
        <v>9</v>
      </c>
      <c r="G1289" s="1635">
        <f>'4J'!J28</f>
        <v>0</v>
      </c>
      <c r="H1289" s="1636"/>
    </row>
    <row r="1290" spans="1:8">
      <c r="A1290" s="1620" t="str">
        <f>INDEX(Lists!$C$4:$C$24,MATCH(Validation!$B$3,Lists!$B$4:$B$24,0))</f>
        <v>TMS</v>
      </c>
      <c r="B1290" s="1732" t="str">
        <f>'4J'!AP30</f>
        <v>WS1020RWS</v>
      </c>
      <c r="C1290" t="str">
        <f>+'4J'!$C30&amp;" - "&amp;'4J'!J$4</f>
        <v>Grants and contributions - Raw water storage</v>
      </c>
      <c r="D1290" s="1620" t="str">
        <f t="shared" si="3"/>
        <v>£m</v>
      </c>
      <c r="E1290" s="1636" t="s">
        <v>9</v>
      </c>
      <c r="G1290" s="1635">
        <f>'4J'!J30</f>
        <v>0</v>
      </c>
      <c r="H1290" s="1636"/>
    </row>
    <row r="1291" spans="1:8">
      <c r="A1291" s="1620" t="str">
        <f>INDEX(Lists!$C$4:$C$24,MATCH(Validation!$B$3,Lists!$B$4:$B$24,0))</f>
        <v>TMS</v>
      </c>
      <c r="B1291" s="1732" t="str">
        <f>'4J'!AP34</f>
        <v>WS1022RWS</v>
      </c>
      <c r="C1291" t="str">
        <f>+'4J'!$C34&amp;" - "&amp;'4J'!J$4</f>
        <v>Pension deficit recovery payments - Raw water storage</v>
      </c>
      <c r="D1291" s="1620" t="str">
        <f t="shared" si="3"/>
        <v>£m</v>
      </c>
      <c r="E1291" s="1636" t="s">
        <v>9</v>
      </c>
      <c r="G1291" s="1635">
        <f>'4J'!J34</f>
        <v>0</v>
      </c>
      <c r="H1291" s="1636"/>
    </row>
    <row r="1292" spans="1:8">
      <c r="A1292" s="1620" t="str">
        <f>INDEX(Lists!$C$4:$C$24,MATCH(Validation!$B$3,Lists!$B$4:$B$24,0))</f>
        <v>TMS</v>
      </c>
      <c r="B1292" s="1732" t="str">
        <f>'4J'!AP35</f>
        <v>WS1023RWS</v>
      </c>
      <c r="C1292" t="str">
        <f>+'4J'!$C35&amp;" - "&amp;'4J'!J$4</f>
        <v>Other cash items - Raw water storage</v>
      </c>
      <c r="D1292" s="1620" t="str">
        <f t="shared" si="3"/>
        <v>£m</v>
      </c>
      <c r="E1292" s="1636" t="s">
        <v>9</v>
      </c>
      <c r="G1292" s="1635">
        <f>'4J'!J35</f>
        <v>0</v>
      </c>
      <c r="H1292" s="1636"/>
    </row>
    <row r="1293" spans="1:8">
      <c r="A1293" s="1620" t="str">
        <f>INDEX(Lists!$C$4:$C$24,MATCH(Validation!$B$3,Lists!$B$4:$B$24,0))</f>
        <v>TMS</v>
      </c>
      <c r="B1293" s="1732" t="str">
        <f>'4J'!AP39</f>
        <v>BP3357001RWS</v>
      </c>
      <c r="C1293" t="str">
        <f>+'4J'!$C$38&amp;" - Item 1"&amp;" - "&amp;'4J'!J$4</f>
        <v>Atypical expenditure - Item 1 - Raw water storage</v>
      </c>
      <c r="D1293" s="1620" t="str">
        <f t="shared" si="3"/>
        <v>£m</v>
      </c>
      <c r="E1293" s="1636" t="s">
        <v>9</v>
      </c>
      <c r="F1293" s="2" t="str">
        <f>F1209</f>
        <v>Restructuring costs</v>
      </c>
      <c r="G1293" s="1635">
        <f>IF(ISBLANK('4J'!J39), "##BLANK", '4J'!J39)</f>
        <v>0</v>
      </c>
      <c r="H1293" s="1636"/>
    </row>
    <row r="1294" spans="1:8">
      <c r="A1294" s="1620" t="str">
        <f>INDEX(Lists!$C$4:$C$24,MATCH(Validation!$B$3,Lists!$B$4:$B$24,0))</f>
        <v>TMS</v>
      </c>
      <c r="B1294" s="1732" t="str">
        <f>'4J'!AP40</f>
        <v>BP3357002RWS</v>
      </c>
      <c r="C1294" t="str">
        <f>+'4J'!$C$38&amp;" - Item 2"&amp;" - "&amp;'4J'!J$4</f>
        <v>Atypical expenditure - Item 2 - Raw water storage</v>
      </c>
      <c r="D1294" s="1620" t="str">
        <f t="shared" si="3"/>
        <v>£m</v>
      </c>
      <c r="E1294" s="1636" t="s">
        <v>9</v>
      </c>
      <c r="F1294" s="2" t="str">
        <f t="shared" ref="F1294:F1302" si="4">F1210</f>
        <v>##BLANK</v>
      </c>
      <c r="G1294" s="1635" t="str">
        <f>IF(ISBLANK('4J'!J40), "##BLANK", '4J'!J40)</f>
        <v>##BLANK</v>
      </c>
      <c r="H1294" s="1636"/>
    </row>
    <row r="1295" spans="1:8">
      <c r="A1295" s="1620" t="str">
        <f>INDEX(Lists!$C$4:$C$24,MATCH(Validation!$B$3,Lists!$B$4:$B$24,0))</f>
        <v>TMS</v>
      </c>
      <c r="B1295" s="1732" t="str">
        <f>'4J'!AP41</f>
        <v>BP3357003RWS</v>
      </c>
      <c r="C1295" t="str">
        <f>+'4J'!$C$38&amp;" - Item 3"&amp;" - "&amp;'4J'!J$4</f>
        <v>Atypical expenditure - Item 3 - Raw water storage</v>
      </c>
      <c r="D1295" s="1620" t="str">
        <f t="shared" si="3"/>
        <v>£m</v>
      </c>
      <c r="E1295" s="1636" t="s">
        <v>9</v>
      </c>
      <c r="F1295" s="2" t="str">
        <f t="shared" si="4"/>
        <v>##BLANK</v>
      </c>
      <c r="G1295" s="1635" t="str">
        <f>IF(ISBLANK('4J'!J41), "##BLANK", '4J'!J41)</f>
        <v>##BLANK</v>
      </c>
      <c r="H1295" s="1636"/>
    </row>
    <row r="1296" spans="1:8">
      <c r="A1296" s="1620" t="str">
        <f>INDEX(Lists!$C$4:$C$24,MATCH(Validation!$B$3,Lists!$B$4:$B$24,0))</f>
        <v>TMS</v>
      </c>
      <c r="B1296" s="1732" t="str">
        <f>'4J'!AP42</f>
        <v>BP3357004RWS</v>
      </c>
      <c r="C1296" t="str">
        <f>+'4J'!$C$38&amp;" - Item 4"&amp;" - "&amp;'4J'!J$4</f>
        <v>Atypical expenditure - Item 4 - Raw water storage</v>
      </c>
      <c r="D1296" s="1620" t="str">
        <f t="shared" si="3"/>
        <v>£m</v>
      </c>
      <c r="E1296" s="1636" t="s">
        <v>9</v>
      </c>
      <c r="F1296" s="2" t="str">
        <f t="shared" si="4"/>
        <v>##BLANK</v>
      </c>
      <c r="G1296" s="1635" t="str">
        <f>IF(ISBLANK('4J'!J42), "##BLANK", '4J'!J42)</f>
        <v>##BLANK</v>
      </c>
      <c r="H1296" s="1636"/>
    </row>
    <row r="1297" spans="1:8">
      <c r="A1297" s="1620" t="str">
        <f>INDEX(Lists!$C$4:$C$24,MATCH(Validation!$B$3,Lists!$B$4:$B$24,0))</f>
        <v>TMS</v>
      </c>
      <c r="B1297" s="1732" t="str">
        <f>'4J'!AP43</f>
        <v>BP3357005RWS</v>
      </c>
      <c r="C1297" t="str">
        <f>+'4J'!$C$38&amp;" - Item 5"&amp;" - "&amp;'4J'!J$4</f>
        <v>Atypical expenditure - Item 5 - Raw water storage</v>
      </c>
      <c r="D1297" s="1620" t="str">
        <f t="shared" si="3"/>
        <v>£m</v>
      </c>
      <c r="E1297" s="1636" t="s">
        <v>9</v>
      </c>
      <c r="F1297" s="2" t="str">
        <f t="shared" si="4"/>
        <v>##BLANK</v>
      </c>
      <c r="G1297" s="1635" t="str">
        <f>IF(ISBLANK('4J'!J43), "##BLANK", '4J'!J43)</f>
        <v>##BLANK</v>
      </c>
      <c r="H1297" s="1636"/>
    </row>
    <row r="1298" spans="1:8">
      <c r="A1298" s="1620" t="str">
        <f>INDEX(Lists!$C$4:$C$24,MATCH(Validation!$B$3,Lists!$B$4:$B$24,0))</f>
        <v>TMS</v>
      </c>
      <c r="B1298" s="1732" t="str">
        <f>'4J'!AP44</f>
        <v>BP3357006RWS</v>
      </c>
      <c r="C1298" t="str">
        <f>+'4J'!$C$38&amp;" - Item 6"&amp;" - "&amp;'4J'!J$4</f>
        <v>Atypical expenditure - Item 6 - Raw water storage</v>
      </c>
      <c r="D1298" s="1620" t="str">
        <f t="shared" si="3"/>
        <v>£m</v>
      </c>
      <c r="E1298" s="1636" t="s">
        <v>9</v>
      </c>
      <c r="F1298" s="2" t="str">
        <f t="shared" si="4"/>
        <v>##BLANK</v>
      </c>
      <c r="G1298" s="1635" t="str">
        <f>IF(ISBLANK('4J'!J44), "##BLANK", '4J'!J44)</f>
        <v>##BLANK</v>
      </c>
      <c r="H1298" s="1636"/>
    </row>
    <row r="1299" spans="1:8">
      <c r="A1299" s="1620" t="str">
        <f>INDEX(Lists!$C$4:$C$24,MATCH(Validation!$B$3,Lists!$B$4:$B$24,0))</f>
        <v>TMS</v>
      </c>
      <c r="B1299" s="1732" t="str">
        <f>'4J'!AP45</f>
        <v>BP3357007RWS</v>
      </c>
      <c r="C1299" t="str">
        <f>+'4J'!$C$38&amp;" - Item 7"&amp;" - "&amp;'4J'!J$4</f>
        <v>Atypical expenditure - Item 7 - Raw water storage</v>
      </c>
      <c r="D1299" s="1620" t="str">
        <f t="shared" si="3"/>
        <v>£m</v>
      </c>
      <c r="E1299" s="1636" t="s">
        <v>9</v>
      </c>
      <c r="F1299" s="2" t="str">
        <f t="shared" si="4"/>
        <v>##BLANK</v>
      </c>
      <c r="G1299" s="1635" t="str">
        <f>IF(ISBLANK('4J'!J45), "##BLANK", '4J'!J45)</f>
        <v>##BLANK</v>
      </c>
      <c r="H1299" s="1636"/>
    </row>
    <row r="1300" spans="1:8">
      <c r="A1300" s="1620" t="str">
        <f>INDEX(Lists!$C$4:$C$24,MATCH(Validation!$B$3,Lists!$B$4:$B$24,0))</f>
        <v>TMS</v>
      </c>
      <c r="B1300" s="1732" t="str">
        <f>'4J'!AP46</f>
        <v>BP3357008RWS</v>
      </c>
      <c r="C1300" t="str">
        <f>+'4J'!$C$38&amp;" - Item 8"&amp;" - "&amp;'4J'!J$4</f>
        <v>Atypical expenditure - Item 8 - Raw water storage</v>
      </c>
      <c r="D1300" s="1620" t="str">
        <f t="shared" si="3"/>
        <v>£m</v>
      </c>
      <c r="E1300" s="1636" t="s">
        <v>9</v>
      </c>
      <c r="F1300" s="2" t="str">
        <f t="shared" si="4"/>
        <v>##BLANK</v>
      </c>
      <c r="G1300" s="1635" t="str">
        <f>IF(ISBLANK('4J'!J46), "##BLANK", '4J'!J46)</f>
        <v>##BLANK</v>
      </c>
      <c r="H1300" s="1636"/>
    </row>
    <row r="1301" spans="1:8">
      <c r="A1301" s="1620" t="str">
        <f>INDEX(Lists!$C$4:$C$24,MATCH(Validation!$B$3,Lists!$B$4:$B$24,0))</f>
        <v>TMS</v>
      </c>
      <c r="B1301" s="1732" t="str">
        <f>'4J'!AP47</f>
        <v>BP3357009RWS</v>
      </c>
      <c r="C1301" t="str">
        <f>+'4J'!$C$38&amp;" - Item 9"&amp;" - "&amp;'4J'!J$4</f>
        <v>Atypical expenditure - Item 9 - Raw water storage</v>
      </c>
      <c r="D1301" s="1620" t="str">
        <f t="shared" si="3"/>
        <v>£m</v>
      </c>
      <c r="E1301" s="1636" t="s">
        <v>9</v>
      </c>
      <c r="F1301" s="2" t="str">
        <f t="shared" si="4"/>
        <v>##BLANK</v>
      </c>
      <c r="G1301" s="1635" t="str">
        <f>IF(ISBLANK('4J'!J47), "##BLANK", '4J'!J47)</f>
        <v>##BLANK</v>
      </c>
      <c r="H1301" s="1636"/>
    </row>
    <row r="1302" spans="1:8">
      <c r="A1302" s="1730" t="str">
        <f>INDEX(Lists!$C$4:$C$24,MATCH(Validation!$B$3,Lists!$B$4:$B$24,0))</f>
        <v>TMS</v>
      </c>
      <c r="B1302" s="1734" t="str">
        <f>'4J'!AP48</f>
        <v>BP3357010RWS</v>
      </c>
      <c r="C1302" s="1819" t="str">
        <f>+'4J'!$C$38&amp;" - Item 10"&amp;" - "&amp;'4J'!J$4</f>
        <v>Atypical expenditure - Item 10 - Raw water storage</v>
      </c>
      <c r="D1302" s="1730" t="str">
        <f t="shared" si="3"/>
        <v>£m</v>
      </c>
      <c r="E1302" s="1652" t="s">
        <v>9</v>
      </c>
      <c r="F1302" s="1637" t="str">
        <f t="shared" si="4"/>
        <v>##BLANK</v>
      </c>
      <c r="G1302" s="1653" t="str">
        <f>IF(ISBLANK('4J'!J48), "##BLANK", '4J'!J48)</f>
        <v>##BLANK</v>
      </c>
      <c r="H1302" s="1652"/>
    </row>
    <row r="1303" spans="1:8">
      <c r="A1303" s="1620" t="str">
        <f>INDEX(Lists!$C$4:$C$24,MATCH(Validation!$B$3,Lists!$B$4:$B$24,0))</f>
        <v>TMS</v>
      </c>
      <c r="B1303" s="1732" t="str">
        <f>'4J'!AQ7</f>
        <v>WS1001WT</v>
      </c>
      <c r="C1303" t="str">
        <f>+'4J'!$C7&amp;" - "&amp;'4J'!K$4</f>
        <v>Power - Water treatment</v>
      </c>
      <c r="D1303" s="1620" t="str">
        <f t="shared" si="3"/>
        <v>£m</v>
      </c>
      <c r="E1303" s="1636" t="s">
        <v>9</v>
      </c>
      <c r="G1303" s="1635">
        <f>'4J'!K7</f>
        <v>9.5009999999999994</v>
      </c>
      <c r="H1303" s="1636"/>
    </row>
    <row r="1304" spans="1:8">
      <c r="A1304" s="1620" t="str">
        <f>INDEX(Lists!$C$4:$C$24,MATCH(Validation!$B$3,Lists!$B$4:$B$24,0))</f>
        <v>TMS</v>
      </c>
      <c r="B1304" s="1732" t="str">
        <f>'4J'!AQ8</f>
        <v>WS1002WT</v>
      </c>
      <c r="C1304" t="str">
        <f>+'4J'!$C8&amp;" - "&amp;'4J'!K$4</f>
        <v>Income treated as negative expenditure - Water treatment</v>
      </c>
      <c r="D1304" s="1620" t="str">
        <f t="shared" si="3"/>
        <v>£m</v>
      </c>
      <c r="E1304" s="1636" t="s">
        <v>9</v>
      </c>
      <c r="G1304" s="1635">
        <f>'4J'!K8</f>
        <v>-0.11799999999999999</v>
      </c>
      <c r="H1304" s="1636"/>
    </row>
    <row r="1305" spans="1:8">
      <c r="A1305" s="1620" t="str">
        <f>INDEX(Lists!$C$4:$C$24,MATCH(Validation!$B$3,Lists!$B$4:$B$24,0))</f>
        <v>TMS</v>
      </c>
      <c r="B1305" s="1732" t="str">
        <f>'4J'!AQ9</f>
        <v>WS1003WT</v>
      </c>
      <c r="C1305" t="str">
        <f>+'4J'!$C9&amp;" - "&amp;'4J'!K$4</f>
        <v>Abstraction charges/ discharge consents - Water treatment</v>
      </c>
      <c r="D1305" s="1620" t="str">
        <f t="shared" si="3"/>
        <v>£m</v>
      </c>
      <c r="E1305" s="1636" t="s">
        <v>9</v>
      </c>
      <c r="G1305" s="1635">
        <f>'4J'!K9</f>
        <v>0</v>
      </c>
      <c r="H1305" s="1636"/>
    </row>
    <row r="1306" spans="1:8">
      <c r="A1306" s="1620" t="str">
        <f>INDEX(Lists!$C$4:$C$24,MATCH(Validation!$B$3,Lists!$B$4:$B$24,0))</f>
        <v>TMS</v>
      </c>
      <c r="B1306" s="1732" t="str">
        <f>'4J'!AQ10</f>
        <v>WS1004WT</v>
      </c>
      <c r="C1306" t="str">
        <f>+'4J'!$C10&amp;" - "&amp;'4J'!K$4</f>
        <v>Bulk supply - Water treatment</v>
      </c>
      <c r="D1306" s="1620" t="str">
        <f t="shared" si="3"/>
        <v>£m</v>
      </c>
      <c r="E1306" s="1636" t="s">
        <v>9</v>
      </c>
      <c r="G1306" s="1635">
        <f>'4J'!K10</f>
        <v>0</v>
      </c>
      <c r="H1306" s="1636"/>
    </row>
    <row r="1307" spans="1:8">
      <c r="A1307" s="1620" t="str">
        <f>INDEX(Lists!$C$4:$C$24,MATCH(Validation!$B$3,Lists!$B$4:$B$24,0))</f>
        <v>TMS</v>
      </c>
      <c r="B1307" s="1732" t="str">
        <f>'4J'!AQ12</f>
        <v>WS1005WT</v>
      </c>
      <c r="C1307" t="str">
        <f>+'4J'!$C$11&amp;" "&amp;'4J'!$C12&amp;" - "&amp;'4J'!K$4</f>
        <v>Other operating expenditure - Renewals expensed in year (Infrastructure) - Water treatment</v>
      </c>
      <c r="D1307" s="1620" t="str">
        <f t="shared" si="3"/>
        <v>£m</v>
      </c>
      <c r="E1307" s="1636" t="s">
        <v>9</v>
      </c>
      <c r="G1307" s="1635">
        <f>'4J'!K12</f>
        <v>0</v>
      </c>
      <c r="H1307" s="1636"/>
    </row>
    <row r="1308" spans="1:8">
      <c r="A1308" s="1620" t="str">
        <f>INDEX(Lists!$C$4:$C$24,MATCH(Validation!$B$3,Lists!$B$4:$B$24,0))</f>
        <v>TMS</v>
      </c>
      <c r="B1308" s="1732" t="str">
        <f>'4J'!AQ13</f>
        <v>WS1006WT</v>
      </c>
      <c r="C1308" t="str">
        <f>+'4J'!$C$11&amp;" "&amp;'4J'!$C13&amp;" - "&amp;'4J'!K$4</f>
        <v>Other operating expenditure - Renewals expensed in year (Non-Infrastructure) - Water treatment</v>
      </c>
      <c r="D1308" s="1620" t="str">
        <f t="shared" si="3"/>
        <v>£m</v>
      </c>
      <c r="E1308" s="1636" t="s">
        <v>9</v>
      </c>
      <c r="G1308" s="1635">
        <f>'4J'!K13</f>
        <v>0</v>
      </c>
      <c r="H1308" s="1636"/>
    </row>
    <row r="1309" spans="1:8">
      <c r="A1309" s="1620" t="str">
        <f>INDEX(Lists!$C$4:$C$24,MATCH(Validation!$B$3,Lists!$B$4:$B$24,0))</f>
        <v>TMS</v>
      </c>
      <c r="B1309" s="1732" t="str">
        <f>'4J'!AQ14</f>
        <v>WS1007WT</v>
      </c>
      <c r="C1309" t="str">
        <f>+'4J'!$C$11&amp;" "&amp;'4J'!$C14&amp;" - "&amp;'4J'!K$4</f>
        <v>Other operating expenditure - Other operating expenditure excluding renewals - Water treatment</v>
      </c>
      <c r="D1309" s="1620" t="str">
        <f t="shared" si="3"/>
        <v>£m</v>
      </c>
      <c r="E1309" s="1636" t="s">
        <v>9</v>
      </c>
      <c r="G1309" s="1635">
        <f>'4J'!K14</f>
        <v>62.128999999999998</v>
      </c>
      <c r="H1309" s="1636"/>
    </row>
    <row r="1310" spans="1:8">
      <c r="A1310" s="1620" t="str">
        <f>INDEX(Lists!$C$4:$C$24,MATCH(Validation!$B$3,Lists!$B$4:$B$24,0))</f>
        <v>TMS</v>
      </c>
      <c r="B1310" s="1732" t="str">
        <f>'4J'!AQ15</f>
        <v>WS1008WT</v>
      </c>
      <c r="C1310" t="str">
        <f>+'4J'!$C15&amp;" - "&amp;'4J'!K$4</f>
        <v>Local authority and Cumulo rates - Water treatment</v>
      </c>
      <c r="D1310" s="1620" t="str">
        <f t="shared" si="3"/>
        <v>£m</v>
      </c>
      <c r="E1310" s="1636" t="s">
        <v>9</v>
      </c>
      <c r="G1310" s="1635">
        <f>'4J'!K15</f>
        <v>5.734</v>
      </c>
      <c r="H1310" s="1636"/>
    </row>
    <row r="1311" spans="1:8">
      <c r="A1311" s="1620" t="str">
        <f>INDEX(Lists!$C$4:$C$24,MATCH(Validation!$B$3,Lists!$B$4:$B$24,0))</f>
        <v>TMS</v>
      </c>
      <c r="B1311" s="1732" t="str">
        <f>'4J'!AQ18</f>
        <v>WS1010WT</v>
      </c>
      <c r="C1311" t="str">
        <f>+'4J'!$C18&amp;" - "&amp;'4J'!K$4</f>
        <v>Third party services - Water treatment</v>
      </c>
      <c r="D1311" s="1620" t="str">
        <f t="shared" si="3"/>
        <v>£m</v>
      </c>
      <c r="E1311" s="1636" t="s">
        <v>9</v>
      </c>
      <c r="G1311" s="1635">
        <f>'4J'!K18</f>
        <v>0</v>
      </c>
      <c r="H1311" s="1636"/>
    </row>
    <row r="1312" spans="1:8">
      <c r="A1312" s="1620" t="str">
        <f>INDEX(Lists!$C$4:$C$24,MATCH(Validation!$B$3,Lists!$B$4:$B$24,0))</f>
        <v>TMS</v>
      </c>
      <c r="B1312" s="1732" t="str">
        <f>'4J'!AQ22</f>
        <v>WS1012WT</v>
      </c>
      <c r="C1312" t="str">
        <f>+'4J'!$C22&amp;" - "&amp;'4J'!K$4</f>
        <v>Maintaining the long term capability of the assets - infra - Water treatment</v>
      </c>
      <c r="D1312" s="1620" t="str">
        <f t="shared" si="3"/>
        <v>£m</v>
      </c>
      <c r="E1312" s="1636" t="s">
        <v>9</v>
      </c>
      <c r="G1312" s="1635">
        <f>'4J'!K22</f>
        <v>0</v>
      </c>
      <c r="H1312" s="1636"/>
    </row>
    <row r="1313" spans="1:8">
      <c r="A1313" s="1620" t="str">
        <f>INDEX(Lists!$C$4:$C$24,MATCH(Validation!$B$3,Lists!$B$4:$B$24,0))</f>
        <v>TMS</v>
      </c>
      <c r="B1313" s="1732" t="str">
        <f>'4J'!AQ23</f>
        <v>WS1013WT</v>
      </c>
      <c r="C1313" t="str">
        <f>+'4J'!$C23&amp;" - "&amp;'4J'!K$4</f>
        <v>Maintaining the long term capability of the assets - non-infra - Water treatment</v>
      </c>
      <c r="D1313" s="1620" t="str">
        <f t="shared" si="3"/>
        <v>£m</v>
      </c>
      <c r="E1313" s="1636" t="s">
        <v>9</v>
      </c>
      <c r="G1313" s="1635">
        <f>'4J'!K23</f>
        <v>76.192288373370587</v>
      </c>
      <c r="H1313" s="1636"/>
    </row>
    <row r="1314" spans="1:8">
      <c r="A1314" s="1620" t="str">
        <f>INDEX(Lists!$C$4:$C$24,MATCH(Validation!$B$3,Lists!$B$4:$B$24,0))</f>
        <v>TMS</v>
      </c>
      <c r="B1314" s="1732" t="str">
        <f>'4J'!AQ24</f>
        <v>WS1014WT</v>
      </c>
      <c r="C1314" t="str">
        <f>+'4J'!$C24&amp;" - "&amp;'4J'!K$4</f>
        <v>Other capital expenditure - infra - Water treatment</v>
      </c>
      <c r="D1314" s="1620" t="str">
        <f t="shared" si="3"/>
        <v>£m</v>
      </c>
      <c r="E1314" s="1636" t="s">
        <v>9</v>
      </c>
      <c r="G1314" s="1635">
        <f>'4J'!K24</f>
        <v>0</v>
      </c>
      <c r="H1314" s="1636"/>
    </row>
    <row r="1315" spans="1:8">
      <c r="A1315" s="1620" t="str">
        <f>INDEX(Lists!$C$4:$C$24,MATCH(Validation!$B$3,Lists!$B$4:$B$24,0))</f>
        <v>TMS</v>
      </c>
      <c r="B1315" s="1732" t="str">
        <f>'4J'!AQ25</f>
        <v>WS1015WT</v>
      </c>
      <c r="C1315" t="str">
        <f>+'4J'!$C25&amp;" - "&amp;'4J'!K$4</f>
        <v>Other capital expenditure - non-infra - Water treatment</v>
      </c>
      <c r="D1315" s="1620" t="str">
        <f t="shared" si="3"/>
        <v>£m</v>
      </c>
      <c r="E1315" s="1636" t="s">
        <v>9</v>
      </c>
      <c r="G1315" s="1635">
        <f>'4J'!K25</f>
        <v>7.5178891305354698</v>
      </c>
      <c r="H1315" s="1636"/>
    </row>
    <row r="1316" spans="1:8">
      <c r="A1316" s="1620" t="str">
        <f>INDEX(Lists!$C$4:$C$24,MATCH(Validation!$B$3,Lists!$B$4:$B$24,0))</f>
        <v>TMS</v>
      </c>
      <c r="B1316" s="1732" t="str">
        <f>'4J'!AQ26</f>
        <v>WS1016WT</v>
      </c>
      <c r="C1316" t="str">
        <f>+'4J'!$C26&amp;" - "&amp;'4J'!K$4</f>
        <v>Infrastructure network reinforcement - Water treatment</v>
      </c>
      <c r="D1316" s="1620" t="str">
        <f t="shared" si="3"/>
        <v>£m</v>
      </c>
      <c r="E1316" s="1636" t="s">
        <v>9</v>
      </c>
      <c r="G1316" s="1635">
        <f>'4J'!K26</f>
        <v>0</v>
      </c>
      <c r="H1316" s="1636"/>
    </row>
    <row r="1317" spans="1:8">
      <c r="A1317" s="1620" t="str">
        <f>INDEX(Lists!$C$4:$C$24,MATCH(Validation!$B$3,Lists!$B$4:$B$24,0))</f>
        <v>TMS</v>
      </c>
      <c r="B1317" s="1732" t="str">
        <f>'4J'!AQ28</f>
        <v>WS1018WT</v>
      </c>
      <c r="C1317" t="str">
        <f>+'4J'!$C28&amp;" - "&amp;'4J'!K$4</f>
        <v>Third party services - Water treatment</v>
      </c>
      <c r="D1317" s="1620" t="str">
        <f t="shared" si="3"/>
        <v>£m</v>
      </c>
      <c r="E1317" s="1636" t="s">
        <v>9</v>
      </c>
      <c r="G1317" s="1635">
        <f>'4J'!K28</f>
        <v>0</v>
      </c>
      <c r="H1317" s="1636"/>
    </row>
    <row r="1318" spans="1:8">
      <c r="A1318" s="1620" t="str">
        <f>INDEX(Lists!$C$4:$C$24,MATCH(Validation!$B$3,Lists!$B$4:$B$24,0))</f>
        <v>TMS</v>
      </c>
      <c r="B1318" s="1732" t="str">
        <f>'4J'!AQ30</f>
        <v>WS1020WT</v>
      </c>
      <c r="C1318" t="str">
        <f>+'4J'!$C30&amp;" - "&amp;'4J'!K$4</f>
        <v>Grants and contributions - Water treatment</v>
      </c>
      <c r="D1318" s="1620" t="str">
        <f t="shared" si="3"/>
        <v>£m</v>
      </c>
      <c r="E1318" s="1636" t="s">
        <v>9</v>
      </c>
      <c r="G1318" s="1635">
        <f>'4J'!K30</f>
        <v>5.0000000000000001E-3</v>
      </c>
      <c r="H1318" s="1636"/>
    </row>
    <row r="1319" spans="1:8">
      <c r="A1319" s="1620" t="str">
        <f>INDEX(Lists!$C$4:$C$24,MATCH(Validation!$B$3,Lists!$B$4:$B$24,0))</f>
        <v>TMS</v>
      </c>
      <c r="B1319" s="1732" t="str">
        <f>'4J'!AQ34</f>
        <v>WS1022WT</v>
      </c>
      <c r="C1319" t="str">
        <f>+'4J'!$C34&amp;" - "&amp;'4J'!K$4</f>
        <v>Pension deficit recovery payments - Water treatment</v>
      </c>
      <c r="D1319" s="1620" t="str">
        <f t="shared" si="3"/>
        <v>£m</v>
      </c>
      <c r="E1319" s="1636" t="s">
        <v>9</v>
      </c>
      <c r="G1319" s="1635">
        <f>'4J'!K34</f>
        <v>2.956</v>
      </c>
      <c r="H1319" s="1636"/>
    </row>
    <row r="1320" spans="1:8">
      <c r="A1320" s="1620" t="str">
        <f>INDEX(Lists!$C$4:$C$24,MATCH(Validation!$B$3,Lists!$B$4:$B$24,0))</f>
        <v>TMS</v>
      </c>
      <c r="B1320" s="1732" t="str">
        <f>'4J'!AQ35</f>
        <v>WS1023WT</v>
      </c>
      <c r="C1320" t="str">
        <f>+'4J'!$C35&amp;" - "&amp;'4J'!K$4</f>
        <v>Other cash items - Water treatment</v>
      </c>
      <c r="D1320" s="1620" t="str">
        <f t="shared" si="3"/>
        <v>£m</v>
      </c>
      <c r="E1320" s="1636" t="s">
        <v>9</v>
      </c>
      <c r="G1320" s="1635">
        <f>'4J'!K35</f>
        <v>0</v>
      </c>
      <c r="H1320" s="1636"/>
    </row>
    <row r="1321" spans="1:8">
      <c r="A1321" s="1620" t="str">
        <f>INDEX(Lists!$C$4:$C$24,MATCH(Validation!$B$3,Lists!$B$4:$B$24,0))</f>
        <v>TMS</v>
      </c>
      <c r="B1321" s="1732" t="str">
        <f>'4J'!AQ39</f>
        <v>BP3357001WT</v>
      </c>
      <c r="C1321" t="str">
        <f>+'4J'!$C$38&amp;" - Item 1"&amp;" - "&amp;'4J'!K$4</f>
        <v>Atypical expenditure - Item 1 - Water treatment</v>
      </c>
      <c r="D1321" s="1620" t="str">
        <f t="shared" si="3"/>
        <v>£m</v>
      </c>
      <c r="E1321" s="1636" t="s">
        <v>9</v>
      </c>
      <c r="F1321" s="2" t="str">
        <f>F1209</f>
        <v>Restructuring costs</v>
      </c>
      <c r="G1321" s="1635">
        <f>IF(ISBLANK('4J'!K39), "##BLANK", '4J'!K39)</f>
        <v>0.38500000000000001</v>
      </c>
      <c r="H1321" s="1636"/>
    </row>
    <row r="1322" spans="1:8">
      <c r="A1322" s="1620" t="str">
        <f>INDEX(Lists!$C$4:$C$24,MATCH(Validation!$B$3,Lists!$B$4:$B$24,0))</f>
        <v>TMS</v>
      </c>
      <c r="B1322" s="1732" t="str">
        <f>'4J'!AQ40</f>
        <v>BP3357002WT</v>
      </c>
      <c r="C1322" t="str">
        <f>+'4J'!$C$38&amp;" - Item 2"&amp;" - "&amp;'4J'!K$4</f>
        <v>Atypical expenditure - Item 2 - Water treatment</v>
      </c>
      <c r="D1322" s="1620" t="str">
        <f t="shared" si="3"/>
        <v>£m</v>
      </c>
      <c r="E1322" s="1636" t="s">
        <v>9</v>
      </c>
      <c r="F1322" s="2" t="str">
        <f t="shared" ref="F1322:F1330" si="5">F1210</f>
        <v>##BLANK</v>
      </c>
      <c r="G1322" s="1635" t="str">
        <f>IF(ISBLANK('4J'!K40), "##BLANK", '4J'!K40)</f>
        <v>##BLANK</v>
      </c>
      <c r="H1322" s="1636"/>
    </row>
    <row r="1323" spans="1:8">
      <c r="A1323" s="1620" t="str">
        <f>INDEX(Lists!$C$4:$C$24,MATCH(Validation!$B$3,Lists!$B$4:$B$24,0))</f>
        <v>TMS</v>
      </c>
      <c r="B1323" s="1732" t="str">
        <f>'4J'!AQ41</f>
        <v>BP3357003WT</v>
      </c>
      <c r="C1323" t="str">
        <f>+'4J'!$C$38&amp;" - Item 3"&amp;" - "&amp;'4J'!K$4</f>
        <v>Atypical expenditure - Item 3 - Water treatment</v>
      </c>
      <c r="D1323" s="1620" t="str">
        <f t="shared" si="3"/>
        <v>£m</v>
      </c>
      <c r="E1323" s="1636" t="s">
        <v>9</v>
      </c>
      <c r="F1323" s="2" t="str">
        <f t="shared" si="5"/>
        <v>##BLANK</v>
      </c>
      <c r="G1323" s="1635" t="str">
        <f>IF(ISBLANK('4J'!K41), "##BLANK", '4J'!K41)</f>
        <v>##BLANK</v>
      </c>
      <c r="H1323" s="1636"/>
    </row>
    <row r="1324" spans="1:8">
      <c r="A1324" s="1620" t="str">
        <f>INDEX(Lists!$C$4:$C$24,MATCH(Validation!$B$3,Lists!$B$4:$B$24,0))</f>
        <v>TMS</v>
      </c>
      <c r="B1324" s="1732" t="str">
        <f>'4J'!AQ42</f>
        <v>BP3357004WT</v>
      </c>
      <c r="C1324" t="str">
        <f>+'4J'!$C$38&amp;" - Item 4"&amp;" - "&amp;'4J'!K$4</f>
        <v>Atypical expenditure - Item 4 - Water treatment</v>
      </c>
      <c r="D1324" s="1620" t="str">
        <f t="shared" si="3"/>
        <v>£m</v>
      </c>
      <c r="E1324" s="1636" t="s">
        <v>9</v>
      </c>
      <c r="F1324" s="2" t="str">
        <f t="shared" si="5"/>
        <v>##BLANK</v>
      </c>
      <c r="G1324" s="1635" t="str">
        <f>IF(ISBLANK('4J'!K42), "##BLANK", '4J'!K42)</f>
        <v>##BLANK</v>
      </c>
      <c r="H1324" s="1636"/>
    </row>
    <row r="1325" spans="1:8">
      <c r="A1325" s="1620" t="str">
        <f>INDEX(Lists!$C$4:$C$24,MATCH(Validation!$B$3,Lists!$B$4:$B$24,0))</f>
        <v>TMS</v>
      </c>
      <c r="B1325" s="1732" t="str">
        <f>'4J'!AQ43</f>
        <v>BP3357005WT</v>
      </c>
      <c r="C1325" t="str">
        <f>+'4J'!$C$38&amp;" - Item 5"&amp;" - "&amp;'4J'!K$4</f>
        <v>Atypical expenditure - Item 5 - Water treatment</v>
      </c>
      <c r="D1325" s="1620" t="str">
        <f t="shared" si="3"/>
        <v>£m</v>
      </c>
      <c r="E1325" s="1636" t="s">
        <v>9</v>
      </c>
      <c r="F1325" s="2" t="str">
        <f t="shared" si="5"/>
        <v>##BLANK</v>
      </c>
      <c r="G1325" s="1635" t="str">
        <f>IF(ISBLANK('4J'!K43), "##BLANK", '4J'!K43)</f>
        <v>##BLANK</v>
      </c>
      <c r="H1325" s="1636"/>
    </row>
    <row r="1326" spans="1:8">
      <c r="A1326" s="1620" t="str">
        <f>INDEX(Lists!$C$4:$C$24,MATCH(Validation!$B$3,Lists!$B$4:$B$24,0))</f>
        <v>TMS</v>
      </c>
      <c r="B1326" s="1732" t="str">
        <f>'4J'!AQ44</f>
        <v>BP3357006WT</v>
      </c>
      <c r="C1326" t="str">
        <f>+'4J'!$C$38&amp;" - Item 6"&amp;" - "&amp;'4J'!K$4</f>
        <v>Atypical expenditure - Item 6 - Water treatment</v>
      </c>
      <c r="D1326" s="1620" t="str">
        <f t="shared" si="3"/>
        <v>£m</v>
      </c>
      <c r="E1326" s="1636" t="s">
        <v>9</v>
      </c>
      <c r="F1326" s="2" t="str">
        <f t="shared" si="5"/>
        <v>##BLANK</v>
      </c>
      <c r="G1326" s="1635" t="str">
        <f>IF(ISBLANK('4J'!K44), "##BLANK", '4J'!K44)</f>
        <v>##BLANK</v>
      </c>
      <c r="H1326" s="1636"/>
    </row>
    <row r="1327" spans="1:8">
      <c r="A1327" s="1620" t="str">
        <f>INDEX(Lists!$C$4:$C$24,MATCH(Validation!$B$3,Lists!$B$4:$B$24,0))</f>
        <v>TMS</v>
      </c>
      <c r="B1327" s="1732" t="str">
        <f>'4J'!AQ45</f>
        <v>BP3357007WT</v>
      </c>
      <c r="C1327" t="str">
        <f>+'4J'!$C$38&amp;" - Item 7"&amp;" - "&amp;'4J'!K$4</f>
        <v>Atypical expenditure - Item 7 - Water treatment</v>
      </c>
      <c r="D1327" s="1620" t="str">
        <f t="shared" si="3"/>
        <v>£m</v>
      </c>
      <c r="E1327" s="1636" t="s">
        <v>9</v>
      </c>
      <c r="F1327" s="2" t="str">
        <f t="shared" si="5"/>
        <v>##BLANK</v>
      </c>
      <c r="G1327" s="1635" t="str">
        <f>IF(ISBLANK('4J'!K45), "##BLANK", '4J'!K45)</f>
        <v>##BLANK</v>
      </c>
      <c r="H1327" s="1636"/>
    </row>
    <row r="1328" spans="1:8">
      <c r="A1328" s="1620" t="str">
        <f>INDEX(Lists!$C$4:$C$24,MATCH(Validation!$B$3,Lists!$B$4:$B$24,0))</f>
        <v>TMS</v>
      </c>
      <c r="B1328" s="1732" t="str">
        <f>'4J'!AQ46</f>
        <v>BP3357008WT</v>
      </c>
      <c r="C1328" t="str">
        <f>+'4J'!$C$38&amp;" - Item 8"&amp;" - "&amp;'4J'!K$4</f>
        <v>Atypical expenditure - Item 8 - Water treatment</v>
      </c>
      <c r="D1328" s="1620" t="str">
        <f t="shared" si="3"/>
        <v>£m</v>
      </c>
      <c r="E1328" s="1636" t="s">
        <v>9</v>
      </c>
      <c r="F1328" s="2" t="str">
        <f t="shared" si="5"/>
        <v>##BLANK</v>
      </c>
      <c r="G1328" s="1635" t="str">
        <f>IF(ISBLANK('4J'!K46), "##BLANK", '4J'!K46)</f>
        <v>##BLANK</v>
      </c>
      <c r="H1328" s="1636"/>
    </row>
    <row r="1329" spans="1:8">
      <c r="A1329" s="1620" t="str">
        <f>INDEX(Lists!$C$4:$C$24,MATCH(Validation!$B$3,Lists!$B$4:$B$24,0))</f>
        <v>TMS</v>
      </c>
      <c r="B1329" s="1732" t="str">
        <f>'4J'!AQ47</f>
        <v>BP3357009WT</v>
      </c>
      <c r="C1329" t="str">
        <f>+'4J'!$C$38&amp;" - Item 9"&amp;" - "&amp;'4J'!K$4</f>
        <v>Atypical expenditure - Item 9 - Water treatment</v>
      </c>
      <c r="D1329" s="1620" t="str">
        <f t="shared" si="3"/>
        <v>£m</v>
      </c>
      <c r="E1329" s="1636" t="s">
        <v>9</v>
      </c>
      <c r="F1329" s="2" t="str">
        <f t="shared" si="5"/>
        <v>##BLANK</v>
      </c>
      <c r="G1329" s="1635" t="str">
        <f>IF(ISBLANK('4J'!K47), "##BLANK", '4J'!K47)</f>
        <v>##BLANK</v>
      </c>
      <c r="H1329" s="1636"/>
    </row>
    <row r="1330" spans="1:8">
      <c r="A1330" s="1730" t="str">
        <f>INDEX(Lists!$C$4:$C$24,MATCH(Validation!$B$3,Lists!$B$4:$B$24,0))</f>
        <v>TMS</v>
      </c>
      <c r="B1330" s="1734" t="str">
        <f>'4J'!AQ48</f>
        <v>BP3357010WT</v>
      </c>
      <c r="C1330" s="1819" t="str">
        <f>+'4J'!$C$38&amp;" - Item 10"&amp;" - "&amp;'4J'!K$4</f>
        <v>Atypical expenditure - Item 10 - Water treatment</v>
      </c>
      <c r="D1330" s="1730" t="str">
        <f t="shared" si="3"/>
        <v>£m</v>
      </c>
      <c r="E1330" s="1652" t="s">
        <v>9</v>
      </c>
      <c r="F1330" s="1637" t="str">
        <f t="shared" si="5"/>
        <v>##BLANK</v>
      </c>
      <c r="G1330" s="1653" t="str">
        <f>IF(ISBLANK('4J'!K48), "##BLANK", '4J'!K48)</f>
        <v>##BLANK</v>
      </c>
      <c r="H1330" s="1652"/>
    </row>
    <row r="1331" spans="1:8">
      <c r="A1331" s="1620" t="str">
        <f>INDEX(Lists!$C$4:$C$24,MATCH(Validation!$B$3,Lists!$B$4:$B$24,0))</f>
        <v>TMS</v>
      </c>
      <c r="B1331" s="1732" t="str">
        <f>'4J'!AR7</f>
        <v>WS1001TWD</v>
      </c>
      <c r="C1331" t="str">
        <f>+'4J'!$C7&amp;" - "&amp;'4J'!L$4</f>
        <v>Power - Treated water distribution</v>
      </c>
      <c r="D1331" s="1620" t="str">
        <f t="shared" si="3"/>
        <v>£m</v>
      </c>
      <c r="E1331" s="1636" t="s">
        <v>9</v>
      </c>
      <c r="G1331" s="1635">
        <f>'4J'!L7</f>
        <v>31.361999999999998</v>
      </c>
      <c r="H1331" s="1636"/>
    </row>
    <row r="1332" spans="1:8">
      <c r="A1332" s="1620" t="str">
        <f>INDEX(Lists!$C$4:$C$24,MATCH(Validation!$B$3,Lists!$B$4:$B$24,0))</f>
        <v>TMS</v>
      </c>
      <c r="B1332" s="1732" t="str">
        <f>'4J'!AR8</f>
        <v>WS1002TWD</v>
      </c>
      <c r="C1332" t="str">
        <f>+'4J'!$C8&amp;" - "&amp;'4J'!L$4</f>
        <v>Income treated as negative expenditure - Treated water distribution</v>
      </c>
      <c r="D1332" s="1620" t="str">
        <f t="shared" si="3"/>
        <v>£m</v>
      </c>
      <c r="E1332" s="1636" t="s">
        <v>9</v>
      </c>
      <c r="G1332" s="1635">
        <f>'4J'!L8</f>
        <v>-1.4E-2</v>
      </c>
      <c r="H1332" s="1636"/>
    </row>
    <row r="1333" spans="1:8">
      <c r="A1333" s="1620" t="str">
        <f>INDEX(Lists!$C$4:$C$24,MATCH(Validation!$B$3,Lists!$B$4:$B$24,0))</f>
        <v>TMS</v>
      </c>
      <c r="B1333" s="1732" t="str">
        <f>'4J'!AR9</f>
        <v>WS1003TWD</v>
      </c>
      <c r="C1333" t="str">
        <f>+'4J'!$C9&amp;" - "&amp;'4J'!L$4</f>
        <v>Abstraction charges/ discharge consents - Treated water distribution</v>
      </c>
      <c r="D1333" s="1620" t="str">
        <f t="shared" si="3"/>
        <v>£m</v>
      </c>
      <c r="E1333" s="1636" t="s">
        <v>9</v>
      </c>
      <c r="G1333" s="1635">
        <f>'4J'!L9</f>
        <v>0</v>
      </c>
      <c r="H1333" s="1636"/>
    </row>
    <row r="1334" spans="1:8">
      <c r="A1334" s="1620" t="str">
        <f>INDEX(Lists!$C$4:$C$24,MATCH(Validation!$B$3,Lists!$B$4:$B$24,0))</f>
        <v>TMS</v>
      </c>
      <c r="B1334" s="1732" t="str">
        <f>'4J'!AR10</f>
        <v>WS1004TWD</v>
      </c>
      <c r="C1334" t="str">
        <f>+'4J'!$C10&amp;" - "&amp;'4J'!L$4</f>
        <v>Bulk supply - Treated water distribution</v>
      </c>
      <c r="D1334" s="1620" t="str">
        <f t="shared" si="3"/>
        <v>£m</v>
      </c>
      <c r="E1334" s="1636" t="s">
        <v>9</v>
      </c>
      <c r="G1334" s="1635">
        <f>'4J'!L10</f>
        <v>0.107</v>
      </c>
      <c r="H1334" s="1636"/>
    </row>
    <row r="1335" spans="1:8">
      <c r="A1335" s="1620" t="str">
        <f>INDEX(Lists!$C$4:$C$24,MATCH(Validation!$B$3,Lists!$B$4:$B$24,0))</f>
        <v>TMS</v>
      </c>
      <c r="B1335" s="1732" t="str">
        <f>'4J'!AR12</f>
        <v>WS1005TWD</v>
      </c>
      <c r="C1335" t="str">
        <f>+'4J'!$C$11&amp;" "&amp;'4J'!$C12&amp;" - "&amp;'4J'!L$4</f>
        <v>Other operating expenditure - Renewals expensed in year (Infrastructure) - Treated water distribution</v>
      </c>
      <c r="D1335" s="1620" t="str">
        <f t="shared" si="3"/>
        <v>£m</v>
      </c>
      <c r="E1335" s="1636" t="s">
        <v>9</v>
      </c>
      <c r="G1335" s="1635">
        <f>'4J'!L12</f>
        <v>63.095999999999997</v>
      </c>
      <c r="H1335" s="1636"/>
    </row>
    <row r="1336" spans="1:8">
      <c r="A1336" s="1620" t="str">
        <f>INDEX(Lists!$C$4:$C$24,MATCH(Validation!$B$3,Lists!$B$4:$B$24,0))</f>
        <v>TMS</v>
      </c>
      <c r="B1336" s="1732" t="str">
        <f>'4J'!AR13</f>
        <v>WS1006TWD</v>
      </c>
      <c r="C1336" t="str">
        <f>+'4J'!$C$11&amp;" "&amp;'4J'!$C13&amp;" - "&amp;'4J'!L$4</f>
        <v>Other operating expenditure - Renewals expensed in year (Non-Infrastructure) - Treated water distribution</v>
      </c>
      <c r="D1336" s="1620" t="str">
        <f t="shared" si="3"/>
        <v>£m</v>
      </c>
      <c r="E1336" s="1636" t="s">
        <v>9</v>
      </c>
      <c r="G1336" s="1635">
        <f>'4J'!L13</f>
        <v>0</v>
      </c>
      <c r="H1336" s="1636"/>
    </row>
    <row r="1337" spans="1:8">
      <c r="A1337" s="1620" t="str">
        <f>INDEX(Lists!$C$4:$C$24,MATCH(Validation!$B$3,Lists!$B$4:$B$24,0))</f>
        <v>TMS</v>
      </c>
      <c r="B1337" s="1732" t="str">
        <f>'4J'!AR14</f>
        <v>WS1007TWD</v>
      </c>
      <c r="C1337" t="str">
        <f>+'4J'!$C$11&amp;" "&amp;'4J'!$C14&amp;" - "&amp;'4J'!L$4</f>
        <v>Other operating expenditure - Other operating expenditure excluding renewals - Treated water distribution</v>
      </c>
      <c r="D1337" s="1620" t="str">
        <f t="shared" si="3"/>
        <v>£m</v>
      </c>
      <c r="E1337" s="1636" t="s">
        <v>9</v>
      </c>
      <c r="G1337" s="1635">
        <f>'4J'!L14</f>
        <v>162.12</v>
      </c>
      <c r="H1337" s="1636"/>
    </row>
    <row r="1338" spans="1:8">
      <c r="A1338" s="1620" t="str">
        <f>INDEX(Lists!$C$4:$C$24,MATCH(Validation!$B$3,Lists!$B$4:$B$24,0))</f>
        <v>TMS</v>
      </c>
      <c r="B1338" s="1732" t="str">
        <f>'4J'!AR15</f>
        <v>WS1008TWD</v>
      </c>
      <c r="C1338" t="str">
        <f>+'4J'!$C15&amp;" - "&amp;'4J'!L$4</f>
        <v>Local authority and Cumulo rates - Treated water distribution</v>
      </c>
      <c r="D1338" s="1620" t="str">
        <f t="shared" si="3"/>
        <v>£m</v>
      </c>
      <c r="E1338" s="1636" t="s">
        <v>9</v>
      </c>
      <c r="G1338" s="1635">
        <f>'4J'!L15</f>
        <v>60.44</v>
      </c>
      <c r="H1338" s="1636"/>
    </row>
    <row r="1339" spans="1:8">
      <c r="A1339" s="1620" t="str">
        <f>INDEX(Lists!$C$4:$C$24,MATCH(Validation!$B$3,Lists!$B$4:$B$24,0))</f>
        <v>TMS</v>
      </c>
      <c r="B1339" s="1732" t="str">
        <f>'4J'!AR18</f>
        <v>WS1010TWD</v>
      </c>
      <c r="C1339" t="str">
        <f>+'4J'!$C18&amp;" - "&amp;'4J'!L$4</f>
        <v>Third party services - Treated water distribution</v>
      </c>
      <c r="D1339" s="1620" t="str">
        <f t="shared" si="3"/>
        <v>£m</v>
      </c>
      <c r="E1339" s="1636" t="s">
        <v>9</v>
      </c>
      <c r="G1339" s="1635">
        <f>'4J'!L18</f>
        <v>3.722</v>
      </c>
      <c r="H1339" s="1636"/>
    </row>
    <row r="1340" spans="1:8">
      <c r="A1340" s="1620" t="str">
        <f>INDEX(Lists!$C$4:$C$24,MATCH(Validation!$B$3,Lists!$B$4:$B$24,0))</f>
        <v>TMS</v>
      </c>
      <c r="B1340" s="1732" t="str">
        <f>'4J'!AR22</f>
        <v>WS1012TWD</v>
      </c>
      <c r="C1340" t="str">
        <f>+'4J'!$C22&amp;" - "&amp;'4J'!L$4</f>
        <v>Maintaining the long term capability of the assets - infra - Treated water distribution</v>
      </c>
      <c r="D1340" s="1620" t="str">
        <f t="shared" si="3"/>
        <v>£m</v>
      </c>
      <c r="E1340" s="1636" t="s">
        <v>9</v>
      </c>
      <c r="G1340" s="1635">
        <f>'4J'!L22</f>
        <v>134.57484032944441</v>
      </c>
      <c r="H1340" s="1636"/>
    </row>
    <row r="1341" spans="1:8">
      <c r="A1341" s="1620" t="str">
        <f>INDEX(Lists!$C$4:$C$24,MATCH(Validation!$B$3,Lists!$B$4:$B$24,0))</f>
        <v>TMS</v>
      </c>
      <c r="B1341" s="1732" t="str">
        <f>'4J'!AR23</f>
        <v>WS1013TWD</v>
      </c>
      <c r="C1341" t="str">
        <f>+'4J'!$C23&amp;" - "&amp;'4J'!L$4</f>
        <v>Maintaining the long term capability of the assets - non-infra - Treated water distribution</v>
      </c>
      <c r="D1341" s="1620" t="str">
        <f t="shared" si="3"/>
        <v>£m</v>
      </c>
      <c r="E1341" s="1636" t="s">
        <v>9</v>
      </c>
      <c r="G1341" s="1635">
        <f>'4J'!L23</f>
        <v>92.40272480503171</v>
      </c>
      <c r="H1341" s="1636"/>
    </row>
    <row r="1342" spans="1:8">
      <c r="A1342" s="1620" t="str">
        <f>INDEX(Lists!$C$4:$C$24,MATCH(Validation!$B$3,Lists!$B$4:$B$24,0))</f>
        <v>TMS</v>
      </c>
      <c r="B1342" s="1732" t="str">
        <f>'4J'!AR24</f>
        <v>WS1014TWD</v>
      </c>
      <c r="C1342" t="str">
        <f>+'4J'!$C24&amp;" - "&amp;'4J'!L$4</f>
        <v>Other capital expenditure - infra - Treated water distribution</v>
      </c>
      <c r="D1342" s="1620" t="str">
        <f t="shared" si="3"/>
        <v>£m</v>
      </c>
      <c r="E1342" s="1636" t="s">
        <v>9</v>
      </c>
      <c r="G1342" s="1635">
        <f>'4J'!L24</f>
        <v>64.913960524018833</v>
      </c>
      <c r="H1342" s="1636"/>
    </row>
    <row r="1343" spans="1:8">
      <c r="A1343" s="1620" t="str">
        <f>INDEX(Lists!$C$4:$C$24,MATCH(Validation!$B$3,Lists!$B$4:$B$24,0))</f>
        <v>TMS</v>
      </c>
      <c r="B1343" s="1732" t="str">
        <f>'4J'!AR25</f>
        <v>WS1015TWD</v>
      </c>
      <c r="C1343" t="str">
        <f>+'4J'!$C25&amp;" - "&amp;'4J'!L$4</f>
        <v>Other capital expenditure - non-infra - Treated water distribution</v>
      </c>
      <c r="D1343" s="1620" t="str">
        <f t="shared" si="3"/>
        <v>£m</v>
      </c>
      <c r="E1343" s="1636" t="s">
        <v>9</v>
      </c>
      <c r="G1343" s="1635">
        <f>'4J'!L25</f>
        <v>59.74464802752879</v>
      </c>
      <c r="H1343" s="1636"/>
    </row>
    <row r="1344" spans="1:8">
      <c r="A1344" s="1620" t="str">
        <f>INDEX(Lists!$C$4:$C$24,MATCH(Validation!$B$3,Lists!$B$4:$B$24,0))</f>
        <v>TMS</v>
      </c>
      <c r="B1344" s="1732" t="str">
        <f>'4J'!AR26</f>
        <v>WS1016TWD</v>
      </c>
      <c r="C1344" t="str">
        <f>+'4J'!$C26&amp;" - "&amp;'4J'!L$4</f>
        <v>Infrastructure network reinforcement - Treated water distribution</v>
      </c>
      <c r="D1344" s="1620" t="str">
        <f t="shared" si="3"/>
        <v>£m</v>
      </c>
      <c r="E1344" s="1636" t="s">
        <v>9</v>
      </c>
      <c r="G1344" s="1635">
        <f>'4J'!L26</f>
        <v>8.2260048914245552</v>
      </c>
      <c r="H1344" s="1636"/>
    </row>
    <row r="1345" spans="1:8">
      <c r="A1345" s="1620" t="str">
        <f>INDEX(Lists!$C$4:$C$24,MATCH(Validation!$B$3,Lists!$B$4:$B$24,0))</f>
        <v>TMS</v>
      </c>
      <c r="B1345" s="1732" t="str">
        <f>'4J'!AR28</f>
        <v>WS1018TWD</v>
      </c>
      <c r="C1345" t="str">
        <f>+'4J'!$C28&amp;" - "&amp;'4J'!L$4</f>
        <v>Third party services - Treated water distribution</v>
      </c>
      <c r="D1345" s="1620" t="str">
        <f t="shared" si="3"/>
        <v>£m</v>
      </c>
      <c r="E1345" s="1636" t="s">
        <v>9</v>
      </c>
      <c r="G1345" s="1635">
        <f>'4J'!L28</f>
        <v>3.6996290000000001E-2</v>
      </c>
      <c r="H1345" s="1636"/>
    </row>
    <row r="1346" spans="1:8">
      <c r="A1346" s="1620" t="str">
        <f>INDEX(Lists!$C$4:$C$24,MATCH(Validation!$B$3,Lists!$B$4:$B$24,0))</f>
        <v>TMS</v>
      </c>
      <c r="B1346" s="1732" t="str">
        <f>'4J'!AR30</f>
        <v>WS1020TWD</v>
      </c>
      <c r="C1346" t="str">
        <f>+'4J'!$C30&amp;" - "&amp;'4J'!L$4</f>
        <v>Grants and contributions - Treated water distribution</v>
      </c>
      <c r="D1346" s="1620" t="str">
        <f t="shared" si="3"/>
        <v>£m</v>
      </c>
      <c r="E1346" s="1636" t="s">
        <v>9</v>
      </c>
      <c r="G1346" s="1635">
        <f>'4J'!L30</f>
        <v>58.441000000000003</v>
      </c>
      <c r="H1346" s="1636"/>
    </row>
    <row r="1347" spans="1:8">
      <c r="A1347" s="1620" t="str">
        <f>INDEX(Lists!$C$4:$C$24,MATCH(Validation!$B$3,Lists!$B$4:$B$24,0))</f>
        <v>TMS</v>
      </c>
      <c r="B1347" s="1732" t="str">
        <f>'4J'!AR34</f>
        <v>WS1022TWD</v>
      </c>
      <c r="C1347" t="str">
        <f>+'4J'!$C34&amp;" - "&amp;'4J'!L$4</f>
        <v>Pension deficit recovery payments - Treated water distribution</v>
      </c>
      <c r="D1347" s="1620" t="str">
        <f t="shared" ref="D1347:D1358" si="6">D1319</f>
        <v>£m</v>
      </c>
      <c r="E1347" s="1636" t="s">
        <v>9</v>
      </c>
      <c r="G1347" s="1635">
        <f>'4J'!L34</f>
        <v>6.25</v>
      </c>
      <c r="H1347" s="1636"/>
    </row>
    <row r="1348" spans="1:8">
      <c r="A1348" s="1620" t="str">
        <f>INDEX(Lists!$C$4:$C$24,MATCH(Validation!$B$3,Lists!$B$4:$B$24,0))</f>
        <v>TMS</v>
      </c>
      <c r="B1348" s="1732" t="str">
        <f>'4J'!AR35</f>
        <v>WS1023TWD</v>
      </c>
      <c r="C1348" t="str">
        <f>+'4J'!$C35&amp;" - "&amp;'4J'!L$4</f>
        <v>Other cash items - Treated water distribution</v>
      </c>
      <c r="D1348" s="1620" t="str">
        <f t="shared" si="6"/>
        <v>£m</v>
      </c>
      <c r="E1348" s="1636" t="s">
        <v>9</v>
      </c>
      <c r="G1348" s="1635">
        <f>'4J'!L35</f>
        <v>0</v>
      </c>
      <c r="H1348" s="1636"/>
    </row>
    <row r="1349" spans="1:8">
      <c r="A1349" s="1620" t="str">
        <f>INDEX(Lists!$C$4:$C$24,MATCH(Validation!$B$3,Lists!$B$4:$B$24,0))</f>
        <v>TMS</v>
      </c>
      <c r="B1349" s="1732" t="str">
        <f>'4J'!AR39</f>
        <v>BP3357001TWD</v>
      </c>
      <c r="C1349" t="str">
        <f>+'4J'!$C$38&amp;" - Item 1"&amp;" - "&amp;'4J'!L$4</f>
        <v>Atypical expenditure - Item 1 - Treated water distribution</v>
      </c>
      <c r="D1349" s="1620" t="str">
        <f t="shared" si="6"/>
        <v>£m</v>
      </c>
      <c r="E1349" s="1636" t="s">
        <v>9</v>
      </c>
      <c r="F1349" s="2" t="str">
        <f>F1209</f>
        <v>Restructuring costs</v>
      </c>
      <c r="G1349" s="1635">
        <f>IF(ISBLANK('4J'!L39), "##BLANK", '4J'!L39)</f>
        <v>1.635</v>
      </c>
      <c r="H1349" s="1636"/>
    </row>
    <row r="1350" spans="1:8">
      <c r="A1350" s="1620" t="str">
        <f>INDEX(Lists!$C$4:$C$24,MATCH(Validation!$B$3,Lists!$B$4:$B$24,0))</f>
        <v>TMS</v>
      </c>
      <c r="B1350" s="1732" t="str">
        <f>'4J'!AR40</f>
        <v>BP3357002TWD</v>
      </c>
      <c r="C1350" t="str">
        <f>+'4J'!$C$38&amp;" - Item 2"&amp;" - "&amp;'4J'!L$4</f>
        <v>Atypical expenditure - Item 2 - Treated water distribution</v>
      </c>
      <c r="D1350" s="1620" t="str">
        <f t="shared" si="6"/>
        <v>£m</v>
      </c>
      <c r="E1350" s="1636" t="s">
        <v>9</v>
      </c>
      <c r="F1350" s="2" t="str">
        <f t="shared" ref="F1350:F1358" si="7">F1210</f>
        <v>##BLANK</v>
      </c>
      <c r="G1350" s="1635" t="str">
        <f>IF(ISBLANK('4J'!L40), "##BLANK", '4J'!L40)</f>
        <v>##BLANK</v>
      </c>
      <c r="H1350" s="1636"/>
    </row>
    <row r="1351" spans="1:8">
      <c r="A1351" s="1620" t="str">
        <f>INDEX(Lists!$C$4:$C$24,MATCH(Validation!$B$3,Lists!$B$4:$B$24,0))</f>
        <v>TMS</v>
      </c>
      <c r="B1351" s="1732" t="str">
        <f>'4J'!AR41</f>
        <v>BP3357003TWD</v>
      </c>
      <c r="C1351" t="str">
        <f>+'4J'!$C$38&amp;" - Item 3"&amp;" - "&amp;'4J'!L$4</f>
        <v>Atypical expenditure - Item 3 - Treated water distribution</v>
      </c>
      <c r="D1351" s="1620" t="str">
        <f t="shared" si="6"/>
        <v>£m</v>
      </c>
      <c r="E1351" s="1636" t="s">
        <v>9</v>
      </c>
      <c r="F1351" s="2" t="str">
        <f t="shared" si="7"/>
        <v>##BLANK</v>
      </c>
      <c r="G1351" s="1635" t="str">
        <f>IF(ISBLANK('4J'!L41), "##BLANK", '4J'!L41)</f>
        <v>##BLANK</v>
      </c>
      <c r="H1351" s="1636"/>
    </row>
    <row r="1352" spans="1:8">
      <c r="A1352" s="1620" t="str">
        <f>INDEX(Lists!$C$4:$C$24,MATCH(Validation!$B$3,Lists!$B$4:$B$24,0))</f>
        <v>TMS</v>
      </c>
      <c r="B1352" s="1732" t="str">
        <f>'4J'!AR42</f>
        <v>BP3357004TWD</v>
      </c>
      <c r="C1352" t="str">
        <f>+'4J'!$C$38&amp;" - Item 4"&amp;" - "&amp;'4J'!L$4</f>
        <v>Atypical expenditure - Item 4 - Treated water distribution</v>
      </c>
      <c r="D1352" s="1620" t="str">
        <f t="shared" si="6"/>
        <v>£m</v>
      </c>
      <c r="E1352" s="1636" t="s">
        <v>9</v>
      </c>
      <c r="F1352" s="2" t="str">
        <f t="shared" si="7"/>
        <v>##BLANK</v>
      </c>
      <c r="G1352" s="1635" t="str">
        <f>IF(ISBLANK('4J'!L42), "##BLANK", '4J'!L42)</f>
        <v>##BLANK</v>
      </c>
      <c r="H1352" s="1636"/>
    </row>
    <row r="1353" spans="1:8">
      <c r="A1353" s="1620" t="str">
        <f>INDEX(Lists!$C$4:$C$24,MATCH(Validation!$B$3,Lists!$B$4:$B$24,0))</f>
        <v>TMS</v>
      </c>
      <c r="B1353" s="1732" t="str">
        <f>'4J'!AR43</f>
        <v>BP3357005TWD</v>
      </c>
      <c r="C1353" t="str">
        <f>+'4J'!$C$38&amp;" - Item 5"&amp;" - "&amp;'4J'!L$4</f>
        <v>Atypical expenditure - Item 5 - Treated water distribution</v>
      </c>
      <c r="D1353" s="1620" t="str">
        <f t="shared" si="6"/>
        <v>£m</v>
      </c>
      <c r="E1353" s="1636" t="s">
        <v>9</v>
      </c>
      <c r="F1353" s="2" t="str">
        <f t="shared" si="7"/>
        <v>##BLANK</v>
      </c>
      <c r="G1353" s="1635" t="str">
        <f>IF(ISBLANK('4J'!L43), "##BLANK", '4J'!L43)</f>
        <v>##BLANK</v>
      </c>
      <c r="H1353" s="1636"/>
    </row>
    <row r="1354" spans="1:8">
      <c r="A1354" s="1620" t="str">
        <f>INDEX(Lists!$C$4:$C$24,MATCH(Validation!$B$3,Lists!$B$4:$B$24,0))</f>
        <v>TMS</v>
      </c>
      <c r="B1354" s="1732" t="str">
        <f>'4J'!AR44</f>
        <v>BP3357006TWD</v>
      </c>
      <c r="C1354" t="str">
        <f>+'4J'!$C$38&amp;" - Item 6"&amp;" - "&amp;'4J'!L$4</f>
        <v>Atypical expenditure - Item 6 - Treated water distribution</v>
      </c>
      <c r="D1354" s="1620" t="str">
        <f t="shared" si="6"/>
        <v>£m</v>
      </c>
      <c r="E1354" s="1636" t="s">
        <v>9</v>
      </c>
      <c r="F1354" s="2" t="str">
        <f t="shared" si="7"/>
        <v>##BLANK</v>
      </c>
      <c r="G1354" s="1635" t="str">
        <f>IF(ISBLANK('4J'!L44), "##BLANK", '4J'!L44)</f>
        <v>##BLANK</v>
      </c>
      <c r="H1354" s="1636"/>
    </row>
    <row r="1355" spans="1:8">
      <c r="A1355" s="1620" t="str">
        <f>INDEX(Lists!$C$4:$C$24,MATCH(Validation!$B$3,Lists!$B$4:$B$24,0))</f>
        <v>TMS</v>
      </c>
      <c r="B1355" s="1732" t="str">
        <f>'4J'!AR45</f>
        <v>BP3357007TWD</v>
      </c>
      <c r="C1355" t="str">
        <f>+'4J'!$C$38&amp;" - Item 7"&amp;" - "&amp;'4J'!L$4</f>
        <v>Atypical expenditure - Item 7 - Treated water distribution</v>
      </c>
      <c r="D1355" s="1620" t="str">
        <f t="shared" si="6"/>
        <v>£m</v>
      </c>
      <c r="E1355" s="1636" t="s">
        <v>9</v>
      </c>
      <c r="F1355" s="2" t="str">
        <f t="shared" si="7"/>
        <v>##BLANK</v>
      </c>
      <c r="G1355" s="1635" t="str">
        <f>IF(ISBLANK('4J'!L45), "##BLANK", '4J'!L45)</f>
        <v>##BLANK</v>
      </c>
      <c r="H1355" s="1636"/>
    </row>
    <row r="1356" spans="1:8">
      <c r="A1356" s="1620" t="str">
        <f>INDEX(Lists!$C$4:$C$24,MATCH(Validation!$B$3,Lists!$B$4:$B$24,0))</f>
        <v>TMS</v>
      </c>
      <c r="B1356" s="1732" t="str">
        <f>'4J'!AR46</f>
        <v>BP3357008TWD</v>
      </c>
      <c r="C1356" t="str">
        <f>+'4J'!$C$38&amp;" - Item 8"&amp;" - "&amp;'4J'!L$4</f>
        <v>Atypical expenditure - Item 8 - Treated water distribution</v>
      </c>
      <c r="D1356" s="1620" t="str">
        <f t="shared" si="6"/>
        <v>£m</v>
      </c>
      <c r="E1356" s="1636" t="s">
        <v>9</v>
      </c>
      <c r="F1356" s="2" t="str">
        <f t="shared" si="7"/>
        <v>##BLANK</v>
      </c>
      <c r="G1356" s="1635" t="str">
        <f>IF(ISBLANK('4J'!L46), "##BLANK", '4J'!L46)</f>
        <v>##BLANK</v>
      </c>
      <c r="H1356" s="1636"/>
    </row>
    <row r="1357" spans="1:8">
      <c r="A1357" s="1620" t="str">
        <f>INDEX(Lists!$C$4:$C$24,MATCH(Validation!$B$3,Lists!$B$4:$B$24,0))</f>
        <v>TMS</v>
      </c>
      <c r="B1357" s="1732" t="str">
        <f>'4J'!AR47</f>
        <v>BP3357009TWD</v>
      </c>
      <c r="C1357" t="str">
        <f>+'4J'!$C$38&amp;" - Item 9"&amp;" - "&amp;'4J'!L$4</f>
        <v>Atypical expenditure - Item 9 - Treated water distribution</v>
      </c>
      <c r="D1357" s="1620" t="str">
        <f t="shared" si="6"/>
        <v>£m</v>
      </c>
      <c r="E1357" s="1636" t="s">
        <v>9</v>
      </c>
      <c r="F1357" s="2" t="str">
        <f t="shared" si="7"/>
        <v>##BLANK</v>
      </c>
      <c r="G1357" s="1635" t="str">
        <f>IF(ISBLANK('4J'!L47), "##BLANK", '4J'!L47)</f>
        <v>##BLANK</v>
      </c>
      <c r="H1357" s="1636"/>
    </row>
    <row r="1358" spans="1:8" ht="15" thickBot="1">
      <c r="A1358" s="1621" t="str">
        <f>INDEX(Lists!$C$4:$C$24,MATCH(Validation!$B$3,Lists!$B$4:$B$24,0))</f>
        <v>TMS</v>
      </c>
      <c r="B1358" s="1733" t="str">
        <f>'4J'!AR48</f>
        <v>BP3357010TWD</v>
      </c>
      <c r="C1358" s="1622" t="str">
        <f>+'4J'!$C$38&amp;" - Item 10"&amp;" - "&amp;'4J'!L$4</f>
        <v>Atypical expenditure - Item 10 - Treated water distribution</v>
      </c>
      <c r="D1358" s="1621" t="str">
        <f t="shared" si="6"/>
        <v>£m</v>
      </c>
      <c r="E1358" s="1649" t="s">
        <v>9</v>
      </c>
      <c r="F1358" s="1642" t="str">
        <f t="shared" si="7"/>
        <v>##BLANK</v>
      </c>
      <c r="G1358" s="1635" t="str">
        <f>IF(ISBLANK('4J'!L48), "##BLANK", '4J'!L48)</f>
        <v>##BLANK</v>
      </c>
      <c r="H1358" s="1649"/>
    </row>
    <row r="1359" spans="1:8">
      <c r="A1359" s="1618" t="str">
        <f>INDEX(Lists!$C$4:$C$24,MATCH(Validation!$B$3,Lists!$B$4:$B$24,0))</f>
        <v>TMS</v>
      </c>
      <c r="B1359" s="1731" t="str">
        <f>'4K'!AQ7</f>
        <v>WWS1001FL</v>
      </c>
      <c r="C1359" s="1619" t="str">
        <f>+'4K'!$C7&amp;" - "&amp;'4K'!G$4</f>
        <v>Power - Foul</v>
      </c>
      <c r="D1359" s="1618" t="str">
        <f>'4K'!E7</f>
        <v>£m</v>
      </c>
      <c r="E1359" s="1645" t="s">
        <v>9</v>
      </c>
      <c r="F1359" s="1644"/>
      <c r="G1359" s="1659">
        <f>'4K'!G7</f>
        <v>6.8620000000000001</v>
      </c>
      <c r="H1359" s="1645"/>
    </row>
    <row r="1360" spans="1:8">
      <c r="A1360" s="1620" t="str">
        <f>INDEX(Lists!$C$4:$C$24,MATCH(Validation!$B$3,Lists!$B$4:$B$24,0))</f>
        <v>TMS</v>
      </c>
      <c r="B1360" s="1732" t="str">
        <f>'4K'!AQ8</f>
        <v>WWS1002FL</v>
      </c>
      <c r="C1360" t="str">
        <f>+'4K'!$C8&amp;" - "&amp;'4K'!G$4</f>
        <v>Income treated as negative expenditure - Foul</v>
      </c>
      <c r="D1360" s="1620" t="str">
        <f>'4K'!E8</f>
        <v>£m</v>
      </c>
      <c r="E1360" s="1636" t="s">
        <v>9</v>
      </c>
      <c r="G1360" s="1635">
        <f>'4K'!G8</f>
        <v>-8.4000000000000005E-2</v>
      </c>
      <c r="H1360" s="1636"/>
    </row>
    <row r="1361" spans="1:8">
      <c r="A1361" s="1620" t="str">
        <f>INDEX(Lists!$C$4:$C$24,MATCH(Validation!$B$3,Lists!$B$4:$B$24,0))</f>
        <v>TMS</v>
      </c>
      <c r="B1361" s="1732" t="str">
        <f>'4K'!AQ9</f>
        <v>WWS1003FL</v>
      </c>
      <c r="C1361" t="str">
        <f>+'4K'!$C9&amp;" - "&amp;'4K'!G$4</f>
        <v>Discharge Consents - Foul</v>
      </c>
      <c r="D1361" s="1620" t="str">
        <f>'4K'!E9</f>
        <v>£m</v>
      </c>
      <c r="E1361" s="1636" t="s">
        <v>9</v>
      </c>
      <c r="G1361" s="1635">
        <f>'4K'!G9</f>
        <v>1.163</v>
      </c>
      <c r="H1361" s="1636"/>
    </row>
    <row r="1362" spans="1:8">
      <c r="A1362" s="1620" t="str">
        <f>INDEX(Lists!$C$4:$C$24,MATCH(Validation!$B$3,Lists!$B$4:$B$24,0))</f>
        <v>TMS</v>
      </c>
      <c r="B1362" s="1732" t="str">
        <f>'4K'!AQ10</f>
        <v>WWS1004FL</v>
      </c>
      <c r="C1362" t="str">
        <f>+'4K'!$C10&amp;" - "&amp;'4K'!G$4</f>
        <v>Bulk discharge - Foul</v>
      </c>
      <c r="D1362" s="1620" t="str">
        <f>'4K'!E10</f>
        <v>£m</v>
      </c>
      <c r="E1362" s="1636" t="s">
        <v>9</v>
      </c>
      <c r="G1362" s="1635">
        <f>'4K'!G10</f>
        <v>0</v>
      </c>
      <c r="H1362" s="1636"/>
    </row>
    <row r="1363" spans="1:8">
      <c r="A1363" s="1620" t="str">
        <f>INDEX(Lists!$C$4:$C$24,MATCH(Validation!$B$3,Lists!$B$4:$B$24,0))</f>
        <v>TMS</v>
      </c>
      <c r="B1363" s="1732" t="str">
        <f>'4K'!AQ12</f>
        <v>WWS1005FL</v>
      </c>
      <c r="C1363" t="str">
        <f>+'4K'!$C$11&amp;" "&amp;'4K'!$C12&amp;" - "&amp;'4K'!G$4</f>
        <v>Other operating expenditure - Renewals expensed in year (Infrastructure) - Foul</v>
      </c>
      <c r="D1363" s="1620" t="str">
        <f>'4K'!E12</f>
        <v>£m</v>
      </c>
      <c r="E1363" s="1636" t="s">
        <v>9</v>
      </c>
      <c r="G1363" s="1635">
        <f>'4K'!G12</f>
        <v>45.965000000000003</v>
      </c>
      <c r="H1363" s="1636"/>
    </row>
    <row r="1364" spans="1:8">
      <c r="A1364" s="1620" t="str">
        <f>INDEX(Lists!$C$4:$C$24,MATCH(Validation!$B$3,Lists!$B$4:$B$24,0))</f>
        <v>TMS</v>
      </c>
      <c r="B1364" s="1732" t="str">
        <f>'4K'!AQ13</f>
        <v>WWS1006FL</v>
      </c>
      <c r="C1364" t="str">
        <f>+'4K'!$C$11&amp;" "&amp;'4K'!$C13&amp;" - "&amp;'4K'!G$4</f>
        <v>Other operating expenditure - Renewals expensed in year (Non-Infrastructure) - Foul</v>
      </c>
      <c r="D1364" s="1620" t="str">
        <f>'4K'!E13</f>
        <v>£m</v>
      </c>
      <c r="E1364" s="1636" t="s">
        <v>9</v>
      </c>
      <c r="G1364" s="1635">
        <f>'4K'!G13</f>
        <v>0</v>
      </c>
      <c r="H1364" s="1636"/>
    </row>
    <row r="1365" spans="1:8">
      <c r="A1365" s="1620" t="str">
        <f>INDEX(Lists!$C$4:$C$24,MATCH(Validation!$B$3,Lists!$B$4:$B$24,0))</f>
        <v>TMS</v>
      </c>
      <c r="B1365" s="1732" t="str">
        <f>'4K'!AQ14</f>
        <v>WWS1007FL</v>
      </c>
      <c r="C1365" t="str">
        <f>+'4K'!$C$11&amp;" "&amp;'4K'!$C14&amp;" - "&amp;'4K'!G$4</f>
        <v>Other operating expenditure - Other operating expenditure excluding renewals - Foul</v>
      </c>
      <c r="D1365" s="1620" t="str">
        <f>'4K'!E14</f>
        <v>£m</v>
      </c>
      <c r="E1365" s="1636" t="s">
        <v>9</v>
      </c>
      <c r="G1365" s="1635">
        <f>'4K'!G14</f>
        <v>56.173000000000002</v>
      </c>
      <c r="H1365" s="1636"/>
    </row>
    <row r="1366" spans="1:8">
      <c r="A1366" s="1620" t="str">
        <f>INDEX(Lists!$C$4:$C$24,MATCH(Validation!$B$3,Lists!$B$4:$B$24,0))</f>
        <v>TMS</v>
      </c>
      <c r="B1366" s="1732" t="str">
        <f>'4K'!AQ15</f>
        <v>WWS1008FL</v>
      </c>
      <c r="C1366" t="str">
        <f>+'4K'!$C15&amp;" - "&amp;'4K'!G$4</f>
        <v>Local authority and Cumulo rates - Foul</v>
      </c>
      <c r="D1366" s="1620" t="str">
        <f>'4K'!E15</f>
        <v>£m</v>
      </c>
      <c r="E1366" s="1636" t="s">
        <v>9</v>
      </c>
      <c r="G1366" s="1635">
        <f>'4K'!G15</f>
        <v>0</v>
      </c>
      <c r="H1366" s="1636"/>
    </row>
    <row r="1367" spans="1:8">
      <c r="A1367" s="1620" t="str">
        <f>INDEX(Lists!$C$4:$C$24,MATCH(Validation!$B$3,Lists!$B$4:$B$24,0))</f>
        <v>TMS</v>
      </c>
      <c r="B1367" s="1732" t="str">
        <f>'4K'!AQ18</f>
        <v>WWS1010FL</v>
      </c>
      <c r="C1367" t="str">
        <f>+'4K'!$C18&amp;" - "&amp;'4K'!G$4</f>
        <v>Third party services - Foul</v>
      </c>
      <c r="D1367" s="1620" t="str">
        <f>'4K'!E18</f>
        <v>£m</v>
      </c>
      <c r="E1367" s="1636" t="s">
        <v>9</v>
      </c>
      <c r="G1367" s="1635">
        <f>'4K'!G18</f>
        <v>3.0259999999999998</v>
      </c>
      <c r="H1367" s="1636"/>
    </row>
    <row r="1368" spans="1:8">
      <c r="A1368" s="1620" t="str">
        <f>INDEX(Lists!$C$4:$C$24,MATCH(Validation!$B$3,Lists!$B$4:$B$24,0))</f>
        <v>TMS</v>
      </c>
      <c r="B1368" s="1732" t="str">
        <f>'4K'!AQ22</f>
        <v>WWS1012FL</v>
      </c>
      <c r="C1368" t="str">
        <f>+'4K'!$C22&amp;" - "&amp;'4K'!G$4</f>
        <v>Maintaining the long term capability of the assets - infra - Foul</v>
      </c>
      <c r="D1368" s="1620" t="str">
        <f>'4K'!E22</f>
        <v>£m</v>
      </c>
      <c r="E1368" s="1636" t="s">
        <v>9</v>
      </c>
      <c r="G1368" s="1635">
        <f>'4K'!G22</f>
        <v>70.797585495842441</v>
      </c>
      <c r="H1368" s="1636"/>
    </row>
    <row r="1369" spans="1:8">
      <c r="A1369" s="1620" t="str">
        <f>INDEX(Lists!$C$4:$C$24,MATCH(Validation!$B$3,Lists!$B$4:$B$24,0))</f>
        <v>TMS</v>
      </c>
      <c r="B1369" s="1732" t="str">
        <f>'4K'!AQ23</f>
        <v>WWS1013FL</v>
      </c>
      <c r="C1369" t="str">
        <f>+'4K'!$C23&amp;" - "&amp;'4K'!G$4</f>
        <v>Maintaining the long term capability of the assets - non-infra - Foul</v>
      </c>
      <c r="D1369" s="1620" t="str">
        <f>'4K'!E23</f>
        <v>£m</v>
      </c>
      <c r="E1369" s="1636" t="s">
        <v>9</v>
      </c>
      <c r="G1369" s="1635">
        <f>'4K'!G23</f>
        <v>28.021003832869702</v>
      </c>
      <c r="H1369" s="1636"/>
    </row>
    <row r="1370" spans="1:8">
      <c r="A1370" s="1620" t="str">
        <f>INDEX(Lists!$C$4:$C$24,MATCH(Validation!$B$3,Lists!$B$4:$B$24,0))</f>
        <v>TMS</v>
      </c>
      <c r="B1370" s="1732" t="str">
        <f>'4K'!AQ24</f>
        <v>WWS1014FL</v>
      </c>
      <c r="C1370" t="str">
        <f>+'4K'!$C24&amp;" - "&amp;'4K'!G$4</f>
        <v>Other capital expenditure - infra - Foul</v>
      </c>
      <c r="D1370" s="1620" t="str">
        <f>'4K'!E24</f>
        <v>£m</v>
      </c>
      <c r="E1370" s="1636" t="s">
        <v>9</v>
      </c>
      <c r="G1370" s="1635">
        <f>'4K'!G24</f>
        <v>31.374159731326611</v>
      </c>
      <c r="H1370" s="1636"/>
    </row>
    <row r="1371" spans="1:8">
      <c r="A1371" s="1620" t="str">
        <f>INDEX(Lists!$C$4:$C$24,MATCH(Validation!$B$3,Lists!$B$4:$B$24,0))</f>
        <v>TMS</v>
      </c>
      <c r="B1371" s="1732" t="str">
        <f>'4K'!AQ25</f>
        <v>WWS1015FL</v>
      </c>
      <c r="C1371" t="str">
        <f>+'4K'!$C25&amp;" - "&amp;'4K'!G$4</f>
        <v>Other capital expenditure - non-infra - Foul</v>
      </c>
      <c r="D1371" s="1620" t="str">
        <f>'4K'!E25</f>
        <v>£m</v>
      </c>
      <c r="E1371" s="1636" t="s">
        <v>9</v>
      </c>
      <c r="G1371" s="1635">
        <f>'4K'!G25</f>
        <v>4.3296251312518308</v>
      </c>
      <c r="H1371" s="1636"/>
    </row>
    <row r="1372" spans="1:8">
      <c r="A1372" s="1620" t="str">
        <f>INDEX(Lists!$C$4:$C$24,MATCH(Validation!$B$3,Lists!$B$4:$B$24,0))</f>
        <v>TMS</v>
      </c>
      <c r="B1372" s="1732" t="str">
        <f>'4K'!AQ26</f>
        <v>WWS1016FL</v>
      </c>
      <c r="C1372" t="str">
        <f>+'4K'!$C26&amp;" - "&amp;'4K'!G$4</f>
        <v>Infrastructure network reinforcement - Foul</v>
      </c>
      <c r="D1372" s="1620" t="str">
        <f>'4K'!E26</f>
        <v>£m</v>
      </c>
      <c r="E1372" s="1636" t="s">
        <v>9</v>
      </c>
      <c r="G1372" s="1635">
        <f>'4K'!G26</f>
        <v>3.8382532123766611</v>
      </c>
      <c r="H1372" s="1636"/>
    </row>
    <row r="1373" spans="1:8">
      <c r="A1373" s="1620" t="str">
        <f>INDEX(Lists!$C$4:$C$24,MATCH(Validation!$B$3,Lists!$B$4:$B$24,0))</f>
        <v>TMS</v>
      </c>
      <c r="B1373" s="1732" t="str">
        <f>'4K'!AQ28</f>
        <v>WWS1018FL</v>
      </c>
      <c r="C1373" t="str">
        <f>+'4K'!$C28&amp;" - "&amp;'4K'!G$4</f>
        <v>Third party services - Foul</v>
      </c>
      <c r="D1373" s="1620" t="str">
        <f>'4K'!E28</f>
        <v>£m</v>
      </c>
      <c r="E1373" s="1636" t="s">
        <v>9</v>
      </c>
      <c r="G1373" s="1635">
        <f>'4K'!G28</f>
        <v>3.9925510000000004E-2</v>
      </c>
      <c r="H1373" s="1636"/>
    </row>
    <row r="1374" spans="1:8">
      <c r="A1374" s="1620" t="str">
        <f>INDEX(Lists!$C$4:$C$24,MATCH(Validation!$B$3,Lists!$B$4:$B$24,0))</f>
        <v>TMS</v>
      </c>
      <c r="B1374" s="1732" t="str">
        <f>'4K'!AQ30</f>
        <v>WWS1020FL</v>
      </c>
      <c r="C1374" t="str">
        <f>+'4K'!$C30&amp;" - "&amp;'4K'!G$4</f>
        <v>Grants and contributions  - Foul</v>
      </c>
      <c r="D1374" s="1620" t="str">
        <f>'4K'!E30</f>
        <v>£m</v>
      </c>
      <c r="E1374" s="1636" t="s">
        <v>9</v>
      </c>
      <c r="G1374" s="1635">
        <f>'4K'!G30</f>
        <v>34.822000000000003</v>
      </c>
      <c r="H1374" s="1636"/>
    </row>
    <row r="1375" spans="1:8">
      <c r="A1375" s="1620" t="str">
        <f>INDEX(Lists!$C$4:$C$24,MATCH(Validation!$B$3,Lists!$B$4:$B$24,0))</f>
        <v>TMS</v>
      </c>
      <c r="B1375" s="1732" t="str">
        <f>'4K'!AQ34</f>
        <v>WWS1022FL</v>
      </c>
      <c r="C1375" t="str">
        <f>+'4K'!$C34&amp;" - "&amp;'4K'!G$4</f>
        <v>Pension deficit recovery payments - Foul</v>
      </c>
      <c r="D1375" s="1620" t="str">
        <f>'4K'!E34</f>
        <v>£m</v>
      </c>
      <c r="E1375" s="1636" t="s">
        <v>9</v>
      </c>
      <c r="G1375" s="1635">
        <f>'4K'!G34</f>
        <v>2.4820000000000002</v>
      </c>
      <c r="H1375" s="1636"/>
    </row>
    <row r="1376" spans="1:8">
      <c r="A1376" s="1620" t="str">
        <f>INDEX(Lists!$C$4:$C$24,MATCH(Validation!$B$3,Lists!$B$4:$B$24,0))</f>
        <v>TMS</v>
      </c>
      <c r="B1376" s="1732" t="str">
        <f>'4K'!AQ35</f>
        <v>WWS1023FL</v>
      </c>
      <c r="C1376" t="str">
        <f>+'4K'!$C35&amp;" - "&amp;'4K'!G$4</f>
        <v>Other cash items - Foul</v>
      </c>
      <c r="D1376" s="1620" t="str">
        <f>'4K'!E35</f>
        <v>£m</v>
      </c>
      <c r="E1376" s="1636" t="s">
        <v>9</v>
      </c>
      <c r="G1376" s="1635">
        <f>'4K'!G35</f>
        <v>0</v>
      </c>
      <c r="H1376" s="1636"/>
    </row>
    <row r="1377" spans="1:8">
      <c r="A1377" s="1620" t="str">
        <f>INDEX(Lists!$C$4:$C$24,MATCH(Validation!$B$3,Lists!$B$4:$B$24,0))</f>
        <v>TMS</v>
      </c>
      <c r="B1377" s="1732" t="str">
        <f>'4K'!AQ39</f>
        <v>BP3357001FL</v>
      </c>
      <c r="C1377" t="str">
        <f>+'4K'!$C$38&amp;" - Item 1 - "&amp;'4K'!G$4</f>
        <v>Atypical expenditure - Item 1 - Foul</v>
      </c>
      <c r="D1377" s="1620" t="str">
        <f>'4K'!E39</f>
        <v>£m</v>
      </c>
      <c r="E1377" s="1636" t="s">
        <v>9</v>
      </c>
      <c r="F1377" s="2" t="str">
        <f>IF(OR(ISBLANK('4K'!$C39),'4K'!$C39="Item 1"), "##BLANK", '4K'!$C39)</f>
        <v>Restructuring costs</v>
      </c>
      <c r="G1377" s="1635">
        <f>IF(ISBLANK('4K'!G39), "##BLANK", '4K'!G39)</f>
        <v>0.57599999999999996</v>
      </c>
      <c r="H1377" s="1636"/>
    </row>
    <row r="1378" spans="1:8">
      <c r="A1378" s="1620" t="str">
        <f>INDEX(Lists!$C$4:$C$24,MATCH(Validation!$B$3,Lists!$B$4:$B$24,0))</f>
        <v>TMS</v>
      </c>
      <c r="B1378" s="1732" t="str">
        <f>'4K'!AQ40</f>
        <v>BP3357002FL</v>
      </c>
      <c r="C1378" t="str">
        <f>+'4K'!$C$38&amp;" - Item 2 - "&amp;'4K'!G$4</f>
        <v>Atypical expenditure - Item 2 - Foul</v>
      </c>
      <c r="D1378" s="1620" t="str">
        <f>'4K'!E40</f>
        <v>£m</v>
      </c>
      <c r="E1378" s="1636" t="s">
        <v>9</v>
      </c>
      <c r="F1378" s="2" t="str">
        <f>IF(OR(ISBLANK('4K'!$C40),'4K'!$C40="Item 2"), "##BLANK", '4K'!$C40)</f>
        <v>##BLANK</v>
      </c>
      <c r="G1378" s="1635" t="str">
        <f>IF(ISBLANK('4K'!G40), "##BLANK", '4K'!G40)</f>
        <v>##BLANK</v>
      </c>
      <c r="H1378" s="1636"/>
    </row>
    <row r="1379" spans="1:8">
      <c r="A1379" s="1620" t="str">
        <f>INDEX(Lists!$C$4:$C$24,MATCH(Validation!$B$3,Lists!$B$4:$B$24,0))</f>
        <v>TMS</v>
      </c>
      <c r="B1379" s="1732" t="str">
        <f>'4K'!AQ41</f>
        <v>BP3357003FL</v>
      </c>
      <c r="C1379" t="str">
        <f>+'4K'!$C$38&amp;" - Item 3 - "&amp;'4K'!G$4</f>
        <v>Atypical expenditure - Item 3 - Foul</v>
      </c>
      <c r="D1379" s="1620" t="str">
        <f>'4K'!E41</f>
        <v>£m</v>
      </c>
      <c r="E1379" s="1636" t="s">
        <v>9</v>
      </c>
      <c r="F1379" s="2" t="str">
        <f>IF(OR(ISBLANK('4K'!$C41),'4K'!$C41="Item 3"), "##BLANK", '4K'!$C41)</f>
        <v>##BLANK</v>
      </c>
      <c r="G1379" s="1635" t="str">
        <f>IF(ISBLANK('4K'!G41), "##BLANK", '4K'!G41)</f>
        <v>##BLANK</v>
      </c>
      <c r="H1379" s="1636"/>
    </row>
    <row r="1380" spans="1:8">
      <c r="A1380" s="1620" t="str">
        <f>INDEX(Lists!$C$4:$C$24,MATCH(Validation!$B$3,Lists!$B$4:$B$24,0))</f>
        <v>TMS</v>
      </c>
      <c r="B1380" s="1732" t="str">
        <f>'4K'!AQ42</f>
        <v>BP3357004FL</v>
      </c>
      <c r="C1380" t="str">
        <f>+'4K'!$C$38&amp;" - Item 4 - "&amp;'4K'!G$4</f>
        <v>Atypical expenditure - Item 4 - Foul</v>
      </c>
      <c r="D1380" s="1620" t="str">
        <f>'4K'!E42</f>
        <v>£m</v>
      </c>
      <c r="E1380" s="1636" t="s">
        <v>9</v>
      </c>
      <c r="F1380" s="2" t="str">
        <f>IF(OR(ISBLANK('4K'!$C42),'4K'!$C42="Item 4"), "##BLANK", '4K'!$C42)</f>
        <v>##BLANK</v>
      </c>
      <c r="G1380" s="1635" t="str">
        <f>IF(ISBLANK('4K'!G42), "##BLANK", '4K'!G42)</f>
        <v>##BLANK</v>
      </c>
      <c r="H1380" s="1636"/>
    </row>
    <row r="1381" spans="1:8">
      <c r="A1381" s="1620" t="str">
        <f>INDEX(Lists!$C$4:$C$24,MATCH(Validation!$B$3,Lists!$B$4:$B$24,0))</f>
        <v>TMS</v>
      </c>
      <c r="B1381" s="1732" t="str">
        <f>'4K'!AQ43</f>
        <v>BP3357005FL</v>
      </c>
      <c r="C1381" t="str">
        <f>+'4K'!$C$38&amp;" - Item 5 - "&amp;'4K'!G$4</f>
        <v>Atypical expenditure - Item 5 - Foul</v>
      </c>
      <c r="D1381" s="1620" t="str">
        <f>'4K'!E43</f>
        <v>£m</v>
      </c>
      <c r="E1381" s="1636" t="s">
        <v>9</v>
      </c>
      <c r="F1381" s="2" t="str">
        <f>IF(OR(ISBLANK('4K'!$C43),'4K'!$C43="Item 5"), "##BLANK", '4K'!$C43)</f>
        <v>##BLANK</v>
      </c>
      <c r="G1381" s="1635" t="str">
        <f>IF(ISBLANK('4K'!G43), "##BLANK", '4K'!G43)</f>
        <v>##BLANK</v>
      </c>
      <c r="H1381" s="1636"/>
    </row>
    <row r="1382" spans="1:8">
      <c r="A1382" s="1620" t="str">
        <f>INDEX(Lists!$C$4:$C$24,MATCH(Validation!$B$3,Lists!$B$4:$B$24,0))</f>
        <v>TMS</v>
      </c>
      <c r="B1382" s="1732" t="str">
        <f>'4K'!AQ44</f>
        <v>BP3357006FL</v>
      </c>
      <c r="C1382" t="str">
        <f>+'4K'!$C$38&amp;" - Item 6 - "&amp;'4K'!G$4</f>
        <v>Atypical expenditure - Item 6 - Foul</v>
      </c>
      <c r="D1382" s="1620" t="str">
        <f>'4K'!E44</f>
        <v>£m</v>
      </c>
      <c r="E1382" s="1636" t="s">
        <v>9</v>
      </c>
      <c r="F1382" s="2" t="str">
        <f>IF(OR(ISBLANK('4K'!$C44),'4K'!$C44="Item 6"), "##BLANK", '4K'!$C44)</f>
        <v>##BLANK</v>
      </c>
      <c r="G1382" s="1635" t="str">
        <f>IF(ISBLANK('4K'!G44), "##BLANK", '4K'!G44)</f>
        <v>##BLANK</v>
      </c>
      <c r="H1382" s="1636"/>
    </row>
    <row r="1383" spans="1:8">
      <c r="A1383" s="1620" t="str">
        <f>INDEX(Lists!$C$4:$C$24,MATCH(Validation!$B$3,Lists!$B$4:$B$24,0))</f>
        <v>TMS</v>
      </c>
      <c r="B1383" s="1732" t="str">
        <f>'4K'!AQ45</f>
        <v>BP3357007FL</v>
      </c>
      <c r="C1383" t="str">
        <f>+'4K'!$C$38&amp;" - Item 7 - "&amp;'4K'!G$4</f>
        <v>Atypical expenditure - Item 7 - Foul</v>
      </c>
      <c r="D1383" s="1620" t="str">
        <f>'4K'!E45</f>
        <v>£m</v>
      </c>
      <c r="E1383" s="1636" t="s">
        <v>9</v>
      </c>
      <c r="F1383" s="2" t="str">
        <f>IF(OR(ISBLANK('4K'!$C45),'4K'!$C45="Item 7"), "##BLANK", '4K'!$C45)</f>
        <v>##BLANK</v>
      </c>
      <c r="G1383" s="1635" t="str">
        <f>IF(ISBLANK('4K'!G45), "##BLANK", '4K'!G45)</f>
        <v>##BLANK</v>
      </c>
      <c r="H1383" s="1636"/>
    </row>
    <row r="1384" spans="1:8">
      <c r="A1384" s="1620" t="str">
        <f>INDEX(Lists!$C$4:$C$24,MATCH(Validation!$B$3,Lists!$B$4:$B$24,0))</f>
        <v>TMS</v>
      </c>
      <c r="B1384" s="1732" t="str">
        <f>'4K'!AQ46</f>
        <v>BP3357008FL</v>
      </c>
      <c r="C1384" t="str">
        <f>+'4K'!$C$38&amp;" - Item 8 - "&amp;'4K'!G$4</f>
        <v>Atypical expenditure - Item 8 - Foul</v>
      </c>
      <c r="D1384" s="1620" t="str">
        <f>'4K'!E46</f>
        <v>£m</v>
      </c>
      <c r="E1384" s="1636" t="s">
        <v>9</v>
      </c>
      <c r="F1384" s="2" t="str">
        <f>IF(OR(ISBLANK('4K'!$C46),'4K'!$C46="Item 8"), "##BLANK", '4K'!$C46)</f>
        <v>##BLANK</v>
      </c>
      <c r="G1384" s="1635" t="str">
        <f>IF(ISBLANK('4K'!G46), "##BLANK", '4K'!G46)</f>
        <v>##BLANK</v>
      </c>
      <c r="H1384" s="1636"/>
    </row>
    <row r="1385" spans="1:8">
      <c r="A1385" s="1620" t="str">
        <f>INDEX(Lists!$C$4:$C$24,MATCH(Validation!$B$3,Lists!$B$4:$B$24,0))</f>
        <v>TMS</v>
      </c>
      <c r="B1385" s="1732" t="str">
        <f>'4K'!AQ47</f>
        <v>BP3357009FL</v>
      </c>
      <c r="C1385" t="str">
        <f>+'4K'!$C$38&amp;" - Item 9 - "&amp;'4K'!G$4</f>
        <v>Atypical expenditure - Item 9 - Foul</v>
      </c>
      <c r="D1385" s="1620" t="str">
        <f>'4K'!E47</f>
        <v>£m</v>
      </c>
      <c r="E1385" s="1636" t="s">
        <v>9</v>
      </c>
      <c r="F1385" s="2" t="str">
        <f>IF(OR(ISBLANK('4K'!$C47),'4K'!$C47="Item 9"), "##BLANK", '4K'!$C47)</f>
        <v>##BLANK</v>
      </c>
      <c r="G1385" s="1635" t="str">
        <f>IF(ISBLANK('4K'!G47), "##BLANK", '4K'!G47)</f>
        <v>##BLANK</v>
      </c>
      <c r="H1385" s="1636"/>
    </row>
    <row r="1386" spans="1:8">
      <c r="A1386" s="1730" t="str">
        <f>INDEX(Lists!$C$4:$C$24,MATCH(Validation!$B$3,Lists!$B$4:$B$24,0))</f>
        <v>TMS</v>
      </c>
      <c r="B1386" s="1734" t="str">
        <f>'4K'!AQ48</f>
        <v>BP3357010FL</v>
      </c>
      <c r="C1386" s="1819" t="str">
        <f>+'4K'!$C$38&amp;" - Item 10 - "&amp;'4K'!G$4</f>
        <v>Atypical expenditure - Item 10 - Foul</v>
      </c>
      <c r="D1386" s="1730" t="str">
        <f>'4K'!E48</f>
        <v>£m</v>
      </c>
      <c r="E1386" s="1652" t="s">
        <v>9</v>
      </c>
      <c r="F1386" s="1637" t="str">
        <f>IF(OR(ISBLANK('4K'!$C48),'4K'!$C48="Item 10"), "##BLANK", '4K'!$C48)</f>
        <v>##BLANK</v>
      </c>
      <c r="G1386" s="1653" t="str">
        <f>IF(ISBLANK('4K'!G48), "##BLANK", '4K'!G48)</f>
        <v>##BLANK</v>
      </c>
      <c r="H1386" s="1652"/>
    </row>
    <row r="1387" spans="1:8">
      <c r="A1387" s="1620" t="str">
        <f>INDEX(Lists!$C$4:$C$24,MATCH(Validation!$B$3,Lists!$B$4:$B$24,0))</f>
        <v>TMS</v>
      </c>
      <c r="B1387" s="1732" t="str">
        <f>'4K'!AR7</f>
        <v>WWS1001SWD</v>
      </c>
      <c r="C1387" t="str">
        <f>+'4K'!$C7&amp;" - "&amp;'4K'!H$4</f>
        <v>Power - Surface water drainage</v>
      </c>
      <c r="D1387" s="1620" t="str">
        <f t="shared" ref="D1387:D1450" si="8">D1359</f>
        <v>£m</v>
      </c>
      <c r="E1387" s="1636" t="s">
        <v>9</v>
      </c>
      <c r="G1387" s="1635">
        <f>'4K'!H7</f>
        <v>2.1840000000000002</v>
      </c>
      <c r="H1387" s="1636"/>
    </row>
    <row r="1388" spans="1:8">
      <c r="A1388" s="1620" t="str">
        <f>INDEX(Lists!$C$4:$C$24,MATCH(Validation!$B$3,Lists!$B$4:$B$24,0))</f>
        <v>TMS</v>
      </c>
      <c r="B1388" s="1732" t="str">
        <f>'4K'!AR8</f>
        <v>WWS1002SWD</v>
      </c>
      <c r="C1388" t="str">
        <f>+'4K'!$C8&amp;" - "&amp;'4K'!H$4</f>
        <v>Income treated as negative expenditure - Surface water drainage</v>
      </c>
      <c r="D1388" s="1620" t="str">
        <f t="shared" si="8"/>
        <v>£m</v>
      </c>
      <c r="E1388" s="1636" t="s">
        <v>9</v>
      </c>
      <c r="G1388" s="1635">
        <f>'4K'!H8</f>
        <v>-2.7E-2</v>
      </c>
      <c r="H1388" s="1636"/>
    </row>
    <row r="1389" spans="1:8">
      <c r="A1389" s="1620" t="str">
        <f>INDEX(Lists!$C$4:$C$24,MATCH(Validation!$B$3,Lists!$B$4:$B$24,0))</f>
        <v>TMS</v>
      </c>
      <c r="B1389" s="1732" t="str">
        <f>'4K'!AR9</f>
        <v>WWS1003SWD</v>
      </c>
      <c r="C1389" t="str">
        <f>+'4K'!$C9&amp;" - "&amp;'4K'!H$4</f>
        <v>Discharge Consents - Surface water drainage</v>
      </c>
      <c r="D1389" s="1620" t="str">
        <f t="shared" si="8"/>
        <v>£m</v>
      </c>
      <c r="E1389" s="1636" t="s">
        <v>9</v>
      </c>
      <c r="G1389" s="1635">
        <f>'4K'!H9</f>
        <v>0.36399999999999999</v>
      </c>
      <c r="H1389" s="1636"/>
    </row>
    <row r="1390" spans="1:8">
      <c r="A1390" s="1620" t="str">
        <f>INDEX(Lists!$C$4:$C$24,MATCH(Validation!$B$3,Lists!$B$4:$B$24,0))</f>
        <v>TMS</v>
      </c>
      <c r="B1390" s="1732" t="str">
        <f>'4K'!AR10</f>
        <v>WWS1004SWD</v>
      </c>
      <c r="C1390" t="str">
        <f>+'4K'!$C10&amp;" - "&amp;'4K'!H$4</f>
        <v>Bulk discharge - Surface water drainage</v>
      </c>
      <c r="D1390" s="1620" t="str">
        <f t="shared" si="8"/>
        <v>£m</v>
      </c>
      <c r="E1390" s="1636" t="s">
        <v>9</v>
      </c>
      <c r="G1390" s="1635">
        <f>'4K'!H10</f>
        <v>0</v>
      </c>
      <c r="H1390" s="1636"/>
    </row>
    <row r="1391" spans="1:8">
      <c r="A1391" s="1620" t="str">
        <f>INDEX(Lists!$C$4:$C$24,MATCH(Validation!$B$3,Lists!$B$4:$B$24,0))</f>
        <v>TMS</v>
      </c>
      <c r="B1391" s="1732" t="str">
        <f>'4K'!AR12</f>
        <v>WWS1005SWD</v>
      </c>
      <c r="C1391" t="str">
        <f>+'4K'!$C$11&amp;" "&amp;'4K'!$C12&amp;" - "&amp;'4K'!H$4</f>
        <v>Other operating expenditure - Renewals expensed in year (Infrastructure) - Surface water drainage</v>
      </c>
      <c r="D1391" s="1620" t="str">
        <f t="shared" si="8"/>
        <v>£m</v>
      </c>
      <c r="E1391" s="1636" t="s">
        <v>9</v>
      </c>
      <c r="G1391" s="1635">
        <f>'4K'!H12</f>
        <v>14.603</v>
      </c>
      <c r="H1391" s="1636"/>
    </row>
    <row r="1392" spans="1:8">
      <c r="A1392" s="1620" t="str">
        <f>INDEX(Lists!$C$4:$C$24,MATCH(Validation!$B$3,Lists!$B$4:$B$24,0))</f>
        <v>TMS</v>
      </c>
      <c r="B1392" s="1732" t="str">
        <f>'4K'!AR13</f>
        <v>WWS1006SWD</v>
      </c>
      <c r="C1392" t="str">
        <f>+'4K'!$C$11&amp;" "&amp;'4K'!$C13&amp;" - "&amp;'4K'!H$4</f>
        <v>Other operating expenditure - Renewals expensed in year (Non-Infrastructure) - Surface water drainage</v>
      </c>
      <c r="D1392" s="1620" t="str">
        <f t="shared" si="8"/>
        <v>£m</v>
      </c>
      <c r="E1392" s="1636" t="s">
        <v>9</v>
      </c>
      <c r="G1392" s="1635">
        <f>'4K'!H13</f>
        <v>0</v>
      </c>
      <c r="H1392" s="1636"/>
    </row>
    <row r="1393" spans="1:8">
      <c r="A1393" s="1620" t="str">
        <f>INDEX(Lists!$C$4:$C$24,MATCH(Validation!$B$3,Lists!$B$4:$B$24,0))</f>
        <v>TMS</v>
      </c>
      <c r="B1393" s="1732" t="str">
        <f>'4K'!AR14</f>
        <v>WWS1007SWD</v>
      </c>
      <c r="C1393" t="str">
        <f>+'4K'!$C$11&amp;" "&amp;'4K'!$C14&amp;" - "&amp;'4K'!H$4</f>
        <v>Other operating expenditure - Other operating expenditure excluding renewals - Surface water drainage</v>
      </c>
      <c r="D1393" s="1620" t="str">
        <f t="shared" si="8"/>
        <v>£m</v>
      </c>
      <c r="E1393" s="1636" t="s">
        <v>9</v>
      </c>
      <c r="G1393" s="1635">
        <f>'4K'!H14</f>
        <v>15.502000000000001</v>
      </c>
      <c r="H1393" s="1636"/>
    </row>
    <row r="1394" spans="1:8">
      <c r="A1394" s="1620" t="str">
        <f>INDEX(Lists!$C$4:$C$24,MATCH(Validation!$B$3,Lists!$B$4:$B$24,0))</f>
        <v>TMS</v>
      </c>
      <c r="B1394" s="1732" t="str">
        <f>'4K'!AR15</f>
        <v>WWS1008SWD</v>
      </c>
      <c r="C1394" t="str">
        <f>+'4K'!$C15&amp;" - "&amp;'4K'!H$4</f>
        <v>Local authority and Cumulo rates - Surface water drainage</v>
      </c>
      <c r="D1394" s="1620" t="str">
        <f t="shared" si="8"/>
        <v>£m</v>
      </c>
      <c r="E1394" s="1636" t="s">
        <v>9</v>
      </c>
      <c r="G1394" s="1635">
        <f>'4K'!H15</f>
        <v>0</v>
      </c>
      <c r="H1394" s="1636"/>
    </row>
    <row r="1395" spans="1:8">
      <c r="A1395" s="1620" t="str">
        <f>INDEX(Lists!$C$4:$C$24,MATCH(Validation!$B$3,Lists!$B$4:$B$24,0))</f>
        <v>TMS</v>
      </c>
      <c r="B1395" s="1732" t="str">
        <f>'4K'!AR18</f>
        <v>WWS1010SWD</v>
      </c>
      <c r="C1395" t="str">
        <f>+'4K'!$C18&amp;" - "&amp;'4K'!H$4</f>
        <v>Third party services - Surface water drainage</v>
      </c>
      <c r="D1395" s="1620" t="str">
        <f t="shared" si="8"/>
        <v>£m</v>
      </c>
      <c r="E1395" s="1636" t="s">
        <v>9</v>
      </c>
      <c r="G1395" s="1635">
        <f>'4K'!H18</f>
        <v>0.39600000000000002</v>
      </c>
      <c r="H1395" s="1636"/>
    </row>
    <row r="1396" spans="1:8">
      <c r="A1396" s="1620" t="str">
        <f>INDEX(Lists!$C$4:$C$24,MATCH(Validation!$B$3,Lists!$B$4:$B$24,0))</f>
        <v>TMS</v>
      </c>
      <c r="B1396" s="1732" t="str">
        <f>'4K'!AR22</f>
        <v>WWS1012SWD</v>
      </c>
      <c r="C1396" t="str">
        <f>+'4K'!$C22&amp;" - "&amp;'4K'!H$4</f>
        <v>Maintaining the long term capability of the assets - infra - Surface water drainage</v>
      </c>
      <c r="D1396" s="1620" t="str">
        <f t="shared" si="8"/>
        <v>£m</v>
      </c>
      <c r="E1396" s="1636" t="s">
        <v>9</v>
      </c>
      <c r="G1396" s="1635">
        <f>'4K'!H22</f>
        <v>-2.1712174915345531E-3</v>
      </c>
      <c r="H1396" s="1636"/>
    </row>
    <row r="1397" spans="1:8">
      <c r="A1397" s="1620" t="str">
        <f>INDEX(Lists!$C$4:$C$24,MATCH(Validation!$B$3,Lists!$B$4:$B$24,0))</f>
        <v>TMS</v>
      </c>
      <c r="B1397" s="1732" t="str">
        <f>'4K'!AR23</f>
        <v>WWS1013SWD</v>
      </c>
      <c r="C1397" t="str">
        <f>+'4K'!$C23&amp;" - "&amp;'4K'!H$4</f>
        <v>Maintaining the long term capability of the assets - non-infra - Surface water drainage</v>
      </c>
      <c r="D1397" s="1620" t="str">
        <f t="shared" si="8"/>
        <v>£m</v>
      </c>
      <c r="E1397" s="1636" t="s">
        <v>9</v>
      </c>
      <c r="G1397" s="1635">
        <f>'4K'!H23</f>
        <v>3.5146126477681525</v>
      </c>
      <c r="H1397" s="1636"/>
    </row>
    <row r="1398" spans="1:8">
      <c r="A1398" s="1620" t="str">
        <f>INDEX(Lists!$C$4:$C$24,MATCH(Validation!$B$3,Lists!$B$4:$B$24,0))</f>
        <v>TMS</v>
      </c>
      <c r="B1398" s="1732" t="str">
        <f>'4K'!AR24</f>
        <v>WWS1014SWD</v>
      </c>
      <c r="C1398" t="str">
        <f>+'4K'!$C24&amp;" - "&amp;'4K'!H$4</f>
        <v>Other capital expenditure - infra - Surface water drainage</v>
      </c>
      <c r="D1398" s="1620" t="str">
        <f t="shared" si="8"/>
        <v>£m</v>
      </c>
      <c r="E1398" s="1636" t="s">
        <v>9</v>
      </c>
      <c r="G1398" s="1635">
        <f>'4K'!H24</f>
        <v>-1.6229308795345785</v>
      </c>
      <c r="H1398" s="1636"/>
    </row>
    <row r="1399" spans="1:8">
      <c r="A1399" s="1620" t="str">
        <f>INDEX(Lists!$C$4:$C$24,MATCH(Validation!$B$3,Lists!$B$4:$B$24,0))</f>
        <v>TMS</v>
      </c>
      <c r="B1399" s="1732" t="str">
        <f>'4K'!AR25</f>
        <v>WWS1015SWD</v>
      </c>
      <c r="C1399" t="str">
        <f>+'4K'!$C25&amp;" - "&amp;'4K'!H$4</f>
        <v>Other capital expenditure - non-infra - Surface water drainage</v>
      </c>
      <c r="D1399" s="1620" t="str">
        <f t="shared" si="8"/>
        <v>£m</v>
      </c>
      <c r="E1399" s="1636" t="s">
        <v>9</v>
      </c>
      <c r="G1399" s="1635">
        <f>'4K'!H25</f>
        <v>0.10335509447089496</v>
      </c>
      <c r="H1399" s="1636"/>
    </row>
    <row r="1400" spans="1:8">
      <c r="A1400" s="1620" t="str">
        <f>INDEX(Lists!$C$4:$C$24,MATCH(Validation!$B$3,Lists!$B$4:$B$24,0))</f>
        <v>TMS</v>
      </c>
      <c r="B1400" s="1732" t="str">
        <f>'4K'!AR26</f>
        <v>WWS1016SWD</v>
      </c>
      <c r="C1400" t="str">
        <f>+'4K'!$C26&amp;" - "&amp;'4K'!H$4</f>
        <v>Infrastructure network reinforcement - Surface water drainage</v>
      </c>
      <c r="D1400" s="1620" t="str">
        <f t="shared" si="8"/>
        <v>£m</v>
      </c>
      <c r="E1400" s="1636" t="s">
        <v>9</v>
      </c>
      <c r="G1400" s="1635">
        <f>'4K'!H26</f>
        <v>3.4708413847999995</v>
      </c>
      <c r="H1400" s="1636"/>
    </row>
    <row r="1401" spans="1:8">
      <c r="A1401" s="1620" t="str">
        <f>INDEX(Lists!$C$4:$C$24,MATCH(Validation!$B$3,Lists!$B$4:$B$24,0))</f>
        <v>TMS</v>
      </c>
      <c r="B1401" s="1732" t="str">
        <f>'4K'!AR28</f>
        <v>WWS1018SWD</v>
      </c>
      <c r="C1401" t="str">
        <f>+'4K'!$C28&amp;" - "&amp;'4K'!H$4</f>
        <v>Third party services - Surface water drainage</v>
      </c>
      <c r="D1401" s="1620" t="str">
        <f t="shared" si="8"/>
        <v>£m</v>
      </c>
      <c r="E1401" s="1636" t="s">
        <v>9</v>
      </c>
      <c r="G1401" s="1635">
        <f>'4K'!H28</f>
        <v>0</v>
      </c>
      <c r="H1401" s="1636"/>
    </row>
    <row r="1402" spans="1:8">
      <c r="A1402" s="1620" t="str">
        <f>INDEX(Lists!$C$4:$C$24,MATCH(Validation!$B$3,Lists!$B$4:$B$24,0))</f>
        <v>TMS</v>
      </c>
      <c r="B1402" s="1732" t="str">
        <f>'4K'!AR30</f>
        <v>WWS1020SWD</v>
      </c>
      <c r="C1402" t="str">
        <f>+'4K'!$C30&amp;" - "&amp;'4K'!H$4</f>
        <v>Grants and contributions  - Surface water drainage</v>
      </c>
      <c r="D1402" s="1620" t="str">
        <f t="shared" si="8"/>
        <v>£m</v>
      </c>
      <c r="E1402" s="1636" t="s">
        <v>9</v>
      </c>
      <c r="G1402" s="1635">
        <f>'4K'!H30</f>
        <v>0.04</v>
      </c>
      <c r="H1402" s="1636"/>
    </row>
    <row r="1403" spans="1:8">
      <c r="A1403" s="1620" t="str">
        <f>INDEX(Lists!$C$4:$C$24,MATCH(Validation!$B$3,Lists!$B$4:$B$24,0))</f>
        <v>TMS</v>
      </c>
      <c r="B1403" s="1732" t="str">
        <f>'4K'!AR34</f>
        <v>WWS1022SWD</v>
      </c>
      <c r="C1403" t="str">
        <f>+'4K'!$C34&amp;" - "&amp;'4K'!H$4</f>
        <v>Pension deficit recovery payments - Surface water drainage</v>
      </c>
      <c r="D1403" s="1620" t="str">
        <f t="shared" si="8"/>
        <v>£m</v>
      </c>
      <c r="E1403" s="1636" t="s">
        <v>9</v>
      </c>
      <c r="G1403" s="1635">
        <f>'4K'!H34</f>
        <v>0.69099999999999995</v>
      </c>
      <c r="H1403" s="1636"/>
    </row>
    <row r="1404" spans="1:8">
      <c r="A1404" s="1620" t="str">
        <f>INDEX(Lists!$C$4:$C$24,MATCH(Validation!$B$3,Lists!$B$4:$B$24,0))</f>
        <v>TMS</v>
      </c>
      <c r="B1404" s="1732" t="str">
        <f>'4K'!AR35</f>
        <v>WWS1023SWD</v>
      </c>
      <c r="C1404" t="str">
        <f>+'4K'!$C35&amp;" - "&amp;'4K'!H$4</f>
        <v>Other cash items - Surface water drainage</v>
      </c>
      <c r="D1404" s="1620" t="str">
        <f t="shared" si="8"/>
        <v>£m</v>
      </c>
      <c r="E1404" s="1636" t="s">
        <v>9</v>
      </c>
      <c r="G1404" s="1635">
        <f>'4K'!H35</f>
        <v>0</v>
      </c>
      <c r="H1404" s="1636"/>
    </row>
    <row r="1405" spans="1:8">
      <c r="A1405" s="1620" t="str">
        <f>INDEX(Lists!$C$4:$C$24,MATCH(Validation!$B$3,Lists!$B$4:$B$24,0))</f>
        <v>TMS</v>
      </c>
      <c r="B1405" s="1732" t="str">
        <f>'4K'!AR39</f>
        <v>BP3357001SWD</v>
      </c>
      <c r="C1405" t="str">
        <f>+'4K'!$C$38&amp;" - Item 1 - "&amp;'4K'!H$4</f>
        <v>Atypical expenditure - Item 1 - Surface water drainage</v>
      </c>
      <c r="D1405" s="1620" t="str">
        <f t="shared" si="8"/>
        <v>£m</v>
      </c>
      <c r="E1405" s="1636" t="s">
        <v>9</v>
      </c>
      <c r="F1405" s="2" t="str">
        <f>F1377</f>
        <v>Restructuring costs</v>
      </c>
      <c r="G1405" s="1635">
        <f>IF(ISBLANK('4K'!H39), "##BLANK", '4K'!H39)</f>
        <v>0.16800000000000001</v>
      </c>
      <c r="H1405" s="1636"/>
    </row>
    <row r="1406" spans="1:8">
      <c r="A1406" s="1620" t="str">
        <f>INDEX(Lists!$C$4:$C$24,MATCH(Validation!$B$3,Lists!$B$4:$B$24,0))</f>
        <v>TMS</v>
      </c>
      <c r="B1406" s="1732" t="str">
        <f>'4K'!AR40</f>
        <v>BP3357002SWD</v>
      </c>
      <c r="C1406" t="str">
        <f>+'4K'!$C$38&amp;" - Item 2 - "&amp;'4K'!H$4</f>
        <v>Atypical expenditure - Item 2 - Surface water drainage</v>
      </c>
      <c r="D1406" s="1620" t="str">
        <f t="shared" si="8"/>
        <v>£m</v>
      </c>
      <c r="E1406" s="1636" t="s">
        <v>9</v>
      </c>
      <c r="F1406" s="2" t="str">
        <f t="shared" ref="F1406:F1414" si="9">F1378</f>
        <v>##BLANK</v>
      </c>
      <c r="G1406" s="1635" t="str">
        <f>IF(ISBLANK('4K'!H40), "##BLANK", '4K'!H40)</f>
        <v>##BLANK</v>
      </c>
      <c r="H1406" s="1636"/>
    </row>
    <row r="1407" spans="1:8">
      <c r="A1407" s="1620" t="str">
        <f>INDEX(Lists!$C$4:$C$24,MATCH(Validation!$B$3,Lists!$B$4:$B$24,0))</f>
        <v>TMS</v>
      </c>
      <c r="B1407" s="1732" t="str">
        <f>'4K'!AR41</f>
        <v>BP3357003SWD</v>
      </c>
      <c r="C1407" t="str">
        <f>+'4K'!$C$38&amp;" - Item 3 - "&amp;'4K'!H$4</f>
        <v>Atypical expenditure - Item 3 - Surface water drainage</v>
      </c>
      <c r="D1407" s="1620" t="str">
        <f t="shared" si="8"/>
        <v>£m</v>
      </c>
      <c r="E1407" s="1636" t="s">
        <v>9</v>
      </c>
      <c r="F1407" s="2" t="str">
        <f t="shared" si="9"/>
        <v>##BLANK</v>
      </c>
      <c r="G1407" s="1635" t="str">
        <f>IF(ISBLANK('4K'!H41), "##BLANK", '4K'!H41)</f>
        <v>##BLANK</v>
      </c>
      <c r="H1407" s="1636"/>
    </row>
    <row r="1408" spans="1:8">
      <c r="A1408" s="1620" t="str">
        <f>INDEX(Lists!$C$4:$C$24,MATCH(Validation!$B$3,Lists!$B$4:$B$24,0))</f>
        <v>TMS</v>
      </c>
      <c r="B1408" s="1732" t="str">
        <f>'4K'!AR42</f>
        <v>BP3357004SWD</v>
      </c>
      <c r="C1408" t="str">
        <f>+'4K'!$C$38&amp;" - Item 4 - "&amp;'4K'!H$4</f>
        <v>Atypical expenditure - Item 4 - Surface water drainage</v>
      </c>
      <c r="D1408" s="1620" t="str">
        <f t="shared" si="8"/>
        <v>£m</v>
      </c>
      <c r="E1408" s="1636" t="s">
        <v>9</v>
      </c>
      <c r="F1408" s="2" t="str">
        <f t="shared" si="9"/>
        <v>##BLANK</v>
      </c>
      <c r="G1408" s="1635" t="str">
        <f>IF(ISBLANK('4K'!H42), "##BLANK", '4K'!H42)</f>
        <v>##BLANK</v>
      </c>
      <c r="H1408" s="1636"/>
    </row>
    <row r="1409" spans="1:8">
      <c r="A1409" s="1620" t="str">
        <f>INDEX(Lists!$C$4:$C$24,MATCH(Validation!$B$3,Lists!$B$4:$B$24,0))</f>
        <v>TMS</v>
      </c>
      <c r="B1409" s="1732" t="str">
        <f>'4K'!AR43</f>
        <v>BP3357005SWD</v>
      </c>
      <c r="C1409" t="str">
        <f>+'4K'!$C$38&amp;" - Item 5 - "&amp;'4K'!H$4</f>
        <v>Atypical expenditure - Item 5 - Surface water drainage</v>
      </c>
      <c r="D1409" s="1620" t="str">
        <f t="shared" si="8"/>
        <v>£m</v>
      </c>
      <c r="E1409" s="1636" t="s">
        <v>9</v>
      </c>
      <c r="F1409" s="2" t="str">
        <f t="shared" si="9"/>
        <v>##BLANK</v>
      </c>
      <c r="G1409" s="1635" t="str">
        <f>IF(ISBLANK('4K'!H43), "##BLANK", '4K'!H43)</f>
        <v>##BLANK</v>
      </c>
      <c r="H1409" s="1636"/>
    </row>
    <row r="1410" spans="1:8">
      <c r="A1410" s="1620" t="str">
        <f>INDEX(Lists!$C$4:$C$24,MATCH(Validation!$B$3,Lists!$B$4:$B$24,0))</f>
        <v>TMS</v>
      </c>
      <c r="B1410" s="1732" t="str">
        <f>'4K'!AR44</f>
        <v>BP3357006SWD</v>
      </c>
      <c r="C1410" t="str">
        <f>+'4K'!$C$38&amp;" - Item 6 - "&amp;'4K'!H$4</f>
        <v>Atypical expenditure - Item 6 - Surface water drainage</v>
      </c>
      <c r="D1410" s="1620" t="str">
        <f t="shared" si="8"/>
        <v>£m</v>
      </c>
      <c r="E1410" s="1636" t="s">
        <v>9</v>
      </c>
      <c r="F1410" s="2" t="str">
        <f t="shared" si="9"/>
        <v>##BLANK</v>
      </c>
      <c r="G1410" s="1635" t="str">
        <f>IF(ISBLANK('4K'!H44), "##BLANK", '4K'!H44)</f>
        <v>##BLANK</v>
      </c>
      <c r="H1410" s="1636"/>
    </row>
    <row r="1411" spans="1:8">
      <c r="A1411" s="1620" t="str">
        <f>INDEX(Lists!$C$4:$C$24,MATCH(Validation!$B$3,Lists!$B$4:$B$24,0))</f>
        <v>TMS</v>
      </c>
      <c r="B1411" s="1732" t="str">
        <f>'4K'!AR45</f>
        <v>BP3357007SWD</v>
      </c>
      <c r="C1411" t="str">
        <f>+'4K'!$C$38&amp;" - Item 7 - "&amp;'4K'!H$4</f>
        <v>Atypical expenditure - Item 7 - Surface water drainage</v>
      </c>
      <c r="D1411" s="1620" t="str">
        <f t="shared" si="8"/>
        <v>£m</v>
      </c>
      <c r="E1411" s="1636" t="s">
        <v>9</v>
      </c>
      <c r="F1411" s="2" t="str">
        <f t="shared" si="9"/>
        <v>##BLANK</v>
      </c>
      <c r="G1411" s="1635" t="str">
        <f>IF(ISBLANK('4K'!H45), "##BLANK", '4K'!H45)</f>
        <v>##BLANK</v>
      </c>
      <c r="H1411" s="1636"/>
    </row>
    <row r="1412" spans="1:8">
      <c r="A1412" s="1620" t="str">
        <f>INDEX(Lists!$C$4:$C$24,MATCH(Validation!$B$3,Lists!$B$4:$B$24,0))</f>
        <v>TMS</v>
      </c>
      <c r="B1412" s="1732" t="str">
        <f>'4K'!AR46</f>
        <v>BP3357008SWD</v>
      </c>
      <c r="C1412" t="str">
        <f>+'4K'!$C$38&amp;" - Item 8 - "&amp;'4K'!H$4</f>
        <v>Atypical expenditure - Item 8 - Surface water drainage</v>
      </c>
      <c r="D1412" s="1620" t="str">
        <f t="shared" si="8"/>
        <v>£m</v>
      </c>
      <c r="E1412" s="1636" t="s">
        <v>9</v>
      </c>
      <c r="F1412" s="2" t="str">
        <f t="shared" si="9"/>
        <v>##BLANK</v>
      </c>
      <c r="G1412" s="1635" t="str">
        <f>IF(ISBLANK('4K'!H46), "##BLANK", '4K'!H46)</f>
        <v>##BLANK</v>
      </c>
      <c r="H1412" s="1636"/>
    </row>
    <row r="1413" spans="1:8">
      <c r="A1413" s="1620" t="str">
        <f>INDEX(Lists!$C$4:$C$24,MATCH(Validation!$B$3,Lists!$B$4:$B$24,0))</f>
        <v>TMS</v>
      </c>
      <c r="B1413" s="1732" t="str">
        <f>'4K'!AR47</f>
        <v>BP3357009SWD</v>
      </c>
      <c r="C1413" t="str">
        <f>+'4K'!$C$38&amp;" - Item 9 - "&amp;'4K'!H$4</f>
        <v>Atypical expenditure - Item 9 - Surface water drainage</v>
      </c>
      <c r="D1413" s="1620" t="str">
        <f t="shared" si="8"/>
        <v>£m</v>
      </c>
      <c r="E1413" s="1636" t="s">
        <v>9</v>
      </c>
      <c r="F1413" s="2" t="str">
        <f t="shared" si="9"/>
        <v>##BLANK</v>
      </c>
      <c r="G1413" s="1635" t="str">
        <f>IF(ISBLANK('4K'!H47), "##BLANK", '4K'!H47)</f>
        <v>##BLANK</v>
      </c>
      <c r="H1413" s="1636"/>
    </row>
    <row r="1414" spans="1:8">
      <c r="A1414" s="1730" t="str">
        <f>INDEX(Lists!$C$4:$C$24,MATCH(Validation!$B$3,Lists!$B$4:$B$24,0))</f>
        <v>TMS</v>
      </c>
      <c r="B1414" s="1734" t="str">
        <f>'4K'!AR48</f>
        <v>BP3357010SWD</v>
      </c>
      <c r="C1414" s="1819" t="str">
        <f>+'4K'!$C$38&amp;" - Item 10 - "&amp;'4K'!H$4</f>
        <v>Atypical expenditure - Item 10 - Surface water drainage</v>
      </c>
      <c r="D1414" s="1730" t="str">
        <f t="shared" si="8"/>
        <v>£m</v>
      </c>
      <c r="E1414" s="1652" t="s">
        <v>9</v>
      </c>
      <c r="F1414" s="1637" t="str">
        <f t="shared" si="9"/>
        <v>##BLANK</v>
      </c>
      <c r="G1414" s="1653" t="str">
        <f>IF(ISBLANK('4K'!H48), "##BLANK", '4K'!H48)</f>
        <v>##BLANK</v>
      </c>
      <c r="H1414" s="1652"/>
    </row>
    <row r="1415" spans="1:8">
      <c r="A1415" s="1620" t="str">
        <f>INDEX(Lists!$C$4:$C$24,MATCH(Validation!$B$3,Lists!$B$4:$B$24,0))</f>
        <v>TMS</v>
      </c>
      <c r="B1415" s="1732" t="str">
        <f>'4K'!AS7</f>
        <v>WWS1001HD</v>
      </c>
      <c r="C1415" t="str">
        <f>+'4K'!$C7&amp;" - "&amp;'4K'!I$4</f>
        <v>Power - Highway drainage</v>
      </c>
      <c r="D1415" s="1620" t="str">
        <f t="shared" si="8"/>
        <v>£m</v>
      </c>
      <c r="E1415" s="1636" t="s">
        <v>9</v>
      </c>
      <c r="G1415" s="1635">
        <f>'4K'!I7</f>
        <v>1.2569999999999999</v>
      </c>
      <c r="H1415" s="1636"/>
    </row>
    <row r="1416" spans="1:8">
      <c r="A1416" s="1620" t="str">
        <f>INDEX(Lists!$C$4:$C$24,MATCH(Validation!$B$3,Lists!$B$4:$B$24,0))</f>
        <v>TMS</v>
      </c>
      <c r="B1416" s="1732" t="str">
        <f>'4K'!AS8</f>
        <v>WWS1002HD</v>
      </c>
      <c r="C1416" t="str">
        <f>+'4K'!$C8&amp;" - "&amp;'4K'!I$4</f>
        <v>Income treated as negative expenditure - Highway drainage</v>
      </c>
      <c r="D1416" s="1620" t="str">
        <f t="shared" si="8"/>
        <v>£m</v>
      </c>
      <c r="E1416" s="1636" t="s">
        <v>9</v>
      </c>
      <c r="G1416" s="1635">
        <f>'4K'!I8</f>
        <v>-1.4999999999999999E-2</v>
      </c>
      <c r="H1416" s="1636"/>
    </row>
    <row r="1417" spans="1:8">
      <c r="A1417" s="1620" t="str">
        <f>INDEX(Lists!$C$4:$C$24,MATCH(Validation!$B$3,Lists!$B$4:$B$24,0))</f>
        <v>TMS</v>
      </c>
      <c r="B1417" s="1732" t="str">
        <f>'4K'!AS9</f>
        <v>WWS1003HD</v>
      </c>
      <c r="C1417" t="str">
        <f>+'4K'!$C9&amp;" - "&amp;'4K'!I$4</f>
        <v>Discharge Consents - Highway drainage</v>
      </c>
      <c r="D1417" s="1620" t="str">
        <f t="shared" si="8"/>
        <v>£m</v>
      </c>
      <c r="E1417" s="1636" t="s">
        <v>9</v>
      </c>
      <c r="G1417" s="1635">
        <f>'4K'!I9</f>
        <v>0.20499999999999999</v>
      </c>
      <c r="H1417" s="1636"/>
    </row>
    <row r="1418" spans="1:8">
      <c r="A1418" s="1620" t="str">
        <f>INDEX(Lists!$C$4:$C$24,MATCH(Validation!$B$3,Lists!$B$4:$B$24,0))</f>
        <v>TMS</v>
      </c>
      <c r="B1418" s="1732" t="str">
        <f>'4K'!AS10</f>
        <v>WWS1004HD</v>
      </c>
      <c r="C1418" t="str">
        <f>+'4K'!$C10&amp;" - "&amp;'4K'!I$4</f>
        <v>Bulk discharge - Highway drainage</v>
      </c>
      <c r="D1418" s="1620" t="str">
        <f t="shared" si="8"/>
        <v>£m</v>
      </c>
      <c r="E1418" s="1636" t="s">
        <v>9</v>
      </c>
      <c r="G1418" s="1635">
        <f>'4K'!I10</f>
        <v>0</v>
      </c>
      <c r="H1418" s="1636"/>
    </row>
    <row r="1419" spans="1:8">
      <c r="A1419" s="1620" t="str">
        <f>INDEX(Lists!$C$4:$C$24,MATCH(Validation!$B$3,Lists!$B$4:$B$24,0))</f>
        <v>TMS</v>
      </c>
      <c r="B1419" s="1732" t="str">
        <f>'4K'!AS12</f>
        <v>WWS1005HD</v>
      </c>
      <c r="C1419" t="str">
        <f>+'4K'!$C$11&amp;" "&amp;'4K'!$C12&amp;" - "&amp;'4K'!I$4</f>
        <v>Other operating expenditure - Renewals expensed in year (Infrastructure) - Highway drainage</v>
      </c>
      <c r="D1419" s="1620" t="str">
        <f t="shared" si="8"/>
        <v>£m</v>
      </c>
      <c r="E1419" s="1636" t="s">
        <v>9</v>
      </c>
      <c r="G1419" s="1635">
        <f>'4K'!I12</f>
        <v>8.4190000000000005</v>
      </c>
      <c r="H1419" s="1636"/>
    </row>
    <row r="1420" spans="1:8">
      <c r="A1420" s="1620" t="str">
        <f>INDEX(Lists!$C$4:$C$24,MATCH(Validation!$B$3,Lists!$B$4:$B$24,0))</f>
        <v>TMS</v>
      </c>
      <c r="B1420" s="1732" t="str">
        <f>'4K'!AS13</f>
        <v>WWS1006HD</v>
      </c>
      <c r="C1420" t="str">
        <f>+'4K'!$C$11&amp;" "&amp;'4K'!$C13&amp;" - "&amp;'4K'!I$4</f>
        <v>Other operating expenditure - Renewals expensed in year (Non-Infrastructure) - Highway drainage</v>
      </c>
      <c r="D1420" s="1620" t="str">
        <f t="shared" si="8"/>
        <v>£m</v>
      </c>
      <c r="E1420" s="1636" t="s">
        <v>9</v>
      </c>
      <c r="G1420" s="1635">
        <f>'4K'!I13</f>
        <v>0</v>
      </c>
      <c r="H1420" s="1636"/>
    </row>
    <row r="1421" spans="1:8">
      <c r="A1421" s="1620" t="str">
        <f>INDEX(Lists!$C$4:$C$24,MATCH(Validation!$B$3,Lists!$B$4:$B$24,0))</f>
        <v>TMS</v>
      </c>
      <c r="B1421" s="1732" t="str">
        <f>'4K'!AS14</f>
        <v>WWS1007HD</v>
      </c>
      <c r="C1421" t="str">
        <f>+'4K'!$C$11&amp;" "&amp;'4K'!$C14&amp;" - "&amp;'4K'!I$4</f>
        <v>Other operating expenditure - Other operating expenditure excluding renewals - Highway drainage</v>
      </c>
      <c r="D1421" s="1620" t="str">
        <f t="shared" si="8"/>
        <v>£m</v>
      </c>
      <c r="E1421" s="1636" t="s">
        <v>9</v>
      </c>
      <c r="G1421" s="1635">
        <f>'4K'!I14</f>
        <v>7.25</v>
      </c>
      <c r="H1421" s="1636"/>
    </row>
    <row r="1422" spans="1:8">
      <c r="A1422" s="1620" t="str">
        <f>INDEX(Lists!$C$4:$C$24,MATCH(Validation!$B$3,Lists!$B$4:$B$24,0))</f>
        <v>TMS</v>
      </c>
      <c r="B1422" s="1732" t="str">
        <f>'4K'!AS15</f>
        <v>WWS1008HD</v>
      </c>
      <c r="C1422" t="str">
        <f>+'4K'!$C15&amp;" - "&amp;'4K'!I$4</f>
        <v>Local authority and Cumulo rates - Highway drainage</v>
      </c>
      <c r="D1422" s="1620" t="str">
        <f t="shared" si="8"/>
        <v>£m</v>
      </c>
      <c r="E1422" s="1636" t="s">
        <v>9</v>
      </c>
      <c r="G1422" s="1635">
        <f>'4K'!I15</f>
        <v>0</v>
      </c>
      <c r="H1422" s="1636"/>
    </row>
    <row r="1423" spans="1:8">
      <c r="A1423" s="1620" t="str">
        <f>INDEX(Lists!$C$4:$C$24,MATCH(Validation!$B$3,Lists!$B$4:$B$24,0))</f>
        <v>TMS</v>
      </c>
      <c r="B1423" s="1732" t="str">
        <f>'4K'!AS18</f>
        <v>WWS1010HD</v>
      </c>
      <c r="C1423" t="str">
        <f>+'4K'!$C18&amp;" - "&amp;'4K'!I$4</f>
        <v>Third party services - Highway drainage</v>
      </c>
      <c r="D1423" s="1620" t="str">
        <f t="shared" si="8"/>
        <v>£m</v>
      </c>
      <c r="E1423" s="1636" t="s">
        <v>9</v>
      </c>
      <c r="G1423" s="1635">
        <f>'4K'!I18</f>
        <v>0.105</v>
      </c>
      <c r="H1423" s="1636"/>
    </row>
    <row r="1424" spans="1:8">
      <c r="A1424" s="1620" t="str">
        <f>INDEX(Lists!$C$4:$C$24,MATCH(Validation!$B$3,Lists!$B$4:$B$24,0))</f>
        <v>TMS</v>
      </c>
      <c r="B1424" s="1732" t="str">
        <f>'4K'!AS22</f>
        <v>WWS1012HD</v>
      </c>
      <c r="C1424" t="str">
        <f>+'4K'!$C22&amp;" - "&amp;'4K'!I$4</f>
        <v>Maintaining the long term capability of the assets - infra - Highway drainage</v>
      </c>
      <c r="D1424" s="1620" t="str">
        <f t="shared" si="8"/>
        <v>£m</v>
      </c>
      <c r="E1424" s="1636" t="s">
        <v>9</v>
      </c>
      <c r="G1424" s="1635">
        <f>'4K'!I22</f>
        <v>4.4806504772190213E-3</v>
      </c>
      <c r="H1424" s="1636"/>
    </row>
    <row r="1425" spans="1:8">
      <c r="A1425" s="1620" t="str">
        <f>INDEX(Lists!$C$4:$C$24,MATCH(Validation!$B$3,Lists!$B$4:$B$24,0))</f>
        <v>TMS</v>
      </c>
      <c r="B1425" s="1732" t="str">
        <f>'4K'!AS23</f>
        <v>WWS1013HD</v>
      </c>
      <c r="C1425" t="str">
        <f>+'4K'!$C23&amp;" - "&amp;'4K'!I$4</f>
        <v>Maintaining the long term capability of the assets - non-infra - Highway drainage</v>
      </c>
      <c r="D1425" s="1620" t="str">
        <f t="shared" si="8"/>
        <v>£m</v>
      </c>
      <c r="E1425" s="1636" t="s">
        <v>9</v>
      </c>
      <c r="G1425" s="1635">
        <f>'4K'!I23</f>
        <v>1.2258292121172865</v>
      </c>
      <c r="H1425" s="1636"/>
    </row>
    <row r="1426" spans="1:8">
      <c r="A1426" s="1620" t="str">
        <f>INDEX(Lists!$C$4:$C$24,MATCH(Validation!$B$3,Lists!$B$4:$B$24,0))</f>
        <v>TMS</v>
      </c>
      <c r="B1426" s="1732" t="str">
        <f>'4K'!AS24</f>
        <v>WWS1014HD</v>
      </c>
      <c r="C1426" t="str">
        <f>+'4K'!$C24&amp;" - "&amp;'4K'!I$4</f>
        <v>Other capital expenditure - infra - Highway drainage</v>
      </c>
      <c r="D1426" s="1620" t="str">
        <f t="shared" si="8"/>
        <v>£m</v>
      </c>
      <c r="E1426" s="1636" t="s">
        <v>9</v>
      </c>
      <c r="G1426" s="1635">
        <f>'4K'!I24</f>
        <v>0</v>
      </c>
      <c r="H1426" s="1636"/>
    </row>
    <row r="1427" spans="1:8">
      <c r="A1427" s="1620" t="str">
        <f>INDEX(Lists!$C$4:$C$24,MATCH(Validation!$B$3,Lists!$B$4:$B$24,0))</f>
        <v>TMS</v>
      </c>
      <c r="B1427" s="1732" t="str">
        <f>'4K'!AS25</f>
        <v>WWS1015HD</v>
      </c>
      <c r="C1427" t="str">
        <f>+'4K'!$C25&amp;" - "&amp;'4K'!I$4</f>
        <v>Other capital expenditure - non-infra - Highway drainage</v>
      </c>
      <c r="D1427" s="1620" t="str">
        <f t="shared" si="8"/>
        <v>£m</v>
      </c>
      <c r="E1427" s="1636" t="s">
        <v>9</v>
      </c>
      <c r="G1427" s="1635">
        <f>'4K'!I25</f>
        <v>4.9055455734580353E-2</v>
      </c>
      <c r="H1427" s="1636"/>
    </row>
    <row r="1428" spans="1:8">
      <c r="A1428" s="1620" t="str">
        <f>INDEX(Lists!$C$4:$C$24,MATCH(Validation!$B$3,Lists!$B$4:$B$24,0))</f>
        <v>TMS</v>
      </c>
      <c r="B1428" s="1732" t="str">
        <f>'4K'!AS26</f>
        <v>WWS1016HD</v>
      </c>
      <c r="C1428" t="str">
        <f>+'4K'!$C26&amp;" - "&amp;'4K'!I$4</f>
        <v>Infrastructure network reinforcement - Highway drainage</v>
      </c>
      <c r="D1428" s="1620" t="str">
        <f t="shared" si="8"/>
        <v>£m</v>
      </c>
      <c r="E1428" s="1636" t="s">
        <v>9</v>
      </c>
      <c r="G1428" s="1635">
        <f>'4K'!I26</f>
        <v>0</v>
      </c>
      <c r="H1428" s="1636"/>
    </row>
    <row r="1429" spans="1:8">
      <c r="A1429" s="1620" t="str">
        <f>INDEX(Lists!$C$4:$C$24,MATCH(Validation!$B$3,Lists!$B$4:$B$24,0))</f>
        <v>TMS</v>
      </c>
      <c r="B1429" s="1732" t="str">
        <f>'4K'!AS28</f>
        <v>WWS1018HD</v>
      </c>
      <c r="C1429" t="str">
        <f>+'4K'!$C28&amp;" - "&amp;'4K'!I$4</f>
        <v>Third party services - Highway drainage</v>
      </c>
      <c r="D1429" s="1620" t="str">
        <f t="shared" si="8"/>
        <v>£m</v>
      </c>
      <c r="E1429" s="1636" t="s">
        <v>9</v>
      </c>
      <c r="G1429" s="1635">
        <f>'4K'!I28</f>
        <v>0</v>
      </c>
      <c r="H1429" s="1636"/>
    </row>
    <row r="1430" spans="1:8">
      <c r="A1430" s="1620" t="str">
        <f>INDEX(Lists!$C$4:$C$24,MATCH(Validation!$B$3,Lists!$B$4:$B$24,0))</f>
        <v>TMS</v>
      </c>
      <c r="B1430" s="1732" t="str">
        <f>'4K'!AS30</f>
        <v>WWS1020HD</v>
      </c>
      <c r="C1430" t="str">
        <f>+'4K'!$C30&amp;" - "&amp;'4K'!I$4</f>
        <v>Grants and contributions  - Highway drainage</v>
      </c>
      <c r="D1430" s="1620" t="str">
        <f t="shared" si="8"/>
        <v>£m</v>
      </c>
      <c r="E1430" s="1636" t="s">
        <v>9</v>
      </c>
      <c r="G1430" s="1635">
        <f>'4K'!I30</f>
        <v>0</v>
      </c>
      <c r="H1430" s="1636"/>
    </row>
    <row r="1431" spans="1:8">
      <c r="A1431" s="1620" t="str">
        <f>INDEX(Lists!$C$4:$C$24,MATCH(Validation!$B$3,Lists!$B$4:$B$24,0))</f>
        <v>TMS</v>
      </c>
      <c r="B1431" s="1732" t="str">
        <f>'4K'!AS34</f>
        <v>WWS1022HD</v>
      </c>
      <c r="C1431" t="str">
        <f>+'4K'!$C34&amp;" - "&amp;'4K'!I$4</f>
        <v>Pension deficit recovery payments - Highway drainage</v>
      </c>
      <c r="D1431" s="1620" t="str">
        <f t="shared" si="8"/>
        <v>£m</v>
      </c>
      <c r="E1431" s="1636" t="s">
        <v>9</v>
      </c>
      <c r="G1431" s="1635">
        <f>'4K'!I34</f>
        <v>0.313</v>
      </c>
      <c r="H1431" s="1636"/>
    </row>
    <row r="1432" spans="1:8">
      <c r="A1432" s="1620" t="str">
        <f>INDEX(Lists!$C$4:$C$24,MATCH(Validation!$B$3,Lists!$B$4:$B$24,0))</f>
        <v>TMS</v>
      </c>
      <c r="B1432" s="1732" t="str">
        <f>'4K'!AS35</f>
        <v>WWS1023HD</v>
      </c>
      <c r="C1432" t="str">
        <f>+'4K'!$C35&amp;" - "&amp;'4K'!I$4</f>
        <v>Other cash items - Highway drainage</v>
      </c>
      <c r="D1432" s="1620" t="str">
        <f t="shared" si="8"/>
        <v>£m</v>
      </c>
      <c r="E1432" s="1636" t="s">
        <v>9</v>
      </c>
      <c r="G1432" s="1635">
        <f>'4K'!I35</f>
        <v>0</v>
      </c>
      <c r="H1432" s="1636"/>
    </row>
    <row r="1433" spans="1:8">
      <c r="A1433" s="1620" t="str">
        <f>INDEX(Lists!$C$4:$C$24,MATCH(Validation!$B$3,Lists!$B$4:$B$24,0))</f>
        <v>TMS</v>
      </c>
      <c r="B1433" s="1732" t="str">
        <f>'4K'!AS39</f>
        <v>BP3357001HD</v>
      </c>
      <c r="C1433" t="str">
        <f>+'4K'!$C$38&amp;" - Item 1 - "&amp;'4K'!I$4</f>
        <v>Atypical expenditure - Item 1 - Highway drainage</v>
      </c>
      <c r="D1433" s="1620" t="str">
        <f t="shared" si="8"/>
        <v>£m</v>
      </c>
      <c r="E1433" s="1636" t="s">
        <v>9</v>
      </c>
      <c r="F1433" s="2" t="str">
        <f>F1405</f>
        <v>Restructuring costs</v>
      </c>
      <c r="G1433" s="1635">
        <f>IF(ISBLANK('4K'!I39), "##BLANK", '4K'!I39)</f>
        <v>8.7999999999999995E-2</v>
      </c>
      <c r="H1433" s="1636"/>
    </row>
    <row r="1434" spans="1:8">
      <c r="A1434" s="1620" t="str">
        <f>INDEX(Lists!$C$4:$C$24,MATCH(Validation!$B$3,Lists!$B$4:$B$24,0))</f>
        <v>TMS</v>
      </c>
      <c r="B1434" s="1732" t="str">
        <f>'4K'!AS40</f>
        <v>BP3357002HD</v>
      </c>
      <c r="C1434" t="str">
        <f>+'4K'!$C$38&amp;" - Item 2 - "&amp;'4K'!I$4</f>
        <v>Atypical expenditure - Item 2 - Highway drainage</v>
      </c>
      <c r="D1434" s="1620" t="str">
        <f t="shared" si="8"/>
        <v>£m</v>
      </c>
      <c r="E1434" s="1636" t="s">
        <v>9</v>
      </c>
      <c r="F1434" s="2" t="str">
        <f t="shared" ref="F1434:F1442" si="10">F1406</f>
        <v>##BLANK</v>
      </c>
      <c r="G1434" s="1635" t="str">
        <f>IF(ISBLANK('4K'!I40), "##BLANK", '4K'!I40)</f>
        <v>##BLANK</v>
      </c>
      <c r="H1434" s="1636"/>
    </row>
    <row r="1435" spans="1:8">
      <c r="A1435" s="1620" t="str">
        <f>INDEX(Lists!$C$4:$C$24,MATCH(Validation!$B$3,Lists!$B$4:$B$24,0))</f>
        <v>TMS</v>
      </c>
      <c r="B1435" s="1732" t="str">
        <f>'4K'!AS41</f>
        <v>BP3357003HD</v>
      </c>
      <c r="C1435" t="str">
        <f>+'4K'!$C$38&amp;" - Item 3 - "&amp;'4K'!I$4</f>
        <v>Atypical expenditure - Item 3 - Highway drainage</v>
      </c>
      <c r="D1435" s="1620" t="str">
        <f t="shared" si="8"/>
        <v>£m</v>
      </c>
      <c r="E1435" s="1636" t="s">
        <v>9</v>
      </c>
      <c r="F1435" s="2" t="str">
        <f t="shared" si="10"/>
        <v>##BLANK</v>
      </c>
      <c r="G1435" s="1635" t="str">
        <f>IF(ISBLANK('4K'!I41), "##BLANK", '4K'!I41)</f>
        <v>##BLANK</v>
      </c>
      <c r="H1435" s="1636"/>
    </row>
    <row r="1436" spans="1:8">
      <c r="A1436" s="1620" t="str">
        <f>INDEX(Lists!$C$4:$C$24,MATCH(Validation!$B$3,Lists!$B$4:$B$24,0))</f>
        <v>TMS</v>
      </c>
      <c r="B1436" s="1732" t="str">
        <f>'4K'!AS42</f>
        <v>BP3357004HD</v>
      </c>
      <c r="C1436" t="str">
        <f>+'4K'!$C$38&amp;" - Item 4 - "&amp;'4K'!I$4</f>
        <v>Atypical expenditure - Item 4 - Highway drainage</v>
      </c>
      <c r="D1436" s="1620" t="str">
        <f t="shared" si="8"/>
        <v>£m</v>
      </c>
      <c r="E1436" s="1636" t="s">
        <v>9</v>
      </c>
      <c r="F1436" s="2" t="str">
        <f t="shared" si="10"/>
        <v>##BLANK</v>
      </c>
      <c r="G1436" s="1635" t="str">
        <f>IF(ISBLANK('4K'!I42), "##BLANK", '4K'!I42)</f>
        <v>##BLANK</v>
      </c>
      <c r="H1436" s="1636"/>
    </row>
    <row r="1437" spans="1:8">
      <c r="A1437" s="1620" t="str">
        <f>INDEX(Lists!$C$4:$C$24,MATCH(Validation!$B$3,Lists!$B$4:$B$24,0))</f>
        <v>TMS</v>
      </c>
      <c r="B1437" s="1732" t="str">
        <f>'4K'!AS43</f>
        <v>BP3357005HD</v>
      </c>
      <c r="C1437" t="str">
        <f>+'4K'!$C$38&amp;" - Item 5 - "&amp;'4K'!I$4</f>
        <v>Atypical expenditure - Item 5 - Highway drainage</v>
      </c>
      <c r="D1437" s="1620" t="str">
        <f t="shared" si="8"/>
        <v>£m</v>
      </c>
      <c r="E1437" s="1636" t="s">
        <v>9</v>
      </c>
      <c r="F1437" s="2" t="str">
        <f t="shared" si="10"/>
        <v>##BLANK</v>
      </c>
      <c r="G1437" s="1635" t="str">
        <f>IF(ISBLANK('4K'!I43), "##BLANK", '4K'!I43)</f>
        <v>##BLANK</v>
      </c>
      <c r="H1437" s="1636"/>
    </row>
    <row r="1438" spans="1:8">
      <c r="A1438" s="1620" t="str">
        <f>INDEX(Lists!$C$4:$C$24,MATCH(Validation!$B$3,Lists!$B$4:$B$24,0))</f>
        <v>TMS</v>
      </c>
      <c r="B1438" s="1732" t="str">
        <f>'4K'!AS44</f>
        <v>BP3357006HD</v>
      </c>
      <c r="C1438" t="str">
        <f>+'4K'!$C$38&amp;" - Item 6 - "&amp;'4K'!I$4</f>
        <v>Atypical expenditure - Item 6 - Highway drainage</v>
      </c>
      <c r="D1438" s="1620" t="str">
        <f t="shared" si="8"/>
        <v>£m</v>
      </c>
      <c r="E1438" s="1636" t="s">
        <v>9</v>
      </c>
      <c r="F1438" s="2" t="str">
        <f t="shared" si="10"/>
        <v>##BLANK</v>
      </c>
      <c r="G1438" s="1635" t="str">
        <f>IF(ISBLANK('4K'!I44), "##BLANK", '4K'!I44)</f>
        <v>##BLANK</v>
      </c>
      <c r="H1438" s="1636"/>
    </row>
    <row r="1439" spans="1:8">
      <c r="A1439" s="1620" t="str">
        <f>INDEX(Lists!$C$4:$C$24,MATCH(Validation!$B$3,Lists!$B$4:$B$24,0))</f>
        <v>TMS</v>
      </c>
      <c r="B1439" s="1732" t="str">
        <f>'4K'!AS45</f>
        <v>BP3357007HD</v>
      </c>
      <c r="C1439" t="str">
        <f>+'4K'!$C$38&amp;" - Item 7 - "&amp;'4K'!I$4</f>
        <v>Atypical expenditure - Item 7 - Highway drainage</v>
      </c>
      <c r="D1439" s="1620" t="str">
        <f t="shared" si="8"/>
        <v>£m</v>
      </c>
      <c r="E1439" s="1636" t="s">
        <v>9</v>
      </c>
      <c r="F1439" s="2" t="str">
        <f t="shared" si="10"/>
        <v>##BLANK</v>
      </c>
      <c r="G1439" s="1635" t="str">
        <f>IF(ISBLANK('4K'!I45), "##BLANK", '4K'!I45)</f>
        <v>##BLANK</v>
      </c>
      <c r="H1439" s="1636"/>
    </row>
    <row r="1440" spans="1:8">
      <c r="A1440" s="1620" t="str">
        <f>INDEX(Lists!$C$4:$C$24,MATCH(Validation!$B$3,Lists!$B$4:$B$24,0))</f>
        <v>TMS</v>
      </c>
      <c r="B1440" s="1732" t="str">
        <f>'4K'!AS46</f>
        <v>BP3357008HD</v>
      </c>
      <c r="C1440" t="str">
        <f>+'4K'!$C$38&amp;" - Item 8 - "&amp;'4K'!I$4</f>
        <v>Atypical expenditure - Item 8 - Highway drainage</v>
      </c>
      <c r="D1440" s="1620" t="str">
        <f t="shared" si="8"/>
        <v>£m</v>
      </c>
      <c r="E1440" s="1636" t="s">
        <v>9</v>
      </c>
      <c r="F1440" s="2" t="str">
        <f t="shared" si="10"/>
        <v>##BLANK</v>
      </c>
      <c r="G1440" s="1635" t="str">
        <f>IF(ISBLANK('4K'!I46), "##BLANK", '4K'!I46)</f>
        <v>##BLANK</v>
      </c>
      <c r="H1440" s="1636"/>
    </row>
    <row r="1441" spans="1:8">
      <c r="A1441" s="1620" t="str">
        <f>INDEX(Lists!$C$4:$C$24,MATCH(Validation!$B$3,Lists!$B$4:$B$24,0))</f>
        <v>TMS</v>
      </c>
      <c r="B1441" s="1732" t="str">
        <f>'4K'!AS47</f>
        <v>BP3357009HD</v>
      </c>
      <c r="C1441" t="str">
        <f>+'4K'!$C$38&amp;" - Item 9 - "&amp;'4K'!I$4</f>
        <v>Atypical expenditure - Item 9 - Highway drainage</v>
      </c>
      <c r="D1441" s="1620" t="str">
        <f t="shared" si="8"/>
        <v>£m</v>
      </c>
      <c r="E1441" s="1636" t="s">
        <v>9</v>
      </c>
      <c r="F1441" s="2" t="str">
        <f t="shared" si="10"/>
        <v>##BLANK</v>
      </c>
      <c r="G1441" s="1635" t="str">
        <f>IF(ISBLANK('4K'!I47), "##BLANK", '4K'!I47)</f>
        <v>##BLANK</v>
      </c>
      <c r="H1441" s="1636"/>
    </row>
    <row r="1442" spans="1:8">
      <c r="A1442" s="1730" t="str">
        <f>INDEX(Lists!$C$4:$C$24,MATCH(Validation!$B$3,Lists!$B$4:$B$24,0))</f>
        <v>TMS</v>
      </c>
      <c r="B1442" s="1734" t="str">
        <f>'4K'!AS48</f>
        <v>BP3357010HD</v>
      </c>
      <c r="C1442" s="1819" t="str">
        <f>+'4K'!$C$38&amp;" - Item 10 - "&amp;'4K'!I$4</f>
        <v>Atypical expenditure - Item 10 - Highway drainage</v>
      </c>
      <c r="D1442" s="1730" t="str">
        <f t="shared" si="8"/>
        <v>£m</v>
      </c>
      <c r="E1442" s="1652" t="s">
        <v>9</v>
      </c>
      <c r="F1442" s="1637" t="str">
        <f t="shared" si="10"/>
        <v>##BLANK</v>
      </c>
      <c r="G1442" s="1653" t="str">
        <f>IF(ISBLANK('4K'!I48), "##BLANK", '4K'!I48)</f>
        <v>##BLANK</v>
      </c>
      <c r="H1442" s="1652"/>
    </row>
    <row r="1443" spans="1:8">
      <c r="A1443" s="1620" t="str">
        <f>INDEX(Lists!$C$4:$C$24,MATCH(Validation!$B$3,Lists!$B$4:$B$24,0))</f>
        <v>TMS</v>
      </c>
      <c r="B1443" s="1732" t="str">
        <f>'4K'!AT7</f>
        <v>WWS1001STD</v>
      </c>
      <c r="C1443" t="str">
        <f>+'4K'!$C7&amp;" - "&amp;'4K'!J$4</f>
        <v>Power - Sewage treatment and disposal</v>
      </c>
      <c r="D1443" s="1620" t="str">
        <f t="shared" si="8"/>
        <v>£m</v>
      </c>
      <c r="E1443" s="1636" t="s">
        <v>9</v>
      </c>
      <c r="G1443" s="1635">
        <f>'4K'!J7</f>
        <v>54.192999999999998</v>
      </c>
      <c r="H1443" s="1636"/>
    </row>
    <row r="1444" spans="1:8">
      <c r="A1444" s="1620" t="str">
        <f>INDEX(Lists!$C$4:$C$24,MATCH(Validation!$B$3,Lists!$B$4:$B$24,0))</f>
        <v>TMS</v>
      </c>
      <c r="B1444" s="1732" t="str">
        <f>'4K'!AT8</f>
        <v>WWS1002STD</v>
      </c>
      <c r="C1444" t="str">
        <f>+'4K'!$C8&amp;" - "&amp;'4K'!J$4</f>
        <v>Income treated as negative expenditure - Sewage treatment and disposal</v>
      </c>
      <c r="D1444" s="1620" t="str">
        <f t="shared" si="8"/>
        <v>£m</v>
      </c>
      <c r="E1444" s="1636" t="s">
        <v>9</v>
      </c>
      <c r="G1444" s="1635">
        <f>'4K'!J8</f>
        <v>-3.9E-2</v>
      </c>
      <c r="H1444" s="1636"/>
    </row>
    <row r="1445" spans="1:8">
      <c r="A1445" s="1620" t="str">
        <f>INDEX(Lists!$C$4:$C$24,MATCH(Validation!$B$3,Lists!$B$4:$B$24,0))</f>
        <v>TMS</v>
      </c>
      <c r="B1445" s="1732" t="str">
        <f>'4K'!AT9</f>
        <v>WWS1003STD</v>
      </c>
      <c r="C1445" t="str">
        <f>+'4K'!$C9&amp;" - "&amp;'4K'!J$4</f>
        <v>Discharge Consents - Sewage treatment and disposal</v>
      </c>
      <c r="D1445" s="1620" t="str">
        <f t="shared" si="8"/>
        <v>£m</v>
      </c>
      <c r="E1445" s="1636" t="s">
        <v>9</v>
      </c>
      <c r="G1445" s="1635">
        <f>'4K'!J9</f>
        <v>3.53</v>
      </c>
      <c r="H1445" s="1636"/>
    </row>
    <row r="1446" spans="1:8">
      <c r="A1446" s="1620" t="str">
        <f>INDEX(Lists!$C$4:$C$24,MATCH(Validation!$B$3,Lists!$B$4:$B$24,0))</f>
        <v>TMS</v>
      </c>
      <c r="B1446" s="1732" t="str">
        <f>'4K'!AT10</f>
        <v>WWS1004STD</v>
      </c>
      <c r="C1446" t="str">
        <f>+'4K'!$C10&amp;" - "&amp;'4K'!J$4</f>
        <v>Bulk discharge - Sewage treatment and disposal</v>
      </c>
      <c r="D1446" s="1620" t="str">
        <f t="shared" si="8"/>
        <v>£m</v>
      </c>
      <c r="E1446" s="1636" t="s">
        <v>9</v>
      </c>
      <c r="G1446" s="1635">
        <f>'4K'!J10</f>
        <v>2.39</v>
      </c>
      <c r="H1446" s="1636"/>
    </row>
    <row r="1447" spans="1:8">
      <c r="A1447" s="1620" t="str">
        <f>INDEX(Lists!$C$4:$C$24,MATCH(Validation!$B$3,Lists!$B$4:$B$24,0))</f>
        <v>TMS</v>
      </c>
      <c r="B1447" s="1732" t="str">
        <f>'4K'!AT12</f>
        <v>WWS1005STD</v>
      </c>
      <c r="C1447" t="str">
        <f>+'4K'!$C$11&amp;" "&amp;'4K'!$C12&amp;" - "&amp;'4K'!J$4</f>
        <v>Other operating expenditure - Renewals expensed in year (Infrastructure) - Sewage treatment and disposal</v>
      </c>
      <c r="D1447" s="1620" t="str">
        <f t="shared" si="8"/>
        <v>£m</v>
      </c>
      <c r="E1447" s="1636" t="s">
        <v>9</v>
      </c>
      <c r="G1447" s="1635">
        <f>'4K'!J12</f>
        <v>0</v>
      </c>
      <c r="H1447" s="1636"/>
    </row>
    <row r="1448" spans="1:8">
      <c r="A1448" s="1620" t="str">
        <f>INDEX(Lists!$C$4:$C$24,MATCH(Validation!$B$3,Lists!$B$4:$B$24,0))</f>
        <v>TMS</v>
      </c>
      <c r="B1448" s="1732" t="str">
        <f>'4K'!AT13</f>
        <v>WWS1006STD</v>
      </c>
      <c r="C1448" t="str">
        <f>+'4K'!$C$11&amp;" "&amp;'4K'!$C13&amp;" - "&amp;'4K'!J$4</f>
        <v>Other operating expenditure - Renewals expensed in year (Non-Infrastructure) - Sewage treatment and disposal</v>
      </c>
      <c r="D1448" s="1620" t="str">
        <f t="shared" si="8"/>
        <v>£m</v>
      </c>
      <c r="E1448" s="1636" t="s">
        <v>9</v>
      </c>
      <c r="G1448" s="1635">
        <f>'4K'!J13</f>
        <v>0</v>
      </c>
      <c r="H1448" s="1636"/>
    </row>
    <row r="1449" spans="1:8">
      <c r="A1449" s="1620" t="str">
        <f>INDEX(Lists!$C$4:$C$24,MATCH(Validation!$B$3,Lists!$B$4:$B$24,0))</f>
        <v>TMS</v>
      </c>
      <c r="B1449" s="1732" t="str">
        <f>'4K'!AT14</f>
        <v>WWS1007STD</v>
      </c>
      <c r="C1449" t="str">
        <f>+'4K'!$C$11&amp;" "&amp;'4K'!$C14&amp;" - "&amp;'4K'!J$4</f>
        <v>Other operating expenditure - Other operating expenditure excluding renewals - Sewage treatment and disposal</v>
      </c>
      <c r="D1449" s="1620" t="str">
        <f t="shared" si="8"/>
        <v>£m</v>
      </c>
      <c r="E1449" s="1636" t="s">
        <v>9</v>
      </c>
      <c r="G1449" s="1635">
        <f>'4K'!J14</f>
        <v>109.143</v>
      </c>
      <c r="H1449" s="1636"/>
    </row>
    <row r="1450" spans="1:8">
      <c r="A1450" s="1620" t="str">
        <f>INDEX(Lists!$C$4:$C$24,MATCH(Validation!$B$3,Lists!$B$4:$B$24,0))</f>
        <v>TMS</v>
      </c>
      <c r="B1450" s="1732" t="str">
        <f>'4K'!AT15</f>
        <v>WWS1008STD</v>
      </c>
      <c r="C1450" t="str">
        <f>+'4K'!$C15&amp;" - "&amp;'4K'!J$4</f>
        <v>Local authority and Cumulo rates - Sewage treatment and disposal</v>
      </c>
      <c r="D1450" s="1620" t="str">
        <f t="shared" si="8"/>
        <v>£m</v>
      </c>
      <c r="E1450" s="1636" t="s">
        <v>9</v>
      </c>
      <c r="G1450" s="1635">
        <f>'4K'!J15</f>
        <v>28.538</v>
      </c>
      <c r="H1450" s="1636"/>
    </row>
    <row r="1451" spans="1:8">
      <c r="A1451" s="1620" t="str">
        <f>INDEX(Lists!$C$4:$C$24,MATCH(Validation!$B$3,Lists!$B$4:$B$24,0))</f>
        <v>TMS</v>
      </c>
      <c r="B1451" s="1732" t="str">
        <f>'4K'!AT18</f>
        <v>WWS1010STD</v>
      </c>
      <c r="C1451" t="str">
        <f>+'4K'!$C18&amp;" - "&amp;'4K'!J$4</f>
        <v>Third party services - Sewage treatment and disposal</v>
      </c>
      <c r="D1451" s="1620" t="str">
        <f t="shared" ref="D1451:D1514" si="11">D1423</f>
        <v>£m</v>
      </c>
      <c r="E1451" s="1636" t="s">
        <v>9</v>
      </c>
      <c r="G1451" s="1635">
        <f>'4K'!J18</f>
        <v>0.47799999999999998</v>
      </c>
      <c r="H1451" s="1636"/>
    </row>
    <row r="1452" spans="1:8">
      <c r="A1452" s="1620" t="str">
        <f>INDEX(Lists!$C$4:$C$24,MATCH(Validation!$B$3,Lists!$B$4:$B$24,0))</f>
        <v>TMS</v>
      </c>
      <c r="B1452" s="1732" t="str">
        <f>'4K'!AT22</f>
        <v>WWS1012STD</v>
      </c>
      <c r="C1452" t="str">
        <f>+'4K'!$C22&amp;" - "&amp;'4K'!J$4</f>
        <v>Maintaining the long term capability of the assets - infra - Sewage treatment and disposal</v>
      </c>
      <c r="D1452" s="1620" t="str">
        <f t="shared" si="11"/>
        <v>£m</v>
      </c>
      <c r="E1452" s="1636" t="s">
        <v>9</v>
      </c>
      <c r="G1452" s="1635">
        <f>'4K'!J22</f>
        <v>0</v>
      </c>
      <c r="H1452" s="1636"/>
    </row>
    <row r="1453" spans="1:8">
      <c r="A1453" s="1620" t="str">
        <f>INDEX(Lists!$C$4:$C$24,MATCH(Validation!$B$3,Lists!$B$4:$B$24,0))</f>
        <v>TMS</v>
      </c>
      <c r="B1453" s="1732" t="str">
        <f>'4K'!AT23</f>
        <v>WWS1013STD</v>
      </c>
      <c r="C1453" t="str">
        <f>+'4K'!$C23&amp;" - "&amp;'4K'!J$4</f>
        <v>Maintaining the long term capability of the assets - non-infra - Sewage treatment and disposal</v>
      </c>
      <c r="D1453" s="1620" t="str">
        <f t="shared" si="11"/>
        <v>£m</v>
      </c>
      <c r="E1453" s="1636" t="s">
        <v>9</v>
      </c>
      <c r="G1453" s="1635">
        <f>'4K'!J23</f>
        <v>115.45111809594727</v>
      </c>
      <c r="H1453" s="1636"/>
    </row>
    <row r="1454" spans="1:8">
      <c r="A1454" s="1620" t="str">
        <f>INDEX(Lists!$C$4:$C$24,MATCH(Validation!$B$3,Lists!$B$4:$B$24,0))</f>
        <v>TMS</v>
      </c>
      <c r="B1454" s="1732" t="str">
        <f>'4K'!AT24</f>
        <v>WWS1014STD</v>
      </c>
      <c r="C1454" t="str">
        <f>+'4K'!$C24&amp;" - "&amp;'4K'!J$4</f>
        <v>Other capital expenditure - infra - Sewage treatment and disposal</v>
      </c>
      <c r="D1454" s="1620" t="str">
        <f t="shared" si="11"/>
        <v>£m</v>
      </c>
      <c r="E1454" s="1636" t="s">
        <v>9</v>
      </c>
      <c r="G1454" s="1635">
        <f>'4K'!J24</f>
        <v>0</v>
      </c>
      <c r="H1454" s="1636"/>
    </row>
    <row r="1455" spans="1:8">
      <c r="A1455" s="1620" t="str">
        <f>INDEX(Lists!$C$4:$C$24,MATCH(Validation!$B$3,Lists!$B$4:$B$24,0))</f>
        <v>TMS</v>
      </c>
      <c r="B1455" s="1732" t="str">
        <f>'4K'!AT25</f>
        <v>WWS1015STD</v>
      </c>
      <c r="C1455" t="str">
        <f>+'4K'!$C25&amp;" - "&amp;'4K'!J$4</f>
        <v>Other capital expenditure - non-infra - Sewage treatment and disposal</v>
      </c>
      <c r="D1455" s="1620" t="str">
        <f t="shared" si="11"/>
        <v>£m</v>
      </c>
      <c r="E1455" s="1636" t="s">
        <v>9</v>
      </c>
      <c r="G1455" s="1635">
        <f>'4K'!J25</f>
        <v>137.359793255434</v>
      </c>
      <c r="H1455" s="1636"/>
    </row>
    <row r="1456" spans="1:8">
      <c r="A1456" s="1620" t="str">
        <f>INDEX(Lists!$C$4:$C$24,MATCH(Validation!$B$3,Lists!$B$4:$B$24,0))</f>
        <v>TMS</v>
      </c>
      <c r="B1456" s="1732" t="str">
        <f>'4K'!AT26</f>
        <v>WWS1016STD</v>
      </c>
      <c r="C1456" t="str">
        <f>+'4K'!$C26&amp;" - "&amp;'4K'!J$4</f>
        <v>Infrastructure network reinforcement - Sewage treatment and disposal</v>
      </c>
      <c r="D1456" s="1620" t="str">
        <f t="shared" si="11"/>
        <v>£m</v>
      </c>
      <c r="E1456" s="1636" t="s">
        <v>9</v>
      </c>
      <c r="G1456" s="1635">
        <f>'4K'!J26</f>
        <v>1.0891509999999998E-2</v>
      </c>
      <c r="H1456" s="1636"/>
    </row>
    <row r="1457" spans="1:8">
      <c r="A1457" s="1620" t="str">
        <f>INDEX(Lists!$C$4:$C$24,MATCH(Validation!$B$3,Lists!$B$4:$B$24,0))</f>
        <v>TMS</v>
      </c>
      <c r="B1457" s="1732" t="str">
        <f>'4K'!AT28</f>
        <v>WWS1018STD</v>
      </c>
      <c r="C1457" t="str">
        <f>+'4K'!$C28&amp;" - "&amp;'4K'!J$4</f>
        <v>Third party services - Sewage treatment and disposal</v>
      </c>
      <c r="D1457" s="1620" t="str">
        <f t="shared" si="11"/>
        <v>£m</v>
      </c>
      <c r="E1457" s="1636" t="s">
        <v>9</v>
      </c>
      <c r="G1457" s="1635">
        <f>'4K'!J28</f>
        <v>0</v>
      </c>
      <c r="H1457" s="1636"/>
    </row>
    <row r="1458" spans="1:8">
      <c r="A1458" s="1620" t="str">
        <f>INDEX(Lists!$C$4:$C$24,MATCH(Validation!$B$3,Lists!$B$4:$B$24,0))</f>
        <v>TMS</v>
      </c>
      <c r="B1458" s="1732" t="str">
        <f>'4K'!AT30</f>
        <v>WWS1020STD</v>
      </c>
      <c r="C1458" t="str">
        <f>+'4K'!$C30&amp;" - "&amp;'4K'!J$4</f>
        <v>Grants and contributions  - Sewage treatment and disposal</v>
      </c>
      <c r="D1458" s="1620" t="str">
        <f t="shared" si="11"/>
        <v>£m</v>
      </c>
      <c r="E1458" s="1636" t="s">
        <v>9</v>
      </c>
      <c r="G1458" s="1635">
        <f>'4K'!J30</f>
        <v>0.61199999999999999</v>
      </c>
      <c r="H1458" s="1636"/>
    </row>
    <row r="1459" spans="1:8">
      <c r="A1459" s="1620" t="str">
        <f>INDEX(Lists!$C$4:$C$24,MATCH(Validation!$B$3,Lists!$B$4:$B$24,0))</f>
        <v>TMS</v>
      </c>
      <c r="B1459" s="1732" t="str">
        <f>'4K'!AT34</f>
        <v>WWS1022STD</v>
      </c>
      <c r="C1459" t="str">
        <f>+'4K'!$C34&amp;" - "&amp;'4K'!J$4</f>
        <v>Pension deficit recovery payments - Sewage treatment and disposal</v>
      </c>
      <c r="D1459" s="1620" t="str">
        <f t="shared" si="11"/>
        <v>£m</v>
      </c>
      <c r="E1459" s="1636" t="s">
        <v>9</v>
      </c>
      <c r="G1459" s="1635">
        <f>'4K'!J34</f>
        <v>3.7080000000000002</v>
      </c>
      <c r="H1459" s="1636"/>
    </row>
    <row r="1460" spans="1:8">
      <c r="A1460" s="1620" t="str">
        <f>INDEX(Lists!$C$4:$C$24,MATCH(Validation!$B$3,Lists!$B$4:$B$24,0))</f>
        <v>TMS</v>
      </c>
      <c r="B1460" s="1732" t="str">
        <f>'4K'!AT35</f>
        <v>WWS1023STD</v>
      </c>
      <c r="C1460" t="str">
        <f>+'4K'!$C35&amp;" - "&amp;'4K'!J$4</f>
        <v>Other cash items - Sewage treatment and disposal</v>
      </c>
      <c r="D1460" s="1620" t="str">
        <f t="shared" si="11"/>
        <v>£m</v>
      </c>
      <c r="E1460" s="1636" t="s">
        <v>9</v>
      </c>
      <c r="G1460" s="1635">
        <f>'4K'!J35</f>
        <v>0</v>
      </c>
      <c r="H1460" s="1636"/>
    </row>
    <row r="1461" spans="1:8">
      <c r="A1461" s="1620" t="str">
        <f>INDEX(Lists!$C$4:$C$24,MATCH(Validation!$B$3,Lists!$B$4:$B$24,0))</f>
        <v>TMS</v>
      </c>
      <c r="B1461" s="1732" t="str">
        <f>'4K'!AT39</f>
        <v>BP3357001STD</v>
      </c>
      <c r="C1461" t="str">
        <f>+'4K'!$C$38&amp;" - Item 1 - "&amp;'4K'!J$4</f>
        <v>Atypical expenditure - Item 1 - Sewage treatment and disposal</v>
      </c>
      <c r="D1461" s="1620" t="str">
        <f t="shared" si="11"/>
        <v>£m</v>
      </c>
      <c r="E1461" s="1636" t="s">
        <v>9</v>
      </c>
      <c r="F1461" s="2" t="str">
        <f>F1405</f>
        <v>Restructuring costs</v>
      </c>
      <c r="G1461" s="1635">
        <f>IF(ISBLANK('4K'!J39), "##BLANK", '4K'!J39)</f>
        <v>0.89600000000000002</v>
      </c>
      <c r="H1461" s="1636"/>
    </row>
    <row r="1462" spans="1:8">
      <c r="A1462" s="1620" t="str">
        <f>INDEX(Lists!$C$4:$C$24,MATCH(Validation!$B$3,Lists!$B$4:$B$24,0))</f>
        <v>TMS</v>
      </c>
      <c r="B1462" s="1732" t="str">
        <f>'4K'!AT40</f>
        <v>BP3357002STD</v>
      </c>
      <c r="C1462" t="str">
        <f>+'4K'!$C$38&amp;" - Item 2 - "&amp;'4K'!J$4</f>
        <v>Atypical expenditure - Item 2 - Sewage treatment and disposal</v>
      </c>
      <c r="D1462" s="1620" t="str">
        <f t="shared" si="11"/>
        <v>£m</v>
      </c>
      <c r="E1462" s="1636" t="s">
        <v>9</v>
      </c>
      <c r="F1462" s="2" t="str">
        <f t="shared" ref="F1462:F1470" si="12">F1406</f>
        <v>##BLANK</v>
      </c>
      <c r="G1462" s="1635" t="str">
        <f>IF(ISBLANK('4K'!J40), "##BLANK", '4K'!J40)</f>
        <v>##BLANK</v>
      </c>
      <c r="H1462" s="1636"/>
    </row>
    <row r="1463" spans="1:8">
      <c r="A1463" s="1620" t="str">
        <f>INDEX(Lists!$C$4:$C$24,MATCH(Validation!$B$3,Lists!$B$4:$B$24,0))</f>
        <v>TMS</v>
      </c>
      <c r="B1463" s="1732" t="str">
        <f>'4K'!AT41</f>
        <v>BP3357003STD</v>
      </c>
      <c r="C1463" t="str">
        <f>+'4K'!$C$38&amp;" - Item 3 - "&amp;'4K'!J$4</f>
        <v>Atypical expenditure - Item 3 - Sewage treatment and disposal</v>
      </c>
      <c r="D1463" s="1620" t="str">
        <f t="shared" si="11"/>
        <v>£m</v>
      </c>
      <c r="E1463" s="1636" t="s">
        <v>9</v>
      </c>
      <c r="F1463" s="2" t="str">
        <f t="shared" si="12"/>
        <v>##BLANK</v>
      </c>
      <c r="G1463" s="1635" t="str">
        <f>IF(ISBLANK('4K'!J41), "##BLANK", '4K'!J41)</f>
        <v>##BLANK</v>
      </c>
      <c r="H1463" s="1636"/>
    </row>
    <row r="1464" spans="1:8">
      <c r="A1464" s="1620" t="str">
        <f>INDEX(Lists!$C$4:$C$24,MATCH(Validation!$B$3,Lists!$B$4:$B$24,0))</f>
        <v>TMS</v>
      </c>
      <c r="B1464" s="1732" t="str">
        <f>'4K'!AT42</f>
        <v>BP3357004STD</v>
      </c>
      <c r="C1464" t="str">
        <f>+'4K'!$C$38&amp;" - Item 4 - "&amp;'4K'!J$4</f>
        <v>Atypical expenditure - Item 4 - Sewage treatment and disposal</v>
      </c>
      <c r="D1464" s="1620" t="str">
        <f t="shared" si="11"/>
        <v>£m</v>
      </c>
      <c r="E1464" s="1636" t="s">
        <v>9</v>
      </c>
      <c r="F1464" s="2" t="str">
        <f t="shared" si="12"/>
        <v>##BLANK</v>
      </c>
      <c r="G1464" s="1635" t="str">
        <f>IF(ISBLANK('4K'!J42), "##BLANK", '4K'!J42)</f>
        <v>##BLANK</v>
      </c>
      <c r="H1464" s="1636"/>
    </row>
    <row r="1465" spans="1:8">
      <c r="A1465" s="1620" t="str">
        <f>INDEX(Lists!$C$4:$C$24,MATCH(Validation!$B$3,Lists!$B$4:$B$24,0))</f>
        <v>TMS</v>
      </c>
      <c r="B1465" s="1732" t="str">
        <f>'4K'!AT43</f>
        <v>BP3357005STD</v>
      </c>
      <c r="C1465" t="str">
        <f>+'4K'!$C$38&amp;" - Item 5 - "&amp;'4K'!J$4</f>
        <v>Atypical expenditure - Item 5 - Sewage treatment and disposal</v>
      </c>
      <c r="D1465" s="1620" t="str">
        <f t="shared" si="11"/>
        <v>£m</v>
      </c>
      <c r="E1465" s="1636" t="s">
        <v>9</v>
      </c>
      <c r="F1465" s="2" t="str">
        <f t="shared" si="12"/>
        <v>##BLANK</v>
      </c>
      <c r="G1465" s="1635" t="str">
        <f>IF(ISBLANK('4K'!J43), "##BLANK", '4K'!J43)</f>
        <v>##BLANK</v>
      </c>
      <c r="H1465" s="1636"/>
    </row>
    <row r="1466" spans="1:8">
      <c r="A1466" s="1620" t="str">
        <f>INDEX(Lists!$C$4:$C$24,MATCH(Validation!$B$3,Lists!$B$4:$B$24,0))</f>
        <v>TMS</v>
      </c>
      <c r="B1466" s="1732" t="str">
        <f>'4K'!AT44</f>
        <v>BP3357006STD</v>
      </c>
      <c r="C1466" t="str">
        <f>+'4K'!$C$38&amp;" - Item 6 - "&amp;'4K'!J$4</f>
        <v>Atypical expenditure - Item 6 - Sewage treatment and disposal</v>
      </c>
      <c r="D1466" s="1620" t="str">
        <f t="shared" si="11"/>
        <v>£m</v>
      </c>
      <c r="E1466" s="1636" t="s">
        <v>9</v>
      </c>
      <c r="F1466" s="2" t="str">
        <f t="shared" si="12"/>
        <v>##BLANK</v>
      </c>
      <c r="G1466" s="1635" t="str">
        <f>IF(ISBLANK('4K'!J44), "##BLANK", '4K'!J44)</f>
        <v>##BLANK</v>
      </c>
      <c r="H1466" s="1636"/>
    </row>
    <row r="1467" spans="1:8">
      <c r="A1467" s="1620" t="str">
        <f>INDEX(Lists!$C$4:$C$24,MATCH(Validation!$B$3,Lists!$B$4:$B$24,0))</f>
        <v>TMS</v>
      </c>
      <c r="B1467" s="1732" t="str">
        <f>'4K'!AT45</f>
        <v>BP3357007STD</v>
      </c>
      <c r="C1467" t="str">
        <f>+'4K'!$C$38&amp;" - Item 7 - "&amp;'4K'!J$4</f>
        <v>Atypical expenditure - Item 7 - Sewage treatment and disposal</v>
      </c>
      <c r="D1467" s="1620" t="str">
        <f t="shared" si="11"/>
        <v>£m</v>
      </c>
      <c r="E1467" s="1636" t="s">
        <v>9</v>
      </c>
      <c r="F1467" s="2" t="str">
        <f t="shared" si="12"/>
        <v>##BLANK</v>
      </c>
      <c r="G1467" s="1635" t="str">
        <f>IF(ISBLANK('4K'!J45), "##BLANK", '4K'!J45)</f>
        <v>##BLANK</v>
      </c>
      <c r="H1467" s="1636"/>
    </row>
    <row r="1468" spans="1:8">
      <c r="A1468" s="1620" t="str">
        <f>INDEX(Lists!$C$4:$C$24,MATCH(Validation!$B$3,Lists!$B$4:$B$24,0))</f>
        <v>TMS</v>
      </c>
      <c r="B1468" s="1732" t="str">
        <f>'4K'!AT46</f>
        <v>BP3357008STD</v>
      </c>
      <c r="C1468" t="str">
        <f>+'4K'!$C$38&amp;" - Item 8 - "&amp;'4K'!J$4</f>
        <v>Atypical expenditure - Item 8 - Sewage treatment and disposal</v>
      </c>
      <c r="D1468" s="1620" t="str">
        <f t="shared" si="11"/>
        <v>£m</v>
      </c>
      <c r="E1468" s="1636" t="s">
        <v>9</v>
      </c>
      <c r="F1468" s="2" t="str">
        <f t="shared" si="12"/>
        <v>##BLANK</v>
      </c>
      <c r="G1468" s="1635" t="str">
        <f>IF(ISBLANK('4K'!J46), "##BLANK", '4K'!J46)</f>
        <v>##BLANK</v>
      </c>
      <c r="H1468" s="1636"/>
    </row>
    <row r="1469" spans="1:8">
      <c r="A1469" s="1620" t="str">
        <f>INDEX(Lists!$C$4:$C$24,MATCH(Validation!$B$3,Lists!$B$4:$B$24,0))</f>
        <v>TMS</v>
      </c>
      <c r="B1469" s="1732" t="str">
        <f>'4K'!AT47</f>
        <v>BP3357009STD</v>
      </c>
      <c r="C1469" t="str">
        <f>+'4K'!$C$38&amp;" - Item 9 - "&amp;'4K'!J$4</f>
        <v>Atypical expenditure - Item 9 - Sewage treatment and disposal</v>
      </c>
      <c r="D1469" s="1620" t="str">
        <f t="shared" si="11"/>
        <v>£m</v>
      </c>
      <c r="E1469" s="1636" t="s">
        <v>9</v>
      </c>
      <c r="F1469" s="2" t="str">
        <f t="shared" si="12"/>
        <v>##BLANK</v>
      </c>
      <c r="G1469" s="1635" t="str">
        <f>IF(ISBLANK('4K'!J47), "##BLANK", '4K'!J47)</f>
        <v>##BLANK</v>
      </c>
      <c r="H1469" s="1636"/>
    </row>
    <row r="1470" spans="1:8">
      <c r="A1470" s="1730" t="str">
        <f>INDEX(Lists!$C$4:$C$24,MATCH(Validation!$B$3,Lists!$B$4:$B$24,0))</f>
        <v>TMS</v>
      </c>
      <c r="B1470" s="1734" t="str">
        <f>'4K'!AT48</f>
        <v>BP3357010STD</v>
      </c>
      <c r="C1470" s="1819" t="str">
        <f>+'4K'!$C$38&amp;" - Item 10 - "&amp;'4K'!J$4</f>
        <v>Atypical expenditure - Item 10 - Sewage treatment and disposal</v>
      </c>
      <c r="D1470" s="1730" t="str">
        <f t="shared" si="11"/>
        <v>£m</v>
      </c>
      <c r="E1470" s="1652" t="s">
        <v>9</v>
      </c>
      <c r="F1470" s="1637" t="str">
        <f t="shared" si="12"/>
        <v>##BLANK</v>
      </c>
      <c r="G1470" s="1653" t="str">
        <f>IF(ISBLANK('4K'!J48), "##BLANK", '4K'!J48)</f>
        <v>##BLANK</v>
      </c>
      <c r="H1470" s="1652"/>
    </row>
    <row r="1471" spans="1:8">
      <c r="A1471" s="1620" t="str">
        <f>INDEX(Lists!$C$4:$C$24,MATCH(Validation!$B$3,Lists!$B$4:$B$24,0))</f>
        <v>TMS</v>
      </c>
      <c r="B1471" s="1732" t="str">
        <f>'4K'!AU7</f>
        <v>WWS1001SLT</v>
      </c>
      <c r="C1471" t="str">
        <f>+'4K'!$C7&amp;" - "&amp;'4K'!K$4</f>
        <v>Power - Sludge liquor treatment</v>
      </c>
      <c r="D1471" s="1620" t="str">
        <f t="shared" si="11"/>
        <v>£m</v>
      </c>
      <c r="E1471" s="1636" t="s">
        <v>9</v>
      </c>
      <c r="G1471" s="1635">
        <f>'4K'!K7</f>
        <v>0</v>
      </c>
      <c r="H1471" s="1636"/>
    </row>
    <row r="1472" spans="1:8">
      <c r="A1472" s="1620" t="str">
        <f>INDEX(Lists!$C$4:$C$24,MATCH(Validation!$B$3,Lists!$B$4:$B$24,0))</f>
        <v>TMS</v>
      </c>
      <c r="B1472" s="1732" t="str">
        <f>'4K'!AU8</f>
        <v>WWS1002SLT</v>
      </c>
      <c r="C1472" t="str">
        <f>+'4K'!$C8&amp;" - "&amp;'4K'!K$4</f>
        <v>Income treated as negative expenditure - Sludge liquor treatment</v>
      </c>
      <c r="D1472" s="1620" t="str">
        <f t="shared" si="11"/>
        <v>£m</v>
      </c>
      <c r="E1472" s="1636" t="s">
        <v>9</v>
      </c>
      <c r="G1472" s="1635">
        <f>'4K'!K8</f>
        <v>0</v>
      </c>
      <c r="H1472" s="1636"/>
    </row>
    <row r="1473" spans="1:8">
      <c r="A1473" s="1620" t="str">
        <f>INDEX(Lists!$C$4:$C$24,MATCH(Validation!$B$3,Lists!$B$4:$B$24,0))</f>
        <v>TMS</v>
      </c>
      <c r="B1473" s="1732" t="str">
        <f>'4K'!AU9</f>
        <v>WWS1003SLT</v>
      </c>
      <c r="C1473" t="str">
        <f>+'4K'!$C9&amp;" - "&amp;'4K'!K$4</f>
        <v>Discharge Consents - Sludge liquor treatment</v>
      </c>
      <c r="D1473" s="1620" t="str">
        <f t="shared" si="11"/>
        <v>£m</v>
      </c>
      <c r="E1473" s="1636" t="s">
        <v>9</v>
      </c>
      <c r="G1473" s="1635">
        <f>'4K'!K9</f>
        <v>4.0000000000000001E-3</v>
      </c>
      <c r="H1473" s="1636"/>
    </row>
    <row r="1474" spans="1:8">
      <c r="A1474" s="1620" t="str">
        <f>INDEX(Lists!$C$4:$C$24,MATCH(Validation!$B$3,Lists!$B$4:$B$24,0))</f>
        <v>TMS</v>
      </c>
      <c r="B1474" s="1732" t="str">
        <f>'4K'!AU10</f>
        <v>WWS1004SLT</v>
      </c>
      <c r="C1474" t="str">
        <f>+'4K'!$C10&amp;" - "&amp;'4K'!K$4</f>
        <v>Bulk discharge - Sludge liquor treatment</v>
      </c>
      <c r="D1474" s="1620" t="str">
        <f t="shared" si="11"/>
        <v>£m</v>
      </c>
      <c r="E1474" s="1636" t="s">
        <v>9</v>
      </c>
      <c r="G1474" s="1635">
        <f>'4K'!K10</f>
        <v>0</v>
      </c>
      <c r="H1474" s="1636"/>
    </row>
    <row r="1475" spans="1:8">
      <c r="A1475" s="1620" t="str">
        <f>INDEX(Lists!$C$4:$C$24,MATCH(Validation!$B$3,Lists!$B$4:$B$24,0))</f>
        <v>TMS</v>
      </c>
      <c r="B1475" s="1732" t="str">
        <f>'4K'!AU12</f>
        <v>WWS1005SLT</v>
      </c>
      <c r="C1475" t="str">
        <f>+'4K'!$C$11&amp;" "&amp;'4K'!$C12&amp;" - "&amp;'4K'!K$4</f>
        <v>Other operating expenditure - Renewals expensed in year (Infrastructure) - Sludge liquor treatment</v>
      </c>
      <c r="D1475" s="1620" t="str">
        <f t="shared" si="11"/>
        <v>£m</v>
      </c>
      <c r="E1475" s="1636" t="s">
        <v>9</v>
      </c>
      <c r="G1475" s="1635">
        <f>'4K'!K12</f>
        <v>0</v>
      </c>
      <c r="H1475" s="1636"/>
    </row>
    <row r="1476" spans="1:8">
      <c r="A1476" s="1620" t="str">
        <f>INDEX(Lists!$C$4:$C$24,MATCH(Validation!$B$3,Lists!$B$4:$B$24,0))</f>
        <v>TMS</v>
      </c>
      <c r="B1476" s="1732" t="str">
        <f>'4K'!AU13</f>
        <v>WWS1006SLT</v>
      </c>
      <c r="C1476" t="str">
        <f>+'4K'!$C$11&amp;" "&amp;'4K'!$C13&amp;" - "&amp;'4K'!K$4</f>
        <v>Other operating expenditure - Renewals expensed in year (Non-Infrastructure) - Sludge liquor treatment</v>
      </c>
      <c r="D1476" s="1620" t="str">
        <f t="shared" si="11"/>
        <v>£m</v>
      </c>
      <c r="E1476" s="1636" t="s">
        <v>9</v>
      </c>
      <c r="G1476" s="1635">
        <f>'4K'!K13</f>
        <v>0</v>
      </c>
      <c r="H1476" s="1636"/>
    </row>
    <row r="1477" spans="1:8">
      <c r="A1477" s="1620" t="str">
        <f>INDEX(Lists!$C$4:$C$24,MATCH(Validation!$B$3,Lists!$B$4:$B$24,0))</f>
        <v>TMS</v>
      </c>
      <c r="B1477" s="1732" t="str">
        <f>'4K'!AU14</f>
        <v>WWS1007SLT</v>
      </c>
      <c r="C1477" t="str">
        <f>+'4K'!$C$11&amp;" "&amp;'4K'!$C14&amp;" - "&amp;'4K'!K$4</f>
        <v>Other operating expenditure - Other operating expenditure excluding renewals - Sludge liquor treatment</v>
      </c>
      <c r="D1477" s="1620" t="str">
        <f t="shared" si="11"/>
        <v>£m</v>
      </c>
      <c r="E1477" s="1636" t="s">
        <v>9</v>
      </c>
      <c r="G1477" s="1635">
        <f>'4K'!K14</f>
        <v>0.75800000000000001</v>
      </c>
      <c r="H1477" s="1636"/>
    </row>
    <row r="1478" spans="1:8">
      <c r="A1478" s="1620" t="str">
        <f>INDEX(Lists!$C$4:$C$24,MATCH(Validation!$B$3,Lists!$B$4:$B$24,0))</f>
        <v>TMS</v>
      </c>
      <c r="B1478" s="1732" t="str">
        <f>'4K'!AU15</f>
        <v>WWS1008SLT</v>
      </c>
      <c r="C1478" t="str">
        <f>+'4K'!$C15&amp;" - "&amp;'4K'!K$4</f>
        <v>Local authority and Cumulo rates - Sludge liquor treatment</v>
      </c>
      <c r="D1478" s="1620" t="str">
        <f t="shared" si="11"/>
        <v>£m</v>
      </c>
      <c r="E1478" s="1636" t="s">
        <v>9</v>
      </c>
      <c r="G1478" s="1635">
        <f>'4K'!K15</f>
        <v>0</v>
      </c>
      <c r="H1478" s="1636"/>
    </row>
    <row r="1479" spans="1:8">
      <c r="A1479" s="1620" t="str">
        <f>INDEX(Lists!$C$4:$C$24,MATCH(Validation!$B$3,Lists!$B$4:$B$24,0))</f>
        <v>TMS</v>
      </c>
      <c r="B1479" s="1732" t="str">
        <f>'4K'!AU18</f>
        <v>WWS1010SLT</v>
      </c>
      <c r="C1479" t="str">
        <f>+'4K'!$C18&amp;" - "&amp;'4K'!K$4</f>
        <v>Third party services - Sludge liquor treatment</v>
      </c>
      <c r="D1479" s="1620" t="str">
        <f t="shared" si="11"/>
        <v>£m</v>
      </c>
      <c r="E1479" s="1636" t="s">
        <v>9</v>
      </c>
      <c r="G1479" s="1635">
        <f>'4K'!K18</f>
        <v>0</v>
      </c>
      <c r="H1479" s="1636"/>
    </row>
    <row r="1480" spans="1:8">
      <c r="A1480" s="1620" t="str">
        <f>INDEX(Lists!$C$4:$C$24,MATCH(Validation!$B$3,Lists!$B$4:$B$24,0))</f>
        <v>TMS</v>
      </c>
      <c r="B1480" s="1732" t="str">
        <f>'4K'!AU22</f>
        <v>WWS1012SLT</v>
      </c>
      <c r="C1480" t="str">
        <f>+'4K'!$C22&amp;" - "&amp;'4K'!K$4</f>
        <v>Maintaining the long term capability of the assets - infra - Sludge liquor treatment</v>
      </c>
      <c r="D1480" s="1620" t="str">
        <f t="shared" si="11"/>
        <v>£m</v>
      </c>
      <c r="E1480" s="1636" t="s">
        <v>9</v>
      </c>
      <c r="G1480" s="1635">
        <f>'4K'!K22</f>
        <v>0</v>
      </c>
      <c r="H1480" s="1636"/>
    </row>
    <row r="1481" spans="1:8">
      <c r="A1481" s="1620" t="str">
        <f>INDEX(Lists!$C$4:$C$24,MATCH(Validation!$B$3,Lists!$B$4:$B$24,0))</f>
        <v>TMS</v>
      </c>
      <c r="B1481" s="1732" t="str">
        <f>'4K'!AU23</f>
        <v>WWS1013SLT</v>
      </c>
      <c r="C1481" t="str">
        <f>+'4K'!$C23&amp;" - "&amp;'4K'!K$4</f>
        <v>Maintaining the long term capability of the assets - non-infra - Sludge liquor treatment</v>
      </c>
      <c r="D1481" s="1620" t="str">
        <f t="shared" si="11"/>
        <v>£m</v>
      </c>
      <c r="E1481" s="1636" t="s">
        <v>9</v>
      </c>
      <c r="G1481" s="1635">
        <f>'4K'!K23</f>
        <v>0.21593632727298243</v>
      </c>
      <c r="H1481" s="1636"/>
    </row>
    <row r="1482" spans="1:8">
      <c r="A1482" s="1620" t="str">
        <f>INDEX(Lists!$C$4:$C$24,MATCH(Validation!$B$3,Lists!$B$4:$B$24,0))</f>
        <v>TMS</v>
      </c>
      <c r="B1482" s="1732" t="str">
        <f>'4K'!AU24</f>
        <v>WWS1014SLT</v>
      </c>
      <c r="C1482" t="str">
        <f>+'4K'!$C24&amp;" - "&amp;'4K'!K$4</f>
        <v>Other capital expenditure - infra - Sludge liquor treatment</v>
      </c>
      <c r="D1482" s="1620" t="str">
        <f t="shared" si="11"/>
        <v>£m</v>
      </c>
      <c r="E1482" s="1636" t="s">
        <v>9</v>
      </c>
      <c r="G1482" s="1635">
        <f>'4K'!K24</f>
        <v>0</v>
      </c>
      <c r="H1482" s="1636"/>
    </row>
    <row r="1483" spans="1:8">
      <c r="A1483" s="1620" t="str">
        <f>INDEX(Lists!$C$4:$C$24,MATCH(Validation!$B$3,Lists!$B$4:$B$24,0))</f>
        <v>TMS</v>
      </c>
      <c r="B1483" s="1732" t="str">
        <f>'4K'!AU25</f>
        <v>WWS1015SLT</v>
      </c>
      <c r="C1483" t="str">
        <f>+'4K'!$C25&amp;" - "&amp;'4K'!K$4</f>
        <v>Other capital expenditure - non-infra - Sludge liquor treatment</v>
      </c>
      <c r="D1483" s="1620" t="str">
        <f t="shared" si="11"/>
        <v>£m</v>
      </c>
      <c r="E1483" s="1636" t="s">
        <v>9</v>
      </c>
      <c r="G1483" s="1635">
        <f>'4K'!K25</f>
        <v>1.5735935090774205E-4</v>
      </c>
      <c r="H1483" s="1636"/>
    </row>
    <row r="1484" spans="1:8">
      <c r="A1484" s="1620" t="str">
        <f>INDEX(Lists!$C$4:$C$24,MATCH(Validation!$B$3,Lists!$B$4:$B$24,0))</f>
        <v>TMS</v>
      </c>
      <c r="B1484" s="1732" t="str">
        <f>'4K'!AU26</f>
        <v>WWS1016SLT</v>
      </c>
      <c r="C1484" t="str">
        <f>+'4K'!$C26&amp;" - "&amp;'4K'!K$4</f>
        <v>Infrastructure network reinforcement - Sludge liquor treatment</v>
      </c>
      <c r="D1484" s="1620" t="str">
        <f t="shared" si="11"/>
        <v>£m</v>
      </c>
      <c r="E1484" s="1636" t="s">
        <v>9</v>
      </c>
      <c r="G1484" s="1635">
        <f>'4K'!K26</f>
        <v>0</v>
      </c>
      <c r="H1484" s="1636"/>
    </row>
    <row r="1485" spans="1:8">
      <c r="A1485" s="1620" t="str">
        <f>INDEX(Lists!$C$4:$C$24,MATCH(Validation!$B$3,Lists!$B$4:$B$24,0))</f>
        <v>TMS</v>
      </c>
      <c r="B1485" s="1732" t="str">
        <f>'4K'!AU28</f>
        <v>WWS1018SLT</v>
      </c>
      <c r="C1485" t="str">
        <f>+'4K'!$C28&amp;" - "&amp;'4K'!K$4</f>
        <v>Third party services - Sludge liquor treatment</v>
      </c>
      <c r="D1485" s="1620" t="str">
        <f t="shared" si="11"/>
        <v>£m</v>
      </c>
      <c r="E1485" s="1636" t="s">
        <v>9</v>
      </c>
      <c r="G1485" s="1635">
        <f>'4K'!K28</f>
        <v>0</v>
      </c>
      <c r="H1485" s="1636"/>
    </row>
    <row r="1486" spans="1:8">
      <c r="A1486" s="1620" t="str">
        <f>INDEX(Lists!$C$4:$C$24,MATCH(Validation!$B$3,Lists!$B$4:$B$24,0))</f>
        <v>TMS</v>
      </c>
      <c r="B1486" s="1732" t="str">
        <f>'4K'!AU30</f>
        <v>WWS1020SLT</v>
      </c>
      <c r="C1486" t="str">
        <f>+'4K'!$C30&amp;" - "&amp;'4K'!K$4</f>
        <v>Grants and contributions  - Sludge liquor treatment</v>
      </c>
      <c r="D1486" s="1620" t="str">
        <f t="shared" si="11"/>
        <v>£m</v>
      </c>
      <c r="E1486" s="1636" t="s">
        <v>9</v>
      </c>
      <c r="G1486" s="1635">
        <f>'4K'!K30</f>
        <v>0</v>
      </c>
      <c r="H1486" s="1636"/>
    </row>
    <row r="1487" spans="1:8">
      <c r="A1487" s="1620" t="str">
        <f>INDEX(Lists!$C$4:$C$24,MATCH(Validation!$B$3,Lists!$B$4:$B$24,0))</f>
        <v>TMS</v>
      </c>
      <c r="B1487" s="1732" t="str">
        <f>'4K'!AU34</f>
        <v>WWS1022SLT</v>
      </c>
      <c r="C1487" t="str">
        <f>+'4K'!$C34&amp;" - "&amp;'4K'!K$4</f>
        <v>Pension deficit recovery payments - Sludge liquor treatment</v>
      </c>
      <c r="D1487" s="1620" t="str">
        <f t="shared" si="11"/>
        <v>£m</v>
      </c>
      <c r="E1487" s="1636" t="s">
        <v>9</v>
      </c>
      <c r="G1487" s="1635">
        <f>'4K'!K34</f>
        <v>3.6999999999999998E-2</v>
      </c>
      <c r="H1487" s="1636"/>
    </row>
    <row r="1488" spans="1:8">
      <c r="A1488" s="1620" t="str">
        <f>INDEX(Lists!$C$4:$C$24,MATCH(Validation!$B$3,Lists!$B$4:$B$24,0))</f>
        <v>TMS</v>
      </c>
      <c r="B1488" s="1732" t="str">
        <f>'4K'!AU35</f>
        <v>WWS1023SLT</v>
      </c>
      <c r="C1488" t="str">
        <f>+'4K'!$C35&amp;" - "&amp;'4K'!K$4</f>
        <v>Other cash items - Sludge liquor treatment</v>
      </c>
      <c r="D1488" s="1620" t="str">
        <f t="shared" si="11"/>
        <v>£m</v>
      </c>
      <c r="E1488" s="1636" t="s">
        <v>9</v>
      </c>
      <c r="G1488" s="1635">
        <f>'4K'!K35</f>
        <v>0</v>
      </c>
      <c r="H1488" s="1636"/>
    </row>
    <row r="1489" spans="1:8">
      <c r="A1489" s="1620" t="str">
        <f>INDEX(Lists!$C$4:$C$24,MATCH(Validation!$B$3,Lists!$B$4:$B$24,0))</f>
        <v>TMS</v>
      </c>
      <c r="B1489" s="1732" t="str">
        <f>'4K'!AU39</f>
        <v>BP3357001SLT</v>
      </c>
      <c r="C1489" t="str">
        <f>+'4K'!$C$38&amp;" - Item 1 - "&amp;'4K'!K$4</f>
        <v>Atypical expenditure - Item 1 - Sludge liquor treatment</v>
      </c>
      <c r="D1489" s="1620" t="str">
        <f t="shared" si="11"/>
        <v>£m</v>
      </c>
      <c r="E1489" s="1636" t="s">
        <v>9</v>
      </c>
      <c r="F1489" s="2" t="str">
        <f>F1405</f>
        <v>Restructuring costs</v>
      </c>
      <c r="G1489" s="1635">
        <f>IF(ISBLANK('4K'!K39), "##BLANK", '4K'!K39)</f>
        <v>4.0000000000000001E-3</v>
      </c>
      <c r="H1489" s="1636"/>
    </row>
    <row r="1490" spans="1:8">
      <c r="A1490" s="1620" t="str">
        <f>INDEX(Lists!$C$4:$C$24,MATCH(Validation!$B$3,Lists!$B$4:$B$24,0))</f>
        <v>TMS</v>
      </c>
      <c r="B1490" s="1732" t="str">
        <f>'4K'!AU40</f>
        <v>BP3357002SLT</v>
      </c>
      <c r="C1490" t="str">
        <f>+'4K'!$C$38&amp;" - Item 2 - "&amp;'4K'!K$4</f>
        <v>Atypical expenditure - Item 2 - Sludge liquor treatment</v>
      </c>
      <c r="D1490" s="1620" t="str">
        <f t="shared" si="11"/>
        <v>£m</v>
      </c>
      <c r="E1490" s="1636" t="s">
        <v>9</v>
      </c>
      <c r="F1490" s="2" t="str">
        <f t="shared" ref="F1490:F1498" si="13">F1406</f>
        <v>##BLANK</v>
      </c>
      <c r="G1490" s="1635" t="str">
        <f>IF(ISBLANK('4K'!K40), "##BLANK", '4K'!K40)</f>
        <v>##BLANK</v>
      </c>
      <c r="H1490" s="1636"/>
    </row>
    <row r="1491" spans="1:8">
      <c r="A1491" s="1620" t="str">
        <f>INDEX(Lists!$C$4:$C$24,MATCH(Validation!$B$3,Lists!$B$4:$B$24,0))</f>
        <v>TMS</v>
      </c>
      <c r="B1491" s="1732" t="str">
        <f>'4K'!AU41</f>
        <v>BP3357003SLT</v>
      </c>
      <c r="C1491" t="str">
        <f>+'4K'!$C$38&amp;" - Item 3 - "&amp;'4K'!K$4</f>
        <v>Atypical expenditure - Item 3 - Sludge liquor treatment</v>
      </c>
      <c r="D1491" s="1620" t="str">
        <f t="shared" si="11"/>
        <v>£m</v>
      </c>
      <c r="E1491" s="1636" t="s">
        <v>9</v>
      </c>
      <c r="F1491" s="2" t="str">
        <f t="shared" si="13"/>
        <v>##BLANK</v>
      </c>
      <c r="G1491" s="1635" t="str">
        <f>IF(ISBLANK('4K'!K41), "##BLANK", '4K'!K41)</f>
        <v>##BLANK</v>
      </c>
      <c r="H1491" s="1636"/>
    </row>
    <row r="1492" spans="1:8">
      <c r="A1492" s="1620" t="str">
        <f>INDEX(Lists!$C$4:$C$24,MATCH(Validation!$B$3,Lists!$B$4:$B$24,0))</f>
        <v>TMS</v>
      </c>
      <c r="B1492" s="1732" t="str">
        <f>'4K'!AU42</f>
        <v>BP3357004SLT</v>
      </c>
      <c r="C1492" t="str">
        <f>+'4K'!$C$38&amp;" - Item 4 - "&amp;'4K'!K$4</f>
        <v>Atypical expenditure - Item 4 - Sludge liquor treatment</v>
      </c>
      <c r="D1492" s="1620" t="str">
        <f t="shared" si="11"/>
        <v>£m</v>
      </c>
      <c r="E1492" s="1636" t="s">
        <v>9</v>
      </c>
      <c r="F1492" s="2" t="str">
        <f t="shared" si="13"/>
        <v>##BLANK</v>
      </c>
      <c r="G1492" s="1635" t="str">
        <f>IF(ISBLANK('4K'!K42), "##BLANK", '4K'!K42)</f>
        <v>##BLANK</v>
      </c>
      <c r="H1492" s="1636"/>
    </row>
    <row r="1493" spans="1:8">
      <c r="A1493" s="1620" t="str">
        <f>INDEX(Lists!$C$4:$C$24,MATCH(Validation!$B$3,Lists!$B$4:$B$24,0))</f>
        <v>TMS</v>
      </c>
      <c r="B1493" s="1732" t="str">
        <f>'4K'!AU43</f>
        <v>BP3357005SLT</v>
      </c>
      <c r="C1493" t="str">
        <f>+'4K'!$C$38&amp;" - Item 5 - "&amp;'4K'!K$4</f>
        <v>Atypical expenditure - Item 5 - Sludge liquor treatment</v>
      </c>
      <c r="D1493" s="1620" t="str">
        <f t="shared" si="11"/>
        <v>£m</v>
      </c>
      <c r="E1493" s="1636" t="s">
        <v>9</v>
      </c>
      <c r="F1493" s="2" t="str">
        <f t="shared" si="13"/>
        <v>##BLANK</v>
      </c>
      <c r="G1493" s="1635" t="str">
        <f>IF(ISBLANK('4K'!K43), "##BLANK", '4K'!K43)</f>
        <v>##BLANK</v>
      </c>
      <c r="H1493" s="1636"/>
    </row>
    <row r="1494" spans="1:8">
      <c r="A1494" s="1620" t="str">
        <f>INDEX(Lists!$C$4:$C$24,MATCH(Validation!$B$3,Lists!$B$4:$B$24,0))</f>
        <v>TMS</v>
      </c>
      <c r="B1494" s="1732" t="str">
        <f>'4K'!AU44</f>
        <v>BP3357006SLT</v>
      </c>
      <c r="C1494" t="str">
        <f>+'4K'!$C$38&amp;" - Item 6 - "&amp;'4K'!K$4</f>
        <v>Atypical expenditure - Item 6 - Sludge liquor treatment</v>
      </c>
      <c r="D1494" s="1620" t="str">
        <f t="shared" si="11"/>
        <v>£m</v>
      </c>
      <c r="E1494" s="1636" t="s">
        <v>9</v>
      </c>
      <c r="F1494" s="2" t="str">
        <f t="shared" si="13"/>
        <v>##BLANK</v>
      </c>
      <c r="G1494" s="1635" t="str">
        <f>IF(ISBLANK('4K'!K44), "##BLANK", '4K'!K44)</f>
        <v>##BLANK</v>
      </c>
      <c r="H1494" s="1636"/>
    </row>
    <row r="1495" spans="1:8">
      <c r="A1495" s="1620" t="str">
        <f>INDEX(Lists!$C$4:$C$24,MATCH(Validation!$B$3,Lists!$B$4:$B$24,0))</f>
        <v>TMS</v>
      </c>
      <c r="B1495" s="1732" t="str">
        <f>'4K'!AU45</f>
        <v>BP3357007SLT</v>
      </c>
      <c r="C1495" t="str">
        <f>+'4K'!$C$38&amp;" - Item 7 - "&amp;'4K'!K$4</f>
        <v>Atypical expenditure - Item 7 - Sludge liquor treatment</v>
      </c>
      <c r="D1495" s="1620" t="str">
        <f t="shared" si="11"/>
        <v>£m</v>
      </c>
      <c r="E1495" s="1636" t="s">
        <v>9</v>
      </c>
      <c r="F1495" s="2" t="str">
        <f t="shared" si="13"/>
        <v>##BLANK</v>
      </c>
      <c r="G1495" s="1635" t="str">
        <f>IF(ISBLANK('4K'!K45), "##BLANK", '4K'!K45)</f>
        <v>##BLANK</v>
      </c>
      <c r="H1495" s="1636"/>
    </row>
    <row r="1496" spans="1:8">
      <c r="A1496" s="1620" t="str">
        <f>INDEX(Lists!$C$4:$C$24,MATCH(Validation!$B$3,Lists!$B$4:$B$24,0))</f>
        <v>TMS</v>
      </c>
      <c r="B1496" s="1732" t="str">
        <f>'4K'!AU46</f>
        <v>BP3357008SLT</v>
      </c>
      <c r="C1496" t="str">
        <f>+'4K'!$C$38&amp;" - Item 8 - "&amp;'4K'!K$4</f>
        <v>Atypical expenditure - Item 8 - Sludge liquor treatment</v>
      </c>
      <c r="D1496" s="1620" t="str">
        <f t="shared" si="11"/>
        <v>£m</v>
      </c>
      <c r="E1496" s="1636" t="s">
        <v>9</v>
      </c>
      <c r="F1496" s="2" t="str">
        <f t="shared" si="13"/>
        <v>##BLANK</v>
      </c>
      <c r="G1496" s="1635" t="str">
        <f>IF(ISBLANK('4K'!K46), "##BLANK", '4K'!K46)</f>
        <v>##BLANK</v>
      </c>
      <c r="H1496" s="1636"/>
    </row>
    <row r="1497" spans="1:8">
      <c r="A1497" s="1620" t="str">
        <f>INDEX(Lists!$C$4:$C$24,MATCH(Validation!$B$3,Lists!$B$4:$B$24,0))</f>
        <v>TMS</v>
      </c>
      <c r="B1497" s="1732" t="str">
        <f>'4K'!AU47</f>
        <v>BP3357009SLT</v>
      </c>
      <c r="C1497" t="str">
        <f>+'4K'!$C$38&amp;" - Item 9 - "&amp;'4K'!K$4</f>
        <v>Atypical expenditure - Item 9 - Sludge liquor treatment</v>
      </c>
      <c r="D1497" s="1620" t="str">
        <f t="shared" si="11"/>
        <v>£m</v>
      </c>
      <c r="E1497" s="1636" t="s">
        <v>9</v>
      </c>
      <c r="F1497" s="2" t="str">
        <f t="shared" si="13"/>
        <v>##BLANK</v>
      </c>
      <c r="G1497" s="1635" t="str">
        <f>IF(ISBLANK('4K'!K47), "##BLANK", '4K'!K47)</f>
        <v>##BLANK</v>
      </c>
      <c r="H1497" s="1636"/>
    </row>
    <row r="1498" spans="1:8">
      <c r="A1498" s="1730" t="str">
        <f>INDEX(Lists!$C$4:$C$24,MATCH(Validation!$B$3,Lists!$B$4:$B$24,0))</f>
        <v>TMS</v>
      </c>
      <c r="B1498" s="1734" t="str">
        <f>'4K'!AU48</f>
        <v>BP3357010SLT</v>
      </c>
      <c r="C1498" s="1819" t="str">
        <f>+'4K'!$C$38&amp;" - Item 10 - "&amp;'4K'!K$4</f>
        <v>Atypical expenditure - Item 10 - Sludge liquor treatment</v>
      </c>
      <c r="D1498" s="1730" t="str">
        <f t="shared" si="11"/>
        <v>£m</v>
      </c>
      <c r="E1498" s="1652" t="s">
        <v>9</v>
      </c>
      <c r="F1498" s="1637" t="str">
        <f t="shared" si="13"/>
        <v>##BLANK</v>
      </c>
      <c r="G1498" s="1653" t="str">
        <f>IF(ISBLANK('4K'!K48), "##BLANK", '4K'!K48)</f>
        <v>##BLANK</v>
      </c>
      <c r="H1498" s="1652"/>
    </row>
    <row r="1499" spans="1:8">
      <c r="A1499" s="1620" t="str">
        <f>INDEX(Lists!$C$4:$C$24,MATCH(Validation!$B$3,Lists!$B$4:$B$24,0))</f>
        <v>TMS</v>
      </c>
      <c r="B1499" s="1732" t="str">
        <f>'4K'!AV7</f>
        <v>WWS1001STP</v>
      </c>
      <c r="C1499" t="str">
        <f>+'4K'!$C7&amp;" - "&amp;'4K'!L$4</f>
        <v>Power - Sludge transport</v>
      </c>
      <c r="D1499" s="1620" t="str">
        <f t="shared" si="11"/>
        <v>£m</v>
      </c>
      <c r="E1499" s="1636" t="s">
        <v>9</v>
      </c>
      <c r="G1499" s="1635">
        <f>'4K'!L7</f>
        <v>-5.0000000000000001E-3</v>
      </c>
      <c r="H1499" s="1636"/>
    </row>
    <row r="1500" spans="1:8">
      <c r="A1500" s="1620" t="str">
        <f>INDEX(Lists!$C$4:$C$24,MATCH(Validation!$B$3,Lists!$B$4:$B$24,0))</f>
        <v>TMS</v>
      </c>
      <c r="B1500" s="1732" t="str">
        <f>'4K'!AV8</f>
        <v>WWS1002STP</v>
      </c>
      <c r="C1500" t="str">
        <f>+'4K'!$C8&amp;" - "&amp;'4K'!L$4</f>
        <v>Income treated as negative expenditure - Sludge transport</v>
      </c>
      <c r="D1500" s="1620" t="str">
        <f t="shared" si="11"/>
        <v>£m</v>
      </c>
      <c r="E1500" s="1636" t="s">
        <v>9</v>
      </c>
      <c r="G1500" s="1635">
        <f>'4K'!L8</f>
        <v>0</v>
      </c>
      <c r="H1500" s="1636"/>
    </row>
    <row r="1501" spans="1:8">
      <c r="A1501" s="1620" t="str">
        <f>INDEX(Lists!$C$4:$C$24,MATCH(Validation!$B$3,Lists!$B$4:$B$24,0))</f>
        <v>TMS</v>
      </c>
      <c r="B1501" s="1732" t="str">
        <f>'4K'!AV9</f>
        <v>WWS1003STP</v>
      </c>
      <c r="C1501" t="str">
        <f>+'4K'!$C9&amp;" - "&amp;'4K'!L$4</f>
        <v>Discharge Consents - Sludge transport</v>
      </c>
      <c r="D1501" s="1620" t="str">
        <f t="shared" si="11"/>
        <v>£m</v>
      </c>
      <c r="E1501" s="1636" t="s">
        <v>9</v>
      </c>
      <c r="G1501" s="1635">
        <f>'4K'!L9</f>
        <v>3.0000000000000001E-3</v>
      </c>
      <c r="H1501" s="1636"/>
    </row>
    <row r="1502" spans="1:8">
      <c r="A1502" s="1620" t="str">
        <f>INDEX(Lists!$C$4:$C$24,MATCH(Validation!$B$3,Lists!$B$4:$B$24,0))</f>
        <v>TMS</v>
      </c>
      <c r="B1502" s="1732" t="str">
        <f>'4K'!AV10</f>
        <v>WWS1004STP</v>
      </c>
      <c r="C1502" t="str">
        <f>+'4K'!$C10&amp;" - "&amp;'4K'!L$4</f>
        <v>Bulk discharge - Sludge transport</v>
      </c>
      <c r="D1502" s="1620" t="str">
        <f t="shared" si="11"/>
        <v>£m</v>
      </c>
      <c r="E1502" s="1636" t="s">
        <v>9</v>
      </c>
      <c r="G1502" s="1635">
        <f>'4K'!L10</f>
        <v>8.9999999999999993E-3</v>
      </c>
      <c r="H1502" s="1636"/>
    </row>
    <row r="1503" spans="1:8">
      <c r="A1503" s="1620" t="str">
        <f>INDEX(Lists!$C$4:$C$24,MATCH(Validation!$B$3,Lists!$B$4:$B$24,0))</f>
        <v>TMS</v>
      </c>
      <c r="B1503" s="1732" t="str">
        <f>'4K'!AV12</f>
        <v>WWS1005STP</v>
      </c>
      <c r="C1503" t="str">
        <f>+'4K'!$C$11&amp;" "&amp;'4K'!$C12&amp;" - "&amp;'4K'!L$4</f>
        <v>Other operating expenditure - Renewals expensed in year (Infrastructure) - Sludge transport</v>
      </c>
      <c r="D1503" s="1620" t="str">
        <f t="shared" si="11"/>
        <v>£m</v>
      </c>
      <c r="E1503" s="1636" t="s">
        <v>9</v>
      </c>
      <c r="G1503" s="1635">
        <f>'4K'!L12</f>
        <v>0</v>
      </c>
      <c r="H1503" s="1636"/>
    </row>
    <row r="1504" spans="1:8">
      <c r="A1504" s="1620" t="str">
        <f>INDEX(Lists!$C$4:$C$24,MATCH(Validation!$B$3,Lists!$B$4:$B$24,0))</f>
        <v>TMS</v>
      </c>
      <c r="B1504" s="1732" t="str">
        <f>'4K'!AV13</f>
        <v>WWS1006STP</v>
      </c>
      <c r="C1504" t="str">
        <f>+'4K'!$C$11&amp;" "&amp;'4K'!$C13&amp;" - "&amp;'4K'!L$4</f>
        <v>Other operating expenditure - Renewals expensed in year (Non-Infrastructure) - Sludge transport</v>
      </c>
      <c r="D1504" s="1620" t="str">
        <f t="shared" si="11"/>
        <v>£m</v>
      </c>
      <c r="E1504" s="1636" t="s">
        <v>9</v>
      </c>
      <c r="G1504" s="1635">
        <f>'4K'!L13</f>
        <v>0</v>
      </c>
      <c r="H1504" s="1636"/>
    </row>
    <row r="1505" spans="1:8">
      <c r="A1505" s="1620" t="str">
        <f>INDEX(Lists!$C$4:$C$24,MATCH(Validation!$B$3,Lists!$B$4:$B$24,0))</f>
        <v>TMS</v>
      </c>
      <c r="B1505" s="1732" t="str">
        <f>'4K'!AV14</f>
        <v>WWS1007STP</v>
      </c>
      <c r="C1505" t="str">
        <f>+'4K'!$C$11&amp;" "&amp;'4K'!$C14&amp;" - "&amp;'4K'!L$4</f>
        <v>Other operating expenditure - Other operating expenditure excluding renewals - Sludge transport</v>
      </c>
      <c r="D1505" s="1620" t="str">
        <f t="shared" si="11"/>
        <v>£m</v>
      </c>
      <c r="E1505" s="1636" t="s">
        <v>9</v>
      </c>
      <c r="G1505" s="1635">
        <f>'4K'!L14</f>
        <v>10.981999999999999</v>
      </c>
      <c r="H1505" s="1636"/>
    </row>
    <row r="1506" spans="1:8">
      <c r="A1506" s="1620" t="str">
        <f>INDEX(Lists!$C$4:$C$24,MATCH(Validation!$B$3,Lists!$B$4:$B$24,0))</f>
        <v>TMS</v>
      </c>
      <c r="B1506" s="1732" t="str">
        <f>'4K'!AV15</f>
        <v>WWS1008STP</v>
      </c>
      <c r="C1506" t="str">
        <f>+'4K'!$C15&amp;" - "&amp;'4K'!L$4</f>
        <v>Local authority and Cumulo rates - Sludge transport</v>
      </c>
      <c r="D1506" s="1620" t="str">
        <f t="shared" si="11"/>
        <v>£m</v>
      </c>
      <c r="E1506" s="1636" t="s">
        <v>9</v>
      </c>
      <c r="G1506" s="1635">
        <f>'4K'!L15</f>
        <v>0</v>
      </c>
      <c r="H1506" s="1636"/>
    </row>
    <row r="1507" spans="1:8">
      <c r="A1507" s="1620" t="str">
        <f>INDEX(Lists!$C$4:$C$24,MATCH(Validation!$B$3,Lists!$B$4:$B$24,0))</f>
        <v>TMS</v>
      </c>
      <c r="B1507" s="1732" t="str">
        <f>'4K'!AV18</f>
        <v>WWS1010STP</v>
      </c>
      <c r="C1507" t="str">
        <f>+'4K'!$C18&amp;" - "&amp;'4K'!L$4</f>
        <v>Third party services - Sludge transport</v>
      </c>
      <c r="D1507" s="1620" t="str">
        <f t="shared" si="11"/>
        <v>£m</v>
      </c>
      <c r="E1507" s="1636" t="s">
        <v>9</v>
      </c>
      <c r="G1507" s="1635">
        <f>'4K'!L18</f>
        <v>1.6E-2</v>
      </c>
      <c r="H1507" s="1636"/>
    </row>
    <row r="1508" spans="1:8">
      <c r="A1508" s="1620" t="str">
        <f>INDEX(Lists!$C$4:$C$24,MATCH(Validation!$B$3,Lists!$B$4:$B$24,0))</f>
        <v>TMS</v>
      </c>
      <c r="B1508" s="1732" t="str">
        <f>'4K'!AV22</f>
        <v>WWS1012STP</v>
      </c>
      <c r="C1508" t="str">
        <f>+'4K'!$C22&amp;" - "&amp;'4K'!L$4</f>
        <v>Maintaining the long term capability of the assets - infra - Sludge transport</v>
      </c>
      <c r="D1508" s="1620" t="str">
        <f t="shared" si="11"/>
        <v>£m</v>
      </c>
      <c r="E1508" s="1636" t="s">
        <v>9</v>
      </c>
      <c r="G1508" s="1635">
        <f>'4K'!L22</f>
        <v>8.2628814873083326E-5</v>
      </c>
      <c r="H1508" s="1636"/>
    </row>
    <row r="1509" spans="1:8">
      <c r="A1509" s="1620" t="str">
        <f>INDEX(Lists!$C$4:$C$24,MATCH(Validation!$B$3,Lists!$B$4:$B$24,0))</f>
        <v>TMS</v>
      </c>
      <c r="B1509" s="1732" t="str">
        <f>'4K'!AV23</f>
        <v>WWS1013STP</v>
      </c>
      <c r="C1509" t="str">
        <f>+'4K'!$C23&amp;" - "&amp;'4K'!L$4</f>
        <v>Maintaining the long term capability of the assets - non-infra - Sludge transport</v>
      </c>
      <c r="D1509" s="1620" t="str">
        <f t="shared" si="11"/>
        <v>£m</v>
      </c>
      <c r="E1509" s="1636" t="s">
        <v>9</v>
      </c>
      <c r="G1509" s="1635">
        <f>'4K'!L23</f>
        <v>1.2463041727321305</v>
      </c>
      <c r="H1509" s="1636"/>
    </row>
    <row r="1510" spans="1:8">
      <c r="A1510" s="1620" t="str">
        <f>INDEX(Lists!$C$4:$C$24,MATCH(Validation!$B$3,Lists!$B$4:$B$24,0))</f>
        <v>TMS</v>
      </c>
      <c r="B1510" s="1732" t="str">
        <f>'4K'!AV24</f>
        <v>WWS1014STP</v>
      </c>
      <c r="C1510" t="str">
        <f>+'4K'!$C24&amp;" - "&amp;'4K'!L$4</f>
        <v>Other capital expenditure - infra - Sludge transport</v>
      </c>
      <c r="D1510" s="1620" t="str">
        <f t="shared" si="11"/>
        <v>£m</v>
      </c>
      <c r="E1510" s="1636" t="s">
        <v>9</v>
      </c>
      <c r="G1510" s="1635">
        <f>'4K'!L24</f>
        <v>0</v>
      </c>
      <c r="H1510" s="1636"/>
    </row>
    <row r="1511" spans="1:8">
      <c r="A1511" s="1620" t="str">
        <f>INDEX(Lists!$C$4:$C$24,MATCH(Validation!$B$3,Lists!$B$4:$B$24,0))</f>
        <v>TMS</v>
      </c>
      <c r="B1511" s="1732" t="str">
        <f>'4K'!AV25</f>
        <v>WWS1015STP</v>
      </c>
      <c r="C1511" t="str">
        <f>+'4K'!$C25&amp;" - "&amp;'4K'!L$4</f>
        <v>Other capital expenditure - non-infra - Sludge transport</v>
      </c>
      <c r="D1511" s="1620" t="str">
        <f t="shared" si="11"/>
        <v>£m</v>
      </c>
      <c r="E1511" s="1636" t="s">
        <v>9</v>
      </c>
      <c r="G1511" s="1635">
        <f>'4K'!L25</f>
        <v>1.1146693781922892E-2</v>
      </c>
      <c r="H1511" s="1636"/>
    </row>
    <row r="1512" spans="1:8">
      <c r="A1512" s="1620" t="str">
        <f>INDEX(Lists!$C$4:$C$24,MATCH(Validation!$B$3,Lists!$B$4:$B$24,0))</f>
        <v>TMS</v>
      </c>
      <c r="B1512" s="1732" t="str">
        <f>'4K'!AV26</f>
        <v>WWS1016STP</v>
      </c>
      <c r="C1512" t="str">
        <f>+'4K'!$C26&amp;" - "&amp;'4K'!L$4</f>
        <v>Infrastructure network reinforcement - Sludge transport</v>
      </c>
      <c r="D1512" s="1620" t="str">
        <f t="shared" si="11"/>
        <v>£m</v>
      </c>
      <c r="E1512" s="1636" t="s">
        <v>9</v>
      </c>
      <c r="G1512" s="1635">
        <f>'4K'!L26</f>
        <v>0</v>
      </c>
      <c r="H1512" s="1636"/>
    </row>
    <row r="1513" spans="1:8">
      <c r="A1513" s="1620" t="str">
        <f>INDEX(Lists!$C$4:$C$24,MATCH(Validation!$B$3,Lists!$B$4:$B$24,0))</f>
        <v>TMS</v>
      </c>
      <c r="B1513" s="1732" t="str">
        <f>'4K'!AV28</f>
        <v>WWS1018STP</v>
      </c>
      <c r="C1513" t="str">
        <f>+'4K'!$C28&amp;" - "&amp;'4K'!L$4</f>
        <v>Third party services - Sludge transport</v>
      </c>
      <c r="D1513" s="1620" t="str">
        <f t="shared" si="11"/>
        <v>£m</v>
      </c>
      <c r="E1513" s="1636" t="s">
        <v>9</v>
      </c>
      <c r="G1513" s="1635">
        <f>'4K'!L28</f>
        <v>0</v>
      </c>
      <c r="H1513" s="1636"/>
    </row>
    <row r="1514" spans="1:8">
      <c r="A1514" s="1620" t="str">
        <f>INDEX(Lists!$C$4:$C$24,MATCH(Validation!$B$3,Lists!$B$4:$B$24,0))</f>
        <v>TMS</v>
      </c>
      <c r="B1514" s="1732" t="str">
        <f>'4K'!AV30</f>
        <v>WWS1020STP</v>
      </c>
      <c r="C1514" t="str">
        <f>+'4K'!$C30&amp;" - "&amp;'4K'!L$4</f>
        <v>Grants and contributions  - Sludge transport</v>
      </c>
      <c r="D1514" s="1620" t="str">
        <f t="shared" si="11"/>
        <v>£m</v>
      </c>
      <c r="E1514" s="1636" t="s">
        <v>9</v>
      </c>
      <c r="G1514" s="1635">
        <f>'4K'!L30</f>
        <v>0</v>
      </c>
      <c r="H1514" s="1636"/>
    </row>
    <row r="1515" spans="1:8">
      <c r="A1515" s="1620" t="str">
        <f>INDEX(Lists!$C$4:$C$24,MATCH(Validation!$B$3,Lists!$B$4:$B$24,0))</f>
        <v>TMS</v>
      </c>
      <c r="B1515" s="1732" t="str">
        <f>'4K'!AV34</f>
        <v>WWS1022STP</v>
      </c>
      <c r="C1515" t="str">
        <f>+'4K'!$C34&amp;" - "&amp;'4K'!L$4</f>
        <v>Pension deficit recovery payments - Sludge transport</v>
      </c>
      <c r="D1515" s="1620" t="str">
        <f t="shared" ref="D1515:D1578" si="14">D1487</f>
        <v>£m</v>
      </c>
      <c r="E1515" s="1636" t="s">
        <v>9</v>
      </c>
      <c r="G1515" s="1635">
        <f>'4K'!L34</f>
        <v>0.16300000000000001</v>
      </c>
      <c r="H1515" s="1636"/>
    </row>
    <row r="1516" spans="1:8">
      <c r="A1516" s="1620" t="str">
        <f>INDEX(Lists!$C$4:$C$24,MATCH(Validation!$B$3,Lists!$B$4:$B$24,0))</f>
        <v>TMS</v>
      </c>
      <c r="B1516" s="1732" t="str">
        <f>'4K'!AV35</f>
        <v>WWS1023STP</v>
      </c>
      <c r="C1516" t="str">
        <f>+'4K'!$C35&amp;" - "&amp;'4K'!L$4</f>
        <v>Other cash items - Sludge transport</v>
      </c>
      <c r="D1516" s="1620" t="str">
        <f t="shared" si="14"/>
        <v>£m</v>
      </c>
      <c r="E1516" s="1636" t="s">
        <v>9</v>
      </c>
      <c r="G1516" s="1635">
        <f>'4K'!L35</f>
        <v>0</v>
      </c>
      <c r="H1516" s="1636"/>
    </row>
    <row r="1517" spans="1:8">
      <c r="A1517" s="1620" t="str">
        <f>INDEX(Lists!$C$4:$C$24,MATCH(Validation!$B$3,Lists!$B$4:$B$24,0))</f>
        <v>TMS</v>
      </c>
      <c r="B1517" s="1732" t="str">
        <f>'4K'!AV39</f>
        <v>BP3357001STP</v>
      </c>
      <c r="C1517" t="str">
        <f>+'4K'!$C$38&amp;" - Item 1 - "&amp;'4K'!L$4</f>
        <v>Atypical expenditure - Item 1 - Sludge transport</v>
      </c>
      <c r="D1517" s="1620" t="str">
        <f t="shared" si="14"/>
        <v>£m</v>
      </c>
      <c r="E1517" s="1636" t="s">
        <v>9</v>
      </c>
      <c r="F1517" s="2" t="str">
        <f>F1405</f>
        <v>Restructuring costs</v>
      </c>
      <c r="G1517" s="1635">
        <f>IF(ISBLANK('4K'!L39), "##BLANK", '4K'!L39)</f>
        <v>0.06</v>
      </c>
      <c r="H1517" s="1636"/>
    </row>
    <row r="1518" spans="1:8">
      <c r="A1518" s="1620" t="str">
        <f>INDEX(Lists!$C$4:$C$24,MATCH(Validation!$B$3,Lists!$B$4:$B$24,0))</f>
        <v>TMS</v>
      </c>
      <c r="B1518" s="1732" t="str">
        <f>'4K'!AV40</f>
        <v>BP3357002STP</v>
      </c>
      <c r="C1518" t="str">
        <f>+'4K'!$C$38&amp;" - Item 2 - "&amp;'4K'!L$4</f>
        <v>Atypical expenditure - Item 2 - Sludge transport</v>
      </c>
      <c r="D1518" s="1620" t="str">
        <f t="shared" si="14"/>
        <v>£m</v>
      </c>
      <c r="E1518" s="1636" t="s">
        <v>9</v>
      </c>
      <c r="F1518" s="2" t="str">
        <f t="shared" ref="F1518:F1526" si="15">F1406</f>
        <v>##BLANK</v>
      </c>
      <c r="G1518" s="1635" t="str">
        <f>IF(ISBLANK('4K'!L40), "##BLANK", '4K'!L40)</f>
        <v>##BLANK</v>
      </c>
      <c r="H1518" s="1636"/>
    </row>
    <row r="1519" spans="1:8">
      <c r="A1519" s="1620" t="str">
        <f>INDEX(Lists!$C$4:$C$24,MATCH(Validation!$B$3,Lists!$B$4:$B$24,0))</f>
        <v>TMS</v>
      </c>
      <c r="B1519" s="1732" t="str">
        <f>'4K'!AV41</f>
        <v>BP3357003STP</v>
      </c>
      <c r="C1519" t="str">
        <f>+'4K'!$C$38&amp;" - Item 3 - "&amp;'4K'!L$4</f>
        <v>Atypical expenditure - Item 3 - Sludge transport</v>
      </c>
      <c r="D1519" s="1620" t="str">
        <f t="shared" si="14"/>
        <v>£m</v>
      </c>
      <c r="E1519" s="1636" t="s">
        <v>9</v>
      </c>
      <c r="F1519" s="2" t="str">
        <f t="shared" si="15"/>
        <v>##BLANK</v>
      </c>
      <c r="G1519" s="1635" t="str">
        <f>IF(ISBLANK('4K'!L41), "##BLANK", '4K'!L41)</f>
        <v>##BLANK</v>
      </c>
      <c r="H1519" s="1636"/>
    </row>
    <row r="1520" spans="1:8">
      <c r="A1520" s="1620" t="str">
        <f>INDEX(Lists!$C$4:$C$24,MATCH(Validation!$B$3,Lists!$B$4:$B$24,0))</f>
        <v>TMS</v>
      </c>
      <c r="B1520" s="1732" t="str">
        <f>'4K'!AV42</f>
        <v>BP3357004STP</v>
      </c>
      <c r="C1520" t="str">
        <f>+'4K'!$C$38&amp;" - Item 4 - "&amp;'4K'!L$4</f>
        <v>Atypical expenditure - Item 4 - Sludge transport</v>
      </c>
      <c r="D1520" s="1620" t="str">
        <f t="shared" si="14"/>
        <v>£m</v>
      </c>
      <c r="E1520" s="1636" t="s">
        <v>9</v>
      </c>
      <c r="F1520" s="2" t="str">
        <f t="shared" si="15"/>
        <v>##BLANK</v>
      </c>
      <c r="G1520" s="1635" t="str">
        <f>IF(ISBLANK('4K'!L42), "##BLANK", '4K'!L42)</f>
        <v>##BLANK</v>
      </c>
      <c r="H1520" s="1636"/>
    </row>
    <row r="1521" spans="1:8">
      <c r="A1521" s="1620" t="str">
        <f>INDEX(Lists!$C$4:$C$24,MATCH(Validation!$B$3,Lists!$B$4:$B$24,0))</f>
        <v>TMS</v>
      </c>
      <c r="B1521" s="1732" t="str">
        <f>'4K'!AV43</f>
        <v>BP3357005STP</v>
      </c>
      <c r="C1521" t="str">
        <f>+'4K'!$C$38&amp;" - Item 5 - "&amp;'4K'!L$4</f>
        <v>Atypical expenditure - Item 5 - Sludge transport</v>
      </c>
      <c r="D1521" s="1620" t="str">
        <f t="shared" si="14"/>
        <v>£m</v>
      </c>
      <c r="E1521" s="1636" t="s">
        <v>9</v>
      </c>
      <c r="F1521" s="2" t="str">
        <f t="shared" si="15"/>
        <v>##BLANK</v>
      </c>
      <c r="G1521" s="1635" t="str">
        <f>IF(ISBLANK('4K'!L43), "##BLANK", '4K'!L43)</f>
        <v>##BLANK</v>
      </c>
      <c r="H1521" s="1636"/>
    </row>
    <row r="1522" spans="1:8">
      <c r="A1522" s="1620" t="str">
        <f>INDEX(Lists!$C$4:$C$24,MATCH(Validation!$B$3,Lists!$B$4:$B$24,0))</f>
        <v>TMS</v>
      </c>
      <c r="B1522" s="1732" t="str">
        <f>'4K'!AV44</f>
        <v>BP3357006STP</v>
      </c>
      <c r="C1522" t="str">
        <f>+'4K'!$C$38&amp;" - Item 6 - "&amp;'4K'!L$4</f>
        <v>Atypical expenditure - Item 6 - Sludge transport</v>
      </c>
      <c r="D1522" s="1620" t="str">
        <f t="shared" si="14"/>
        <v>£m</v>
      </c>
      <c r="E1522" s="1636" t="s">
        <v>9</v>
      </c>
      <c r="F1522" s="2" t="str">
        <f t="shared" si="15"/>
        <v>##BLANK</v>
      </c>
      <c r="G1522" s="1635" t="str">
        <f>IF(ISBLANK('4K'!L44), "##BLANK", '4K'!L44)</f>
        <v>##BLANK</v>
      </c>
      <c r="H1522" s="1636"/>
    </row>
    <row r="1523" spans="1:8">
      <c r="A1523" s="1620" t="str">
        <f>INDEX(Lists!$C$4:$C$24,MATCH(Validation!$B$3,Lists!$B$4:$B$24,0))</f>
        <v>TMS</v>
      </c>
      <c r="B1523" s="1732" t="str">
        <f>'4K'!AV45</f>
        <v>BP3357007STP</v>
      </c>
      <c r="C1523" t="str">
        <f>+'4K'!$C$38&amp;" - Item 7 - "&amp;'4K'!L$4</f>
        <v>Atypical expenditure - Item 7 - Sludge transport</v>
      </c>
      <c r="D1523" s="1620" t="str">
        <f t="shared" si="14"/>
        <v>£m</v>
      </c>
      <c r="E1523" s="1636" t="s">
        <v>9</v>
      </c>
      <c r="F1523" s="2" t="str">
        <f t="shared" si="15"/>
        <v>##BLANK</v>
      </c>
      <c r="G1523" s="1635" t="str">
        <f>IF(ISBLANK('4K'!L45), "##BLANK", '4K'!L45)</f>
        <v>##BLANK</v>
      </c>
      <c r="H1523" s="1636"/>
    </row>
    <row r="1524" spans="1:8">
      <c r="A1524" s="1620" t="str">
        <f>INDEX(Lists!$C$4:$C$24,MATCH(Validation!$B$3,Lists!$B$4:$B$24,0))</f>
        <v>TMS</v>
      </c>
      <c r="B1524" s="1732" t="str">
        <f>'4K'!AV46</f>
        <v>BP3357008STP</v>
      </c>
      <c r="C1524" t="str">
        <f>+'4K'!$C$38&amp;" - Item 8 - "&amp;'4K'!L$4</f>
        <v>Atypical expenditure - Item 8 - Sludge transport</v>
      </c>
      <c r="D1524" s="1620" t="str">
        <f t="shared" si="14"/>
        <v>£m</v>
      </c>
      <c r="E1524" s="1636" t="s">
        <v>9</v>
      </c>
      <c r="F1524" s="2" t="str">
        <f t="shared" si="15"/>
        <v>##BLANK</v>
      </c>
      <c r="G1524" s="1635" t="str">
        <f>IF(ISBLANK('4K'!L46), "##BLANK", '4K'!L46)</f>
        <v>##BLANK</v>
      </c>
      <c r="H1524" s="1636"/>
    </row>
    <row r="1525" spans="1:8">
      <c r="A1525" s="1620" t="str">
        <f>INDEX(Lists!$C$4:$C$24,MATCH(Validation!$B$3,Lists!$B$4:$B$24,0))</f>
        <v>TMS</v>
      </c>
      <c r="B1525" s="1732" t="str">
        <f>'4K'!AV47</f>
        <v>BP3357009STP</v>
      </c>
      <c r="C1525" t="str">
        <f>+'4K'!$C$38&amp;" - Item 9 - "&amp;'4K'!L$4</f>
        <v>Atypical expenditure - Item 9 - Sludge transport</v>
      </c>
      <c r="D1525" s="1620" t="str">
        <f t="shared" si="14"/>
        <v>£m</v>
      </c>
      <c r="E1525" s="1636" t="s">
        <v>9</v>
      </c>
      <c r="F1525" s="2" t="str">
        <f t="shared" si="15"/>
        <v>##BLANK</v>
      </c>
      <c r="G1525" s="1635" t="str">
        <f>IF(ISBLANK('4K'!L47), "##BLANK", '4K'!L47)</f>
        <v>##BLANK</v>
      </c>
      <c r="H1525" s="1636"/>
    </row>
    <row r="1526" spans="1:8">
      <c r="A1526" s="1730" t="str">
        <f>INDEX(Lists!$C$4:$C$24,MATCH(Validation!$B$3,Lists!$B$4:$B$24,0))</f>
        <v>TMS</v>
      </c>
      <c r="B1526" s="1734" t="str">
        <f>'4K'!AV48</f>
        <v>BP3357010STP</v>
      </c>
      <c r="C1526" s="1819" t="str">
        <f>+'4K'!$C$38&amp;" - Item 10 - "&amp;'4K'!L$4</f>
        <v>Atypical expenditure - Item 10 - Sludge transport</v>
      </c>
      <c r="D1526" s="1730" t="str">
        <f t="shared" si="14"/>
        <v>£m</v>
      </c>
      <c r="E1526" s="1652" t="s">
        <v>9</v>
      </c>
      <c r="F1526" s="1637" t="str">
        <f t="shared" si="15"/>
        <v>##BLANK</v>
      </c>
      <c r="G1526" s="1653" t="str">
        <f>IF(ISBLANK('4K'!L48), "##BLANK", '4K'!L48)</f>
        <v>##BLANK</v>
      </c>
      <c r="H1526" s="1652"/>
    </row>
    <row r="1527" spans="1:8">
      <c r="A1527" s="1620" t="str">
        <f>INDEX(Lists!$C$4:$C$24,MATCH(Validation!$B$3,Lists!$B$4:$B$24,0))</f>
        <v>TMS</v>
      </c>
      <c r="B1527" s="1732" t="str">
        <f>'4K'!AW7</f>
        <v>WWS1001SDT</v>
      </c>
      <c r="C1527" t="str">
        <f>+'4K'!$C7&amp;" - "&amp;'4K'!M$4</f>
        <v>Power - Sludge treatment</v>
      </c>
      <c r="D1527" s="1620" t="str">
        <f t="shared" si="14"/>
        <v>£m</v>
      </c>
      <c r="E1527" s="1636" t="s">
        <v>9</v>
      </c>
      <c r="G1527" s="1635">
        <f>'4K'!M7</f>
        <v>-13.833</v>
      </c>
      <c r="H1527" s="1636"/>
    </row>
    <row r="1528" spans="1:8">
      <c r="A1528" s="1620" t="str">
        <f>INDEX(Lists!$C$4:$C$24,MATCH(Validation!$B$3,Lists!$B$4:$B$24,0))</f>
        <v>TMS</v>
      </c>
      <c r="B1528" s="1732" t="str">
        <f>'4K'!AW8</f>
        <v>WWS1002SDT</v>
      </c>
      <c r="C1528" t="str">
        <f>+'4K'!$C8&amp;" - "&amp;'4K'!M$4</f>
        <v>Income treated as negative expenditure - Sludge treatment</v>
      </c>
      <c r="D1528" s="1620" t="str">
        <f t="shared" si="14"/>
        <v>£m</v>
      </c>
      <c r="E1528" s="1636" t="s">
        <v>9</v>
      </c>
      <c r="G1528" s="1635">
        <f>'4K'!M8</f>
        <v>-9.6319999999999997</v>
      </c>
      <c r="H1528" s="1636"/>
    </row>
    <row r="1529" spans="1:8">
      <c r="A1529" s="1620" t="str">
        <f>INDEX(Lists!$C$4:$C$24,MATCH(Validation!$B$3,Lists!$B$4:$B$24,0))</f>
        <v>TMS</v>
      </c>
      <c r="B1529" s="1732" t="str">
        <f>'4K'!AW9</f>
        <v>WWS1003SDT</v>
      </c>
      <c r="C1529" t="str">
        <f>+'4K'!$C9&amp;" - "&amp;'4K'!M$4</f>
        <v>Discharge Consents - Sludge treatment</v>
      </c>
      <c r="D1529" s="1620" t="str">
        <f t="shared" si="14"/>
        <v>£m</v>
      </c>
      <c r="E1529" s="1636" t="s">
        <v>9</v>
      </c>
      <c r="G1529" s="1635">
        <f>'4K'!M9</f>
        <v>6.8000000000000005E-2</v>
      </c>
      <c r="H1529" s="1636"/>
    </row>
    <row r="1530" spans="1:8">
      <c r="A1530" s="1620" t="str">
        <f>INDEX(Lists!$C$4:$C$24,MATCH(Validation!$B$3,Lists!$B$4:$B$24,0))</f>
        <v>TMS</v>
      </c>
      <c r="B1530" s="1732" t="str">
        <f>'4K'!AW10</f>
        <v>WWS1004SDT</v>
      </c>
      <c r="C1530" t="str">
        <f>+'4K'!$C10&amp;" - "&amp;'4K'!M$4</f>
        <v>Bulk discharge - Sludge treatment</v>
      </c>
      <c r="D1530" s="1620" t="str">
        <f t="shared" si="14"/>
        <v>£m</v>
      </c>
      <c r="E1530" s="1636" t="s">
        <v>9</v>
      </c>
      <c r="G1530" s="1635">
        <f>'4K'!M10</f>
        <v>9.6000000000000002E-2</v>
      </c>
      <c r="H1530" s="1636"/>
    </row>
    <row r="1531" spans="1:8">
      <c r="A1531" s="1620" t="str">
        <f>INDEX(Lists!$C$4:$C$24,MATCH(Validation!$B$3,Lists!$B$4:$B$24,0))</f>
        <v>TMS</v>
      </c>
      <c r="B1531" s="1732" t="str">
        <f>'4K'!AW12</f>
        <v>WWS1005SDT</v>
      </c>
      <c r="C1531" t="str">
        <f>+'4K'!$C$11&amp;" "&amp;'4K'!$C12&amp;" - "&amp;'4K'!M$4</f>
        <v>Other operating expenditure - Renewals expensed in year (Infrastructure) - Sludge treatment</v>
      </c>
      <c r="D1531" s="1620" t="str">
        <f t="shared" si="14"/>
        <v>£m</v>
      </c>
      <c r="E1531" s="1636" t="s">
        <v>9</v>
      </c>
      <c r="G1531" s="1635">
        <f>'4K'!M12</f>
        <v>0</v>
      </c>
      <c r="H1531" s="1636"/>
    </row>
    <row r="1532" spans="1:8">
      <c r="A1532" s="1620" t="str">
        <f>INDEX(Lists!$C$4:$C$24,MATCH(Validation!$B$3,Lists!$B$4:$B$24,0))</f>
        <v>TMS</v>
      </c>
      <c r="B1532" s="1732" t="str">
        <f>'4K'!AW13</f>
        <v>WWS1006SDT</v>
      </c>
      <c r="C1532" t="str">
        <f>+'4K'!$C$11&amp;" "&amp;'4K'!$C13&amp;" - "&amp;'4K'!M$4</f>
        <v>Other operating expenditure - Renewals expensed in year (Non-Infrastructure) - Sludge treatment</v>
      </c>
      <c r="D1532" s="1620" t="str">
        <f t="shared" si="14"/>
        <v>£m</v>
      </c>
      <c r="E1532" s="1636" t="s">
        <v>9</v>
      </c>
      <c r="G1532" s="1635">
        <f>'4K'!M13</f>
        <v>0</v>
      </c>
      <c r="H1532" s="1636"/>
    </row>
    <row r="1533" spans="1:8">
      <c r="A1533" s="1620" t="str">
        <f>INDEX(Lists!$C$4:$C$24,MATCH(Validation!$B$3,Lists!$B$4:$B$24,0))</f>
        <v>TMS</v>
      </c>
      <c r="B1533" s="1732" t="str">
        <f>'4K'!AW14</f>
        <v>WWS1007SDT</v>
      </c>
      <c r="C1533" t="str">
        <f>+'4K'!$C$11&amp;" "&amp;'4K'!$C14&amp;" - "&amp;'4K'!M$4</f>
        <v>Other operating expenditure - Other operating expenditure excluding renewals - Sludge treatment</v>
      </c>
      <c r="D1533" s="1620" t="str">
        <f t="shared" si="14"/>
        <v>£m</v>
      </c>
      <c r="E1533" s="1636" t="s">
        <v>9</v>
      </c>
      <c r="G1533" s="1635">
        <f>'4K'!M14</f>
        <v>49.798999999999999</v>
      </c>
      <c r="H1533" s="1636"/>
    </row>
    <row r="1534" spans="1:8">
      <c r="A1534" s="1620" t="str">
        <f>INDEX(Lists!$C$4:$C$24,MATCH(Validation!$B$3,Lists!$B$4:$B$24,0))</f>
        <v>TMS</v>
      </c>
      <c r="B1534" s="1732" t="str">
        <f>'4K'!AW15</f>
        <v>WWS1008SDT</v>
      </c>
      <c r="C1534" t="str">
        <f>+'4K'!$C15&amp;" - "&amp;'4K'!M$4</f>
        <v>Local authority and Cumulo rates - Sludge treatment</v>
      </c>
      <c r="D1534" s="1620" t="str">
        <f t="shared" si="14"/>
        <v>£m</v>
      </c>
      <c r="E1534" s="1636" t="s">
        <v>9</v>
      </c>
      <c r="G1534" s="1635">
        <f>'4K'!M15</f>
        <v>9.0050000000000008</v>
      </c>
      <c r="H1534" s="1636"/>
    </row>
    <row r="1535" spans="1:8">
      <c r="A1535" s="1620" t="str">
        <f>INDEX(Lists!$C$4:$C$24,MATCH(Validation!$B$3,Lists!$B$4:$B$24,0))</f>
        <v>TMS</v>
      </c>
      <c r="B1535" s="1732" t="str">
        <f>'4K'!AW18</f>
        <v>WWS1010SDT</v>
      </c>
      <c r="C1535" t="str">
        <f>+'4K'!$C18&amp;" - "&amp;'4K'!M$4</f>
        <v>Third party services - Sludge treatment</v>
      </c>
      <c r="D1535" s="1620" t="str">
        <f t="shared" si="14"/>
        <v>£m</v>
      </c>
      <c r="E1535" s="1636" t="s">
        <v>9</v>
      </c>
      <c r="G1535" s="1635">
        <f>'4K'!M18</f>
        <v>4.9000000000000002E-2</v>
      </c>
      <c r="H1535" s="1636"/>
    </row>
    <row r="1536" spans="1:8">
      <c r="A1536" s="1620" t="str">
        <f>INDEX(Lists!$C$4:$C$24,MATCH(Validation!$B$3,Lists!$B$4:$B$24,0))</f>
        <v>TMS</v>
      </c>
      <c r="B1536" s="1732" t="str">
        <f>'4K'!AW22</f>
        <v>WWS1012SDT</v>
      </c>
      <c r="C1536" t="str">
        <f>+'4K'!$C22&amp;" - "&amp;'4K'!M$4</f>
        <v>Maintaining the long term capability of the assets - infra - Sludge treatment</v>
      </c>
      <c r="D1536" s="1620" t="str">
        <f t="shared" si="14"/>
        <v>£m</v>
      </c>
      <c r="E1536" s="1636" t="s">
        <v>9</v>
      </c>
      <c r="G1536" s="1635">
        <f>'4K'!M22</f>
        <v>0</v>
      </c>
      <c r="H1536" s="1636"/>
    </row>
    <row r="1537" spans="1:8">
      <c r="A1537" s="1620" t="str">
        <f>INDEX(Lists!$C$4:$C$24,MATCH(Validation!$B$3,Lists!$B$4:$B$24,0))</f>
        <v>TMS</v>
      </c>
      <c r="B1537" s="1732" t="str">
        <f>'4K'!AW23</f>
        <v>WWS1013SDT</v>
      </c>
      <c r="C1537" t="str">
        <f>+'4K'!$C23&amp;" - "&amp;'4K'!M$4</f>
        <v>Maintaining the long term capability of the assets - non-infra - Sludge treatment</v>
      </c>
      <c r="D1537" s="1620" t="str">
        <f t="shared" si="14"/>
        <v>£m</v>
      </c>
      <c r="E1537" s="1636" t="s">
        <v>9</v>
      </c>
      <c r="G1537" s="1635">
        <f>'4K'!M23</f>
        <v>78.232732730723896</v>
      </c>
      <c r="H1537" s="1636"/>
    </row>
    <row r="1538" spans="1:8">
      <c r="A1538" s="1620" t="str">
        <f>INDEX(Lists!$C$4:$C$24,MATCH(Validation!$B$3,Lists!$B$4:$B$24,0))</f>
        <v>TMS</v>
      </c>
      <c r="B1538" s="1732" t="str">
        <f>'4K'!AW24</f>
        <v>WWS1014SDT</v>
      </c>
      <c r="C1538" t="str">
        <f>+'4K'!$C24&amp;" - "&amp;'4K'!M$4</f>
        <v>Other capital expenditure - infra - Sludge treatment</v>
      </c>
      <c r="D1538" s="1620" t="str">
        <f t="shared" si="14"/>
        <v>£m</v>
      </c>
      <c r="E1538" s="1636" t="s">
        <v>9</v>
      </c>
      <c r="G1538" s="1635">
        <f>'4K'!M24</f>
        <v>0</v>
      </c>
      <c r="H1538" s="1636"/>
    </row>
    <row r="1539" spans="1:8">
      <c r="A1539" s="1620" t="str">
        <f>INDEX(Lists!$C$4:$C$24,MATCH(Validation!$B$3,Lists!$B$4:$B$24,0))</f>
        <v>TMS</v>
      </c>
      <c r="B1539" s="1732" t="str">
        <f>'4K'!AW25</f>
        <v>WWS1015SDT</v>
      </c>
      <c r="C1539" t="str">
        <f>+'4K'!$C25&amp;" - "&amp;'4K'!M$4</f>
        <v>Other capital expenditure - non-infra - Sludge treatment</v>
      </c>
      <c r="D1539" s="1620" t="str">
        <f t="shared" si="14"/>
        <v>£m</v>
      </c>
      <c r="E1539" s="1636" t="s">
        <v>9</v>
      </c>
      <c r="G1539" s="1635">
        <f>'4K'!M25</f>
        <v>-1.28041812280559</v>
      </c>
      <c r="H1539" s="1636"/>
    </row>
    <row r="1540" spans="1:8">
      <c r="A1540" s="1620" t="str">
        <f>INDEX(Lists!$C$4:$C$24,MATCH(Validation!$B$3,Lists!$B$4:$B$24,0))</f>
        <v>TMS</v>
      </c>
      <c r="B1540" s="1732" t="str">
        <f>'4K'!AW26</f>
        <v>WWS1016SDT</v>
      </c>
      <c r="C1540" t="str">
        <f>+'4K'!$C26&amp;" - "&amp;'4K'!M$4</f>
        <v>Infrastructure network reinforcement - Sludge treatment</v>
      </c>
      <c r="D1540" s="1620" t="str">
        <f t="shared" si="14"/>
        <v>£m</v>
      </c>
      <c r="E1540" s="1636" t="s">
        <v>9</v>
      </c>
      <c r="G1540" s="1635">
        <f>'4K'!M26</f>
        <v>0</v>
      </c>
      <c r="H1540" s="1636"/>
    </row>
    <row r="1541" spans="1:8">
      <c r="A1541" s="1620" t="str">
        <f>INDEX(Lists!$C$4:$C$24,MATCH(Validation!$B$3,Lists!$B$4:$B$24,0))</f>
        <v>TMS</v>
      </c>
      <c r="B1541" s="1732" t="str">
        <f>'4K'!AW28</f>
        <v>WWS1018SDT</v>
      </c>
      <c r="C1541" t="str">
        <f>+'4K'!$C28&amp;" - "&amp;'4K'!M$4</f>
        <v>Third party services - Sludge treatment</v>
      </c>
      <c r="D1541" s="1620" t="str">
        <f t="shared" si="14"/>
        <v>£m</v>
      </c>
      <c r="E1541" s="1636" t="s">
        <v>9</v>
      </c>
      <c r="G1541" s="1635">
        <f>'4K'!M28</f>
        <v>0</v>
      </c>
      <c r="H1541" s="1636"/>
    </row>
    <row r="1542" spans="1:8">
      <c r="A1542" s="1620" t="str">
        <f>INDEX(Lists!$C$4:$C$24,MATCH(Validation!$B$3,Lists!$B$4:$B$24,0))</f>
        <v>TMS</v>
      </c>
      <c r="B1542" s="1732" t="str">
        <f>'4K'!AW30</f>
        <v>WWS1020SDT</v>
      </c>
      <c r="C1542" t="str">
        <f>+'4K'!$C30&amp;" - "&amp;'4K'!M$4</f>
        <v>Grants and contributions  - Sludge treatment</v>
      </c>
      <c r="D1542" s="1620" t="str">
        <f t="shared" si="14"/>
        <v>£m</v>
      </c>
      <c r="E1542" s="1636" t="s">
        <v>9</v>
      </c>
      <c r="G1542" s="1635">
        <f>'4K'!M30</f>
        <v>0</v>
      </c>
      <c r="H1542" s="1636"/>
    </row>
    <row r="1543" spans="1:8">
      <c r="A1543" s="1620" t="str">
        <f>INDEX(Lists!$C$4:$C$24,MATCH(Validation!$B$3,Lists!$B$4:$B$24,0))</f>
        <v>TMS</v>
      </c>
      <c r="B1543" s="1732" t="str">
        <f>'4K'!AW34</f>
        <v>WWS1022SDT</v>
      </c>
      <c r="C1543" t="str">
        <f>+'4K'!$C34&amp;" - "&amp;'4K'!M$4</f>
        <v>Pension deficit recovery payments - Sludge treatment</v>
      </c>
      <c r="D1543" s="1620" t="str">
        <f t="shared" si="14"/>
        <v>£m</v>
      </c>
      <c r="E1543" s="1636" t="s">
        <v>9</v>
      </c>
      <c r="G1543" s="1635">
        <f>'4K'!M34</f>
        <v>1.88</v>
      </c>
      <c r="H1543" s="1636"/>
    </row>
    <row r="1544" spans="1:8">
      <c r="A1544" s="1620" t="str">
        <f>INDEX(Lists!$C$4:$C$24,MATCH(Validation!$B$3,Lists!$B$4:$B$24,0))</f>
        <v>TMS</v>
      </c>
      <c r="B1544" s="1732" t="str">
        <f>'4K'!AW35</f>
        <v>WWS1023SDT</v>
      </c>
      <c r="C1544" t="str">
        <f>+'4K'!$C35&amp;" - "&amp;'4K'!M$4</f>
        <v>Other cash items - Sludge treatment</v>
      </c>
      <c r="D1544" s="1620" t="str">
        <f t="shared" si="14"/>
        <v>£m</v>
      </c>
      <c r="E1544" s="1636" t="s">
        <v>9</v>
      </c>
      <c r="G1544" s="1635">
        <f>'4K'!M35</f>
        <v>0</v>
      </c>
      <c r="H1544" s="1636"/>
    </row>
    <row r="1545" spans="1:8">
      <c r="A1545" s="1620" t="str">
        <f>INDEX(Lists!$C$4:$C$24,MATCH(Validation!$B$3,Lists!$B$4:$B$24,0))</f>
        <v>TMS</v>
      </c>
      <c r="B1545" s="1732" t="str">
        <f>'4K'!AW39</f>
        <v>BP3357001SDT</v>
      </c>
      <c r="C1545" t="str">
        <f>+'4K'!$C$38&amp;" - Item 1 - "&amp;'4K'!M$4</f>
        <v>Atypical expenditure - Item 1 - Sludge treatment</v>
      </c>
      <c r="D1545" s="1620" t="str">
        <f t="shared" si="14"/>
        <v>£m</v>
      </c>
      <c r="E1545" s="1636" t="s">
        <v>9</v>
      </c>
      <c r="F1545" s="2" t="str">
        <f>F1405</f>
        <v>Restructuring costs</v>
      </c>
      <c r="G1545" s="1635">
        <f>IF(ISBLANK('4K'!M39), "##BLANK", '4K'!M39)</f>
        <v>0.28399999999999997</v>
      </c>
      <c r="H1545" s="1636"/>
    </row>
    <row r="1546" spans="1:8">
      <c r="A1546" s="1620" t="str">
        <f>INDEX(Lists!$C$4:$C$24,MATCH(Validation!$B$3,Lists!$B$4:$B$24,0))</f>
        <v>TMS</v>
      </c>
      <c r="B1546" s="1732" t="str">
        <f>'4K'!AW40</f>
        <v>BP3357002SDT</v>
      </c>
      <c r="C1546" t="str">
        <f>+'4K'!$C$38&amp;" - Item 2 - "&amp;'4K'!M$4</f>
        <v>Atypical expenditure - Item 2 - Sludge treatment</v>
      </c>
      <c r="D1546" s="1620" t="str">
        <f t="shared" si="14"/>
        <v>£m</v>
      </c>
      <c r="E1546" s="1636" t="s">
        <v>9</v>
      </c>
      <c r="F1546" s="2" t="str">
        <f t="shared" ref="F1546:F1554" si="16">F1406</f>
        <v>##BLANK</v>
      </c>
      <c r="G1546" s="1635" t="str">
        <f>IF(ISBLANK('4K'!M40), "##BLANK", '4K'!M40)</f>
        <v>##BLANK</v>
      </c>
      <c r="H1546" s="1636"/>
    </row>
    <row r="1547" spans="1:8">
      <c r="A1547" s="1620" t="str">
        <f>INDEX(Lists!$C$4:$C$24,MATCH(Validation!$B$3,Lists!$B$4:$B$24,0))</f>
        <v>TMS</v>
      </c>
      <c r="B1547" s="1732" t="str">
        <f>'4K'!AW41</f>
        <v>BP3357003SDT</v>
      </c>
      <c r="C1547" t="str">
        <f>+'4K'!$C$38&amp;" - Item 3 - "&amp;'4K'!M$4</f>
        <v>Atypical expenditure - Item 3 - Sludge treatment</v>
      </c>
      <c r="D1547" s="1620" t="str">
        <f t="shared" si="14"/>
        <v>£m</v>
      </c>
      <c r="E1547" s="1636" t="s">
        <v>9</v>
      </c>
      <c r="F1547" s="2" t="str">
        <f t="shared" si="16"/>
        <v>##BLANK</v>
      </c>
      <c r="G1547" s="1635" t="str">
        <f>IF(ISBLANK('4K'!M41), "##BLANK", '4K'!M41)</f>
        <v>##BLANK</v>
      </c>
      <c r="H1547" s="1636"/>
    </row>
    <row r="1548" spans="1:8">
      <c r="A1548" s="1620" t="str">
        <f>INDEX(Lists!$C$4:$C$24,MATCH(Validation!$B$3,Lists!$B$4:$B$24,0))</f>
        <v>TMS</v>
      </c>
      <c r="B1548" s="1732" t="str">
        <f>'4K'!AW42</f>
        <v>BP3357004SDT</v>
      </c>
      <c r="C1548" t="str">
        <f>+'4K'!$C$38&amp;" - Item 4 - "&amp;'4K'!M$4</f>
        <v>Atypical expenditure - Item 4 - Sludge treatment</v>
      </c>
      <c r="D1548" s="1620" t="str">
        <f t="shared" si="14"/>
        <v>£m</v>
      </c>
      <c r="E1548" s="1636" t="s">
        <v>9</v>
      </c>
      <c r="F1548" s="2" t="str">
        <f t="shared" si="16"/>
        <v>##BLANK</v>
      </c>
      <c r="G1548" s="1635" t="str">
        <f>IF(ISBLANK('4K'!M42), "##BLANK", '4K'!M42)</f>
        <v>##BLANK</v>
      </c>
      <c r="H1548" s="1636"/>
    </row>
    <row r="1549" spans="1:8">
      <c r="A1549" s="1620" t="str">
        <f>INDEX(Lists!$C$4:$C$24,MATCH(Validation!$B$3,Lists!$B$4:$B$24,0))</f>
        <v>TMS</v>
      </c>
      <c r="B1549" s="1732" t="str">
        <f>'4K'!AW43</f>
        <v>BP3357005SDT</v>
      </c>
      <c r="C1549" t="str">
        <f>+'4K'!$C$38&amp;" - Item 5 - "&amp;'4K'!M$4</f>
        <v>Atypical expenditure - Item 5 - Sludge treatment</v>
      </c>
      <c r="D1549" s="1620" t="str">
        <f t="shared" si="14"/>
        <v>£m</v>
      </c>
      <c r="E1549" s="1636" t="s">
        <v>9</v>
      </c>
      <c r="F1549" s="2" t="str">
        <f t="shared" si="16"/>
        <v>##BLANK</v>
      </c>
      <c r="G1549" s="1635" t="str">
        <f>IF(ISBLANK('4K'!M43), "##BLANK", '4K'!M43)</f>
        <v>##BLANK</v>
      </c>
      <c r="H1549" s="1636"/>
    </row>
    <row r="1550" spans="1:8">
      <c r="A1550" s="1620" t="str">
        <f>INDEX(Lists!$C$4:$C$24,MATCH(Validation!$B$3,Lists!$B$4:$B$24,0))</f>
        <v>TMS</v>
      </c>
      <c r="B1550" s="1732" t="str">
        <f>'4K'!AW44</f>
        <v>BP3357006SDT</v>
      </c>
      <c r="C1550" t="str">
        <f>+'4K'!$C$38&amp;" - Item 6 - "&amp;'4K'!M$4</f>
        <v>Atypical expenditure - Item 6 - Sludge treatment</v>
      </c>
      <c r="D1550" s="1620" t="str">
        <f t="shared" si="14"/>
        <v>£m</v>
      </c>
      <c r="E1550" s="1636" t="s">
        <v>9</v>
      </c>
      <c r="F1550" s="2" t="str">
        <f t="shared" si="16"/>
        <v>##BLANK</v>
      </c>
      <c r="G1550" s="1635" t="str">
        <f>IF(ISBLANK('4K'!M44), "##BLANK", '4K'!M44)</f>
        <v>##BLANK</v>
      </c>
      <c r="H1550" s="1636"/>
    </row>
    <row r="1551" spans="1:8">
      <c r="A1551" s="1620" t="str">
        <f>INDEX(Lists!$C$4:$C$24,MATCH(Validation!$B$3,Lists!$B$4:$B$24,0))</f>
        <v>TMS</v>
      </c>
      <c r="B1551" s="1732" t="str">
        <f>'4K'!AW45</f>
        <v>BP3357007SDT</v>
      </c>
      <c r="C1551" t="str">
        <f>+'4K'!$C$38&amp;" - Item 7 - "&amp;'4K'!M$4</f>
        <v>Atypical expenditure - Item 7 - Sludge treatment</v>
      </c>
      <c r="D1551" s="1620" t="str">
        <f t="shared" si="14"/>
        <v>£m</v>
      </c>
      <c r="E1551" s="1636" t="s">
        <v>9</v>
      </c>
      <c r="F1551" s="2" t="str">
        <f t="shared" si="16"/>
        <v>##BLANK</v>
      </c>
      <c r="G1551" s="1635" t="str">
        <f>IF(ISBLANK('4K'!M45), "##BLANK", '4K'!M45)</f>
        <v>##BLANK</v>
      </c>
      <c r="H1551" s="1636"/>
    </row>
    <row r="1552" spans="1:8">
      <c r="A1552" s="1620" t="str">
        <f>INDEX(Lists!$C$4:$C$24,MATCH(Validation!$B$3,Lists!$B$4:$B$24,0))</f>
        <v>TMS</v>
      </c>
      <c r="B1552" s="1732" t="str">
        <f>'4K'!AW46</f>
        <v>BP3357008SDT</v>
      </c>
      <c r="C1552" t="str">
        <f>+'4K'!$C$38&amp;" - Item 8 - "&amp;'4K'!M$4</f>
        <v>Atypical expenditure - Item 8 - Sludge treatment</v>
      </c>
      <c r="D1552" s="1620" t="str">
        <f t="shared" si="14"/>
        <v>£m</v>
      </c>
      <c r="E1552" s="1636" t="s">
        <v>9</v>
      </c>
      <c r="F1552" s="2" t="str">
        <f t="shared" si="16"/>
        <v>##BLANK</v>
      </c>
      <c r="G1552" s="1635" t="str">
        <f>IF(ISBLANK('4K'!M46), "##BLANK", '4K'!M46)</f>
        <v>##BLANK</v>
      </c>
      <c r="H1552" s="1636"/>
    </row>
    <row r="1553" spans="1:8">
      <c r="A1553" s="1620" t="str">
        <f>INDEX(Lists!$C$4:$C$24,MATCH(Validation!$B$3,Lists!$B$4:$B$24,0))</f>
        <v>TMS</v>
      </c>
      <c r="B1553" s="1732" t="str">
        <f>'4K'!AW47</f>
        <v>BP3357009SDT</v>
      </c>
      <c r="C1553" t="str">
        <f>+'4K'!$C$38&amp;" - Item 9 - "&amp;'4K'!M$4</f>
        <v>Atypical expenditure - Item 9 - Sludge treatment</v>
      </c>
      <c r="D1553" s="1620" t="str">
        <f t="shared" si="14"/>
        <v>£m</v>
      </c>
      <c r="E1553" s="1636" t="s">
        <v>9</v>
      </c>
      <c r="F1553" s="2" t="str">
        <f t="shared" si="16"/>
        <v>##BLANK</v>
      </c>
      <c r="G1553" s="1635" t="str">
        <f>IF(ISBLANK('4K'!M47), "##BLANK", '4K'!M47)</f>
        <v>##BLANK</v>
      </c>
      <c r="H1553" s="1636"/>
    </row>
    <row r="1554" spans="1:8">
      <c r="A1554" s="1730" t="str">
        <f>INDEX(Lists!$C$4:$C$24,MATCH(Validation!$B$3,Lists!$B$4:$B$24,0))</f>
        <v>TMS</v>
      </c>
      <c r="B1554" s="1734" t="str">
        <f>'4K'!AW48</f>
        <v>BP3357010SDT</v>
      </c>
      <c r="C1554" s="1819" t="str">
        <f>+'4K'!$C$38&amp;" - Item 10 - "&amp;'4K'!M$4</f>
        <v>Atypical expenditure - Item 10 - Sludge treatment</v>
      </c>
      <c r="D1554" s="1730" t="str">
        <f t="shared" si="14"/>
        <v>£m</v>
      </c>
      <c r="E1554" s="1652" t="s">
        <v>9</v>
      </c>
      <c r="F1554" s="1637" t="str">
        <f t="shared" si="16"/>
        <v>##BLANK</v>
      </c>
      <c r="G1554" s="1653" t="str">
        <f>IF(ISBLANK('4K'!M48), "##BLANK", '4K'!M48)</f>
        <v>##BLANK</v>
      </c>
      <c r="H1554" s="1652"/>
    </row>
    <row r="1555" spans="1:8">
      <c r="A1555" s="1620" t="str">
        <f>INDEX(Lists!$C$4:$C$24,MATCH(Validation!$B$3,Lists!$B$4:$B$24,0))</f>
        <v>TMS</v>
      </c>
      <c r="B1555" s="1732" t="str">
        <f>'4K'!AX7</f>
        <v>WWS1001SDD</v>
      </c>
      <c r="C1555" t="str">
        <f>+'4K'!$C7&amp;" - "&amp;'4K'!N$4</f>
        <v>Power - Sludge disposal</v>
      </c>
      <c r="D1555" s="1620" t="str">
        <f t="shared" si="14"/>
        <v>£m</v>
      </c>
      <c r="E1555" s="1636" t="s">
        <v>9</v>
      </c>
      <c r="G1555" s="1635">
        <f>'4K'!N7</f>
        <v>3.7999999999999999E-2</v>
      </c>
      <c r="H1555" s="1636"/>
    </row>
    <row r="1556" spans="1:8">
      <c r="A1556" s="1620" t="str">
        <f>INDEX(Lists!$C$4:$C$24,MATCH(Validation!$B$3,Lists!$B$4:$B$24,0))</f>
        <v>TMS</v>
      </c>
      <c r="B1556" s="1732" t="str">
        <f>'4K'!AX8</f>
        <v>WWS1002SDD</v>
      </c>
      <c r="C1556" t="str">
        <f>+'4K'!$C8&amp;" - "&amp;'4K'!N$4</f>
        <v>Income treated as negative expenditure - Sludge disposal</v>
      </c>
      <c r="D1556" s="1620" t="str">
        <f t="shared" si="14"/>
        <v>£m</v>
      </c>
      <c r="E1556" s="1636" t="s">
        <v>9</v>
      </c>
      <c r="G1556" s="1635">
        <f>'4K'!N8</f>
        <v>-0.79300000000000004</v>
      </c>
      <c r="H1556" s="1636"/>
    </row>
    <row r="1557" spans="1:8">
      <c r="A1557" s="1620" t="str">
        <f>INDEX(Lists!$C$4:$C$24,MATCH(Validation!$B$3,Lists!$B$4:$B$24,0))</f>
        <v>TMS</v>
      </c>
      <c r="B1557" s="1732" t="str">
        <f>'4K'!AX9</f>
        <v>WWS1003SDD</v>
      </c>
      <c r="C1557" t="str">
        <f>+'4K'!$C9&amp;" - "&amp;'4K'!N$4</f>
        <v>Discharge Consents - Sludge disposal</v>
      </c>
      <c r="D1557" s="1620" t="str">
        <f t="shared" si="14"/>
        <v>£m</v>
      </c>
      <c r="E1557" s="1636" t="s">
        <v>9</v>
      </c>
      <c r="G1557" s="1635">
        <f>'4K'!N9</f>
        <v>4.0000000000000001E-3</v>
      </c>
      <c r="H1557" s="1636"/>
    </row>
    <row r="1558" spans="1:8">
      <c r="A1558" s="1620" t="str">
        <f>INDEX(Lists!$C$4:$C$24,MATCH(Validation!$B$3,Lists!$B$4:$B$24,0))</f>
        <v>TMS</v>
      </c>
      <c r="B1558" s="1732" t="str">
        <f>'4K'!AX10</f>
        <v>WWS1004SDD</v>
      </c>
      <c r="C1558" t="str">
        <f>+'4K'!$C10&amp;" - "&amp;'4K'!N$4</f>
        <v>Bulk discharge - Sludge disposal</v>
      </c>
      <c r="D1558" s="1620" t="str">
        <f t="shared" si="14"/>
        <v>£m</v>
      </c>
      <c r="E1558" s="1636" t="s">
        <v>9</v>
      </c>
      <c r="G1558" s="1635">
        <f>'4K'!N10</f>
        <v>1E-3</v>
      </c>
      <c r="H1558" s="1636"/>
    </row>
    <row r="1559" spans="1:8">
      <c r="A1559" s="1620" t="str">
        <f>INDEX(Lists!$C$4:$C$24,MATCH(Validation!$B$3,Lists!$B$4:$B$24,0))</f>
        <v>TMS</v>
      </c>
      <c r="B1559" s="1732" t="str">
        <f>'4K'!AX12</f>
        <v>WWS1005SDD</v>
      </c>
      <c r="C1559" t="str">
        <f>+'4K'!$C$11&amp;" "&amp;'4K'!$C12&amp;" - "&amp;'4K'!N$4</f>
        <v>Other operating expenditure - Renewals expensed in year (Infrastructure) - Sludge disposal</v>
      </c>
      <c r="D1559" s="1620" t="str">
        <f t="shared" si="14"/>
        <v>£m</v>
      </c>
      <c r="E1559" s="1636" t="s">
        <v>9</v>
      </c>
      <c r="G1559" s="1635">
        <f>'4K'!N12</f>
        <v>0</v>
      </c>
      <c r="H1559" s="1636"/>
    </row>
    <row r="1560" spans="1:8">
      <c r="A1560" s="1620" t="str">
        <f>INDEX(Lists!$C$4:$C$24,MATCH(Validation!$B$3,Lists!$B$4:$B$24,0))</f>
        <v>TMS</v>
      </c>
      <c r="B1560" s="1732" t="str">
        <f>'4K'!AX13</f>
        <v>WWS1006SDD</v>
      </c>
      <c r="C1560" t="str">
        <f>+'4K'!$C$11&amp;" "&amp;'4K'!$C13&amp;" - "&amp;'4K'!N$4</f>
        <v>Other operating expenditure - Renewals expensed in year (Non-Infrastructure) - Sludge disposal</v>
      </c>
      <c r="D1560" s="1620" t="str">
        <f t="shared" si="14"/>
        <v>£m</v>
      </c>
      <c r="E1560" s="1636" t="s">
        <v>9</v>
      </c>
      <c r="G1560" s="1635">
        <f>'4K'!N13</f>
        <v>0</v>
      </c>
      <c r="H1560" s="1636"/>
    </row>
    <row r="1561" spans="1:8">
      <c r="A1561" s="1620" t="str">
        <f>INDEX(Lists!$C$4:$C$24,MATCH(Validation!$B$3,Lists!$B$4:$B$24,0))</f>
        <v>TMS</v>
      </c>
      <c r="B1561" s="1732" t="str">
        <f>'4K'!AX14</f>
        <v>WWS1007SDD</v>
      </c>
      <c r="C1561" t="str">
        <f>+'4K'!$C$11&amp;" "&amp;'4K'!$C14&amp;" - "&amp;'4K'!N$4</f>
        <v>Other operating expenditure - Other operating expenditure excluding renewals - Sludge disposal</v>
      </c>
      <c r="D1561" s="1620" t="str">
        <f t="shared" si="14"/>
        <v>£m</v>
      </c>
      <c r="E1561" s="1636" t="s">
        <v>9</v>
      </c>
      <c r="G1561" s="1635">
        <f>'4K'!N14</f>
        <v>19.023</v>
      </c>
      <c r="H1561" s="1636"/>
    </row>
    <row r="1562" spans="1:8">
      <c r="A1562" s="1620" t="str">
        <f>INDEX(Lists!$C$4:$C$24,MATCH(Validation!$B$3,Lists!$B$4:$B$24,0))</f>
        <v>TMS</v>
      </c>
      <c r="B1562" s="1732" t="str">
        <f>'4K'!AX15</f>
        <v>WWS1008SDD</v>
      </c>
      <c r="C1562" t="str">
        <f>+'4K'!$C15&amp;" - "&amp;'4K'!N$4</f>
        <v>Local authority and Cumulo rates - Sludge disposal</v>
      </c>
      <c r="D1562" s="1620" t="str">
        <f t="shared" si="14"/>
        <v>£m</v>
      </c>
      <c r="E1562" s="1636" t="s">
        <v>9</v>
      </c>
      <c r="G1562" s="1635">
        <f>'4K'!N15</f>
        <v>0.85099999999999998</v>
      </c>
      <c r="H1562" s="1636"/>
    </row>
    <row r="1563" spans="1:8">
      <c r="A1563" s="1620" t="str">
        <f>INDEX(Lists!$C$4:$C$24,MATCH(Validation!$B$3,Lists!$B$4:$B$24,0))</f>
        <v>TMS</v>
      </c>
      <c r="B1563" s="1732" t="str">
        <f>'4K'!AX18</f>
        <v>WWS1010SDD</v>
      </c>
      <c r="C1563" t="str">
        <f>+'4K'!$C18&amp;" - "&amp;'4K'!N$4</f>
        <v>Third party services - Sludge disposal</v>
      </c>
      <c r="D1563" s="1620" t="str">
        <f t="shared" si="14"/>
        <v>£m</v>
      </c>
      <c r="E1563" s="1636" t="s">
        <v>9</v>
      </c>
      <c r="G1563" s="1635">
        <f>'4K'!N18</f>
        <v>2.7E-2</v>
      </c>
      <c r="H1563" s="1636"/>
    </row>
    <row r="1564" spans="1:8">
      <c r="A1564" s="1620" t="str">
        <f>INDEX(Lists!$C$4:$C$24,MATCH(Validation!$B$3,Lists!$B$4:$B$24,0))</f>
        <v>TMS</v>
      </c>
      <c r="B1564" s="1732" t="str">
        <f>'4K'!AX22</f>
        <v>WWS1012SDD</v>
      </c>
      <c r="C1564" t="str">
        <f>+'4K'!$C22&amp;" - "&amp;'4K'!N$4</f>
        <v>Maintaining the long term capability of the assets - infra - Sludge disposal</v>
      </c>
      <c r="D1564" s="1620" t="str">
        <f t="shared" si="14"/>
        <v>£m</v>
      </c>
      <c r="E1564" s="1636" t="s">
        <v>9</v>
      </c>
      <c r="G1564" s="1635">
        <f>'4K'!N22</f>
        <v>0</v>
      </c>
      <c r="H1564" s="1636"/>
    </row>
    <row r="1565" spans="1:8">
      <c r="A1565" s="1620" t="str">
        <f>INDEX(Lists!$C$4:$C$24,MATCH(Validation!$B$3,Lists!$B$4:$B$24,0))</f>
        <v>TMS</v>
      </c>
      <c r="B1565" s="1732" t="str">
        <f>'4K'!AX23</f>
        <v>WWS1013SDD</v>
      </c>
      <c r="C1565" t="str">
        <f>+'4K'!$C23&amp;" - "&amp;'4K'!N$4</f>
        <v>Maintaining the long term capability of the assets - non-infra - Sludge disposal</v>
      </c>
      <c r="D1565" s="1620" t="str">
        <f t="shared" si="14"/>
        <v>£m</v>
      </c>
      <c r="E1565" s="1636" t="s">
        <v>9</v>
      </c>
      <c r="G1565" s="1635">
        <f>'4K'!N23</f>
        <v>7.6755260536020904</v>
      </c>
      <c r="H1565" s="1636"/>
    </row>
    <row r="1566" spans="1:8">
      <c r="A1566" s="1620" t="str">
        <f>INDEX(Lists!$C$4:$C$24,MATCH(Validation!$B$3,Lists!$B$4:$B$24,0))</f>
        <v>TMS</v>
      </c>
      <c r="B1566" s="1732" t="str">
        <f>'4K'!AX24</f>
        <v>WWS1014SDD</v>
      </c>
      <c r="C1566" t="str">
        <f>+'4K'!$C24&amp;" - "&amp;'4K'!N$4</f>
        <v>Other capital expenditure - infra - Sludge disposal</v>
      </c>
      <c r="D1566" s="1620" t="str">
        <f t="shared" si="14"/>
        <v>£m</v>
      </c>
      <c r="E1566" s="1636" t="s">
        <v>9</v>
      </c>
      <c r="G1566" s="1635">
        <f>'4K'!N24</f>
        <v>0</v>
      </c>
      <c r="H1566" s="1636"/>
    </row>
    <row r="1567" spans="1:8">
      <c r="A1567" s="1620" t="str">
        <f>INDEX(Lists!$C$4:$C$24,MATCH(Validation!$B$3,Lists!$B$4:$B$24,0))</f>
        <v>TMS</v>
      </c>
      <c r="B1567" s="1732" t="str">
        <f>'4K'!AX25</f>
        <v>WWS1015SDD</v>
      </c>
      <c r="C1567" t="str">
        <f>+'4K'!$C25&amp;" - "&amp;'4K'!N$4</f>
        <v>Other capital expenditure - non-infra - Sludge disposal</v>
      </c>
      <c r="D1567" s="1620" t="str">
        <f t="shared" si="14"/>
        <v>£m</v>
      </c>
      <c r="E1567" s="1636" t="s">
        <v>9</v>
      </c>
      <c r="G1567" s="1635">
        <f>'4K'!N25</f>
        <v>1.8985141618671128E-3</v>
      </c>
      <c r="H1567" s="1636"/>
    </row>
    <row r="1568" spans="1:8">
      <c r="A1568" s="1620" t="str">
        <f>INDEX(Lists!$C$4:$C$24,MATCH(Validation!$B$3,Lists!$B$4:$B$24,0))</f>
        <v>TMS</v>
      </c>
      <c r="B1568" s="1732" t="str">
        <f>'4K'!AX26</f>
        <v>WWS1016SDD</v>
      </c>
      <c r="C1568" t="str">
        <f>+'4K'!$C26&amp;" - "&amp;'4K'!N$4</f>
        <v>Infrastructure network reinforcement - Sludge disposal</v>
      </c>
      <c r="D1568" s="1620" t="str">
        <f t="shared" si="14"/>
        <v>£m</v>
      </c>
      <c r="E1568" s="1636" t="s">
        <v>9</v>
      </c>
      <c r="G1568" s="1635">
        <f>'4K'!N26</f>
        <v>0</v>
      </c>
      <c r="H1568" s="1636"/>
    </row>
    <row r="1569" spans="1:8">
      <c r="A1569" s="1620" t="str">
        <f>INDEX(Lists!$C$4:$C$24,MATCH(Validation!$B$3,Lists!$B$4:$B$24,0))</f>
        <v>TMS</v>
      </c>
      <c r="B1569" s="1732" t="str">
        <f>'4K'!AX28</f>
        <v>WWS1018SDD</v>
      </c>
      <c r="C1569" t="str">
        <f>+'4K'!$C28&amp;" - "&amp;'4K'!N$4</f>
        <v>Third party services - Sludge disposal</v>
      </c>
      <c r="D1569" s="1620" t="str">
        <f t="shared" si="14"/>
        <v>£m</v>
      </c>
      <c r="E1569" s="1636" t="s">
        <v>9</v>
      </c>
      <c r="G1569" s="1635">
        <f>'4K'!N28</f>
        <v>0</v>
      </c>
      <c r="H1569" s="1636"/>
    </row>
    <row r="1570" spans="1:8">
      <c r="A1570" s="1620" t="str">
        <f>INDEX(Lists!$C$4:$C$24,MATCH(Validation!$B$3,Lists!$B$4:$B$24,0))</f>
        <v>TMS</v>
      </c>
      <c r="B1570" s="1732" t="str">
        <f>'4K'!AX30</f>
        <v>WWS1020SDD</v>
      </c>
      <c r="C1570" t="str">
        <f>+'4K'!$C30&amp;" - "&amp;'4K'!N$4</f>
        <v>Grants and contributions  - Sludge disposal</v>
      </c>
      <c r="D1570" s="1620" t="str">
        <f t="shared" si="14"/>
        <v>£m</v>
      </c>
      <c r="E1570" s="1636" t="s">
        <v>9</v>
      </c>
      <c r="G1570" s="1635">
        <f>'4K'!N30</f>
        <v>0</v>
      </c>
      <c r="H1570" s="1636"/>
    </row>
    <row r="1571" spans="1:8">
      <c r="A1571" s="1620" t="str">
        <f>INDEX(Lists!$C$4:$C$24,MATCH(Validation!$B$3,Lists!$B$4:$B$24,0))</f>
        <v>TMS</v>
      </c>
      <c r="B1571" s="1732" t="str">
        <f>'4K'!AX34</f>
        <v>WWS1022SDD</v>
      </c>
      <c r="C1571" t="str">
        <f>+'4K'!$C34&amp;" - "&amp;'4K'!N$4</f>
        <v>Pension deficit recovery payments - Sludge disposal</v>
      </c>
      <c r="D1571" s="1620" t="str">
        <f t="shared" si="14"/>
        <v>£m</v>
      </c>
      <c r="E1571" s="1636" t="s">
        <v>9</v>
      </c>
      <c r="G1571" s="1635">
        <f>'4K'!N34</f>
        <v>0.16500000000000001</v>
      </c>
      <c r="H1571" s="1636"/>
    </row>
    <row r="1572" spans="1:8">
      <c r="A1572" s="1620" t="str">
        <f>INDEX(Lists!$C$4:$C$24,MATCH(Validation!$B$3,Lists!$B$4:$B$24,0))</f>
        <v>TMS</v>
      </c>
      <c r="B1572" s="1732" t="str">
        <f>'4K'!AX35</f>
        <v>WWS1023SDD</v>
      </c>
      <c r="C1572" t="str">
        <f>+'4K'!$C35&amp;" - "&amp;'4K'!N$4</f>
        <v>Other cash items - Sludge disposal</v>
      </c>
      <c r="D1572" s="1620" t="str">
        <f t="shared" si="14"/>
        <v>£m</v>
      </c>
      <c r="E1572" s="1636" t="s">
        <v>9</v>
      </c>
      <c r="G1572" s="1635">
        <f>'4K'!N35</f>
        <v>0</v>
      </c>
      <c r="H1572" s="1636"/>
    </row>
    <row r="1573" spans="1:8">
      <c r="A1573" s="1620" t="str">
        <f>INDEX(Lists!$C$4:$C$24,MATCH(Validation!$B$3,Lists!$B$4:$B$24,0))</f>
        <v>TMS</v>
      </c>
      <c r="B1573" s="1732" t="str">
        <f>'4K'!AX39</f>
        <v>BP3357001SDD</v>
      </c>
      <c r="C1573" t="str">
        <f>+'4K'!$C$38&amp;" - Item 1 - "&amp;'4K'!N$4</f>
        <v>Atypical expenditure - Item 1 - Sludge disposal</v>
      </c>
      <c r="D1573" s="1620" t="str">
        <f t="shared" si="14"/>
        <v>£m</v>
      </c>
      <c r="E1573" s="1636" t="s">
        <v>9</v>
      </c>
      <c r="F1573" s="1634" t="str">
        <f>F1405</f>
        <v>Restructuring costs</v>
      </c>
      <c r="G1573" s="1635">
        <f>IF(ISBLANK('4K'!N39), "##BLANK", '4K'!N39)</f>
        <v>0.104</v>
      </c>
      <c r="H1573" s="1636"/>
    </row>
    <row r="1574" spans="1:8">
      <c r="A1574" s="1620" t="str">
        <f>INDEX(Lists!$C$4:$C$24,MATCH(Validation!$B$3,Lists!$B$4:$B$24,0))</f>
        <v>TMS</v>
      </c>
      <c r="B1574" s="1732" t="str">
        <f>'4K'!AX40</f>
        <v>BP3357002SDD</v>
      </c>
      <c r="C1574" t="str">
        <f>+'4K'!$C$38&amp;" - Item 2 - "&amp;'4K'!N$4</f>
        <v>Atypical expenditure - Item 2 - Sludge disposal</v>
      </c>
      <c r="D1574" s="1620" t="str">
        <f t="shared" si="14"/>
        <v>£m</v>
      </c>
      <c r="E1574" s="1636" t="s">
        <v>9</v>
      </c>
      <c r="F1574" s="1634" t="str">
        <f t="shared" ref="F1574:F1582" si="17">F1406</f>
        <v>##BLANK</v>
      </c>
      <c r="G1574" s="1635" t="str">
        <f>IF(ISBLANK('4K'!N40), "##BLANK", '4K'!N40)</f>
        <v>##BLANK</v>
      </c>
      <c r="H1574" s="1636"/>
    </row>
    <row r="1575" spans="1:8">
      <c r="A1575" s="1620" t="str">
        <f>INDEX(Lists!$C$4:$C$24,MATCH(Validation!$B$3,Lists!$B$4:$B$24,0))</f>
        <v>TMS</v>
      </c>
      <c r="B1575" s="1732" t="str">
        <f>'4K'!AX41</f>
        <v>BP3357003SDD</v>
      </c>
      <c r="C1575" t="str">
        <f>+'4K'!$C$38&amp;" - Item 3 - "&amp;'4K'!N$4</f>
        <v>Atypical expenditure - Item 3 - Sludge disposal</v>
      </c>
      <c r="D1575" s="1620" t="str">
        <f t="shared" si="14"/>
        <v>£m</v>
      </c>
      <c r="E1575" s="1636" t="s">
        <v>9</v>
      </c>
      <c r="F1575" s="1634" t="str">
        <f t="shared" si="17"/>
        <v>##BLANK</v>
      </c>
      <c r="G1575" s="1635" t="str">
        <f>IF(ISBLANK('4K'!N41), "##BLANK", '4K'!N41)</f>
        <v>##BLANK</v>
      </c>
      <c r="H1575" s="1636"/>
    </row>
    <row r="1576" spans="1:8">
      <c r="A1576" s="1620" t="str">
        <f>INDEX(Lists!$C$4:$C$24,MATCH(Validation!$B$3,Lists!$B$4:$B$24,0))</f>
        <v>TMS</v>
      </c>
      <c r="B1576" s="1732" t="str">
        <f>'4K'!AX42</f>
        <v>BP3357004SDD</v>
      </c>
      <c r="C1576" t="str">
        <f>+'4K'!$C$38&amp;" - Item 4 - "&amp;'4K'!N$4</f>
        <v>Atypical expenditure - Item 4 - Sludge disposal</v>
      </c>
      <c r="D1576" s="1620" t="str">
        <f t="shared" si="14"/>
        <v>£m</v>
      </c>
      <c r="E1576" s="1636" t="s">
        <v>9</v>
      </c>
      <c r="F1576" s="1634" t="str">
        <f t="shared" si="17"/>
        <v>##BLANK</v>
      </c>
      <c r="G1576" s="1635" t="str">
        <f>IF(ISBLANK('4K'!N42), "##BLANK", '4K'!N42)</f>
        <v>##BLANK</v>
      </c>
      <c r="H1576" s="1636"/>
    </row>
    <row r="1577" spans="1:8">
      <c r="A1577" s="1620" t="str">
        <f>INDEX(Lists!$C$4:$C$24,MATCH(Validation!$B$3,Lists!$B$4:$B$24,0))</f>
        <v>TMS</v>
      </c>
      <c r="B1577" s="1732" t="str">
        <f>'4K'!AX43</f>
        <v>BP3357005SDD</v>
      </c>
      <c r="C1577" t="str">
        <f>+'4K'!$C$38&amp;" - Item 5 - "&amp;'4K'!N$4</f>
        <v>Atypical expenditure - Item 5 - Sludge disposal</v>
      </c>
      <c r="D1577" s="1620" t="str">
        <f t="shared" si="14"/>
        <v>£m</v>
      </c>
      <c r="E1577" s="1636" t="s">
        <v>9</v>
      </c>
      <c r="F1577" s="1634" t="str">
        <f t="shared" si="17"/>
        <v>##BLANK</v>
      </c>
      <c r="G1577" s="1635" t="str">
        <f>IF(ISBLANK('4K'!N43), "##BLANK", '4K'!N43)</f>
        <v>##BLANK</v>
      </c>
      <c r="H1577" s="1636"/>
    </row>
    <row r="1578" spans="1:8">
      <c r="A1578" s="1620" t="str">
        <f>INDEX(Lists!$C$4:$C$24,MATCH(Validation!$B$3,Lists!$B$4:$B$24,0))</f>
        <v>TMS</v>
      </c>
      <c r="B1578" s="1732" t="str">
        <f>'4K'!AX44</f>
        <v>BP3357006SDD</v>
      </c>
      <c r="C1578" t="str">
        <f>+'4K'!$C$38&amp;" - Item 6 - "&amp;'4K'!N$4</f>
        <v>Atypical expenditure - Item 6 - Sludge disposal</v>
      </c>
      <c r="D1578" s="1620" t="str">
        <f t="shared" si="14"/>
        <v>£m</v>
      </c>
      <c r="E1578" s="1636" t="s">
        <v>9</v>
      </c>
      <c r="F1578" s="1634" t="str">
        <f t="shared" si="17"/>
        <v>##BLANK</v>
      </c>
      <c r="G1578" s="1635" t="str">
        <f>IF(ISBLANK('4K'!N44), "##BLANK", '4K'!N44)</f>
        <v>##BLANK</v>
      </c>
      <c r="H1578" s="1636"/>
    </row>
    <row r="1579" spans="1:8">
      <c r="A1579" s="1620" t="str">
        <f>INDEX(Lists!$C$4:$C$24,MATCH(Validation!$B$3,Lists!$B$4:$B$24,0))</f>
        <v>TMS</v>
      </c>
      <c r="B1579" s="1732" t="str">
        <f>'4K'!AX45</f>
        <v>BP3357007SDD</v>
      </c>
      <c r="C1579" t="str">
        <f>+'4K'!$C$38&amp;" - Item 7 - "&amp;'4K'!N$4</f>
        <v>Atypical expenditure - Item 7 - Sludge disposal</v>
      </c>
      <c r="D1579" s="1620" t="str">
        <f t="shared" ref="D1579:D1582" si="18">D1551</f>
        <v>£m</v>
      </c>
      <c r="E1579" s="1636" t="s">
        <v>9</v>
      </c>
      <c r="F1579" s="1634" t="str">
        <f t="shared" si="17"/>
        <v>##BLANK</v>
      </c>
      <c r="G1579" s="1635" t="str">
        <f>IF(ISBLANK('4K'!N45), "##BLANK", '4K'!N45)</f>
        <v>##BLANK</v>
      </c>
      <c r="H1579" s="1636"/>
    </row>
    <row r="1580" spans="1:8">
      <c r="A1580" s="1620" t="str">
        <f>INDEX(Lists!$C$4:$C$24,MATCH(Validation!$B$3,Lists!$B$4:$B$24,0))</f>
        <v>TMS</v>
      </c>
      <c r="B1580" s="1732" t="str">
        <f>'4K'!AX46</f>
        <v>BP3357008SDD</v>
      </c>
      <c r="C1580" t="str">
        <f>+'4K'!$C$38&amp;" - Item 8 - "&amp;'4K'!N$4</f>
        <v>Atypical expenditure - Item 8 - Sludge disposal</v>
      </c>
      <c r="D1580" s="1620" t="str">
        <f t="shared" si="18"/>
        <v>£m</v>
      </c>
      <c r="E1580" s="1636" t="s">
        <v>9</v>
      </c>
      <c r="F1580" s="1634" t="str">
        <f t="shared" si="17"/>
        <v>##BLANK</v>
      </c>
      <c r="G1580" s="1635" t="str">
        <f>IF(ISBLANK('4K'!N46), "##BLANK", '4K'!N46)</f>
        <v>##BLANK</v>
      </c>
      <c r="H1580" s="1636"/>
    </row>
    <row r="1581" spans="1:8">
      <c r="A1581" s="1620" t="str">
        <f>INDEX(Lists!$C$4:$C$24,MATCH(Validation!$B$3,Lists!$B$4:$B$24,0))</f>
        <v>TMS</v>
      </c>
      <c r="B1581" s="1732" t="str">
        <f>'4K'!AX47</f>
        <v>BP3357009SDD</v>
      </c>
      <c r="C1581" t="str">
        <f>+'4K'!$C$38&amp;" - Item 9 - "&amp;'4K'!N$4</f>
        <v>Atypical expenditure - Item 9 - Sludge disposal</v>
      </c>
      <c r="D1581" s="1620" t="str">
        <f t="shared" si="18"/>
        <v>£m</v>
      </c>
      <c r="E1581" s="1636" t="s">
        <v>9</v>
      </c>
      <c r="F1581" s="1634" t="str">
        <f t="shared" si="17"/>
        <v>##BLANK</v>
      </c>
      <c r="G1581" s="1635" t="str">
        <f>IF(ISBLANK('4K'!N47), "##BLANK", '4K'!N47)</f>
        <v>##BLANK</v>
      </c>
      <c r="H1581" s="1636"/>
    </row>
    <row r="1582" spans="1:8" ht="15" thickBot="1">
      <c r="A1582" s="1621" t="str">
        <f>INDEX(Lists!$C$4:$C$24,MATCH(Validation!$B$3,Lists!$B$4:$B$24,0))</f>
        <v>TMS</v>
      </c>
      <c r="B1582" s="1733" t="str">
        <f>'4K'!AX48</f>
        <v>BP3357010SDD</v>
      </c>
      <c r="C1582" s="1622" t="str">
        <f>+'4K'!$C$38&amp;" - Item 10 - "&amp;'4K'!N$4</f>
        <v>Atypical expenditure - Item 10 - Sludge disposal</v>
      </c>
      <c r="D1582" s="1621" t="str">
        <f t="shared" si="18"/>
        <v>£m</v>
      </c>
      <c r="E1582" s="1649" t="s">
        <v>9</v>
      </c>
      <c r="F1582" s="1642" t="str">
        <f t="shared" si="17"/>
        <v>##BLANK</v>
      </c>
      <c r="G1582" s="1653" t="str">
        <f>IF(ISBLANK('4K'!N48), "##BLANK", '4K'!N48)</f>
        <v>##BLANK</v>
      </c>
      <c r="H1582" s="1649"/>
    </row>
    <row r="1583" spans="1:8">
      <c r="A1583" s="1618" t="str">
        <f>INDEX(Lists!$C$4:$C$24,MATCH(Validation!$B$3,Lists!$B$4:$B$24,0))</f>
        <v>TMS</v>
      </c>
      <c r="B1583" s="1731" t="str">
        <f>'4L'!BB8</f>
        <v>W3001WR</v>
      </c>
      <c r="C1583" s="1731" t="str">
        <f>+'4L'!$C8&amp;" - "&amp;'4L'!G$5</f>
        <v>NEP - Making ecological improvements at abstractions (Habitats Directive, SSSI, NERC, BAPs) - Abstraction licences</v>
      </c>
      <c r="D1583" s="1619" t="str">
        <f>'4L'!E8</f>
        <v>£m</v>
      </c>
      <c r="E1583" s="1644" t="s">
        <v>9</v>
      </c>
      <c r="F1583" s="1641"/>
      <c r="G1583" s="1635">
        <f>'4L'!G8</f>
        <v>0</v>
      </c>
      <c r="H1583" s="1645"/>
    </row>
    <row r="1584" spans="1:8">
      <c r="A1584" s="1620" t="str">
        <f>INDEX(Lists!$C$4:$C$24,MATCH(Validation!$B$3,Lists!$B$4:$B$24,0))</f>
        <v>TMS</v>
      </c>
      <c r="B1584" s="1732" t="str">
        <f>'4L'!BB9</f>
        <v>WS2002WR</v>
      </c>
      <c r="C1584" s="1732" t="str">
        <f>+'4L'!$C9&amp;" - "&amp;'4L'!G$5</f>
        <v>NEP - Eels Regulations (measures at intakes) - Abstraction licences</v>
      </c>
      <c r="D1584" t="str">
        <f>'4L'!E9</f>
        <v>£m</v>
      </c>
      <c r="E1584" s="2" t="s">
        <v>9</v>
      </c>
      <c r="F1584" s="1634"/>
      <c r="G1584" s="1635">
        <f>'4L'!G9</f>
        <v>0</v>
      </c>
      <c r="H1584" s="1636"/>
    </row>
    <row r="1585" spans="1:8">
      <c r="A1585" s="1620" t="str">
        <f>INDEX(Lists!$C$4:$C$24,MATCH(Validation!$B$3,Lists!$B$4:$B$24,0))</f>
        <v>TMS</v>
      </c>
      <c r="B1585" s="1732" t="str">
        <f>'4L'!BB10</f>
        <v>W3002WR</v>
      </c>
      <c r="C1585" s="1732" t="str">
        <f>+'4L'!$C10&amp;" - "&amp;'4L'!G$5</f>
        <v>Addressing low pressure - Abstraction licences</v>
      </c>
      <c r="D1585" t="str">
        <f>'4L'!E10</f>
        <v>£m</v>
      </c>
      <c r="E1585" s="2" t="s">
        <v>9</v>
      </c>
      <c r="F1585" s="1634"/>
      <c r="G1585" s="1635">
        <f>'4L'!G10</f>
        <v>0</v>
      </c>
      <c r="H1585" s="1636"/>
    </row>
    <row r="1586" spans="1:8">
      <c r="A1586" s="1620" t="str">
        <f>INDEX(Lists!$C$4:$C$24,MATCH(Validation!$B$3,Lists!$B$4:$B$24,0))</f>
        <v>TMS</v>
      </c>
      <c r="B1586" s="1732" t="str">
        <f>'4L'!BB11</f>
        <v>W3003WR</v>
      </c>
      <c r="C1586" s="1732" t="str">
        <f>+'4L'!$C11&amp;" - "&amp;'4L'!G$5</f>
        <v>Improving taste / odour / colour - Abstraction licences</v>
      </c>
      <c r="D1586" t="str">
        <f>'4L'!E11</f>
        <v>£m</v>
      </c>
      <c r="E1586" s="2" t="s">
        <v>9</v>
      </c>
      <c r="F1586" s="1634"/>
      <c r="G1586" s="1635">
        <f>'4L'!G11</f>
        <v>0</v>
      </c>
      <c r="H1586" s="1636"/>
    </row>
    <row r="1587" spans="1:8">
      <c r="A1587" s="1620" t="str">
        <f>INDEX(Lists!$C$4:$C$24,MATCH(Validation!$B$3,Lists!$B$4:$B$24,0))</f>
        <v>TMS</v>
      </c>
      <c r="B1587" s="1732" t="str">
        <f>'4L'!BB12</f>
        <v>W3006WR</v>
      </c>
      <c r="C1587" s="1732" t="str">
        <f>+'4L'!$C12&amp;" - "&amp;'4L'!G$5</f>
        <v>Meeting lead standards - Abstraction licences</v>
      </c>
      <c r="D1587" t="str">
        <f>'4L'!E12</f>
        <v>£m</v>
      </c>
      <c r="E1587" s="2" t="s">
        <v>9</v>
      </c>
      <c r="F1587" s="1634"/>
      <c r="G1587" s="1635">
        <f>'4L'!G12</f>
        <v>0</v>
      </c>
      <c r="H1587" s="1636"/>
    </row>
    <row r="1588" spans="1:8">
      <c r="A1588" s="1620" t="str">
        <f>INDEX(Lists!$C$4:$C$24,MATCH(Validation!$B$3,Lists!$B$4:$B$24,0))</f>
        <v>TMS</v>
      </c>
      <c r="B1588" s="1732" t="str">
        <f>'4L'!BB13</f>
        <v>W3007SWR</v>
      </c>
      <c r="C1588" s="1732" t="str">
        <f>+'4L'!$C13&amp;" - "&amp;'4L'!G$5</f>
        <v>Supply side enhancements to the supply/demand balance (dry year critical / peak conditions) - Abstraction licences</v>
      </c>
      <c r="D1588" t="str">
        <f>'4L'!E13</f>
        <v>£m</v>
      </c>
      <c r="E1588" s="2" t="s">
        <v>9</v>
      </c>
      <c r="F1588" s="1634"/>
      <c r="G1588" s="1635">
        <f>'4L'!G13</f>
        <v>0</v>
      </c>
      <c r="H1588" s="1636"/>
    </row>
    <row r="1589" spans="1:8">
      <c r="A1589" s="1620" t="str">
        <f>INDEX(Lists!$C$4:$C$24,MATCH(Validation!$B$3,Lists!$B$4:$B$24,0))</f>
        <v>TMS</v>
      </c>
      <c r="B1589" s="1732" t="str">
        <f>'4L'!BB14</f>
        <v>W3008SWR</v>
      </c>
      <c r="C1589" s="1732" t="str">
        <f>+'4L'!$C14&amp;" - "&amp;'4L'!G$5</f>
        <v>Supply side enhancements to the supply/demand balance (dry year annual average conditions) - Abstraction licences</v>
      </c>
      <c r="D1589" t="str">
        <f>'4L'!E14</f>
        <v>£m</v>
      </c>
      <c r="E1589" s="2" t="s">
        <v>9</v>
      </c>
      <c r="F1589" s="1634"/>
      <c r="G1589" s="1635">
        <f>'4L'!G14</f>
        <v>0</v>
      </c>
      <c r="H1589" s="1636"/>
    </row>
    <row r="1590" spans="1:8">
      <c r="A1590" s="1620" t="str">
        <f>INDEX(Lists!$C$4:$C$24,MATCH(Validation!$B$3,Lists!$B$4:$B$24,0))</f>
        <v>TMS</v>
      </c>
      <c r="B1590" s="1732" t="str">
        <f>'4L'!BB15</f>
        <v>W3007DWR</v>
      </c>
      <c r="C1590" s="1732" t="str">
        <f>+'4L'!$C15&amp;" - "&amp;'4L'!G$5</f>
        <v>Demand side enhancements to the supply/demand balance (dry year critical / peak conditions) - Abstraction licences</v>
      </c>
      <c r="D1590" t="str">
        <f>'4L'!E15</f>
        <v>£m</v>
      </c>
      <c r="E1590" s="2" t="s">
        <v>9</v>
      </c>
      <c r="F1590" s="1634"/>
      <c r="G1590" s="1635">
        <f>'4L'!G15</f>
        <v>0</v>
      </c>
      <c r="H1590" s="1636"/>
    </row>
    <row r="1591" spans="1:8">
      <c r="A1591" s="1620" t="str">
        <f>INDEX(Lists!$C$4:$C$24,MATCH(Validation!$B$3,Lists!$B$4:$B$24,0))</f>
        <v>TMS</v>
      </c>
      <c r="B1591" s="1732" t="str">
        <f>'4L'!BB16</f>
        <v>W3008DWR</v>
      </c>
      <c r="C1591" s="1732" t="str">
        <f>+'4L'!$C16&amp;" - "&amp;'4L'!G$5</f>
        <v>Demand side enhancements to the supply/demand balance (dry year annual average conditions) - Abstraction licences</v>
      </c>
      <c r="D1591" t="str">
        <f>'4L'!E16</f>
        <v>£m</v>
      </c>
      <c r="E1591" s="2" t="s">
        <v>9</v>
      </c>
      <c r="F1591" s="1634"/>
      <c r="G1591" s="1635">
        <f>'4L'!G16</f>
        <v>0</v>
      </c>
      <c r="H1591" s="1636"/>
    </row>
    <row r="1592" spans="1:8">
      <c r="A1592" s="1620" t="str">
        <f>INDEX(Lists!$C$4:$C$24,MATCH(Validation!$B$3,Lists!$B$4:$B$24,0))</f>
        <v>TMS</v>
      </c>
      <c r="B1592" s="1732" t="str">
        <f>'4L'!BB17</f>
        <v>W3009WR</v>
      </c>
      <c r="C1592" s="1732" t="str">
        <f>+'4L'!$C17&amp;" - "&amp;'4L'!G$5</f>
        <v>New developments - Abstraction licences</v>
      </c>
      <c r="D1592" t="str">
        <f>'4L'!E17</f>
        <v>£m</v>
      </c>
      <c r="E1592" s="2" t="s">
        <v>9</v>
      </c>
      <c r="F1592" s="1634"/>
      <c r="G1592" s="1635">
        <f>'4L'!G17</f>
        <v>0</v>
      </c>
      <c r="H1592" s="1636"/>
    </row>
    <row r="1593" spans="1:8">
      <c r="A1593" s="1620" t="str">
        <f>INDEX(Lists!$C$4:$C$24,MATCH(Validation!$B$3,Lists!$B$4:$B$24,0))</f>
        <v>TMS</v>
      </c>
      <c r="B1593" s="1732" t="str">
        <f>'4L'!BB18</f>
        <v>WS2004WR</v>
      </c>
      <c r="C1593" s="1732" t="str">
        <f>+'4L'!$C18&amp;" - "&amp;'4L'!G$5</f>
        <v>New connections element of new development (CPs, meters) - Abstraction licences</v>
      </c>
      <c r="D1593" t="str">
        <f>'4L'!E18</f>
        <v>£m</v>
      </c>
      <c r="E1593" s="2" t="s">
        <v>9</v>
      </c>
      <c r="F1593" s="1634"/>
      <c r="G1593" s="1635">
        <f>'4L'!G18</f>
        <v>0</v>
      </c>
      <c r="H1593" s="1636"/>
    </row>
    <row r="1594" spans="1:8">
      <c r="A1594" s="1620" t="str">
        <f>INDEX(Lists!$C$4:$C$24,MATCH(Validation!$B$3,Lists!$B$4:$B$24,0))</f>
        <v>TMS</v>
      </c>
      <c r="B1594" s="1732" t="str">
        <f>'4L'!BB19</f>
        <v>W3010WR</v>
      </c>
      <c r="C1594" s="1732" t="str">
        <f>+'4L'!$C19&amp;" - "&amp;'4L'!G$5</f>
        <v>Investment to address raw water deterioration (THM, nitrates, Crypto, pesticides, others) - Abstraction licences</v>
      </c>
      <c r="D1594" t="str">
        <f>'4L'!E19</f>
        <v>£m</v>
      </c>
      <c r="E1594" s="2" t="s">
        <v>9</v>
      </c>
      <c r="F1594" s="1634"/>
      <c r="G1594" s="1635">
        <f>'4L'!G19</f>
        <v>0</v>
      </c>
      <c r="H1594" s="1636"/>
    </row>
    <row r="1595" spans="1:8">
      <c r="A1595" s="1620" t="str">
        <f>INDEX(Lists!$C$4:$C$24,MATCH(Validation!$B$3,Lists!$B$4:$B$24,0))</f>
        <v>TMS</v>
      </c>
      <c r="B1595" s="1732" t="str">
        <f>'4L'!BB20</f>
        <v>W3011WR</v>
      </c>
      <c r="C1595" s="1732" t="str">
        <f>+'4L'!$C20&amp;" - "&amp;'4L'!G$5</f>
        <v>Resilience - Abstraction licences</v>
      </c>
      <c r="D1595" t="str">
        <f>'4L'!E20</f>
        <v>£m</v>
      </c>
      <c r="E1595" s="2" t="s">
        <v>9</v>
      </c>
      <c r="F1595" s="1634"/>
      <c r="G1595" s="1635">
        <f>'4L'!G20</f>
        <v>0</v>
      </c>
      <c r="H1595" s="1636"/>
    </row>
    <row r="1596" spans="1:8">
      <c r="A1596" s="1620" t="str">
        <f>INDEX(Lists!$C$4:$C$24,MATCH(Validation!$B$3,Lists!$B$4:$B$24,0))</f>
        <v>TMS</v>
      </c>
      <c r="B1596" s="1732" t="str">
        <f>'4L'!BB21</f>
        <v>W3012WR</v>
      </c>
      <c r="C1596" s="1732" t="str">
        <f>+'4L'!$C21&amp;" - "&amp;'4L'!G$5</f>
        <v>SEMD - Abstraction licences</v>
      </c>
      <c r="D1596" t="str">
        <f>'4L'!E21</f>
        <v>£m</v>
      </c>
      <c r="E1596" s="2" t="s">
        <v>9</v>
      </c>
      <c r="F1596" s="1634"/>
      <c r="G1596" s="1635">
        <f>'4L'!G21</f>
        <v>0</v>
      </c>
      <c r="H1596" s="1636"/>
    </row>
    <row r="1597" spans="1:8">
      <c r="A1597" s="1620" t="str">
        <f>INDEX(Lists!$C$4:$C$24,MATCH(Validation!$B$3,Lists!$B$4:$B$24,0))</f>
        <v>TMS</v>
      </c>
      <c r="B1597" s="1732" t="str">
        <f>'4L'!BB22</f>
        <v>WS2008WR</v>
      </c>
      <c r="C1597" s="1732" t="str">
        <f>+'4L'!$C22&amp;" - "&amp;'4L'!G$5</f>
        <v>NEP - Investigations - Abstraction licences</v>
      </c>
      <c r="D1597" t="str">
        <f>'4L'!E22</f>
        <v>£m</v>
      </c>
      <c r="E1597" s="2" t="s">
        <v>9</v>
      </c>
      <c r="F1597" s="1634"/>
      <c r="G1597" s="1635">
        <f>'4L'!G22</f>
        <v>0</v>
      </c>
      <c r="H1597" s="1636"/>
    </row>
    <row r="1598" spans="1:8">
      <c r="A1598" s="1620" t="str">
        <f>INDEX(Lists!$C$4:$C$24,MATCH(Validation!$B$3,Lists!$B$4:$B$24,0))</f>
        <v>TMS</v>
      </c>
      <c r="B1598" s="1732" t="str">
        <f>'4L'!BB23</f>
        <v>W3027WR</v>
      </c>
      <c r="C1598" s="1732" t="str">
        <f>+'4L'!$C23&amp;" - "&amp;'4L'!G$5</f>
        <v>Improvements to river flows - Abstraction licences</v>
      </c>
      <c r="D1598" t="str">
        <f>'4L'!E23</f>
        <v>£m</v>
      </c>
      <c r="E1598" s="2" t="s">
        <v>9</v>
      </c>
      <c r="F1598" s="1634"/>
      <c r="G1598" s="1635">
        <f>'4L'!G23</f>
        <v>0</v>
      </c>
      <c r="H1598" s="1636"/>
    </row>
    <row r="1599" spans="1:8">
      <c r="A1599" s="1620" t="str">
        <f>INDEX(Lists!$C$4:$C$24,MATCH(Validation!$B$3,Lists!$B$4:$B$24,0))</f>
        <v>TMS</v>
      </c>
      <c r="B1599" s="1732" t="str">
        <f>'4L'!BB24</f>
        <v>W3028OPTWR</v>
      </c>
      <c r="C1599" s="1732" t="str">
        <f>+'4L'!$C24&amp;" - "&amp;'4L'!G$5</f>
        <v>Metering (excluding cost of providing metering to new service connections) - meters requested by optants - Abstraction licences</v>
      </c>
      <c r="D1599" t="str">
        <f>'4L'!E24</f>
        <v>£m</v>
      </c>
      <c r="E1599" s="2" t="s">
        <v>9</v>
      </c>
      <c r="F1599" s="1634"/>
      <c r="G1599" s="1635">
        <f>'4L'!G24</f>
        <v>0</v>
      </c>
      <c r="H1599" s="1636"/>
    </row>
    <row r="1600" spans="1:8">
      <c r="A1600" s="1620" t="str">
        <f>INDEX(Lists!$C$4:$C$24,MATCH(Validation!$B$3,Lists!$B$4:$B$24,0))</f>
        <v>TMS</v>
      </c>
      <c r="B1600" s="1732" t="str">
        <f>'4L'!BB25</f>
        <v>W3028COMWR</v>
      </c>
      <c r="C1600" s="1732" t="str">
        <f>+'4L'!$C25&amp;" - "&amp;'4L'!G$5</f>
        <v>Metering (excluding cost of providing metering to new service connections)- meters introduced by companies - Abstraction licences</v>
      </c>
      <c r="D1600" t="str">
        <f>'4L'!E25</f>
        <v>£m</v>
      </c>
      <c r="E1600" s="2" t="s">
        <v>9</v>
      </c>
      <c r="F1600" s="1634"/>
      <c r="G1600" s="1635">
        <f>'4L'!G25</f>
        <v>0</v>
      </c>
      <c r="H1600" s="1636"/>
    </row>
    <row r="1601" spans="1:8">
      <c r="A1601" s="1620" t="str">
        <f>INDEX(Lists!$C$4:$C$24,MATCH(Validation!$B$3,Lists!$B$4:$B$24,0))</f>
        <v>TMS</v>
      </c>
      <c r="B1601" s="1732" t="str">
        <f>'4L'!BB26</f>
        <v>W3028NHOWR</v>
      </c>
      <c r="C1601" s="1732" t="str">
        <f>+'4L'!$C26&amp;" - "&amp;'4L'!G$5</f>
        <v>Metering (excluding cost of providing metering to new service connections) - other - Abstraction licences</v>
      </c>
      <c r="D1601" t="str">
        <f>'4L'!E26</f>
        <v>£m</v>
      </c>
      <c r="E1601" s="2" t="s">
        <v>9</v>
      </c>
      <c r="F1601" s="1634"/>
      <c r="G1601" s="1635">
        <f>'4L'!G26</f>
        <v>0</v>
      </c>
      <c r="H1601" s="1636"/>
    </row>
    <row r="1602" spans="1:8">
      <c r="A1602" s="1620" t="str">
        <f>INDEX(Lists!$C$4:$C$24,MATCH(Validation!$B$3,Lists!$B$4:$B$24,0))</f>
        <v>TMS</v>
      </c>
      <c r="B1602" s="1732" t="str">
        <f>'4L'!BB27</f>
        <v>W3A00001WR</v>
      </c>
      <c r="C1602" s="1732" t="str">
        <f>"Capital expenditure purpose - WATER additional line 1 [Other categories] - "&amp;'4L'!$G$5</f>
        <v>Capital expenditure purpose - WATER additional line 1 [Other categories] - Abstraction licences</v>
      </c>
      <c r="D1602" t="str">
        <f>'4L'!E27</f>
        <v>£m</v>
      </c>
      <c r="E1602" s="2" t="s">
        <v>9</v>
      </c>
      <c r="F1602" s="1634" t="str">
        <f>IF(OR(ISBLANK('4L'!$C27), '4L'!$C27= "Capital expenditure purpose - WATER additional line 1 [Other categories]"),"##BLANK", '4L'!$C27)</f>
        <v>NEP - Flow monitoring at water treatment works</v>
      </c>
      <c r="G1602" s="1635">
        <f>IF(ISBLANK('4L'!G27), "##BLANK", '4L'!G27)</f>
        <v>0</v>
      </c>
      <c r="H1602" s="1636"/>
    </row>
    <row r="1603" spans="1:8">
      <c r="A1603" s="1620" t="str">
        <f>INDEX(Lists!$C$4:$C$24,MATCH(Validation!$B$3,Lists!$B$4:$B$24,0))</f>
        <v>TMS</v>
      </c>
      <c r="B1603" s="1732" t="str">
        <f>'4L'!BB28</f>
        <v>W3A00002WR</v>
      </c>
      <c r="C1603" s="1732" t="str">
        <f>"Capital expenditure purpose - WATER additional line 2 [Other categories] - "&amp;'4L'!$G$5</f>
        <v>Capital expenditure purpose - WATER additional line 2 [Other categories] - Abstraction licences</v>
      </c>
      <c r="D1603" t="str">
        <f>'4L'!E28</f>
        <v>£m</v>
      </c>
      <c r="E1603" s="2" t="s">
        <v>9</v>
      </c>
      <c r="F1603" s="1634" t="str">
        <f>IF(OR(ISBLANK('4L'!$C28), '4L'!$C28= "Capital expenditure purpose - WATER additional line 2 [Other categories]"),"##BLANK", '4L'!$C28)</f>
        <v>##BLANK</v>
      </c>
      <c r="G1603" s="1635" t="str">
        <f>IF(ISBLANK('4L'!G28), "##BLANK", '4L'!G28)</f>
        <v>##BLANK</v>
      </c>
      <c r="H1603" s="1636"/>
    </row>
    <row r="1604" spans="1:8">
      <c r="A1604" s="1620" t="str">
        <f>INDEX(Lists!$C$4:$C$24,MATCH(Validation!$B$3,Lists!$B$4:$B$24,0))</f>
        <v>TMS</v>
      </c>
      <c r="B1604" s="1732" t="str">
        <f>'4L'!BB29</f>
        <v>W3A00003WR</v>
      </c>
      <c r="C1604" s="1732" t="str">
        <f>"Capital expenditure purpose - WATER additional line 3 [Other categories] - "&amp;'4L'!$G$5</f>
        <v>Capital expenditure purpose - WATER additional line 3 [Other categories] - Abstraction licences</v>
      </c>
      <c r="D1604" t="str">
        <f>'4L'!E29</f>
        <v>£m</v>
      </c>
      <c r="E1604" s="2" t="s">
        <v>9</v>
      </c>
      <c r="F1604" s="1634" t="str">
        <f>IF(OR(ISBLANK('4L'!$C29), '4L'!$C29= "Capital expenditure purpose - WATER additional line 3 [Other categories]"),"##BLANK", '4L'!$C29)</f>
        <v>##BLANK</v>
      </c>
      <c r="G1604" s="1635" t="str">
        <f>IF(ISBLANK('4L'!G29), "##BLANK", '4L'!G29)</f>
        <v>##BLANK</v>
      </c>
      <c r="H1604" s="1636"/>
    </row>
    <row r="1605" spans="1:8">
      <c r="A1605" s="1620" t="str">
        <f>INDEX(Lists!$C$4:$C$24,MATCH(Validation!$B$3,Lists!$B$4:$B$24,0))</f>
        <v>TMS</v>
      </c>
      <c r="B1605" s="1732" t="str">
        <f>'4L'!BB30</f>
        <v>W3A00004WR</v>
      </c>
      <c r="C1605" s="1732" t="str">
        <f>"Capital expenditure purpose - WATER additional line 4 [Other categories] - "&amp;'4L'!$G$5</f>
        <v>Capital expenditure purpose - WATER additional line 4 [Other categories] - Abstraction licences</v>
      </c>
      <c r="D1605" t="str">
        <f>'4L'!E30</f>
        <v>£m</v>
      </c>
      <c r="E1605" s="2" t="s">
        <v>9</v>
      </c>
      <c r="F1605" s="1634" t="str">
        <f>IF(OR(ISBLANK('4L'!$C30), '4L'!$C30= "Capital expenditure purpose - WATER additional line 4 [Other categories]"),"##BLANK", '4L'!$C30)</f>
        <v>##BLANK</v>
      </c>
      <c r="G1605" s="1635" t="str">
        <f>IF(ISBLANK('4L'!G30), "##BLANK", '4L'!G30)</f>
        <v>##BLANK</v>
      </c>
      <c r="H1605" s="1636"/>
    </row>
    <row r="1606" spans="1:8">
      <c r="A1606" s="1620" t="str">
        <f>INDEX(Lists!$C$4:$C$24,MATCH(Validation!$B$3,Lists!$B$4:$B$24,0))</f>
        <v>TMS</v>
      </c>
      <c r="B1606" s="1732" t="str">
        <f>'4L'!BB31</f>
        <v>W3A00005WR</v>
      </c>
      <c r="C1606" s="1732" t="str">
        <f>"Capital expenditure purpose - WATER additional line 5 [Other categories] - "&amp;'4L'!$G$5</f>
        <v>Capital expenditure purpose - WATER additional line 5 [Other categories] - Abstraction licences</v>
      </c>
      <c r="D1606" t="str">
        <f>'4L'!E31</f>
        <v>£m</v>
      </c>
      <c r="E1606" s="2" t="s">
        <v>9</v>
      </c>
      <c r="F1606" s="1634" t="str">
        <f>IF(OR(ISBLANK('4L'!$C31), '4L'!$C31= "Capital expenditure purpose - WATER additional line 5 [Other categories]"),"##BLANK", '4L'!$C31)</f>
        <v>##BLANK</v>
      </c>
      <c r="G1606" s="1635" t="str">
        <f>IF(ISBLANK('4L'!G31), "##BLANK", '4L'!G31)</f>
        <v>##BLANK</v>
      </c>
      <c r="H1606" s="1636"/>
    </row>
    <row r="1607" spans="1:8">
      <c r="A1607" s="1620" t="str">
        <f>INDEX(Lists!$C$4:$C$24,MATCH(Validation!$B$3,Lists!$B$4:$B$24,0))</f>
        <v>TMS</v>
      </c>
      <c r="B1607" s="1732" t="str">
        <f>'4L'!BB32</f>
        <v>W3A00006WR</v>
      </c>
      <c r="C1607" s="1732" t="str">
        <f>"Capital expenditure purpose - WATER additional line 6 [Other categories] - "&amp;'4L'!$G$5</f>
        <v>Capital expenditure purpose - WATER additional line 6 [Other categories] - Abstraction licences</v>
      </c>
      <c r="D1607" t="str">
        <f>'4L'!E32</f>
        <v>£m</v>
      </c>
      <c r="E1607" s="2" t="s">
        <v>9</v>
      </c>
      <c r="F1607" s="1634" t="str">
        <f>IF(OR(ISBLANK('4L'!$C32), '4L'!$C32= "Capital expenditure purpose - WATER additional line 6 [Other categories]"),"##BLANK", '4L'!$C32)</f>
        <v>##BLANK</v>
      </c>
      <c r="G1607" s="1635" t="str">
        <f>IF(ISBLANK('4L'!G32), "##BLANK", '4L'!G32)</f>
        <v>##BLANK</v>
      </c>
      <c r="H1607" s="1636"/>
    </row>
    <row r="1608" spans="1:8">
      <c r="A1608" s="1620" t="str">
        <f>INDEX(Lists!$C$4:$C$24,MATCH(Validation!$B$3,Lists!$B$4:$B$24,0))</f>
        <v>TMS</v>
      </c>
      <c r="B1608" s="1732" t="str">
        <f>'4L'!BB33</f>
        <v>W3A00007WR</v>
      </c>
      <c r="C1608" s="1732" t="str">
        <f>"Capital expenditure purpose - WATER additional line 7 [Other categories] - "&amp;'4L'!$G$5</f>
        <v>Capital expenditure purpose - WATER additional line 7 [Other categories] - Abstraction licences</v>
      </c>
      <c r="D1608" t="str">
        <f>'4L'!E33</f>
        <v>£m</v>
      </c>
      <c r="E1608" s="2" t="s">
        <v>9</v>
      </c>
      <c r="F1608" s="1634" t="str">
        <f>IF(OR(ISBLANK('4L'!$C33), '4L'!$C33= "Capital expenditure purpose - WATER additional line 7 [Other categories]"),"##BLANK", '4L'!$C33)</f>
        <v>##BLANK</v>
      </c>
      <c r="G1608" s="1635" t="str">
        <f>IF(ISBLANK('4L'!G33), "##BLANK", '4L'!G33)</f>
        <v>##BLANK</v>
      </c>
      <c r="H1608" s="1636"/>
    </row>
    <row r="1609" spans="1:8">
      <c r="A1609" s="1620" t="str">
        <f>INDEX(Lists!$C$4:$C$24,MATCH(Validation!$B$3,Lists!$B$4:$B$24,0))</f>
        <v>TMS</v>
      </c>
      <c r="B1609" s="1732" t="str">
        <f>'4L'!BB34</f>
        <v>W3A00008WR</v>
      </c>
      <c r="C1609" s="1732" t="str">
        <f>"Capital expenditure purpose - WATER additional line 8 [Other categories] - "&amp;'4L'!$G$5</f>
        <v>Capital expenditure purpose - WATER additional line 8 [Other categories] - Abstraction licences</v>
      </c>
      <c r="D1609" t="str">
        <f>'4L'!E34</f>
        <v>£m</v>
      </c>
      <c r="E1609" s="2" t="s">
        <v>9</v>
      </c>
      <c r="F1609" s="1634" t="str">
        <f>IF(OR(ISBLANK('4L'!$C34), '4L'!$C34= "Capital expenditure purpose - WATER additional line 8 [Other categories]"),"##BLANK", '4L'!$C34)</f>
        <v>##BLANK</v>
      </c>
      <c r="G1609" s="1635" t="str">
        <f>IF(ISBLANK('4L'!G34), "##BLANK", '4L'!G34)</f>
        <v>##BLANK</v>
      </c>
      <c r="H1609" s="1636"/>
    </row>
    <row r="1610" spans="1:8">
      <c r="A1610" s="1620" t="str">
        <f>INDEX(Lists!$C$4:$C$24,MATCH(Validation!$B$3,Lists!$B$4:$B$24,0))</f>
        <v>TMS</v>
      </c>
      <c r="B1610" s="1732" t="str">
        <f>'4L'!BB35</f>
        <v>W3A00009WR</v>
      </c>
      <c r="C1610" s="1732" t="str">
        <f>"Capital expenditure purpose - WATER additional line 9 [Other categories] - "&amp;'4L'!$G$5</f>
        <v>Capital expenditure purpose - WATER additional line 9 [Other categories] - Abstraction licences</v>
      </c>
      <c r="D1610" t="str">
        <f>'4L'!E35</f>
        <v>£m</v>
      </c>
      <c r="E1610" s="2" t="s">
        <v>9</v>
      </c>
      <c r="F1610" s="1634" t="str">
        <f>IF(OR(ISBLANK('4L'!$C35), '4L'!$C35= "Capital expenditure purpose - WATER additional line 9 [Other categories]"),"##BLANK", '4L'!$C35)</f>
        <v>##BLANK</v>
      </c>
      <c r="G1610" s="1635" t="str">
        <f>IF(ISBLANK('4L'!G35), "##BLANK", '4L'!G35)</f>
        <v>##BLANK</v>
      </c>
      <c r="H1610" s="1636"/>
    </row>
    <row r="1611" spans="1:8">
      <c r="A1611" s="1620" t="str">
        <f>INDEX(Lists!$C$4:$C$24,MATCH(Validation!$B$3,Lists!$B$4:$B$24,0))</f>
        <v>TMS</v>
      </c>
      <c r="B1611" s="1732" t="str">
        <f>'4L'!BB36</f>
        <v>W3A00010WR</v>
      </c>
      <c r="C1611" s="1732" t="str">
        <f>"Capital expenditure purpose - WATER additional line 10 [Other categories] - "&amp;'4L'!$G$5</f>
        <v>Capital expenditure purpose - WATER additional line 10 [Other categories] - Abstraction licences</v>
      </c>
      <c r="D1611" t="str">
        <f>'4L'!E36</f>
        <v>£m</v>
      </c>
      <c r="E1611" s="2" t="s">
        <v>9</v>
      </c>
      <c r="F1611" s="1634" t="str">
        <f>IF(OR(ISBLANK('4L'!$C36), '4L'!$C36= "Capital expenditure purpose - WATER additional line 10 [Other categories]"),"##BLANK", '4L'!$C36)</f>
        <v>##BLANK</v>
      </c>
      <c r="G1611" s="1635" t="str">
        <f>IF(ISBLANK('4L'!G36), "##BLANK", '4L'!G36)</f>
        <v>##BLANK</v>
      </c>
      <c r="H1611" s="1636"/>
    </row>
    <row r="1612" spans="1:8">
      <c r="A1612" s="1620" t="str">
        <f>INDEX(Lists!$C$4:$C$24,MATCH(Validation!$B$3,Lists!$B$4:$B$24,0))</f>
        <v>TMS</v>
      </c>
      <c r="B1612" s="1732" t="str">
        <f>'4L'!BB37</f>
        <v>W3A00011WR</v>
      </c>
      <c r="C1612" s="1732" t="str">
        <f>"Capital expenditure purpose - WATER additional line 11 [Other categories] - "&amp;'4L'!$G$5</f>
        <v>Capital expenditure purpose - WATER additional line 11 [Other categories] - Abstraction licences</v>
      </c>
      <c r="D1612" t="str">
        <f>'4L'!E37</f>
        <v>£m</v>
      </c>
      <c r="E1612" s="2" t="s">
        <v>9</v>
      </c>
      <c r="F1612" s="1634" t="str">
        <f>IF(OR(ISBLANK('4L'!$C37), '4L'!$C37= "Capital expenditure purpose - WATER additional line 11 [Other categories]"),"##BLANK", '4L'!$C37)</f>
        <v>##BLANK</v>
      </c>
      <c r="G1612" s="1635" t="str">
        <f>IF(ISBLANK('4L'!G37), "##BLANK", '4L'!G37)</f>
        <v>##BLANK</v>
      </c>
      <c r="H1612" s="1636"/>
    </row>
    <row r="1613" spans="1:8">
      <c r="A1613" s="1620" t="str">
        <f>INDEX(Lists!$C$4:$C$24,MATCH(Validation!$B$3,Lists!$B$4:$B$24,0))</f>
        <v>TMS</v>
      </c>
      <c r="B1613" s="1732" t="str">
        <f>'4L'!BB38</f>
        <v>W3A00012WR</v>
      </c>
      <c r="C1613" s="1732" t="str">
        <f>"Capital expenditure purpose - WATER additional line 12 [Other categories] - "&amp;'4L'!$G$5</f>
        <v>Capital expenditure purpose - WATER additional line 12 [Other categories] - Abstraction licences</v>
      </c>
      <c r="D1613" t="str">
        <f>'4L'!E38</f>
        <v>£m</v>
      </c>
      <c r="E1613" s="2" t="s">
        <v>9</v>
      </c>
      <c r="F1613" s="1634" t="str">
        <f>IF(OR(ISBLANK('4L'!$C38), '4L'!$C38= "Capital expenditure purpose - WATER additional line 12 [Other categories]"),"##BLANK", '4L'!$C38)</f>
        <v>##BLANK</v>
      </c>
      <c r="G1613" s="1635" t="str">
        <f>IF(ISBLANK('4L'!G38), "##BLANK", '4L'!G38)</f>
        <v>##BLANK</v>
      </c>
      <c r="H1613" s="1636"/>
    </row>
    <row r="1614" spans="1:8">
      <c r="A1614" s="1620" t="str">
        <f>INDEX(Lists!$C$4:$C$24,MATCH(Validation!$B$3,Lists!$B$4:$B$24,0))</f>
        <v>TMS</v>
      </c>
      <c r="B1614" s="1732" t="str">
        <f>'4L'!BB39</f>
        <v>W3A00013WR</v>
      </c>
      <c r="C1614" s="1732" t="str">
        <f>"Capital expenditure purpose - WATER additional line 13 [Other categories] - "&amp;'4L'!$G$5</f>
        <v>Capital expenditure purpose - WATER additional line 13 [Other categories] - Abstraction licences</v>
      </c>
      <c r="D1614" t="str">
        <f>'4L'!E39</f>
        <v>£m</v>
      </c>
      <c r="E1614" s="2" t="s">
        <v>9</v>
      </c>
      <c r="F1614" s="1634" t="str">
        <f>IF(OR(ISBLANK('4L'!$C39), '4L'!$C39= "Capital expenditure purpose - WATER additional line 13 [Other categories]"),"##BLANK", '4L'!$C39)</f>
        <v>##BLANK</v>
      </c>
      <c r="G1614" s="1635" t="str">
        <f>IF(ISBLANK('4L'!G39), "##BLANK", '4L'!G39)</f>
        <v>##BLANK</v>
      </c>
      <c r="H1614" s="1636"/>
    </row>
    <row r="1615" spans="1:8">
      <c r="A1615" s="1620" t="str">
        <f>INDEX(Lists!$C$4:$C$24,MATCH(Validation!$B$3,Lists!$B$4:$B$24,0))</f>
        <v>TMS</v>
      </c>
      <c r="B1615" s="1732" t="str">
        <f>'4L'!BB40</f>
        <v>W3A00014WR</v>
      </c>
      <c r="C1615" s="1732" t="str">
        <f>"Capital expenditure purpose - WATER additional line 14 [Other categories] - "&amp;'4L'!$G$5</f>
        <v>Capital expenditure purpose - WATER additional line 14 [Other categories] - Abstraction licences</v>
      </c>
      <c r="D1615" t="str">
        <f>'4L'!E40</f>
        <v>£m</v>
      </c>
      <c r="E1615" s="2" t="s">
        <v>9</v>
      </c>
      <c r="F1615" s="1634" t="str">
        <f>IF(OR(ISBLANK('4L'!$C40), '4L'!$C40= "Capital expenditure purpose - WATER additional line 14 [Other categories]"),"##BLANK", '4L'!$C40)</f>
        <v>##BLANK</v>
      </c>
      <c r="G1615" s="1635" t="str">
        <f>IF(ISBLANK('4L'!G40), "##BLANK", '4L'!G40)</f>
        <v>##BLANK</v>
      </c>
      <c r="H1615" s="1636"/>
    </row>
    <row r="1616" spans="1:8">
      <c r="A1616" s="1730" t="str">
        <f>INDEX(Lists!$C$4:$C$24,MATCH(Validation!$B$3,Lists!$B$4:$B$24,0))</f>
        <v>TMS</v>
      </c>
      <c r="B1616" s="1734" t="str">
        <f>'4L'!BB41</f>
        <v>W3A00015WR</v>
      </c>
      <c r="C1616" s="1734" t="str">
        <f>"Capital expenditure purpose - WATER additional line 15 [Other categories] - "&amp;'4L'!$G$5</f>
        <v>Capital expenditure purpose - WATER additional line 15 [Other categories] - Abstraction licences</v>
      </c>
      <c r="D1616" s="1819" t="str">
        <f>'4L'!E41</f>
        <v>£m</v>
      </c>
      <c r="E1616" s="1651" t="s">
        <v>9</v>
      </c>
      <c r="F1616" s="1637" t="str">
        <f>IF(OR(ISBLANK('4L'!$C41), '4L'!$C41= "Capital expenditure purpose - WATER additional line 15 [Other categories]"),"##BLANK", '4L'!$C41)</f>
        <v>##BLANK</v>
      </c>
      <c r="G1616" s="1653" t="str">
        <f>IF(ISBLANK('4L'!G41), "##BLANK", '4L'!G41)</f>
        <v>##BLANK</v>
      </c>
      <c r="H1616" s="1652"/>
    </row>
    <row r="1617" spans="1:8">
      <c r="A1617" s="1620" t="str">
        <f>INDEX(Lists!$C$4:$C$24,MATCH(Validation!$B$3,Lists!$B$4:$B$24,0))</f>
        <v>TMS</v>
      </c>
      <c r="B1617" s="1732" t="str">
        <f>'4L'!BC8</f>
        <v>W3001RWA</v>
      </c>
      <c r="C1617" s="1732" t="str">
        <f>+'4L'!$C8&amp;" - "&amp;'4L'!H$5</f>
        <v>NEP - Making ecological improvements at abstractions (Habitats Directive, SSSI, NERC, BAPs) - Raw water abstraction</v>
      </c>
      <c r="D1617" t="str">
        <f t="shared" ref="D1617:D1680" si="19">D1583</f>
        <v>£m</v>
      </c>
      <c r="E1617" s="2" t="s">
        <v>9</v>
      </c>
      <c r="F1617" s="1634"/>
      <c r="G1617" s="1635">
        <f>'4L'!H8</f>
        <v>-0.60016840958039386</v>
      </c>
      <c r="H1617" s="1636"/>
    </row>
    <row r="1618" spans="1:8">
      <c r="A1618" s="1620" t="str">
        <f>INDEX(Lists!$C$4:$C$24,MATCH(Validation!$B$3,Lists!$B$4:$B$24,0))</f>
        <v>TMS</v>
      </c>
      <c r="B1618" s="1732" t="str">
        <f>'4L'!BC9</f>
        <v>WS2002RWA</v>
      </c>
      <c r="C1618" s="1732" t="str">
        <f>+'4L'!$C9&amp;" - "&amp;'4L'!H$5</f>
        <v>NEP - Eels Regulations (measures at intakes) - Raw water abstraction</v>
      </c>
      <c r="D1618" t="str">
        <f t="shared" si="19"/>
        <v>£m</v>
      </c>
      <c r="E1618" s="2" t="s">
        <v>9</v>
      </c>
      <c r="F1618" s="1634"/>
      <c r="G1618" s="1635">
        <f>'4L'!H9</f>
        <v>-0.49401699929612125</v>
      </c>
      <c r="H1618" s="1636"/>
    </row>
    <row r="1619" spans="1:8">
      <c r="A1619" s="1620" t="str">
        <f>INDEX(Lists!$C$4:$C$24,MATCH(Validation!$B$3,Lists!$B$4:$B$24,0))</f>
        <v>TMS</v>
      </c>
      <c r="B1619" s="1732" t="str">
        <f>'4L'!BC10</f>
        <v>W3002RWA</v>
      </c>
      <c r="C1619" s="1732" t="str">
        <f>+'4L'!$C10&amp;" - "&amp;'4L'!H$5</f>
        <v>Addressing low pressure - Raw water abstraction</v>
      </c>
      <c r="D1619" t="str">
        <f t="shared" si="19"/>
        <v>£m</v>
      </c>
      <c r="E1619" s="2" t="s">
        <v>9</v>
      </c>
      <c r="F1619" s="1634"/>
      <c r="G1619" s="1635">
        <f>'4L'!H10</f>
        <v>0</v>
      </c>
      <c r="H1619" s="1636"/>
    </row>
    <row r="1620" spans="1:8">
      <c r="A1620" s="1620" t="str">
        <f>INDEX(Lists!$C$4:$C$24,MATCH(Validation!$B$3,Lists!$B$4:$B$24,0))</f>
        <v>TMS</v>
      </c>
      <c r="B1620" s="1732" t="str">
        <f>'4L'!BC11</f>
        <v>W3003RWA</v>
      </c>
      <c r="C1620" s="1732" t="str">
        <f>+'4L'!$C11&amp;" - "&amp;'4L'!H$5</f>
        <v>Improving taste / odour / colour - Raw water abstraction</v>
      </c>
      <c r="D1620" t="str">
        <f t="shared" si="19"/>
        <v>£m</v>
      </c>
      <c r="E1620" s="2" t="s">
        <v>9</v>
      </c>
      <c r="F1620" s="1634"/>
      <c r="G1620" s="1635">
        <f>'4L'!H11</f>
        <v>0</v>
      </c>
      <c r="H1620" s="1636"/>
    </row>
    <row r="1621" spans="1:8">
      <c r="A1621" s="1620" t="str">
        <f>INDEX(Lists!$C$4:$C$24,MATCH(Validation!$B$3,Lists!$B$4:$B$24,0))</f>
        <v>TMS</v>
      </c>
      <c r="B1621" s="1732" t="str">
        <f>'4L'!BC12</f>
        <v>W3006RWA</v>
      </c>
      <c r="C1621" s="1732" t="str">
        <f>+'4L'!$C12&amp;" - "&amp;'4L'!H$5</f>
        <v>Meeting lead standards - Raw water abstraction</v>
      </c>
      <c r="D1621" t="str">
        <f t="shared" si="19"/>
        <v>£m</v>
      </c>
      <c r="E1621" s="2" t="s">
        <v>9</v>
      </c>
      <c r="F1621" s="1634"/>
      <c r="G1621" s="1635">
        <f>'4L'!H12</f>
        <v>0</v>
      </c>
      <c r="H1621" s="1636"/>
    </row>
    <row r="1622" spans="1:8">
      <c r="A1622" s="1620" t="str">
        <f>INDEX(Lists!$C$4:$C$24,MATCH(Validation!$B$3,Lists!$B$4:$B$24,0))</f>
        <v>TMS</v>
      </c>
      <c r="B1622" s="1732" t="str">
        <f>'4L'!BC13</f>
        <v>W3007SRWA</v>
      </c>
      <c r="C1622" s="1732" t="str">
        <f>+'4L'!$C13&amp;" - "&amp;'4L'!H$5</f>
        <v>Supply side enhancements to the supply/demand balance (dry year critical / peak conditions) - Raw water abstraction</v>
      </c>
      <c r="D1622" t="str">
        <f t="shared" si="19"/>
        <v>£m</v>
      </c>
      <c r="E1622" s="2" t="s">
        <v>9</v>
      </c>
      <c r="F1622" s="1634"/>
      <c r="G1622" s="1635">
        <f>'4L'!H13</f>
        <v>1.5008257499579623E-2</v>
      </c>
      <c r="H1622" s="1636"/>
    </row>
    <row r="1623" spans="1:8">
      <c r="A1623" s="1620" t="str">
        <f>INDEX(Lists!$C$4:$C$24,MATCH(Validation!$B$3,Lists!$B$4:$B$24,0))</f>
        <v>TMS</v>
      </c>
      <c r="B1623" s="1732" t="str">
        <f>'4L'!BC14</f>
        <v>W3008SRWA</v>
      </c>
      <c r="C1623" s="1732" t="str">
        <f>+'4L'!$C14&amp;" - "&amp;'4L'!H$5</f>
        <v>Supply side enhancements to the supply/demand balance (dry year annual average conditions) - Raw water abstraction</v>
      </c>
      <c r="D1623" t="str">
        <f t="shared" si="19"/>
        <v>£m</v>
      </c>
      <c r="E1623" s="2" t="s">
        <v>9</v>
      </c>
      <c r="F1623" s="1634"/>
      <c r="G1623" s="1635">
        <f>'4L'!H14</f>
        <v>1.3039781536113619</v>
      </c>
      <c r="H1623" s="1636"/>
    </row>
    <row r="1624" spans="1:8">
      <c r="A1624" s="1620" t="str">
        <f>INDEX(Lists!$C$4:$C$24,MATCH(Validation!$B$3,Lists!$B$4:$B$24,0))</f>
        <v>TMS</v>
      </c>
      <c r="B1624" s="1732" t="str">
        <f>'4L'!BC15</f>
        <v>W3007DRWA</v>
      </c>
      <c r="C1624" s="1732" t="str">
        <f>+'4L'!$C15&amp;" - "&amp;'4L'!H$5</f>
        <v>Demand side enhancements to the supply/demand balance (dry year critical / peak conditions) - Raw water abstraction</v>
      </c>
      <c r="D1624" t="str">
        <f t="shared" si="19"/>
        <v>£m</v>
      </c>
      <c r="E1624" s="2" t="s">
        <v>9</v>
      </c>
      <c r="F1624" s="1634"/>
      <c r="G1624" s="1635">
        <f>'4L'!H15</f>
        <v>1.4586597799804931E-3</v>
      </c>
      <c r="H1624" s="1636"/>
    </row>
    <row r="1625" spans="1:8">
      <c r="A1625" s="1620" t="str">
        <f>INDEX(Lists!$C$4:$C$24,MATCH(Validation!$B$3,Lists!$B$4:$B$24,0))</f>
        <v>TMS</v>
      </c>
      <c r="B1625" s="1732" t="str">
        <f>'4L'!BC16</f>
        <v>W3008DRWA</v>
      </c>
      <c r="C1625" s="1732" t="str">
        <f>+'4L'!$C16&amp;" - "&amp;'4L'!H$5</f>
        <v>Demand side enhancements to the supply/demand balance (dry year annual average conditions) - Raw water abstraction</v>
      </c>
      <c r="D1625" t="str">
        <f t="shared" si="19"/>
        <v>£m</v>
      </c>
      <c r="E1625" s="2" t="s">
        <v>9</v>
      </c>
      <c r="F1625" s="1634"/>
      <c r="G1625" s="1635">
        <f>'4L'!H16</f>
        <v>0.34445884688725481</v>
      </c>
      <c r="H1625" s="1636"/>
    </row>
    <row r="1626" spans="1:8">
      <c r="A1626" s="1620" t="str">
        <f>INDEX(Lists!$C$4:$C$24,MATCH(Validation!$B$3,Lists!$B$4:$B$24,0))</f>
        <v>TMS</v>
      </c>
      <c r="B1626" s="1732" t="str">
        <f>'4L'!BC17</f>
        <v>W3009RWA</v>
      </c>
      <c r="C1626" s="1732" t="str">
        <f>+'4L'!$C17&amp;" - "&amp;'4L'!H$5</f>
        <v>New developments - Raw water abstraction</v>
      </c>
      <c r="D1626" t="str">
        <f t="shared" si="19"/>
        <v>£m</v>
      </c>
      <c r="E1626" s="2" t="s">
        <v>9</v>
      </c>
      <c r="F1626" s="1634"/>
      <c r="G1626" s="1635">
        <f>'4L'!H17</f>
        <v>0</v>
      </c>
      <c r="H1626" s="1636"/>
    </row>
    <row r="1627" spans="1:8">
      <c r="A1627" s="1620" t="str">
        <f>INDEX(Lists!$C$4:$C$24,MATCH(Validation!$B$3,Lists!$B$4:$B$24,0))</f>
        <v>TMS</v>
      </c>
      <c r="B1627" s="1732" t="str">
        <f>'4L'!BC18</f>
        <v>WS2004RWA</v>
      </c>
      <c r="C1627" s="1732" t="str">
        <f>+'4L'!$C18&amp;" - "&amp;'4L'!H$5</f>
        <v>New connections element of new development (CPs, meters) - Raw water abstraction</v>
      </c>
      <c r="D1627" t="str">
        <f t="shared" si="19"/>
        <v>£m</v>
      </c>
      <c r="E1627" s="2" t="s">
        <v>9</v>
      </c>
      <c r="F1627" s="1634"/>
      <c r="G1627" s="1635">
        <f>'4L'!H18</f>
        <v>0</v>
      </c>
      <c r="H1627" s="1636"/>
    </row>
    <row r="1628" spans="1:8">
      <c r="A1628" s="1620" t="str">
        <f>INDEX(Lists!$C$4:$C$24,MATCH(Validation!$B$3,Lists!$B$4:$B$24,0))</f>
        <v>TMS</v>
      </c>
      <c r="B1628" s="1732" t="str">
        <f>'4L'!BC19</f>
        <v>W3010RWA</v>
      </c>
      <c r="C1628" s="1732" t="str">
        <f>+'4L'!$C19&amp;" - "&amp;'4L'!H$5</f>
        <v>Investment to address raw water deterioration (THM, nitrates, Crypto, pesticides, others) - Raw water abstraction</v>
      </c>
      <c r="D1628" t="str">
        <f t="shared" si="19"/>
        <v>£m</v>
      </c>
      <c r="E1628" s="2" t="s">
        <v>9</v>
      </c>
      <c r="F1628" s="1634"/>
      <c r="G1628" s="1635">
        <f>'4L'!H19</f>
        <v>0</v>
      </c>
      <c r="H1628" s="1636"/>
    </row>
    <row r="1629" spans="1:8">
      <c r="A1629" s="1620" t="str">
        <f>INDEX(Lists!$C$4:$C$24,MATCH(Validation!$B$3,Lists!$B$4:$B$24,0))</f>
        <v>TMS</v>
      </c>
      <c r="B1629" s="1732" t="str">
        <f>'4L'!BC20</f>
        <v>W3011RWA</v>
      </c>
      <c r="C1629" s="1732" t="str">
        <f>+'4L'!$C20&amp;" - "&amp;'4L'!H$5</f>
        <v>Resilience - Raw water abstraction</v>
      </c>
      <c r="D1629" t="str">
        <f t="shared" si="19"/>
        <v>£m</v>
      </c>
      <c r="E1629" s="2" t="s">
        <v>9</v>
      </c>
      <c r="F1629" s="1634"/>
      <c r="G1629" s="1635">
        <f>'4L'!H20</f>
        <v>1.4009195678315742E-2</v>
      </c>
      <c r="H1629" s="1636"/>
    </row>
    <row r="1630" spans="1:8">
      <c r="A1630" s="1620" t="str">
        <f>INDEX(Lists!$C$4:$C$24,MATCH(Validation!$B$3,Lists!$B$4:$B$24,0))</f>
        <v>TMS</v>
      </c>
      <c r="B1630" s="1732" t="str">
        <f>'4L'!BC21</f>
        <v>W3012RWA</v>
      </c>
      <c r="C1630" s="1732" t="str">
        <f>+'4L'!$C21&amp;" - "&amp;'4L'!H$5</f>
        <v>SEMD - Raw water abstraction</v>
      </c>
      <c r="D1630" t="str">
        <f t="shared" si="19"/>
        <v>£m</v>
      </c>
      <c r="E1630" s="2" t="s">
        <v>9</v>
      </c>
      <c r="F1630" s="1634"/>
      <c r="G1630" s="1635">
        <f>'4L'!H21</f>
        <v>-1.1958815634792605E-2</v>
      </c>
      <c r="H1630" s="1636"/>
    </row>
    <row r="1631" spans="1:8">
      <c r="A1631" s="1620" t="str">
        <f>INDEX(Lists!$C$4:$C$24,MATCH(Validation!$B$3,Lists!$B$4:$B$24,0))</f>
        <v>TMS</v>
      </c>
      <c r="B1631" s="1732" t="str">
        <f>'4L'!BC22</f>
        <v>WS2008RWA</v>
      </c>
      <c r="C1631" s="1732" t="str">
        <f>+'4L'!$C22&amp;" - "&amp;'4L'!H$5</f>
        <v>NEP - Investigations - Raw water abstraction</v>
      </c>
      <c r="D1631" t="str">
        <f t="shared" si="19"/>
        <v>£m</v>
      </c>
      <c r="E1631" s="2" t="s">
        <v>9</v>
      </c>
      <c r="F1631" s="1634"/>
      <c r="G1631" s="1635">
        <f>'4L'!H22</f>
        <v>0</v>
      </c>
      <c r="H1631" s="1636"/>
    </row>
    <row r="1632" spans="1:8">
      <c r="A1632" s="1620" t="str">
        <f>INDEX(Lists!$C$4:$C$24,MATCH(Validation!$B$3,Lists!$B$4:$B$24,0))</f>
        <v>TMS</v>
      </c>
      <c r="B1632" s="1732" t="str">
        <f>'4L'!BC23</f>
        <v>W3027RWA</v>
      </c>
      <c r="C1632" s="1732" t="str">
        <f>+'4L'!$C23&amp;" - "&amp;'4L'!H$5</f>
        <v>Improvements to river flows - Raw water abstraction</v>
      </c>
      <c r="D1632" t="str">
        <f t="shared" si="19"/>
        <v>£m</v>
      </c>
      <c r="E1632" s="2" t="s">
        <v>9</v>
      </c>
      <c r="F1632" s="1634"/>
      <c r="G1632" s="1635">
        <f>'4L'!H23</f>
        <v>0</v>
      </c>
      <c r="H1632" s="1636"/>
    </row>
    <row r="1633" spans="1:8">
      <c r="A1633" s="1620" t="str">
        <f>INDEX(Lists!$C$4:$C$24,MATCH(Validation!$B$3,Lists!$B$4:$B$24,0))</f>
        <v>TMS</v>
      </c>
      <c r="B1633" s="1732" t="str">
        <f>'4L'!BC24</f>
        <v>W3028OPTRWA</v>
      </c>
      <c r="C1633" s="1732" t="str">
        <f>+'4L'!$C24&amp;" - "&amp;'4L'!H$5</f>
        <v>Metering (excluding cost of providing metering to new service connections) - meters requested by optants - Raw water abstraction</v>
      </c>
      <c r="D1633" t="str">
        <f t="shared" si="19"/>
        <v>£m</v>
      </c>
      <c r="E1633" s="2" t="s">
        <v>9</v>
      </c>
      <c r="F1633" s="1634"/>
      <c r="G1633" s="1635">
        <f>'4L'!H24</f>
        <v>0</v>
      </c>
      <c r="H1633" s="1636"/>
    </row>
    <row r="1634" spans="1:8">
      <c r="A1634" s="1620" t="str">
        <f>INDEX(Lists!$C$4:$C$24,MATCH(Validation!$B$3,Lists!$B$4:$B$24,0))</f>
        <v>TMS</v>
      </c>
      <c r="B1634" s="1732" t="str">
        <f>'4L'!BC25</f>
        <v>W3028COMRWA</v>
      </c>
      <c r="C1634" s="1732" t="str">
        <f>+'4L'!$C25&amp;" - "&amp;'4L'!H$5</f>
        <v>Metering (excluding cost of providing metering to new service connections)- meters introduced by companies - Raw water abstraction</v>
      </c>
      <c r="D1634" t="str">
        <f t="shared" si="19"/>
        <v>£m</v>
      </c>
      <c r="E1634" s="2" t="s">
        <v>9</v>
      </c>
      <c r="F1634" s="1634"/>
      <c r="G1634" s="1635">
        <f>'4L'!H25</f>
        <v>0</v>
      </c>
      <c r="H1634" s="1636"/>
    </row>
    <row r="1635" spans="1:8">
      <c r="A1635" s="1620" t="str">
        <f>INDEX(Lists!$C$4:$C$24,MATCH(Validation!$B$3,Lists!$B$4:$B$24,0))</f>
        <v>TMS</v>
      </c>
      <c r="B1635" s="1732" t="str">
        <f>'4L'!BC26</f>
        <v>W3028NHORWA</v>
      </c>
      <c r="C1635" s="1732" t="str">
        <f>+'4L'!$C26&amp;" - "&amp;'4L'!H$5</f>
        <v>Metering (excluding cost of providing metering to new service connections) - other - Raw water abstraction</v>
      </c>
      <c r="D1635" t="str">
        <f t="shared" si="19"/>
        <v>£m</v>
      </c>
      <c r="E1635" s="2" t="s">
        <v>9</v>
      </c>
      <c r="F1635" s="1634"/>
      <c r="G1635" s="1635">
        <f>'4L'!H26</f>
        <v>0</v>
      </c>
      <c r="H1635" s="1636"/>
    </row>
    <row r="1636" spans="1:8">
      <c r="A1636" s="1620" t="str">
        <f>INDEX(Lists!$C$4:$C$24,MATCH(Validation!$B$3,Lists!$B$4:$B$24,0))</f>
        <v>TMS</v>
      </c>
      <c r="B1636" s="1732" t="str">
        <f>'4L'!BC27</f>
        <v>W3A00001RWA</v>
      </c>
      <c r="C1636" s="1732" t="str">
        <f>"Capital expenditure purpose - WATER additional line 1 [Other categories] - "&amp;'4L'!$H$5</f>
        <v>Capital expenditure purpose - WATER additional line 1 [Other categories] - Raw water abstraction</v>
      </c>
      <c r="D1636" t="str">
        <f t="shared" si="19"/>
        <v>£m</v>
      </c>
      <c r="E1636" s="2" t="s">
        <v>9</v>
      </c>
      <c r="F1636" s="1634" t="str">
        <f>F1602</f>
        <v>NEP - Flow monitoring at water treatment works</v>
      </c>
      <c r="G1636" s="1635">
        <f>IF(ISBLANK('4L'!H27), "##BLANK", '4L'!H27)</f>
        <v>1.4106406511807709E-6</v>
      </c>
      <c r="H1636" s="1636"/>
    </row>
    <row r="1637" spans="1:8">
      <c r="A1637" s="1620" t="str">
        <f>INDEX(Lists!$C$4:$C$24,MATCH(Validation!$B$3,Lists!$B$4:$B$24,0))</f>
        <v>TMS</v>
      </c>
      <c r="B1637" s="1732" t="str">
        <f>'4L'!BC28</f>
        <v>W3A00002RWA</v>
      </c>
      <c r="C1637" s="1732" t="str">
        <f>"Capital expenditure purpose - WATER additional line 2 [Other categories] - "&amp;'4L'!$H$5</f>
        <v>Capital expenditure purpose - WATER additional line 2 [Other categories] - Raw water abstraction</v>
      </c>
      <c r="D1637" t="str">
        <f t="shared" si="19"/>
        <v>£m</v>
      </c>
      <c r="E1637" s="2" t="s">
        <v>9</v>
      </c>
      <c r="F1637" s="1634" t="str">
        <f t="shared" ref="F1637:F1650" si="20">F1603</f>
        <v>##BLANK</v>
      </c>
      <c r="G1637" s="1635" t="str">
        <f>IF(ISBLANK('4L'!H28), "##BLANK", '4L'!H28)</f>
        <v>##BLANK</v>
      </c>
      <c r="H1637" s="1636"/>
    </row>
    <row r="1638" spans="1:8">
      <c r="A1638" s="1620" t="str">
        <f>INDEX(Lists!$C$4:$C$24,MATCH(Validation!$B$3,Lists!$B$4:$B$24,0))</f>
        <v>TMS</v>
      </c>
      <c r="B1638" s="1732" t="str">
        <f>'4L'!BC29</f>
        <v>W3A00003RWA</v>
      </c>
      <c r="C1638" s="1732" t="str">
        <f>"Capital expenditure purpose - WATER additional line 3 [Other categories] - "&amp;'4L'!$H$5</f>
        <v>Capital expenditure purpose - WATER additional line 3 [Other categories] - Raw water abstraction</v>
      </c>
      <c r="D1638" t="str">
        <f t="shared" si="19"/>
        <v>£m</v>
      </c>
      <c r="E1638" s="2" t="s">
        <v>9</v>
      </c>
      <c r="F1638" s="1634" t="str">
        <f t="shared" si="20"/>
        <v>##BLANK</v>
      </c>
      <c r="G1638" s="1635" t="str">
        <f>IF(ISBLANK('4L'!H29), "##BLANK", '4L'!H29)</f>
        <v>##BLANK</v>
      </c>
      <c r="H1638" s="1636"/>
    </row>
    <row r="1639" spans="1:8">
      <c r="A1639" s="1620" t="str">
        <f>INDEX(Lists!$C$4:$C$24,MATCH(Validation!$B$3,Lists!$B$4:$B$24,0))</f>
        <v>TMS</v>
      </c>
      <c r="B1639" s="1732" t="str">
        <f>'4L'!BC30</f>
        <v>W3A00004RWA</v>
      </c>
      <c r="C1639" s="1732" t="str">
        <f>"Capital expenditure purpose - WATER additional line 4 [Other categories] - "&amp;'4L'!$H$5</f>
        <v>Capital expenditure purpose - WATER additional line 4 [Other categories] - Raw water abstraction</v>
      </c>
      <c r="D1639" t="str">
        <f t="shared" si="19"/>
        <v>£m</v>
      </c>
      <c r="E1639" s="2" t="s">
        <v>9</v>
      </c>
      <c r="F1639" s="1634" t="str">
        <f t="shared" si="20"/>
        <v>##BLANK</v>
      </c>
      <c r="G1639" s="1635" t="str">
        <f>IF(ISBLANK('4L'!H30), "##BLANK", '4L'!H30)</f>
        <v>##BLANK</v>
      </c>
      <c r="H1639" s="1636"/>
    </row>
    <row r="1640" spans="1:8">
      <c r="A1640" s="1620" t="str">
        <f>INDEX(Lists!$C$4:$C$24,MATCH(Validation!$B$3,Lists!$B$4:$B$24,0))</f>
        <v>TMS</v>
      </c>
      <c r="B1640" s="1732" t="str">
        <f>'4L'!BC31</f>
        <v>W3A00005RWA</v>
      </c>
      <c r="C1640" s="1732" t="str">
        <f>"Capital expenditure purpose - WATER additional line 5 [Other categories] - "&amp;'4L'!$H$5</f>
        <v>Capital expenditure purpose - WATER additional line 5 [Other categories] - Raw water abstraction</v>
      </c>
      <c r="D1640" t="str">
        <f t="shared" si="19"/>
        <v>£m</v>
      </c>
      <c r="E1640" s="2" t="s">
        <v>9</v>
      </c>
      <c r="F1640" s="1634" t="str">
        <f t="shared" si="20"/>
        <v>##BLANK</v>
      </c>
      <c r="G1640" s="1635" t="str">
        <f>IF(ISBLANK('4L'!H31), "##BLANK", '4L'!H31)</f>
        <v>##BLANK</v>
      </c>
      <c r="H1640" s="1636"/>
    </row>
    <row r="1641" spans="1:8">
      <c r="A1641" s="1620" t="str">
        <f>INDEX(Lists!$C$4:$C$24,MATCH(Validation!$B$3,Lists!$B$4:$B$24,0))</f>
        <v>TMS</v>
      </c>
      <c r="B1641" s="1732" t="str">
        <f>'4L'!BC32</f>
        <v>W3A00006RWA</v>
      </c>
      <c r="C1641" s="1732" t="str">
        <f>"Capital expenditure purpose - WATER additional line 6 [Other categories] - "&amp;'4L'!$H$5</f>
        <v>Capital expenditure purpose - WATER additional line 6 [Other categories] - Raw water abstraction</v>
      </c>
      <c r="D1641" t="str">
        <f t="shared" si="19"/>
        <v>£m</v>
      </c>
      <c r="E1641" s="2" t="s">
        <v>9</v>
      </c>
      <c r="F1641" s="1634" t="str">
        <f t="shared" si="20"/>
        <v>##BLANK</v>
      </c>
      <c r="G1641" s="1635" t="str">
        <f>IF(ISBLANK('4L'!H32), "##BLANK", '4L'!H32)</f>
        <v>##BLANK</v>
      </c>
      <c r="H1641" s="1636"/>
    </row>
    <row r="1642" spans="1:8">
      <c r="A1642" s="1620" t="str">
        <f>INDEX(Lists!$C$4:$C$24,MATCH(Validation!$B$3,Lists!$B$4:$B$24,0))</f>
        <v>TMS</v>
      </c>
      <c r="B1642" s="1732" t="str">
        <f>'4L'!BC33</f>
        <v>W3A00007RWA</v>
      </c>
      <c r="C1642" s="1732" t="str">
        <f>"Capital expenditure purpose - WATER additional line 7 [Other categories] - "&amp;'4L'!$H$5</f>
        <v>Capital expenditure purpose - WATER additional line 7 [Other categories] - Raw water abstraction</v>
      </c>
      <c r="D1642" t="str">
        <f t="shared" si="19"/>
        <v>£m</v>
      </c>
      <c r="E1642" s="2" t="s">
        <v>9</v>
      </c>
      <c r="F1642" s="1634" t="str">
        <f t="shared" si="20"/>
        <v>##BLANK</v>
      </c>
      <c r="G1642" s="1635" t="str">
        <f>IF(ISBLANK('4L'!H33), "##BLANK", '4L'!H33)</f>
        <v>##BLANK</v>
      </c>
      <c r="H1642" s="1636"/>
    </row>
    <row r="1643" spans="1:8">
      <c r="A1643" s="1620" t="str">
        <f>INDEX(Lists!$C$4:$C$24,MATCH(Validation!$B$3,Lists!$B$4:$B$24,0))</f>
        <v>TMS</v>
      </c>
      <c r="B1643" s="1732" t="str">
        <f>'4L'!BC34</f>
        <v>W3A00008RWA</v>
      </c>
      <c r="C1643" s="1732" t="str">
        <f>"Capital expenditure purpose - WATER additional line 8 [Other categories] - "&amp;'4L'!$H$5</f>
        <v>Capital expenditure purpose - WATER additional line 8 [Other categories] - Raw water abstraction</v>
      </c>
      <c r="D1643" t="str">
        <f t="shared" si="19"/>
        <v>£m</v>
      </c>
      <c r="E1643" s="2" t="s">
        <v>9</v>
      </c>
      <c r="F1643" s="1634" t="str">
        <f t="shared" si="20"/>
        <v>##BLANK</v>
      </c>
      <c r="G1643" s="1635" t="str">
        <f>IF(ISBLANK('4L'!H34), "##BLANK", '4L'!H34)</f>
        <v>##BLANK</v>
      </c>
      <c r="H1643" s="1636"/>
    </row>
    <row r="1644" spans="1:8">
      <c r="A1644" s="1620" t="str">
        <f>INDEX(Lists!$C$4:$C$24,MATCH(Validation!$B$3,Lists!$B$4:$B$24,0))</f>
        <v>TMS</v>
      </c>
      <c r="B1644" s="1732" t="str">
        <f>'4L'!BC35</f>
        <v>W3A00009RWA</v>
      </c>
      <c r="C1644" s="1732" t="str">
        <f>"Capital expenditure purpose - WATER additional line 9 [Other categories] - "&amp;'4L'!$H$5</f>
        <v>Capital expenditure purpose - WATER additional line 9 [Other categories] - Raw water abstraction</v>
      </c>
      <c r="D1644" t="str">
        <f t="shared" si="19"/>
        <v>£m</v>
      </c>
      <c r="E1644" s="2" t="s">
        <v>9</v>
      </c>
      <c r="F1644" s="1634" t="str">
        <f t="shared" si="20"/>
        <v>##BLANK</v>
      </c>
      <c r="G1644" s="1635" t="str">
        <f>IF(ISBLANK('4L'!H35), "##BLANK", '4L'!H35)</f>
        <v>##BLANK</v>
      </c>
      <c r="H1644" s="1636"/>
    </row>
    <row r="1645" spans="1:8">
      <c r="A1645" s="1620" t="str">
        <f>INDEX(Lists!$C$4:$C$24,MATCH(Validation!$B$3,Lists!$B$4:$B$24,0))</f>
        <v>TMS</v>
      </c>
      <c r="B1645" s="1732" t="str">
        <f>'4L'!BC36</f>
        <v>W3A00010RWA</v>
      </c>
      <c r="C1645" s="1732" t="str">
        <f>"Capital expenditure purpose - WATER additional line 10 [Other categories] - "&amp;'4L'!$H$5</f>
        <v>Capital expenditure purpose - WATER additional line 10 [Other categories] - Raw water abstraction</v>
      </c>
      <c r="D1645" t="str">
        <f t="shared" si="19"/>
        <v>£m</v>
      </c>
      <c r="E1645" s="2" t="s">
        <v>9</v>
      </c>
      <c r="F1645" s="1634" t="str">
        <f t="shared" si="20"/>
        <v>##BLANK</v>
      </c>
      <c r="G1645" s="1635" t="str">
        <f>IF(ISBLANK('4L'!H36), "##BLANK", '4L'!H36)</f>
        <v>##BLANK</v>
      </c>
      <c r="H1645" s="1636"/>
    </row>
    <row r="1646" spans="1:8">
      <c r="A1646" s="1620" t="str">
        <f>INDEX(Lists!$C$4:$C$24,MATCH(Validation!$B$3,Lists!$B$4:$B$24,0))</f>
        <v>TMS</v>
      </c>
      <c r="B1646" s="1732" t="str">
        <f>'4L'!BC37</f>
        <v>W3A00011RWA</v>
      </c>
      <c r="C1646" s="1732" t="str">
        <f>"Capital expenditure purpose - WATER additional line 11 [Other categories] - "&amp;'4L'!$H$5</f>
        <v>Capital expenditure purpose - WATER additional line 11 [Other categories] - Raw water abstraction</v>
      </c>
      <c r="D1646" t="str">
        <f t="shared" si="19"/>
        <v>£m</v>
      </c>
      <c r="E1646" s="2" t="s">
        <v>9</v>
      </c>
      <c r="F1646" s="1634" t="str">
        <f t="shared" si="20"/>
        <v>##BLANK</v>
      </c>
      <c r="G1646" s="1635" t="str">
        <f>IF(ISBLANK('4L'!H37), "##BLANK", '4L'!H37)</f>
        <v>##BLANK</v>
      </c>
      <c r="H1646" s="1636"/>
    </row>
    <row r="1647" spans="1:8">
      <c r="A1647" s="1620" t="str">
        <f>INDEX(Lists!$C$4:$C$24,MATCH(Validation!$B$3,Lists!$B$4:$B$24,0))</f>
        <v>TMS</v>
      </c>
      <c r="B1647" s="1732" t="str">
        <f>'4L'!BC38</f>
        <v>W3A00012RWA</v>
      </c>
      <c r="C1647" s="1732" t="str">
        <f>"Capital expenditure purpose - WATER additional line 12 [Other categories] - "&amp;'4L'!$H$5</f>
        <v>Capital expenditure purpose - WATER additional line 12 [Other categories] - Raw water abstraction</v>
      </c>
      <c r="D1647" t="str">
        <f t="shared" si="19"/>
        <v>£m</v>
      </c>
      <c r="E1647" s="2" t="s">
        <v>9</v>
      </c>
      <c r="F1647" s="1634" t="str">
        <f t="shared" si="20"/>
        <v>##BLANK</v>
      </c>
      <c r="G1647" s="1635" t="str">
        <f>IF(ISBLANK('4L'!H38), "##BLANK", '4L'!H38)</f>
        <v>##BLANK</v>
      </c>
      <c r="H1647" s="1636"/>
    </row>
    <row r="1648" spans="1:8">
      <c r="A1648" s="1620" t="str">
        <f>INDEX(Lists!$C$4:$C$24,MATCH(Validation!$B$3,Lists!$B$4:$B$24,0))</f>
        <v>TMS</v>
      </c>
      <c r="B1648" s="1732" t="str">
        <f>'4L'!BC39</f>
        <v>W3A00013RWA</v>
      </c>
      <c r="C1648" s="1732" t="str">
        <f>"Capital expenditure purpose - WATER additional line 13 [Other categories] - "&amp;'4L'!$H$5</f>
        <v>Capital expenditure purpose - WATER additional line 13 [Other categories] - Raw water abstraction</v>
      </c>
      <c r="D1648" t="str">
        <f t="shared" si="19"/>
        <v>£m</v>
      </c>
      <c r="E1648" s="2" t="s">
        <v>9</v>
      </c>
      <c r="F1648" s="1634" t="str">
        <f t="shared" si="20"/>
        <v>##BLANK</v>
      </c>
      <c r="G1648" s="1635" t="str">
        <f>IF(ISBLANK('4L'!H39), "##BLANK", '4L'!H39)</f>
        <v>##BLANK</v>
      </c>
      <c r="H1648" s="1636"/>
    </row>
    <row r="1649" spans="1:8">
      <c r="A1649" s="1620" t="str">
        <f>INDEX(Lists!$C$4:$C$24,MATCH(Validation!$B$3,Lists!$B$4:$B$24,0))</f>
        <v>TMS</v>
      </c>
      <c r="B1649" s="1732" t="str">
        <f>'4L'!BC40</f>
        <v>W3A00014RWA</v>
      </c>
      <c r="C1649" s="1732" t="str">
        <f>"Capital expenditure purpose - WATER additional line 14 [Other categories] - "&amp;'4L'!$H$5</f>
        <v>Capital expenditure purpose - WATER additional line 14 [Other categories] - Raw water abstraction</v>
      </c>
      <c r="D1649" t="str">
        <f t="shared" si="19"/>
        <v>£m</v>
      </c>
      <c r="E1649" s="2" t="s">
        <v>9</v>
      </c>
      <c r="F1649" s="1634" t="str">
        <f t="shared" si="20"/>
        <v>##BLANK</v>
      </c>
      <c r="G1649" s="1635" t="str">
        <f>IF(ISBLANK('4L'!H40), "##BLANK", '4L'!H40)</f>
        <v>##BLANK</v>
      </c>
      <c r="H1649" s="1636"/>
    </row>
    <row r="1650" spans="1:8">
      <c r="A1650" s="1730" t="str">
        <f>INDEX(Lists!$C$4:$C$24,MATCH(Validation!$B$3,Lists!$B$4:$B$24,0))</f>
        <v>TMS</v>
      </c>
      <c r="B1650" s="1734" t="str">
        <f>'4L'!BC41</f>
        <v>W3A00015RWA</v>
      </c>
      <c r="C1650" s="1734" t="str">
        <f>"Capital expenditure purpose - WATER additional line 15 [Other categories] - "&amp;'4L'!$H$5</f>
        <v>Capital expenditure purpose - WATER additional line 15 [Other categories] - Raw water abstraction</v>
      </c>
      <c r="D1650" s="1819" t="str">
        <f t="shared" si="19"/>
        <v>£m</v>
      </c>
      <c r="E1650" s="1651" t="s">
        <v>9</v>
      </c>
      <c r="F1650" s="1637" t="str">
        <f t="shared" si="20"/>
        <v>##BLANK</v>
      </c>
      <c r="G1650" s="1653" t="str">
        <f>IF(ISBLANK('4L'!H41), "##BLANK", '4L'!H41)</f>
        <v>##BLANK</v>
      </c>
      <c r="H1650" s="1652"/>
    </row>
    <row r="1651" spans="1:8">
      <c r="A1651" s="1620" t="str">
        <f>INDEX(Lists!$C$4:$C$24,MATCH(Validation!$B$3,Lists!$B$4:$B$24,0))</f>
        <v>TMS</v>
      </c>
      <c r="B1651" s="1732" t="str">
        <f>'4L'!BD8</f>
        <v>W3001RWT</v>
      </c>
      <c r="C1651" s="1732" t="str">
        <f>+'4L'!$C8&amp;" - "&amp;'4L'!I$5</f>
        <v>NEP - Making ecological improvements at abstractions (Habitats Directive, SSSI, NERC, BAPs) - Raw water transport</v>
      </c>
      <c r="D1651" t="str">
        <f t="shared" si="19"/>
        <v>£m</v>
      </c>
      <c r="E1651" s="2" t="s">
        <v>9</v>
      </c>
      <c r="F1651" s="1634"/>
      <c r="G1651" s="1635">
        <f>'4L'!I8</f>
        <v>0.17720712264061941</v>
      </c>
      <c r="H1651" s="1636"/>
    </row>
    <row r="1652" spans="1:8">
      <c r="A1652" s="1620" t="str">
        <f>INDEX(Lists!$C$4:$C$24,MATCH(Validation!$B$3,Lists!$B$4:$B$24,0))</f>
        <v>TMS</v>
      </c>
      <c r="B1652" s="1732" t="str">
        <f>'4L'!BD9</f>
        <v>WS2002RWT</v>
      </c>
      <c r="C1652" s="1732" t="str">
        <f>+'4L'!$C9&amp;" - "&amp;'4L'!I$5</f>
        <v>NEP - Eels Regulations (measures at intakes) - Raw water transport</v>
      </c>
      <c r="D1652" t="str">
        <f t="shared" si="19"/>
        <v>£m</v>
      </c>
      <c r="E1652" s="2" t="s">
        <v>9</v>
      </c>
      <c r="F1652" s="1634"/>
      <c r="G1652" s="1635">
        <f>'4L'!I9</f>
        <v>0</v>
      </c>
      <c r="H1652" s="1636"/>
    </row>
    <row r="1653" spans="1:8">
      <c r="A1653" s="1620" t="str">
        <f>INDEX(Lists!$C$4:$C$24,MATCH(Validation!$B$3,Lists!$B$4:$B$24,0))</f>
        <v>TMS</v>
      </c>
      <c r="B1653" s="1732" t="str">
        <f>'4L'!BD10</f>
        <v>W3002RWT</v>
      </c>
      <c r="C1653" s="1732" t="str">
        <f>+'4L'!$C10&amp;" - "&amp;'4L'!I$5</f>
        <v>Addressing low pressure - Raw water transport</v>
      </c>
      <c r="D1653" t="str">
        <f t="shared" si="19"/>
        <v>£m</v>
      </c>
      <c r="E1653" s="2" t="s">
        <v>9</v>
      </c>
      <c r="F1653" s="1634"/>
      <c r="G1653" s="1635">
        <f>'4L'!I10</f>
        <v>0</v>
      </c>
      <c r="H1653" s="1636"/>
    </row>
    <row r="1654" spans="1:8">
      <c r="A1654" s="1620" t="str">
        <f>INDEX(Lists!$C$4:$C$24,MATCH(Validation!$B$3,Lists!$B$4:$B$24,0))</f>
        <v>TMS</v>
      </c>
      <c r="B1654" s="1732" t="str">
        <f>'4L'!BD11</f>
        <v>W3003RWT</v>
      </c>
      <c r="C1654" s="1732" t="str">
        <f>+'4L'!$C11&amp;" - "&amp;'4L'!I$5</f>
        <v>Improving taste / odour / colour - Raw water transport</v>
      </c>
      <c r="D1654" t="str">
        <f t="shared" si="19"/>
        <v>£m</v>
      </c>
      <c r="E1654" s="2" t="s">
        <v>9</v>
      </c>
      <c r="F1654" s="1634"/>
      <c r="G1654" s="1635">
        <f>'4L'!I11</f>
        <v>0</v>
      </c>
      <c r="H1654" s="1636"/>
    </row>
    <row r="1655" spans="1:8">
      <c r="A1655" s="1620" t="str">
        <f>INDEX(Lists!$C$4:$C$24,MATCH(Validation!$B$3,Lists!$B$4:$B$24,0))</f>
        <v>TMS</v>
      </c>
      <c r="B1655" s="1732" t="str">
        <f>'4L'!BD12</f>
        <v>W3006RWT</v>
      </c>
      <c r="C1655" s="1732" t="str">
        <f>+'4L'!$C12&amp;" - "&amp;'4L'!I$5</f>
        <v>Meeting lead standards - Raw water transport</v>
      </c>
      <c r="D1655" t="str">
        <f t="shared" si="19"/>
        <v>£m</v>
      </c>
      <c r="E1655" s="2" t="s">
        <v>9</v>
      </c>
      <c r="F1655" s="1634"/>
      <c r="G1655" s="1635">
        <f>'4L'!I12</f>
        <v>0</v>
      </c>
      <c r="H1655" s="1636"/>
    </row>
    <row r="1656" spans="1:8">
      <c r="A1656" s="1620" t="str">
        <f>INDEX(Lists!$C$4:$C$24,MATCH(Validation!$B$3,Lists!$B$4:$B$24,0))</f>
        <v>TMS</v>
      </c>
      <c r="B1656" s="1732" t="str">
        <f>'4L'!BD13</f>
        <v>W3007SRWT</v>
      </c>
      <c r="C1656" s="1732" t="str">
        <f>+'4L'!$C13&amp;" - "&amp;'4L'!I$5</f>
        <v>Supply side enhancements to the supply/demand balance (dry year critical / peak conditions) - Raw water transport</v>
      </c>
      <c r="D1656" t="str">
        <f t="shared" si="19"/>
        <v>£m</v>
      </c>
      <c r="E1656" s="2" t="s">
        <v>9</v>
      </c>
      <c r="F1656" s="1634"/>
      <c r="G1656" s="1635">
        <f>'4L'!I13</f>
        <v>4.8550775939859895E-4</v>
      </c>
      <c r="H1656" s="1636"/>
    </row>
    <row r="1657" spans="1:8">
      <c r="A1657" s="1620" t="str">
        <f>INDEX(Lists!$C$4:$C$24,MATCH(Validation!$B$3,Lists!$B$4:$B$24,0))</f>
        <v>TMS</v>
      </c>
      <c r="B1657" s="1732" t="str">
        <f>'4L'!BD14</f>
        <v>W3008SRWT</v>
      </c>
      <c r="C1657" s="1732" t="str">
        <f>+'4L'!$C14&amp;" - "&amp;'4L'!I$5</f>
        <v>Supply side enhancements to the supply/demand balance (dry year annual average conditions) - Raw water transport</v>
      </c>
      <c r="D1657" t="str">
        <f t="shared" si="19"/>
        <v>£m</v>
      </c>
      <c r="E1657" s="2" t="s">
        <v>9</v>
      </c>
      <c r="F1657" s="1634"/>
      <c r="G1657" s="1635">
        <f>'4L'!I14</f>
        <v>0.15268725231472413</v>
      </c>
      <c r="H1657" s="1636"/>
    </row>
    <row r="1658" spans="1:8">
      <c r="A1658" s="1620" t="str">
        <f>INDEX(Lists!$C$4:$C$24,MATCH(Validation!$B$3,Lists!$B$4:$B$24,0))</f>
        <v>TMS</v>
      </c>
      <c r="B1658" s="1732" t="str">
        <f>'4L'!BD15</f>
        <v>W3007DRWT</v>
      </c>
      <c r="C1658" s="1732" t="str">
        <f>+'4L'!$C15&amp;" - "&amp;'4L'!I$5</f>
        <v>Demand side enhancements to the supply/demand balance (dry year critical / peak conditions) - Raw water transport</v>
      </c>
      <c r="D1658" t="str">
        <f t="shared" si="19"/>
        <v>£m</v>
      </c>
      <c r="E1658" s="2" t="s">
        <v>9</v>
      </c>
      <c r="F1658" s="1634"/>
      <c r="G1658" s="1635">
        <f>'4L'!I15</f>
        <v>8.9432205269294931E-3</v>
      </c>
      <c r="H1658" s="1636"/>
    </row>
    <row r="1659" spans="1:8">
      <c r="A1659" s="1620" t="str">
        <f>INDEX(Lists!$C$4:$C$24,MATCH(Validation!$B$3,Lists!$B$4:$B$24,0))</f>
        <v>TMS</v>
      </c>
      <c r="B1659" s="1732" t="str">
        <f>'4L'!BD16</f>
        <v>W3008DRWT</v>
      </c>
      <c r="C1659" s="1732" t="str">
        <f>+'4L'!$C16&amp;" - "&amp;'4L'!I$5</f>
        <v>Demand side enhancements to the supply/demand balance (dry year annual average conditions) - Raw water transport</v>
      </c>
      <c r="D1659" t="str">
        <f t="shared" si="19"/>
        <v>£m</v>
      </c>
      <c r="E1659" s="2" t="s">
        <v>9</v>
      </c>
      <c r="F1659" s="1634"/>
      <c r="G1659" s="1635">
        <f>'4L'!I16</f>
        <v>0.13100161137292399</v>
      </c>
      <c r="H1659" s="1636"/>
    </row>
    <row r="1660" spans="1:8">
      <c r="A1660" s="1620" t="str">
        <f>INDEX(Lists!$C$4:$C$24,MATCH(Validation!$B$3,Lists!$B$4:$B$24,0))</f>
        <v>TMS</v>
      </c>
      <c r="B1660" s="1732" t="str">
        <f>'4L'!BD17</f>
        <v>W3009RWT</v>
      </c>
      <c r="C1660" s="1732" t="str">
        <f>+'4L'!$C17&amp;" - "&amp;'4L'!I$5</f>
        <v>New developments - Raw water transport</v>
      </c>
      <c r="D1660" t="str">
        <f t="shared" si="19"/>
        <v>£m</v>
      </c>
      <c r="E1660" s="2" t="s">
        <v>9</v>
      </c>
      <c r="F1660" s="1634"/>
      <c r="G1660" s="1635">
        <f>'4L'!I17</f>
        <v>0</v>
      </c>
      <c r="H1660" s="1636"/>
    </row>
    <row r="1661" spans="1:8">
      <c r="A1661" s="1620" t="str">
        <f>INDEX(Lists!$C$4:$C$24,MATCH(Validation!$B$3,Lists!$B$4:$B$24,0))</f>
        <v>TMS</v>
      </c>
      <c r="B1661" s="1732" t="str">
        <f>'4L'!BD18</f>
        <v>WS2004RWT</v>
      </c>
      <c r="C1661" s="1732" t="str">
        <f>+'4L'!$C18&amp;" - "&amp;'4L'!I$5</f>
        <v>New connections element of new development (CPs, meters) - Raw water transport</v>
      </c>
      <c r="D1661" t="str">
        <f t="shared" si="19"/>
        <v>£m</v>
      </c>
      <c r="E1661" s="2" t="s">
        <v>9</v>
      </c>
      <c r="F1661" s="1634"/>
      <c r="G1661" s="1635">
        <f>'4L'!I18</f>
        <v>0</v>
      </c>
      <c r="H1661" s="1636"/>
    </row>
    <row r="1662" spans="1:8">
      <c r="A1662" s="1620" t="str">
        <f>INDEX(Lists!$C$4:$C$24,MATCH(Validation!$B$3,Lists!$B$4:$B$24,0))</f>
        <v>TMS</v>
      </c>
      <c r="B1662" s="1732" t="str">
        <f>'4L'!BD19</f>
        <v>W3010RWT</v>
      </c>
      <c r="C1662" s="1732" t="str">
        <f>+'4L'!$C19&amp;" - "&amp;'4L'!I$5</f>
        <v>Investment to address raw water deterioration (THM, nitrates, Crypto, pesticides, others) - Raw water transport</v>
      </c>
      <c r="D1662" t="str">
        <f t="shared" si="19"/>
        <v>£m</v>
      </c>
      <c r="E1662" s="2" t="s">
        <v>9</v>
      </c>
      <c r="F1662" s="1634"/>
      <c r="G1662" s="1635">
        <f>'4L'!I19</f>
        <v>0</v>
      </c>
      <c r="H1662" s="1636"/>
    </row>
    <row r="1663" spans="1:8">
      <c r="A1663" s="1620" t="str">
        <f>INDEX(Lists!$C$4:$C$24,MATCH(Validation!$B$3,Lists!$B$4:$B$24,0))</f>
        <v>TMS</v>
      </c>
      <c r="B1663" s="1732" t="str">
        <f>'4L'!BD20</f>
        <v>W3011RWT</v>
      </c>
      <c r="C1663" s="1732" t="str">
        <f>+'4L'!$C20&amp;" - "&amp;'4L'!I$5</f>
        <v>Resilience - Raw water transport</v>
      </c>
      <c r="D1663" t="str">
        <f t="shared" si="19"/>
        <v>£m</v>
      </c>
      <c r="E1663" s="2" t="s">
        <v>9</v>
      </c>
      <c r="F1663" s="1634"/>
      <c r="G1663" s="1635">
        <f>'4L'!I20</f>
        <v>0</v>
      </c>
      <c r="H1663" s="1636"/>
    </row>
    <row r="1664" spans="1:8">
      <c r="A1664" s="1620" t="str">
        <f>INDEX(Lists!$C$4:$C$24,MATCH(Validation!$B$3,Lists!$B$4:$B$24,0))</f>
        <v>TMS</v>
      </c>
      <c r="B1664" s="1732" t="str">
        <f>'4L'!BD21</f>
        <v>W3012RWT</v>
      </c>
      <c r="C1664" s="1732" t="str">
        <f>+'4L'!$C21&amp;" - "&amp;'4L'!I$5</f>
        <v>SEMD - Raw water transport</v>
      </c>
      <c r="D1664" t="str">
        <f t="shared" si="19"/>
        <v>£m</v>
      </c>
      <c r="E1664" s="2" t="s">
        <v>9</v>
      </c>
      <c r="F1664" s="1634"/>
      <c r="G1664" s="1635">
        <f>'4L'!I21</f>
        <v>-4.3786462179907955E-2</v>
      </c>
      <c r="H1664" s="1636"/>
    </row>
    <row r="1665" spans="1:8">
      <c r="A1665" s="1620" t="str">
        <f>INDEX(Lists!$C$4:$C$24,MATCH(Validation!$B$3,Lists!$B$4:$B$24,0))</f>
        <v>TMS</v>
      </c>
      <c r="B1665" s="1732" t="str">
        <f>'4L'!BD22</f>
        <v>WS2008RWT</v>
      </c>
      <c r="C1665" s="1732" t="str">
        <f>+'4L'!$C22&amp;" - "&amp;'4L'!I$5</f>
        <v>NEP - Investigations - Raw water transport</v>
      </c>
      <c r="D1665" t="str">
        <f t="shared" si="19"/>
        <v>£m</v>
      </c>
      <c r="E1665" s="2" t="s">
        <v>9</v>
      </c>
      <c r="F1665" s="1634"/>
      <c r="G1665" s="1635">
        <f>'4L'!I22</f>
        <v>0</v>
      </c>
      <c r="H1665" s="1636"/>
    </row>
    <row r="1666" spans="1:8">
      <c r="A1666" s="1620" t="str">
        <f>INDEX(Lists!$C$4:$C$24,MATCH(Validation!$B$3,Lists!$B$4:$B$24,0))</f>
        <v>TMS</v>
      </c>
      <c r="B1666" s="1732" t="str">
        <f>'4L'!BD23</f>
        <v>W3027RWT</v>
      </c>
      <c r="C1666" s="1732" t="str">
        <f>+'4L'!$C23&amp;" - "&amp;'4L'!I$5</f>
        <v>Improvements to river flows - Raw water transport</v>
      </c>
      <c r="D1666" t="str">
        <f t="shared" si="19"/>
        <v>£m</v>
      </c>
      <c r="E1666" s="2" t="s">
        <v>9</v>
      </c>
      <c r="F1666" s="1634"/>
      <c r="G1666" s="1635">
        <f>'4L'!I23</f>
        <v>0</v>
      </c>
      <c r="H1666" s="1636"/>
    </row>
    <row r="1667" spans="1:8">
      <c r="A1667" s="1620" t="str">
        <f>INDEX(Lists!$C$4:$C$24,MATCH(Validation!$B$3,Lists!$B$4:$B$24,0))</f>
        <v>TMS</v>
      </c>
      <c r="B1667" s="1732" t="str">
        <f>'4L'!BD24</f>
        <v>W3028OPTRWT</v>
      </c>
      <c r="C1667" s="1732" t="str">
        <f>+'4L'!$C24&amp;" - "&amp;'4L'!I$5</f>
        <v>Metering (excluding cost of providing metering to new service connections) - meters requested by optants - Raw water transport</v>
      </c>
      <c r="D1667" t="str">
        <f t="shared" si="19"/>
        <v>£m</v>
      </c>
      <c r="E1667" s="2" t="s">
        <v>9</v>
      </c>
      <c r="F1667" s="1634"/>
      <c r="G1667" s="1635">
        <f>'4L'!I24</f>
        <v>0</v>
      </c>
      <c r="H1667" s="1636"/>
    </row>
    <row r="1668" spans="1:8">
      <c r="A1668" s="1620" t="str">
        <f>INDEX(Lists!$C$4:$C$24,MATCH(Validation!$B$3,Lists!$B$4:$B$24,0))</f>
        <v>TMS</v>
      </c>
      <c r="B1668" s="1732" t="str">
        <f>'4L'!BD25</f>
        <v>W3028COMRWT</v>
      </c>
      <c r="C1668" s="1732" t="str">
        <f>+'4L'!$C25&amp;" - "&amp;'4L'!I$5</f>
        <v>Metering (excluding cost of providing metering to new service connections)- meters introduced by companies - Raw water transport</v>
      </c>
      <c r="D1668" t="str">
        <f t="shared" si="19"/>
        <v>£m</v>
      </c>
      <c r="E1668" s="2" t="s">
        <v>9</v>
      </c>
      <c r="F1668" s="1634"/>
      <c r="G1668" s="1635">
        <f>'4L'!I25</f>
        <v>0</v>
      </c>
      <c r="H1668" s="1636"/>
    </row>
    <row r="1669" spans="1:8">
      <c r="A1669" s="1620" t="str">
        <f>INDEX(Lists!$C$4:$C$24,MATCH(Validation!$B$3,Lists!$B$4:$B$24,0))</f>
        <v>TMS</v>
      </c>
      <c r="B1669" s="1732" t="str">
        <f>'4L'!BD26</f>
        <v>W3028NHORWT</v>
      </c>
      <c r="C1669" s="1732" t="str">
        <f>+'4L'!$C26&amp;" - "&amp;'4L'!I$5</f>
        <v>Metering (excluding cost of providing metering to new service connections) - other - Raw water transport</v>
      </c>
      <c r="D1669" t="str">
        <f t="shared" si="19"/>
        <v>£m</v>
      </c>
      <c r="E1669" s="2" t="s">
        <v>9</v>
      </c>
      <c r="F1669" s="1634"/>
      <c r="G1669" s="1635">
        <f>'4L'!I26</f>
        <v>0</v>
      </c>
      <c r="H1669" s="1636"/>
    </row>
    <row r="1670" spans="1:8">
      <c r="A1670" s="1620" t="str">
        <f>INDEX(Lists!$C$4:$C$24,MATCH(Validation!$B$3,Lists!$B$4:$B$24,0))</f>
        <v>TMS</v>
      </c>
      <c r="B1670" s="1732" t="str">
        <f>'4L'!BD27</f>
        <v>W3A00001RWT</v>
      </c>
      <c r="C1670" s="1732" t="str">
        <f>"Capital expenditure purpose - WATER additional line 1 [Other categories] - "&amp;'4L'!$I$5</f>
        <v>Capital expenditure purpose - WATER additional line 1 [Other categories] - Raw water transport</v>
      </c>
      <c r="D1670" t="str">
        <f t="shared" si="19"/>
        <v>£m</v>
      </c>
      <c r="E1670" s="2" t="s">
        <v>9</v>
      </c>
      <c r="F1670" s="1634" t="str">
        <f>F1602</f>
        <v>NEP - Flow monitoring at water treatment works</v>
      </c>
      <c r="G1670" s="1635">
        <f>IF(ISBLANK('4L'!I27), "##BLANK", '4L'!I27)</f>
        <v>0</v>
      </c>
      <c r="H1670" s="1636"/>
    </row>
    <row r="1671" spans="1:8">
      <c r="A1671" s="1620" t="str">
        <f>INDEX(Lists!$C$4:$C$24,MATCH(Validation!$B$3,Lists!$B$4:$B$24,0))</f>
        <v>TMS</v>
      </c>
      <c r="B1671" s="1732" t="str">
        <f>'4L'!BD28</f>
        <v>W3A00002RWT</v>
      </c>
      <c r="C1671" s="1732" t="str">
        <f>"Capital expenditure purpose - WATER additional line 2 [Other categories] - "&amp;'4L'!$I$5</f>
        <v>Capital expenditure purpose - WATER additional line 2 [Other categories] - Raw water transport</v>
      </c>
      <c r="D1671" t="str">
        <f t="shared" si="19"/>
        <v>£m</v>
      </c>
      <c r="E1671" s="2" t="s">
        <v>9</v>
      </c>
      <c r="F1671" s="1634" t="str">
        <f t="shared" ref="F1671:F1684" si="21">F1603</f>
        <v>##BLANK</v>
      </c>
      <c r="G1671" s="1635" t="str">
        <f>IF(ISBLANK('4L'!I28), "##BLANK", '4L'!I28)</f>
        <v>##BLANK</v>
      </c>
      <c r="H1671" s="1636"/>
    </row>
    <row r="1672" spans="1:8">
      <c r="A1672" s="1620" t="str">
        <f>INDEX(Lists!$C$4:$C$24,MATCH(Validation!$B$3,Lists!$B$4:$B$24,0))</f>
        <v>TMS</v>
      </c>
      <c r="B1672" s="1732" t="str">
        <f>'4L'!BD29</f>
        <v>W3A00003RWT</v>
      </c>
      <c r="C1672" s="1732" t="str">
        <f>"Capital expenditure purpose - WATER additional line 3 [Other categories] - "&amp;'4L'!$I$5</f>
        <v>Capital expenditure purpose - WATER additional line 3 [Other categories] - Raw water transport</v>
      </c>
      <c r="D1672" t="str">
        <f t="shared" si="19"/>
        <v>£m</v>
      </c>
      <c r="E1672" s="2" t="s">
        <v>9</v>
      </c>
      <c r="F1672" s="1634" t="str">
        <f t="shared" si="21"/>
        <v>##BLANK</v>
      </c>
      <c r="G1672" s="1635" t="str">
        <f>IF(ISBLANK('4L'!I29), "##BLANK", '4L'!I29)</f>
        <v>##BLANK</v>
      </c>
      <c r="H1672" s="1636"/>
    </row>
    <row r="1673" spans="1:8">
      <c r="A1673" s="1620" t="str">
        <f>INDEX(Lists!$C$4:$C$24,MATCH(Validation!$B$3,Lists!$B$4:$B$24,0))</f>
        <v>TMS</v>
      </c>
      <c r="B1673" s="1732" t="str">
        <f>'4L'!BD30</f>
        <v>W3A00004RWT</v>
      </c>
      <c r="C1673" s="1732" t="str">
        <f>"Capital expenditure purpose - WATER additional line 4 [Other categories] - "&amp;'4L'!$I$5</f>
        <v>Capital expenditure purpose - WATER additional line 4 [Other categories] - Raw water transport</v>
      </c>
      <c r="D1673" t="str">
        <f t="shared" si="19"/>
        <v>£m</v>
      </c>
      <c r="E1673" s="2" t="s">
        <v>9</v>
      </c>
      <c r="F1673" s="1634" t="str">
        <f t="shared" si="21"/>
        <v>##BLANK</v>
      </c>
      <c r="G1673" s="1635" t="str">
        <f>IF(ISBLANK('4L'!I30), "##BLANK", '4L'!I30)</f>
        <v>##BLANK</v>
      </c>
      <c r="H1673" s="1636"/>
    </row>
    <row r="1674" spans="1:8">
      <c r="A1674" s="1620" t="str">
        <f>INDEX(Lists!$C$4:$C$24,MATCH(Validation!$B$3,Lists!$B$4:$B$24,0))</f>
        <v>TMS</v>
      </c>
      <c r="B1674" s="1732" t="str">
        <f>'4L'!BD31</f>
        <v>W3A00005RWT</v>
      </c>
      <c r="C1674" s="1732" t="str">
        <f>"Capital expenditure purpose - WATER additional line 5 [Other categories] - "&amp;'4L'!$I$5</f>
        <v>Capital expenditure purpose - WATER additional line 5 [Other categories] - Raw water transport</v>
      </c>
      <c r="D1674" t="str">
        <f t="shared" si="19"/>
        <v>£m</v>
      </c>
      <c r="E1674" s="2" t="s">
        <v>9</v>
      </c>
      <c r="F1674" s="1634" t="str">
        <f t="shared" si="21"/>
        <v>##BLANK</v>
      </c>
      <c r="G1674" s="1635" t="str">
        <f>IF(ISBLANK('4L'!I31), "##BLANK", '4L'!I31)</f>
        <v>##BLANK</v>
      </c>
      <c r="H1674" s="1636"/>
    </row>
    <row r="1675" spans="1:8">
      <c r="A1675" s="1620" t="str">
        <f>INDEX(Lists!$C$4:$C$24,MATCH(Validation!$B$3,Lists!$B$4:$B$24,0))</f>
        <v>TMS</v>
      </c>
      <c r="B1675" s="1732" t="str">
        <f>'4L'!BD32</f>
        <v>W3A00006RWT</v>
      </c>
      <c r="C1675" s="1732" t="str">
        <f>"Capital expenditure purpose - WATER additional line 6 [Other categories] - "&amp;'4L'!$I$5</f>
        <v>Capital expenditure purpose - WATER additional line 6 [Other categories] - Raw water transport</v>
      </c>
      <c r="D1675" t="str">
        <f t="shared" si="19"/>
        <v>£m</v>
      </c>
      <c r="E1675" s="2" t="s">
        <v>9</v>
      </c>
      <c r="F1675" s="1634" t="str">
        <f t="shared" si="21"/>
        <v>##BLANK</v>
      </c>
      <c r="G1675" s="1635" t="str">
        <f>IF(ISBLANK('4L'!I32), "##BLANK", '4L'!I32)</f>
        <v>##BLANK</v>
      </c>
      <c r="H1675" s="1636"/>
    </row>
    <row r="1676" spans="1:8">
      <c r="A1676" s="1620" t="str">
        <f>INDEX(Lists!$C$4:$C$24,MATCH(Validation!$B$3,Lists!$B$4:$B$24,0))</f>
        <v>TMS</v>
      </c>
      <c r="B1676" s="1732" t="str">
        <f>'4L'!BD33</f>
        <v>W3A00007RWT</v>
      </c>
      <c r="C1676" s="1732" t="str">
        <f>"Capital expenditure purpose - WATER additional line 7 [Other categories] - "&amp;'4L'!$I$5</f>
        <v>Capital expenditure purpose - WATER additional line 7 [Other categories] - Raw water transport</v>
      </c>
      <c r="D1676" t="str">
        <f t="shared" si="19"/>
        <v>£m</v>
      </c>
      <c r="E1676" s="2" t="s">
        <v>9</v>
      </c>
      <c r="F1676" s="1634" t="str">
        <f t="shared" si="21"/>
        <v>##BLANK</v>
      </c>
      <c r="G1676" s="1635" t="str">
        <f>IF(ISBLANK('4L'!I33), "##BLANK", '4L'!I33)</f>
        <v>##BLANK</v>
      </c>
      <c r="H1676" s="1636"/>
    </row>
    <row r="1677" spans="1:8">
      <c r="A1677" s="1620" t="str">
        <f>INDEX(Lists!$C$4:$C$24,MATCH(Validation!$B$3,Lists!$B$4:$B$24,0))</f>
        <v>TMS</v>
      </c>
      <c r="B1677" s="1732" t="str">
        <f>'4L'!BD34</f>
        <v>W3A00008RWT</v>
      </c>
      <c r="C1677" s="1732" t="str">
        <f>"Capital expenditure purpose - WATER additional line 8 [Other categories] - "&amp;'4L'!$I$5</f>
        <v>Capital expenditure purpose - WATER additional line 8 [Other categories] - Raw water transport</v>
      </c>
      <c r="D1677" t="str">
        <f t="shared" si="19"/>
        <v>£m</v>
      </c>
      <c r="E1677" s="2" t="s">
        <v>9</v>
      </c>
      <c r="F1677" s="1634" t="str">
        <f t="shared" si="21"/>
        <v>##BLANK</v>
      </c>
      <c r="G1677" s="1635" t="str">
        <f>IF(ISBLANK('4L'!I34), "##BLANK", '4L'!I34)</f>
        <v>##BLANK</v>
      </c>
      <c r="H1677" s="1636"/>
    </row>
    <row r="1678" spans="1:8">
      <c r="A1678" s="1620" t="str">
        <f>INDEX(Lists!$C$4:$C$24,MATCH(Validation!$B$3,Lists!$B$4:$B$24,0))</f>
        <v>TMS</v>
      </c>
      <c r="B1678" s="1732" t="str">
        <f>'4L'!BD35</f>
        <v>W3A00009RWT</v>
      </c>
      <c r="C1678" s="1732" t="str">
        <f>"Capital expenditure purpose - WATER additional line 9 [Other categories] - "&amp;'4L'!$I$5</f>
        <v>Capital expenditure purpose - WATER additional line 9 [Other categories] - Raw water transport</v>
      </c>
      <c r="D1678" t="str">
        <f t="shared" si="19"/>
        <v>£m</v>
      </c>
      <c r="E1678" s="2" t="s">
        <v>9</v>
      </c>
      <c r="F1678" s="1634" t="str">
        <f t="shared" si="21"/>
        <v>##BLANK</v>
      </c>
      <c r="G1678" s="1635" t="str">
        <f>IF(ISBLANK('4L'!I35), "##BLANK", '4L'!I35)</f>
        <v>##BLANK</v>
      </c>
      <c r="H1678" s="1636"/>
    </row>
    <row r="1679" spans="1:8">
      <c r="A1679" s="1620" t="str">
        <f>INDEX(Lists!$C$4:$C$24,MATCH(Validation!$B$3,Lists!$B$4:$B$24,0))</f>
        <v>TMS</v>
      </c>
      <c r="B1679" s="1732" t="str">
        <f>'4L'!BD36</f>
        <v>W3A00010RWT</v>
      </c>
      <c r="C1679" s="1732" t="str">
        <f>"Capital expenditure purpose - WATER additional line 10 [Other categories] - "&amp;'4L'!$I$5</f>
        <v>Capital expenditure purpose - WATER additional line 10 [Other categories] - Raw water transport</v>
      </c>
      <c r="D1679" t="str">
        <f t="shared" si="19"/>
        <v>£m</v>
      </c>
      <c r="E1679" s="2" t="s">
        <v>9</v>
      </c>
      <c r="F1679" s="1634" t="str">
        <f t="shared" si="21"/>
        <v>##BLANK</v>
      </c>
      <c r="G1679" s="1635" t="str">
        <f>IF(ISBLANK('4L'!I36), "##BLANK", '4L'!I36)</f>
        <v>##BLANK</v>
      </c>
      <c r="H1679" s="1636"/>
    </row>
    <row r="1680" spans="1:8">
      <c r="A1680" s="1620" t="str">
        <f>INDEX(Lists!$C$4:$C$24,MATCH(Validation!$B$3,Lists!$B$4:$B$24,0))</f>
        <v>TMS</v>
      </c>
      <c r="B1680" s="1732" t="str">
        <f>'4L'!BD37</f>
        <v>W3A00011RWT</v>
      </c>
      <c r="C1680" s="1732" t="str">
        <f>"Capital expenditure purpose - WATER additional line 11 [Other categories] - "&amp;'4L'!$I$5</f>
        <v>Capital expenditure purpose - WATER additional line 11 [Other categories] - Raw water transport</v>
      </c>
      <c r="D1680" t="str">
        <f t="shared" si="19"/>
        <v>£m</v>
      </c>
      <c r="E1680" s="2" t="s">
        <v>9</v>
      </c>
      <c r="F1680" s="1634" t="str">
        <f t="shared" si="21"/>
        <v>##BLANK</v>
      </c>
      <c r="G1680" s="1635" t="str">
        <f>IF(ISBLANK('4L'!I37), "##BLANK", '4L'!I37)</f>
        <v>##BLANK</v>
      </c>
      <c r="H1680" s="1636"/>
    </row>
    <row r="1681" spans="1:8">
      <c r="A1681" s="1620" t="str">
        <f>INDEX(Lists!$C$4:$C$24,MATCH(Validation!$B$3,Lists!$B$4:$B$24,0))</f>
        <v>TMS</v>
      </c>
      <c r="B1681" s="1732" t="str">
        <f>'4L'!BD38</f>
        <v>W3A00012RWT</v>
      </c>
      <c r="C1681" s="1732" t="str">
        <f>"Capital expenditure purpose - WATER additional line 12 [Other categories] - "&amp;'4L'!$I$5</f>
        <v>Capital expenditure purpose - WATER additional line 12 [Other categories] - Raw water transport</v>
      </c>
      <c r="D1681" t="str">
        <f t="shared" ref="D1681:D1744" si="22">D1647</f>
        <v>£m</v>
      </c>
      <c r="E1681" s="2" t="s">
        <v>9</v>
      </c>
      <c r="F1681" s="1634" t="str">
        <f t="shared" si="21"/>
        <v>##BLANK</v>
      </c>
      <c r="G1681" s="1635" t="str">
        <f>IF(ISBLANK('4L'!I38), "##BLANK", '4L'!I38)</f>
        <v>##BLANK</v>
      </c>
      <c r="H1681" s="1636"/>
    </row>
    <row r="1682" spans="1:8">
      <c r="A1682" s="1620" t="str">
        <f>INDEX(Lists!$C$4:$C$24,MATCH(Validation!$B$3,Lists!$B$4:$B$24,0))</f>
        <v>TMS</v>
      </c>
      <c r="B1682" s="1732" t="str">
        <f>'4L'!BD39</f>
        <v>W3A00013RWT</v>
      </c>
      <c r="C1682" s="1732" t="str">
        <f>"Capital expenditure purpose - WATER additional line 13 [Other categories] - "&amp;'4L'!$I$5</f>
        <v>Capital expenditure purpose - WATER additional line 13 [Other categories] - Raw water transport</v>
      </c>
      <c r="D1682" t="str">
        <f t="shared" si="22"/>
        <v>£m</v>
      </c>
      <c r="E1682" s="2" t="s">
        <v>9</v>
      </c>
      <c r="F1682" s="1634" t="str">
        <f t="shared" si="21"/>
        <v>##BLANK</v>
      </c>
      <c r="G1682" s="1635" t="str">
        <f>IF(ISBLANK('4L'!I39), "##BLANK", '4L'!I39)</f>
        <v>##BLANK</v>
      </c>
      <c r="H1682" s="1636"/>
    </row>
    <row r="1683" spans="1:8">
      <c r="A1683" s="1620" t="str">
        <f>INDEX(Lists!$C$4:$C$24,MATCH(Validation!$B$3,Lists!$B$4:$B$24,0))</f>
        <v>TMS</v>
      </c>
      <c r="B1683" s="1732" t="str">
        <f>'4L'!BD40</f>
        <v>W3A00014RWT</v>
      </c>
      <c r="C1683" s="1732" t="str">
        <f>"Capital expenditure purpose - WATER additional line 14 [Other categories] - "&amp;'4L'!$I$5</f>
        <v>Capital expenditure purpose - WATER additional line 14 [Other categories] - Raw water transport</v>
      </c>
      <c r="D1683" t="str">
        <f t="shared" si="22"/>
        <v>£m</v>
      </c>
      <c r="E1683" s="2" t="s">
        <v>9</v>
      </c>
      <c r="F1683" s="1634" t="str">
        <f t="shared" si="21"/>
        <v>##BLANK</v>
      </c>
      <c r="G1683" s="1635" t="str">
        <f>IF(ISBLANK('4L'!I40), "##BLANK", '4L'!I40)</f>
        <v>##BLANK</v>
      </c>
      <c r="H1683" s="1636"/>
    </row>
    <row r="1684" spans="1:8">
      <c r="A1684" s="1730" t="str">
        <f>INDEX(Lists!$C$4:$C$24,MATCH(Validation!$B$3,Lists!$B$4:$B$24,0))</f>
        <v>TMS</v>
      </c>
      <c r="B1684" s="1734" t="str">
        <f>'4L'!BD41</f>
        <v>W3A00015RWT</v>
      </c>
      <c r="C1684" s="1734" t="str">
        <f>"Capital expenditure purpose - WATER additional line 15 [Other categories] - "&amp;'4L'!$I$5</f>
        <v>Capital expenditure purpose - WATER additional line 15 [Other categories] - Raw water transport</v>
      </c>
      <c r="D1684" s="1819" t="str">
        <f t="shared" si="22"/>
        <v>£m</v>
      </c>
      <c r="E1684" s="1651" t="s">
        <v>9</v>
      </c>
      <c r="F1684" s="1637" t="str">
        <f t="shared" si="21"/>
        <v>##BLANK</v>
      </c>
      <c r="G1684" s="1653" t="str">
        <f>IF(ISBLANK('4L'!I41), "##BLANK", '4L'!I41)</f>
        <v>##BLANK</v>
      </c>
      <c r="H1684" s="1652"/>
    </row>
    <row r="1685" spans="1:8">
      <c r="A1685" s="1620" t="str">
        <f>INDEX(Lists!$C$4:$C$24,MATCH(Validation!$B$3,Lists!$B$4:$B$24,0))</f>
        <v>TMS</v>
      </c>
      <c r="B1685" s="1732" t="str">
        <f>'4L'!BE8</f>
        <v>W3001RWS</v>
      </c>
      <c r="C1685" s="1732" t="str">
        <f>+'4L'!$C8&amp;" - "&amp;'4L'!J$5</f>
        <v>NEP - Making ecological improvements at abstractions (Habitats Directive, SSSI, NERC, BAPs) - Raw water storage</v>
      </c>
      <c r="D1685" t="str">
        <f t="shared" si="22"/>
        <v>£m</v>
      </c>
      <c r="E1685" s="2" t="s">
        <v>9</v>
      </c>
      <c r="F1685" s="1634"/>
      <c r="G1685" s="1635">
        <f>'4L'!J8</f>
        <v>0</v>
      </c>
      <c r="H1685" s="1636"/>
    </row>
    <row r="1686" spans="1:8">
      <c r="A1686" s="1620" t="str">
        <f>INDEX(Lists!$C$4:$C$24,MATCH(Validation!$B$3,Lists!$B$4:$B$24,0))</f>
        <v>TMS</v>
      </c>
      <c r="B1686" s="1732" t="str">
        <f>'4L'!BE9</f>
        <v>WS2002RWS</v>
      </c>
      <c r="C1686" s="1732" t="str">
        <f>+'4L'!$C9&amp;" - "&amp;'4L'!J$5</f>
        <v>NEP - Eels Regulations (measures at intakes) - Raw water storage</v>
      </c>
      <c r="D1686" t="str">
        <f t="shared" si="22"/>
        <v>£m</v>
      </c>
      <c r="E1686" s="2" t="s">
        <v>9</v>
      </c>
      <c r="F1686" s="1634"/>
      <c r="G1686" s="1635">
        <f>'4L'!J9</f>
        <v>0</v>
      </c>
      <c r="H1686" s="1636"/>
    </row>
    <row r="1687" spans="1:8">
      <c r="A1687" s="1620" t="str">
        <f>INDEX(Lists!$C$4:$C$24,MATCH(Validation!$B$3,Lists!$B$4:$B$24,0))</f>
        <v>TMS</v>
      </c>
      <c r="B1687" s="1732" t="str">
        <f>'4L'!BE10</f>
        <v>W3002RWS</v>
      </c>
      <c r="C1687" s="1732" t="str">
        <f>+'4L'!$C10&amp;" - "&amp;'4L'!J$5</f>
        <v>Addressing low pressure - Raw water storage</v>
      </c>
      <c r="D1687" t="str">
        <f t="shared" si="22"/>
        <v>£m</v>
      </c>
      <c r="E1687" s="2" t="s">
        <v>9</v>
      </c>
      <c r="F1687" s="1634"/>
      <c r="G1687" s="1635">
        <f>'4L'!J10</f>
        <v>0</v>
      </c>
      <c r="H1687" s="1636"/>
    </row>
    <row r="1688" spans="1:8">
      <c r="A1688" s="1620" t="str">
        <f>INDEX(Lists!$C$4:$C$24,MATCH(Validation!$B$3,Lists!$B$4:$B$24,0))</f>
        <v>TMS</v>
      </c>
      <c r="B1688" s="1732" t="str">
        <f>'4L'!BE11</f>
        <v>W3003RWS</v>
      </c>
      <c r="C1688" s="1732" t="str">
        <f>+'4L'!$C11&amp;" - "&amp;'4L'!J$5</f>
        <v>Improving taste / odour / colour - Raw water storage</v>
      </c>
      <c r="D1688" t="str">
        <f t="shared" si="22"/>
        <v>£m</v>
      </c>
      <c r="E1688" s="2" t="s">
        <v>9</v>
      </c>
      <c r="F1688" s="1634"/>
      <c r="G1688" s="1635">
        <f>'4L'!J11</f>
        <v>0</v>
      </c>
      <c r="H1688" s="1636"/>
    </row>
    <row r="1689" spans="1:8">
      <c r="A1689" s="1620" t="str">
        <f>INDEX(Lists!$C$4:$C$24,MATCH(Validation!$B$3,Lists!$B$4:$B$24,0))</f>
        <v>TMS</v>
      </c>
      <c r="B1689" s="1732" t="str">
        <f>'4L'!BE12</f>
        <v>W3006RWS</v>
      </c>
      <c r="C1689" s="1732" t="str">
        <f>+'4L'!$C12&amp;" - "&amp;'4L'!J$5</f>
        <v>Meeting lead standards - Raw water storage</v>
      </c>
      <c r="D1689" t="str">
        <f t="shared" si="22"/>
        <v>£m</v>
      </c>
      <c r="E1689" s="2" t="s">
        <v>9</v>
      </c>
      <c r="F1689" s="1634"/>
      <c r="G1689" s="1635">
        <f>'4L'!J12</f>
        <v>0</v>
      </c>
      <c r="H1689" s="1636"/>
    </row>
    <row r="1690" spans="1:8">
      <c r="A1690" s="1620" t="str">
        <f>INDEX(Lists!$C$4:$C$24,MATCH(Validation!$B$3,Lists!$B$4:$B$24,0))</f>
        <v>TMS</v>
      </c>
      <c r="B1690" s="1732" t="str">
        <f>'4L'!BE13</f>
        <v>W3007SRWS</v>
      </c>
      <c r="C1690" s="1732" t="str">
        <f>+'4L'!$C13&amp;" - "&amp;'4L'!J$5</f>
        <v>Supply side enhancements to the supply/demand balance (dry year critical / peak conditions) - Raw water storage</v>
      </c>
      <c r="D1690" t="str">
        <f t="shared" si="22"/>
        <v>£m</v>
      </c>
      <c r="E1690" s="2" t="s">
        <v>9</v>
      </c>
      <c r="F1690" s="1634"/>
      <c r="G1690" s="1635">
        <f>'4L'!J13</f>
        <v>0</v>
      </c>
      <c r="H1690" s="1636"/>
    </row>
    <row r="1691" spans="1:8">
      <c r="A1691" s="1620" t="str">
        <f>INDEX(Lists!$C$4:$C$24,MATCH(Validation!$B$3,Lists!$B$4:$B$24,0))</f>
        <v>TMS</v>
      </c>
      <c r="B1691" s="1732" t="str">
        <f>'4L'!BE14</f>
        <v>W3008SRWS</v>
      </c>
      <c r="C1691" s="1732" t="str">
        <f>+'4L'!$C14&amp;" - "&amp;'4L'!J$5</f>
        <v>Supply side enhancements to the supply/demand balance (dry year annual average conditions) - Raw water storage</v>
      </c>
      <c r="D1691" t="str">
        <f t="shared" si="22"/>
        <v>£m</v>
      </c>
      <c r="E1691" s="2" t="s">
        <v>9</v>
      </c>
      <c r="F1691" s="1634"/>
      <c r="G1691" s="1635">
        <f>'4L'!J14</f>
        <v>0</v>
      </c>
      <c r="H1691" s="1636"/>
    </row>
    <row r="1692" spans="1:8">
      <c r="A1692" s="1620" t="str">
        <f>INDEX(Lists!$C$4:$C$24,MATCH(Validation!$B$3,Lists!$B$4:$B$24,0))</f>
        <v>TMS</v>
      </c>
      <c r="B1692" s="1732" t="str">
        <f>'4L'!BE15</f>
        <v>W3007DRWS</v>
      </c>
      <c r="C1692" s="1732" t="str">
        <f>+'4L'!$C15&amp;" - "&amp;'4L'!J$5</f>
        <v>Demand side enhancements to the supply/demand balance (dry year critical / peak conditions) - Raw water storage</v>
      </c>
      <c r="D1692" t="str">
        <f t="shared" si="22"/>
        <v>£m</v>
      </c>
      <c r="E1692" s="2" t="s">
        <v>9</v>
      </c>
      <c r="F1692" s="1634"/>
      <c r="G1692" s="1635">
        <f>'4L'!J15</f>
        <v>0</v>
      </c>
      <c r="H1692" s="1636"/>
    </row>
    <row r="1693" spans="1:8">
      <c r="A1693" s="1620" t="str">
        <f>INDEX(Lists!$C$4:$C$24,MATCH(Validation!$B$3,Lists!$B$4:$B$24,0))</f>
        <v>TMS</v>
      </c>
      <c r="B1693" s="1732" t="str">
        <f>'4L'!BE16</f>
        <v>W3008DRWS</v>
      </c>
      <c r="C1693" s="1732" t="str">
        <f>+'4L'!$C16&amp;" - "&amp;'4L'!J$5</f>
        <v>Demand side enhancements to the supply/demand balance (dry year annual average conditions) - Raw water storage</v>
      </c>
      <c r="D1693" t="str">
        <f t="shared" si="22"/>
        <v>£m</v>
      </c>
      <c r="E1693" s="2" t="s">
        <v>9</v>
      </c>
      <c r="F1693" s="1634"/>
      <c r="G1693" s="1635">
        <f>'4L'!J16</f>
        <v>0</v>
      </c>
      <c r="H1693" s="1636"/>
    </row>
    <row r="1694" spans="1:8">
      <c r="A1694" s="1620" t="str">
        <f>INDEX(Lists!$C$4:$C$24,MATCH(Validation!$B$3,Lists!$B$4:$B$24,0))</f>
        <v>TMS</v>
      </c>
      <c r="B1694" s="1732" t="str">
        <f>'4L'!BE17</f>
        <v>W3009RWS</v>
      </c>
      <c r="C1694" s="1732" t="str">
        <f>+'4L'!$C17&amp;" - "&amp;'4L'!J$5</f>
        <v>New developments - Raw water storage</v>
      </c>
      <c r="D1694" t="str">
        <f t="shared" si="22"/>
        <v>£m</v>
      </c>
      <c r="E1694" s="2" t="s">
        <v>9</v>
      </c>
      <c r="F1694" s="1634"/>
      <c r="G1694" s="1635">
        <f>'4L'!J17</f>
        <v>0</v>
      </c>
      <c r="H1694" s="1636"/>
    </row>
    <row r="1695" spans="1:8">
      <c r="A1695" s="1620" t="str">
        <f>INDEX(Lists!$C$4:$C$24,MATCH(Validation!$B$3,Lists!$B$4:$B$24,0))</f>
        <v>TMS</v>
      </c>
      <c r="B1695" s="1732" t="str">
        <f>'4L'!BE18</f>
        <v>WS2004RWS</v>
      </c>
      <c r="C1695" s="1732" t="str">
        <f>+'4L'!$C18&amp;" - "&amp;'4L'!J$5</f>
        <v>New connections element of new development (CPs, meters) - Raw water storage</v>
      </c>
      <c r="D1695" t="str">
        <f t="shared" si="22"/>
        <v>£m</v>
      </c>
      <c r="E1695" s="2" t="s">
        <v>9</v>
      </c>
      <c r="F1695" s="1634"/>
      <c r="G1695" s="1635">
        <f>'4L'!J18</f>
        <v>0</v>
      </c>
      <c r="H1695" s="1636"/>
    </row>
    <row r="1696" spans="1:8">
      <c r="A1696" s="1620" t="str">
        <f>INDEX(Lists!$C$4:$C$24,MATCH(Validation!$B$3,Lists!$B$4:$B$24,0))</f>
        <v>TMS</v>
      </c>
      <c r="B1696" s="1732" t="str">
        <f>'4L'!BE19</f>
        <v>W3010RWS</v>
      </c>
      <c r="C1696" s="1732" t="str">
        <f>+'4L'!$C19&amp;" - "&amp;'4L'!J$5</f>
        <v>Investment to address raw water deterioration (THM, nitrates, Crypto, pesticides, others) - Raw water storage</v>
      </c>
      <c r="D1696" t="str">
        <f t="shared" si="22"/>
        <v>£m</v>
      </c>
      <c r="E1696" s="2" t="s">
        <v>9</v>
      </c>
      <c r="F1696" s="1634"/>
      <c r="G1696" s="1635">
        <f>'4L'!J19</f>
        <v>0</v>
      </c>
      <c r="H1696" s="1636"/>
    </row>
    <row r="1697" spans="1:8">
      <c r="A1697" s="1620" t="str">
        <f>INDEX(Lists!$C$4:$C$24,MATCH(Validation!$B$3,Lists!$B$4:$B$24,0))</f>
        <v>TMS</v>
      </c>
      <c r="B1697" s="1732" t="str">
        <f>'4L'!BE20</f>
        <v>W3011RWS</v>
      </c>
      <c r="C1697" s="1732" t="str">
        <f>+'4L'!$C20&amp;" - "&amp;'4L'!J$5</f>
        <v>Resilience - Raw water storage</v>
      </c>
      <c r="D1697" t="str">
        <f t="shared" si="22"/>
        <v>£m</v>
      </c>
      <c r="E1697" s="2" t="s">
        <v>9</v>
      </c>
      <c r="F1697" s="1634"/>
      <c r="G1697" s="1635">
        <f>'4L'!J20</f>
        <v>0</v>
      </c>
      <c r="H1697" s="1636"/>
    </row>
    <row r="1698" spans="1:8">
      <c r="A1698" s="1620" t="str">
        <f>INDEX(Lists!$C$4:$C$24,MATCH(Validation!$B$3,Lists!$B$4:$B$24,0))</f>
        <v>TMS</v>
      </c>
      <c r="B1698" s="1732" t="str">
        <f>'4L'!BE21</f>
        <v>W3012RWS</v>
      </c>
      <c r="C1698" s="1732" t="str">
        <f>+'4L'!$C21&amp;" - "&amp;'4L'!J$5</f>
        <v>SEMD - Raw water storage</v>
      </c>
      <c r="D1698" t="str">
        <f t="shared" si="22"/>
        <v>£m</v>
      </c>
      <c r="E1698" s="2" t="s">
        <v>9</v>
      </c>
      <c r="F1698" s="1634"/>
      <c r="G1698" s="1635">
        <f>'4L'!J21</f>
        <v>0</v>
      </c>
      <c r="H1698" s="1636"/>
    </row>
    <row r="1699" spans="1:8">
      <c r="A1699" s="1620" t="str">
        <f>INDEX(Lists!$C$4:$C$24,MATCH(Validation!$B$3,Lists!$B$4:$B$24,0))</f>
        <v>TMS</v>
      </c>
      <c r="B1699" s="1732" t="str">
        <f>'4L'!BE22</f>
        <v>WS2008RWS</v>
      </c>
      <c r="C1699" s="1732" t="str">
        <f>+'4L'!$C22&amp;" - "&amp;'4L'!J$5</f>
        <v>NEP - Investigations - Raw water storage</v>
      </c>
      <c r="D1699" t="str">
        <f t="shared" si="22"/>
        <v>£m</v>
      </c>
      <c r="E1699" s="2" t="s">
        <v>9</v>
      </c>
      <c r="F1699" s="1634"/>
      <c r="G1699" s="1635">
        <f>'4L'!J22</f>
        <v>0</v>
      </c>
      <c r="H1699" s="1636"/>
    </row>
    <row r="1700" spans="1:8">
      <c r="A1700" s="1620" t="str">
        <f>INDEX(Lists!$C$4:$C$24,MATCH(Validation!$B$3,Lists!$B$4:$B$24,0))</f>
        <v>TMS</v>
      </c>
      <c r="B1700" s="1732" t="str">
        <f>'4L'!BE23</f>
        <v>W3027RWS</v>
      </c>
      <c r="C1700" s="1732" t="str">
        <f>+'4L'!$C23&amp;" - "&amp;'4L'!J$5</f>
        <v>Improvements to river flows - Raw water storage</v>
      </c>
      <c r="D1700" t="str">
        <f t="shared" si="22"/>
        <v>£m</v>
      </c>
      <c r="E1700" s="2" t="s">
        <v>9</v>
      </c>
      <c r="F1700" s="1634"/>
      <c r="G1700" s="1635">
        <f>'4L'!J23</f>
        <v>0</v>
      </c>
      <c r="H1700" s="1636"/>
    </row>
    <row r="1701" spans="1:8">
      <c r="A1701" s="1620" t="str">
        <f>INDEX(Lists!$C$4:$C$24,MATCH(Validation!$B$3,Lists!$B$4:$B$24,0))</f>
        <v>TMS</v>
      </c>
      <c r="B1701" s="1732" t="str">
        <f>'4L'!BE24</f>
        <v>W3028OPTRWS</v>
      </c>
      <c r="C1701" s="1732" t="str">
        <f>+'4L'!$C24&amp;" - "&amp;'4L'!J$5</f>
        <v>Metering (excluding cost of providing metering to new service connections) - meters requested by optants - Raw water storage</v>
      </c>
      <c r="D1701" t="str">
        <f t="shared" si="22"/>
        <v>£m</v>
      </c>
      <c r="E1701" s="2" t="s">
        <v>9</v>
      </c>
      <c r="F1701" s="1634"/>
      <c r="G1701" s="1635">
        <f>'4L'!J24</f>
        <v>0</v>
      </c>
      <c r="H1701" s="1636"/>
    </row>
    <row r="1702" spans="1:8">
      <c r="A1702" s="1620" t="str">
        <f>INDEX(Lists!$C$4:$C$24,MATCH(Validation!$B$3,Lists!$B$4:$B$24,0))</f>
        <v>TMS</v>
      </c>
      <c r="B1702" s="1732" t="str">
        <f>'4L'!BE25</f>
        <v>W3028COMRWS</v>
      </c>
      <c r="C1702" s="1732" t="str">
        <f>+'4L'!$C25&amp;" - "&amp;'4L'!J$5</f>
        <v>Metering (excluding cost of providing metering to new service connections)- meters introduced by companies - Raw water storage</v>
      </c>
      <c r="D1702" t="str">
        <f t="shared" si="22"/>
        <v>£m</v>
      </c>
      <c r="E1702" s="2" t="s">
        <v>9</v>
      </c>
      <c r="F1702" s="1634"/>
      <c r="G1702" s="1635">
        <f>'4L'!J25</f>
        <v>0</v>
      </c>
      <c r="H1702" s="1636"/>
    </row>
    <row r="1703" spans="1:8">
      <c r="A1703" s="1620" t="str">
        <f>INDEX(Lists!$C$4:$C$24,MATCH(Validation!$B$3,Lists!$B$4:$B$24,0))</f>
        <v>TMS</v>
      </c>
      <c r="B1703" s="1732" t="str">
        <f>'4L'!BE26</f>
        <v>W3028NHORWS</v>
      </c>
      <c r="C1703" s="1732" t="str">
        <f>+'4L'!$C26&amp;" - "&amp;'4L'!J$5</f>
        <v>Metering (excluding cost of providing metering to new service connections) - other - Raw water storage</v>
      </c>
      <c r="D1703" t="str">
        <f t="shared" si="22"/>
        <v>£m</v>
      </c>
      <c r="E1703" s="2" t="s">
        <v>9</v>
      </c>
      <c r="F1703" s="1634"/>
      <c r="G1703" s="1635">
        <f>'4L'!J26</f>
        <v>0</v>
      </c>
      <c r="H1703" s="1636"/>
    </row>
    <row r="1704" spans="1:8">
      <c r="A1704" s="1620" t="str">
        <f>INDEX(Lists!$C$4:$C$24,MATCH(Validation!$B$3,Lists!$B$4:$B$24,0))</f>
        <v>TMS</v>
      </c>
      <c r="B1704" s="1732" t="str">
        <f>'4L'!BE27</f>
        <v>W3A00001RWS</v>
      </c>
      <c r="C1704" s="1732" t="str">
        <f>"Capital expenditure purpose - WATER additional line 1 [Other categories] - "&amp;'4L'!$J$5</f>
        <v>Capital expenditure purpose - WATER additional line 1 [Other categories] - Raw water storage</v>
      </c>
      <c r="D1704" t="str">
        <f t="shared" si="22"/>
        <v>£m</v>
      </c>
      <c r="E1704" s="2" t="s">
        <v>9</v>
      </c>
      <c r="F1704" s="1634" t="str">
        <f>+F1602</f>
        <v>NEP - Flow monitoring at water treatment works</v>
      </c>
      <c r="G1704" s="1635">
        <f>IF(ISBLANK('4L'!J27), "##BLANK", '4L'!J27)</f>
        <v>0</v>
      </c>
      <c r="H1704" s="1636"/>
    </row>
    <row r="1705" spans="1:8">
      <c r="A1705" s="1620" t="str">
        <f>INDEX(Lists!$C$4:$C$24,MATCH(Validation!$B$3,Lists!$B$4:$B$24,0))</f>
        <v>TMS</v>
      </c>
      <c r="B1705" s="1732" t="str">
        <f>'4L'!BE28</f>
        <v>W3A00002RWS</v>
      </c>
      <c r="C1705" s="1732" t="str">
        <f>"Capital expenditure purpose - WATER additional line 2 [Other categories] - "&amp;'4L'!$J$5</f>
        <v>Capital expenditure purpose - WATER additional line 2 [Other categories] - Raw water storage</v>
      </c>
      <c r="D1705" t="str">
        <f t="shared" si="22"/>
        <v>£m</v>
      </c>
      <c r="E1705" s="2" t="s">
        <v>9</v>
      </c>
      <c r="F1705" s="1634" t="str">
        <f t="shared" ref="F1705:F1718" si="23">+F1603</f>
        <v>##BLANK</v>
      </c>
      <c r="G1705" s="1635" t="str">
        <f>IF(ISBLANK('4L'!J28), "##BLANK", '4L'!J28)</f>
        <v>##BLANK</v>
      </c>
      <c r="H1705" s="1636"/>
    </row>
    <row r="1706" spans="1:8">
      <c r="A1706" s="1620" t="str">
        <f>INDEX(Lists!$C$4:$C$24,MATCH(Validation!$B$3,Lists!$B$4:$B$24,0))</f>
        <v>TMS</v>
      </c>
      <c r="B1706" s="1732" t="str">
        <f>'4L'!BE29</f>
        <v>W3A00003RWS</v>
      </c>
      <c r="C1706" s="1732" t="str">
        <f>"Capital expenditure purpose - WATER additional line 3 [Other categories] - "&amp;'4L'!$J$5</f>
        <v>Capital expenditure purpose - WATER additional line 3 [Other categories] - Raw water storage</v>
      </c>
      <c r="D1706" t="str">
        <f t="shared" si="22"/>
        <v>£m</v>
      </c>
      <c r="E1706" s="2" t="s">
        <v>9</v>
      </c>
      <c r="F1706" s="1634" t="str">
        <f t="shared" si="23"/>
        <v>##BLANK</v>
      </c>
      <c r="G1706" s="1635" t="str">
        <f>IF(ISBLANK('4L'!J29), "##BLANK", '4L'!J29)</f>
        <v>##BLANK</v>
      </c>
      <c r="H1706" s="1636"/>
    </row>
    <row r="1707" spans="1:8">
      <c r="A1707" s="1620" t="str">
        <f>INDEX(Lists!$C$4:$C$24,MATCH(Validation!$B$3,Lists!$B$4:$B$24,0))</f>
        <v>TMS</v>
      </c>
      <c r="B1707" s="1732" t="str">
        <f>'4L'!BE30</f>
        <v>W3A00004RWS</v>
      </c>
      <c r="C1707" s="1732" t="str">
        <f>"Capital expenditure purpose - WATER additional line 4 [Other categories] - "&amp;'4L'!$J$5</f>
        <v>Capital expenditure purpose - WATER additional line 4 [Other categories] - Raw water storage</v>
      </c>
      <c r="D1707" t="str">
        <f t="shared" si="22"/>
        <v>£m</v>
      </c>
      <c r="E1707" s="2" t="s">
        <v>9</v>
      </c>
      <c r="F1707" s="1634" t="str">
        <f t="shared" si="23"/>
        <v>##BLANK</v>
      </c>
      <c r="G1707" s="1635" t="str">
        <f>IF(ISBLANK('4L'!J30), "##BLANK", '4L'!J30)</f>
        <v>##BLANK</v>
      </c>
      <c r="H1707" s="1636"/>
    </row>
    <row r="1708" spans="1:8">
      <c r="A1708" s="1620" t="str">
        <f>INDEX(Lists!$C$4:$C$24,MATCH(Validation!$B$3,Lists!$B$4:$B$24,0))</f>
        <v>TMS</v>
      </c>
      <c r="B1708" s="1732" t="str">
        <f>'4L'!BE31</f>
        <v>W3A00005RWS</v>
      </c>
      <c r="C1708" s="1732" t="str">
        <f>"Capital expenditure purpose - WATER additional line 5 [Other categories] - "&amp;'4L'!$J$5</f>
        <v>Capital expenditure purpose - WATER additional line 5 [Other categories] - Raw water storage</v>
      </c>
      <c r="D1708" t="str">
        <f t="shared" si="22"/>
        <v>£m</v>
      </c>
      <c r="E1708" s="2" t="s">
        <v>9</v>
      </c>
      <c r="F1708" s="1634" t="str">
        <f t="shared" si="23"/>
        <v>##BLANK</v>
      </c>
      <c r="G1708" s="1635" t="str">
        <f>IF(ISBLANK('4L'!J31), "##BLANK", '4L'!J31)</f>
        <v>##BLANK</v>
      </c>
      <c r="H1708" s="1636"/>
    </row>
    <row r="1709" spans="1:8">
      <c r="A1709" s="1620" t="str">
        <f>INDEX(Lists!$C$4:$C$24,MATCH(Validation!$B$3,Lists!$B$4:$B$24,0))</f>
        <v>TMS</v>
      </c>
      <c r="B1709" s="1732" t="str">
        <f>'4L'!BE32</f>
        <v>W3A00006RWS</v>
      </c>
      <c r="C1709" s="1732" t="str">
        <f>"Capital expenditure purpose - WATER additional line 6 [Other categories] - "&amp;'4L'!$J$5</f>
        <v>Capital expenditure purpose - WATER additional line 6 [Other categories] - Raw water storage</v>
      </c>
      <c r="D1709" t="str">
        <f t="shared" si="22"/>
        <v>£m</v>
      </c>
      <c r="E1709" s="2" t="s">
        <v>9</v>
      </c>
      <c r="F1709" s="1634" t="str">
        <f t="shared" si="23"/>
        <v>##BLANK</v>
      </c>
      <c r="G1709" s="1635" t="str">
        <f>IF(ISBLANK('4L'!J32), "##BLANK", '4L'!J32)</f>
        <v>##BLANK</v>
      </c>
      <c r="H1709" s="1636"/>
    </row>
    <row r="1710" spans="1:8">
      <c r="A1710" s="1620" t="str">
        <f>INDEX(Lists!$C$4:$C$24,MATCH(Validation!$B$3,Lists!$B$4:$B$24,0))</f>
        <v>TMS</v>
      </c>
      <c r="B1710" s="1732" t="str">
        <f>'4L'!BE33</f>
        <v>W3A00007RWS</v>
      </c>
      <c r="C1710" s="1732" t="str">
        <f>"Capital expenditure purpose - WATER additional line 7 [Other categories] - "&amp;'4L'!$J$5</f>
        <v>Capital expenditure purpose - WATER additional line 7 [Other categories] - Raw water storage</v>
      </c>
      <c r="D1710" t="str">
        <f t="shared" si="22"/>
        <v>£m</v>
      </c>
      <c r="E1710" s="2" t="s">
        <v>9</v>
      </c>
      <c r="F1710" s="1634" t="str">
        <f t="shared" si="23"/>
        <v>##BLANK</v>
      </c>
      <c r="G1710" s="1635" t="str">
        <f>IF(ISBLANK('4L'!J33), "##BLANK", '4L'!J33)</f>
        <v>##BLANK</v>
      </c>
      <c r="H1710" s="1636"/>
    </row>
    <row r="1711" spans="1:8">
      <c r="A1711" s="1620" t="str">
        <f>INDEX(Lists!$C$4:$C$24,MATCH(Validation!$B$3,Lists!$B$4:$B$24,0))</f>
        <v>TMS</v>
      </c>
      <c r="B1711" s="1732" t="str">
        <f>'4L'!BE34</f>
        <v>W3A00008RWS</v>
      </c>
      <c r="C1711" s="1732" t="str">
        <f>"Capital expenditure purpose - WATER additional line 8 [Other categories] - "&amp;'4L'!$J$5</f>
        <v>Capital expenditure purpose - WATER additional line 8 [Other categories] - Raw water storage</v>
      </c>
      <c r="D1711" t="str">
        <f t="shared" si="22"/>
        <v>£m</v>
      </c>
      <c r="E1711" s="2" t="s">
        <v>9</v>
      </c>
      <c r="F1711" s="1634" t="str">
        <f t="shared" si="23"/>
        <v>##BLANK</v>
      </c>
      <c r="G1711" s="1635" t="str">
        <f>IF(ISBLANK('4L'!J34), "##BLANK", '4L'!J34)</f>
        <v>##BLANK</v>
      </c>
      <c r="H1711" s="1636"/>
    </row>
    <row r="1712" spans="1:8">
      <c r="A1712" s="1620" t="str">
        <f>INDEX(Lists!$C$4:$C$24,MATCH(Validation!$B$3,Lists!$B$4:$B$24,0))</f>
        <v>TMS</v>
      </c>
      <c r="B1712" s="1732" t="str">
        <f>'4L'!BE35</f>
        <v>W3A00009RWS</v>
      </c>
      <c r="C1712" s="1732" t="str">
        <f>"Capital expenditure purpose - WATER additional line 9 [Other categories] - "&amp;'4L'!$J$5</f>
        <v>Capital expenditure purpose - WATER additional line 9 [Other categories] - Raw water storage</v>
      </c>
      <c r="D1712" t="str">
        <f t="shared" si="22"/>
        <v>£m</v>
      </c>
      <c r="E1712" s="2" t="s">
        <v>9</v>
      </c>
      <c r="F1712" s="1634" t="str">
        <f t="shared" si="23"/>
        <v>##BLANK</v>
      </c>
      <c r="G1712" s="1635" t="str">
        <f>IF(ISBLANK('4L'!J35), "##BLANK", '4L'!J35)</f>
        <v>##BLANK</v>
      </c>
      <c r="H1712" s="1636"/>
    </row>
    <row r="1713" spans="1:8">
      <c r="A1713" s="1620" t="str">
        <f>INDEX(Lists!$C$4:$C$24,MATCH(Validation!$B$3,Lists!$B$4:$B$24,0))</f>
        <v>TMS</v>
      </c>
      <c r="B1713" s="1732" t="str">
        <f>'4L'!BE36</f>
        <v>W3A00010RWS</v>
      </c>
      <c r="C1713" s="1732" t="str">
        <f>"Capital expenditure purpose - WATER additional line 10 [Other categories] - "&amp;'4L'!$J$5</f>
        <v>Capital expenditure purpose - WATER additional line 10 [Other categories] - Raw water storage</v>
      </c>
      <c r="D1713" t="str">
        <f t="shared" si="22"/>
        <v>£m</v>
      </c>
      <c r="E1713" s="2" t="s">
        <v>9</v>
      </c>
      <c r="F1713" s="1634" t="str">
        <f t="shared" si="23"/>
        <v>##BLANK</v>
      </c>
      <c r="G1713" s="1635" t="str">
        <f>IF(ISBLANK('4L'!J36), "##BLANK", '4L'!J36)</f>
        <v>##BLANK</v>
      </c>
      <c r="H1713" s="1636"/>
    </row>
    <row r="1714" spans="1:8">
      <c r="A1714" s="1620" t="str">
        <f>INDEX(Lists!$C$4:$C$24,MATCH(Validation!$B$3,Lists!$B$4:$B$24,0))</f>
        <v>TMS</v>
      </c>
      <c r="B1714" s="1732" t="str">
        <f>'4L'!BE37</f>
        <v>W3A00011RWS</v>
      </c>
      <c r="C1714" s="1732" t="str">
        <f>"Capital expenditure purpose - WATER additional line 11 [Other categories] - "&amp;'4L'!$J$5</f>
        <v>Capital expenditure purpose - WATER additional line 11 [Other categories] - Raw water storage</v>
      </c>
      <c r="D1714" t="str">
        <f t="shared" si="22"/>
        <v>£m</v>
      </c>
      <c r="E1714" s="2" t="s">
        <v>9</v>
      </c>
      <c r="F1714" s="1634" t="str">
        <f t="shared" si="23"/>
        <v>##BLANK</v>
      </c>
      <c r="G1714" s="1635" t="str">
        <f>IF(ISBLANK('4L'!J37), "##BLANK", '4L'!J37)</f>
        <v>##BLANK</v>
      </c>
      <c r="H1714" s="1636"/>
    </row>
    <row r="1715" spans="1:8">
      <c r="A1715" s="1620" t="str">
        <f>INDEX(Lists!$C$4:$C$24,MATCH(Validation!$B$3,Lists!$B$4:$B$24,0))</f>
        <v>TMS</v>
      </c>
      <c r="B1715" s="1732" t="str">
        <f>'4L'!BE38</f>
        <v>W3A00012RWS</v>
      </c>
      <c r="C1715" s="1732" t="str">
        <f>"Capital expenditure purpose - WATER additional line 12 [Other categories] - "&amp;'4L'!$J$5</f>
        <v>Capital expenditure purpose - WATER additional line 12 [Other categories] - Raw water storage</v>
      </c>
      <c r="D1715" t="str">
        <f t="shared" si="22"/>
        <v>£m</v>
      </c>
      <c r="E1715" s="2" t="s">
        <v>9</v>
      </c>
      <c r="F1715" s="1634" t="str">
        <f t="shared" si="23"/>
        <v>##BLANK</v>
      </c>
      <c r="G1715" s="1635" t="str">
        <f>IF(ISBLANK('4L'!J38), "##BLANK", '4L'!J38)</f>
        <v>##BLANK</v>
      </c>
      <c r="H1715" s="1636"/>
    </row>
    <row r="1716" spans="1:8">
      <c r="A1716" s="1620" t="str">
        <f>INDEX(Lists!$C$4:$C$24,MATCH(Validation!$B$3,Lists!$B$4:$B$24,0))</f>
        <v>TMS</v>
      </c>
      <c r="B1716" s="1732" t="str">
        <f>'4L'!BE39</f>
        <v>W3A00013RWS</v>
      </c>
      <c r="C1716" s="1732" t="str">
        <f>"Capital expenditure purpose - WATER additional line 13 [Other categories] - "&amp;'4L'!$J$5</f>
        <v>Capital expenditure purpose - WATER additional line 13 [Other categories] - Raw water storage</v>
      </c>
      <c r="D1716" t="str">
        <f t="shared" si="22"/>
        <v>£m</v>
      </c>
      <c r="E1716" s="2" t="s">
        <v>9</v>
      </c>
      <c r="F1716" s="1634" t="str">
        <f t="shared" si="23"/>
        <v>##BLANK</v>
      </c>
      <c r="G1716" s="1635" t="str">
        <f>IF(ISBLANK('4L'!J39), "##BLANK", '4L'!J39)</f>
        <v>##BLANK</v>
      </c>
      <c r="H1716" s="1636"/>
    </row>
    <row r="1717" spans="1:8">
      <c r="A1717" s="1620" t="str">
        <f>INDEX(Lists!$C$4:$C$24,MATCH(Validation!$B$3,Lists!$B$4:$B$24,0))</f>
        <v>TMS</v>
      </c>
      <c r="B1717" s="1732" t="str">
        <f>'4L'!BE40</f>
        <v>W3A00014RWS</v>
      </c>
      <c r="C1717" s="1732" t="str">
        <f>"Capital expenditure purpose - WATER additional line 14 [Other categories] - "&amp;'4L'!$J$5</f>
        <v>Capital expenditure purpose - WATER additional line 14 [Other categories] - Raw water storage</v>
      </c>
      <c r="D1717" t="str">
        <f t="shared" si="22"/>
        <v>£m</v>
      </c>
      <c r="E1717" s="2" t="s">
        <v>9</v>
      </c>
      <c r="F1717" s="1634" t="str">
        <f t="shared" si="23"/>
        <v>##BLANK</v>
      </c>
      <c r="G1717" s="1635" t="str">
        <f>IF(ISBLANK('4L'!J40), "##BLANK", '4L'!J40)</f>
        <v>##BLANK</v>
      </c>
      <c r="H1717" s="1636"/>
    </row>
    <row r="1718" spans="1:8">
      <c r="A1718" s="1730" t="str">
        <f>INDEX(Lists!$C$4:$C$24,MATCH(Validation!$B$3,Lists!$B$4:$B$24,0))</f>
        <v>TMS</v>
      </c>
      <c r="B1718" s="1734" t="str">
        <f>'4L'!BE41</f>
        <v>W3A00015RWS</v>
      </c>
      <c r="C1718" s="1734" t="str">
        <f>"Capital expenditure purpose - WATER additional line 15 [Other categories] - "&amp;'4L'!$J$5</f>
        <v>Capital expenditure purpose - WATER additional line 15 [Other categories] - Raw water storage</v>
      </c>
      <c r="D1718" s="1819" t="str">
        <f t="shared" si="22"/>
        <v>£m</v>
      </c>
      <c r="E1718" s="1651" t="s">
        <v>9</v>
      </c>
      <c r="F1718" s="1637" t="str">
        <f t="shared" si="23"/>
        <v>##BLANK</v>
      </c>
      <c r="G1718" s="1653" t="str">
        <f>IF(ISBLANK('4L'!J41), "##BLANK", '4L'!J41)</f>
        <v>##BLANK</v>
      </c>
      <c r="H1718" s="1652"/>
    </row>
    <row r="1719" spans="1:8">
      <c r="A1719" s="1620" t="str">
        <f>INDEX(Lists!$C$4:$C$24,MATCH(Validation!$B$3,Lists!$B$4:$B$24,0))</f>
        <v>TMS</v>
      </c>
      <c r="B1719" s="1732" t="str">
        <f>'4L'!BF8</f>
        <v>W3001WT</v>
      </c>
      <c r="C1719" s="1732" t="str">
        <f>+'4L'!$C8&amp;" - "&amp;'4L'!K$5</f>
        <v>NEP - Making ecological improvements at abstractions (Habitats Directive, SSSI, NERC, BAPs) - Water treatment</v>
      </c>
      <c r="D1719" t="str">
        <f t="shared" si="22"/>
        <v>£m</v>
      </c>
      <c r="E1719" s="2" t="s">
        <v>9</v>
      </c>
      <c r="F1719" s="1634"/>
      <c r="G1719" s="1635">
        <f>'4L'!K8</f>
        <v>8.0368452156244115E-8</v>
      </c>
      <c r="H1719" s="1636"/>
    </row>
    <row r="1720" spans="1:8">
      <c r="A1720" s="1620" t="str">
        <f>INDEX(Lists!$C$4:$C$24,MATCH(Validation!$B$3,Lists!$B$4:$B$24,0))</f>
        <v>TMS</v>
      </c>
      <c r="B1720" s="1732" t="str">
        <f>'4L'!BF9</f>
        <v>WS2002WT</v>
      </c>
      <c r="C1720" s="1732" t="str">
        <f>+'4L'!$C9&amp;" - "&amp;'4L'!K$5</f>
        <v>NEP - Eels Regulations (measures at intakes) - Water treatment</v>
      </c>
      <c r="D1720" t="str">
        <f t="shared" si="22"/>
        <v>£m</v>
      </c>
      <c r="E1720" s="2" t="s">
        <v>9</v>
      </c>
      <c r="F1720" s="1634"/>
      <c r="G1720" s="1635">
        <f>'4L'!K9</f>
        <v>0</v>
      </c>
      <c r="H1720" s="1636"/>
    </row>
    <row r="1721" spans="1:8">
      <c r="A1721" s="1620" t="str">
        <f>INDEX(Lists!$C$4:$C$24,MATCH(Validation!$B$3,Lists!$B$4:$B$24,0))</f>
        <v>TMS</v>
      </c>
      <c r="B1721" s="1732" t="str">
        <f>'4L'!BF10</f>
        <v>W3002WT</v>
      </c>
      <c r="C1721" s="1732" t="str">
        <f>+'4L'!$C10&amp;" - "&amp;'4L'!K$5</f>
        <v>Addressing low pressure - Water treatment</v>
      </c>
      <c r="D1721" t="str">
        <f t="shared" si="22"/>
        <v>£m</v>
      </c>
      <c r="E1721" s="2" t="s">
        <v>9</v>
      </c>
      <c r="F1721" s="1634"/>
      <c r="G1721" s="1635">
        <f>'4L'!K10</f>
        <v>0</v>
      </c>
      <c r="H1721" s="1636"/>
    </row>
    <row r="1722" spans="1:8">
      <c r="A1722" s="1620" t="str">
        <f>INDEX(Lists!$C$4:$C$24,MATCH(Validation!$B$3,Lists!$B$4:$B$24,0))</f>
        <v>TMS</v>
      </c>
      <c r="B1722" s="1732" t="str">
        <f>'4L'!BF11</f>
        <v>W3003WT</v>
      </c>
      <c r="C1722" s="1732" t="str">
        <f>+'4L'!$C11&amp;" - "&amp;'4L'!K$5</f>
        <v>Improving taste / odour / colour - Water treatment</v>
      </c>
      <c r="D1722" t="str">
        <f t="shared" si="22"/>
        <v>£m</v>
      </c>
      <c r="E1722" s="2" t="s">
        <v>9</v>
      </c>
      <c r="F1722" s="1634"/>
      <c r="G1722" s="1635">
        <f>'4L'!K11</f>
        <v>0</v>
      </c>
      <c r="H1722" s="1636"/>
    </row>
    <row r="1723" spans="1:8">
      <c r="A1723" s="1620" t="str">
        <f>INDEX(Lists!$C$4:$C$24,MATCH(Validation!$B$3,Lists!$B$4:$B$24,0))</f>
        <v>TMS</v>
      </c>
      <c r="B1723" s="1732" t="str">
        <f>'4L'!BF12</f>
        <v>W3006WT</v>
      </c>
      <c r="C1723" s="1732" t="str">
        <f>+'4L'!$C12&amp;" - "&amp;'4L'!K$5</f>
        <v>Meeting lead standards - Water treatment</v>
      </c>
      <c r="D1723" t="str">
        <f t="shared" si="22"/>
        <v>£m</v>
      </c>
      <c r="E1723" s="2" t="s">
        <v>9</v>
      </c>
      <c r="F1723" s="1634"/>
      <c r="G1723" s="1635">
        <f>'4L'!K12</f>
        <v>-7.1269406136783148E-2</v>
      </c>
      <c r="H1723" s="1636"/>
    </row>
    <row r="1724" spans="1:8">
      <c r="A1724" s="1620" t="str">
        <f>INDEX(Lists!$C$4:$C$24,MATCH(Validation!$B$3,Lists!$B$4:$B$24,0))</f>
        <v>TMS</v>
      </c>
      <c r="B1724" s="1732" t="str">
        <f>'4L'!BF13</f>
        <v>W3007SWT</v>
      </c>
      <c r="C1724" s="1732" t="str">
        <f>+'4L'!$C13&amp;" - "&amp;'4L'!K$5</f>
        <v>Supply side enhancements to the supply/demand balance (dry year critical / peak conditions) - Water treatment</v>
      </c>
      <c r="D1724" t="str">
        <f t="shared" si="22"/>
        <v>£m</v>
      </c>
      <c r="E1724" s="2" t="s">
        <v>9</v>
      </c>
      <c r="F1724" s="1634"/>
      <c r="G1724" s="1635">
        <f>'4L'!K13</f>
        <v>0</v>
      </c>
      <c r="H1724" s="1636"/>
    </row>
    <row r="1725" spans="1:8">
      <c r="A1725" s="1620" t="str">
        <f>INDEX(Lists!$C$4:$C$24,MATCH(Validation!$B$3,Lists!$B$4:$B$24,0))</f>
        <v>TMS</v>
      </c>
      <c r="B1725" s="1732" t="str">
        <f>'4L'!BF14</f>
        <v>W3008SWT</v>
      </c>
      <c r="C1725" s="1732" t="str">
        <f>+'4L'!$C14&amp;" - "&amp;'4L'!K$5</f>
        <v>Supply side enhancements to the supply/demand balance (dry year annual average conditions) - Water treatment</v>
      </c>
      <c r="D1725" t="str">
        <f t="shared" si="22"/>
        <v>£m</v>
      </c>
      <c r="E1725" s="2" t="s">
        <v>9</v>
      </c>
      <c r="F1725" s="1634"/>
      <c r="G1725" s="1635">
        <f>'4L'!K14</f>
        <v>1.7655341569683709E-4</v>
      </c>
      <c r="H1725" s="1636"/>
    </row>
    <row r="1726" spans="1:8">
      <c r="A1726" s="1620" t="str">
        <f>INDEX(Lists!$C$4:$C$24,MATCH(Validation!$B$3,Lists!$B$4:$B$24,0))</f>
        <v>TMS</v>
      </c>
      <c r="B1726" s="1732" t="str">
        <f>'4L'!BF15</f>
        <v>W3007DWT</v>
      </c>
      <c r="C1726" s="1732" t="str">
        <f>+'4L'!$C15&amp;" - "&amp;'4L'!K$5</f>
        <v>Demand side enhancements to the supply/demand balance (dry year critical / peak conditions) - Water treatment</v>
      </c>
      <c r="D1726" t="str">
        <f t="shared" si="22"/>
        <v>£m</v>
      </c>
      <c r="E1726" s="2" t="s">
        <v>9</v>
      </c>
      <c r="F1726" s="1634"/>
      <c r="G1726" s="1635">
        <f>'4L'!K15</f>
        <v>0</v>
      </c>
      <c r="H1726" s="1636"/>
    </row>
    <row r="1727" spans="1:8">
      <c r="A1727" s="1620" t="str">
        <f>INDEX(Lists!$C$4:$C$24,MATCH(Validation!$B$3,Lists!$B$4:$B$24,0))</f>
        <v>TMS</v>
      </c>
      <c r="B1727" s="1732" t="str">
        <f>'4L'!BF16</f>
        <v>W3008DWT</v>
      </c>
      <c r="C1727" s="1732" t="str">
        <f>+'4L'!$C16&amp;" - "&amp;'4L'!K$5</f>
        <v>Demand side enhancements to the supply/demand balance (dry year annual average conditions) - Water treatment</v>
      </c>
      <c r="D1727" t="str">
        <f t="shared" si="22"/>
        <v>£m</v>
      </c>
      <c r="E1727" s="2" t="s">
        <v>9</v>
      </c>
      <c r="F1727" s="1634"/>
      <c r="G1727" s="1635">
        <f>'4L'!K16</f>
        <v>2.6483012354525565E-4</v>
      </c>
      <c r="H1727" s="1636"/>
    </row>
    <row r="1728" spans="1:8">
      <c r="A1728" s="1620" t="str">
        <f>INDEX(Lists!$C$4:$C$24,MATCH(Validation!$B$3,Lists!$B$4:$B$24,0))</f>
        <v>TMS</v>
      </c>
      <c r="B1728" s="1732" t="str">
        <f>'4L'!BF17</f>
        <v>W3009WT</v>
      </c>
      <c r="C1728" s="1732" t="str">
        <f>+'4L'!$C17&amp;" - "&amp;'4L'!K$5</f>
        <v>New developments - Water treatment</v>
      </c>
      <c r="D1728" t="str">
        <f t="shared" si="22"/>
        <v>£m</v>
      </c>
      <c r="E1728" s="2" t="s">
        <v>9</v>
      </c>
      <c r="F1728" s="1634"/>
      <c r="G1728" s="1635">
        <f>'4L'!K17</f>
        <v>0</v>
      </c>
      <c r="H1728" s="1636"/>
    </row>
    <row r="1729" spans="1:8">
      <c r="A1729" s="1620" t="str">
        <f>INDEX(Lists!$C$4:$C$24,MATCH(Validation!$B$3,Lists!$B$4:$B$24,0))</f>
        <v>TMS</v>
      </c>
      <c r="B1729" s="1732" t="str">
        <f>'4L'!BF18</f>
        <v>WS2004WT</v>
      </c>
      <c r="C1729" s="1732" t="str">
        <f>+'4L'!$C18&amp;" - "&amp;'4L'!K$5</f>
        <v>New connections element of new development (CPs, meters) - Water treatment</v>
      </c>
      <c r="D1729" t="str">
        <f t="shared" si="22"/>
        <v>£m</v>
      </c>
      <c r="E1729" s="2" t="s">
        <v>9</v>
      </c>
      <c r="F1729" s="1634"/>
      <c r="G1729" s="1635">
        <f>'4L'!K18</f>
        <v>0</v>
      </c>
      <c r="H1729" s="1636"/>
    </row>
    <row r="1730" spans="1:8">
      <c r="A1730" s="1620" t="str">
        <f>INDEX(Lists!$C$4:$C$24,MATCH(Validation!$B$3,Lists!$B$4:$B$24,0))</f>
        <v>TMS</v>
      </c>
      <c r="B1730" s="1732" t="str">
        <f>'4L'!BF19</f>
        <v>W3010WT</v>
      </c>
      <c r="C1730" s="1732" t="str">
        <f>+'4L'!$C19&amp;" - "&amp;'4L'!K$5</f>
        <v>Investment to address raw water deterioration (THM, nitrates, Crypto, pesticides, others) - Water treatment</v>
      </c>
      <c r="D1730" t="str">
        <f t="shared" si="22"/>
        <v>£m</v>
      </c>
      <c r="E1730" s="2" t="s">
        <v>9</v>
      </c>
      <c r="F1730" s="1634"/>
      <c r="G1730" s="1635">
        <f>'4L'!K19</f>
        <v>0.1724807998006678</v>
      </c>
      <c r="H1730" s="1636"/>
    </row>
    <row r="1731" spans="1:8">
      <c r="A1731" s="1620" t="str">
        <f>INDEX(Lists!$C$4:$C$24,MATCH(Validation!$B$3,Lists!$B$4:$B$24,0))</f>
        <v>TMS</v>
      </c>
      <c r="B1731" s="1732" t="str">
        <f>'4L'!BF20</f>
        <v>W3011WT</v>
      </c>
      <c r="C1731" s="1732" t="str">
        <f>+'4L'!$C20&amp;" - "&amp;'4L'!K$5</f>
        <v>Resilience - Water treatment</v>
      </c>
      <c r="D1731" t="str">
        <f t="shared" si="22"/>
        <v>£m</v>
      </c>
      <c r="E1731" s="2" t="s">
        <v>9</v>
      </c>
      <c r="F1731" s="1634"/>
      <c r="G1731" s="1635">
        <f>'4L'!K20</f>
        <v>-8.0955797233299556E-2</v>
      </c>
      <c r="H1731" s="1636"/>
    </row>
    <row r="1732" spans="1:8">
      <c r="A1732" s="1620" t="str">
        <f>INDEX(Lists!$C$4:$C$24,MATCH(Validation!$B$3,Lists!$B$4:$B$24,0))</f>
        <v>TMS</v>
      </c>
      <c r="B1732" s="1732" t="str">
        <f>'4L'!BF21</f>
        <v>W3012WT</v>
      </c>
      <c r="C1732" s="1732" t="str">
        <f>+'4L'!$C21&amp;" - "&amp;'4L'!K$5</f>
        <v>SEMD - Water treatment</v>
      </c>
      <c r="D1732" t="str">
        <f t="shared" si="22"/>
        <v>£m</v>
      </c>
      <c r="E1732" s="2" t="s">
        <v>9</v>
      </c>
      <c r="F1732" s="1634"/>
      <c r="G1732" s="1635">
        <f>'4L'!K21</f>
        <v>7.4971920702022077</v>
      </c>
      <c r="H1732" s="1636"/>
    </row>
    <row r="1733" spans="1:8">
      <c r="A1733" s="1620" t="str">
        <f>INDEX(Lists!$C$4:$C$24,MATCH(Validation!$B$3,Lists!$B$4:$B$24,0))</f>
        <v>TMS</v>
      </c>
      <c r="B1733" s="1732" t="str">
        <f>'4L'!BF22</f>
        <v>WS2008WT</v>
      </c>
      <c r="C1733" s="1732" t="str">
        <f>+'4L'!$C22&amp;" - "&amp;'4L'!K$5</f>
        <v>NEP - Investigations - Water treatment</v>
      </c>
      <c r="D1733" t="str">
        <f t="shared" si="22"/>
        <v>£m</v>
      </c>
      <c r="E1733" s="2" t="s">
        <v>9</v>
      </c>
      <c r="F1733" s="1634"/>
      <c r="G1733" s="1635">
        <f>'4L'!K22</f>
        <v>0</v>
      </c>
      <c r="H1733" s="1636"/>
    </row>
    <row r="1734" spans="1:8">
      <c r="A1734" s="1620" t="str">
        <f>INDEX(Lists!$C$4:$C$24,MATCH(Validation!$B$3,Lists!$B$4:$B$24,0))</f>
        <v>TMS</v>
      </c>
      <c r="B1734" s="1732" t="str">
        <f>'4L'!BF23</f>
        <v>W3027WT</v>
      </c>
      <c r="C1734" s="1732" t="str">
        <f>+'4L'!$C23&amp;" - "&amp;'4L'!K$5</f>
        <v>Improvements to river flows - Water treatment</v>
      </c>
      <c r="D1734" t="str">
        <f t="shared" si="22"/>
        <v>£m</v>
      </c>
      <c r="E1734" s="2" t="s">
        <v>9</v>
      </c>
      <c r="F1734" s="1634"/>
      <c r="G1734" s="1635">
        <f>'4L'!K23</f>
        <v>0</v>
      </c>
      <c r="H1734" s="1636"/>
    </row>
    <row r="1735" spans="1:8">
      <c r="A1735" s="1620" t="str">
        <f>INDEX(Lists!$C$4:$C$24,MATCH(Validation!$B$3,Lists!$B$4:$B$24,0))</f>
        <v>TMS</v>
      </c>
      <c r="B1735" s="1732" t="str">
        <f>'4L'!BF24</f>
        <v>W3028OPTWT</v>
      </c>
      <c r="C1735" s="1732" t="str">
        <f>+'4L'!$C24&amp;" - "&amp;'4L'!K$5</f>
        <v>Metering (excluding cost of providing metering to new service connections) - meters requested by optants - Water treatment</v>
      </c>
      <c r="D1735" t="str">
        <f t="shared" si="22"/>
        <v>£m</v>
      </c>
      <c r="E1735" s="2" t="s">
        <v>9</v>
      </c>
      <c r="F1735" s="1634"/>
      <c r="G1735" s="1635">
        <f>'4L'!K24</f>
        <v>0</v>
      </c>
      <c r="H1735" s="1636"/>
    </row>
    <row r="1736" spans="1:8">
      <c r="A1736" s="1620" t="str">
        <f>INDEX(Lists!$C$4:$C$24,MATCH(Validation!$B$3,Lists!$B$4:$B$24,0))</f>
        <v>TMS</v>
      </c>
      <c r="B1736" s="1732" t="str">
        <f>'4L'!BF25</f>
        <v>W3028COMWT</v>
      </c>
      <c r="C1736" s="1732" t="str">
        <f>+'4L'!$C25&amp;" - "&amp;'4L'!K$5</f>
        <v>Metering (excluding cost of providing metering to new service connections)- meters introduced by companies - Water treatment</v>
      </c>
      <c r="D1736" t="str">
        <f t="shared" si="22"/>
        <v>£m</v>
      </c>
      <c r="E1736" s="2" t="s">
        <v>9</v>
      </c>
      <c r="F1736" s="1634"/>
      <c r="G1736" s="1635">
        <f>'4L'!K25</f>
        <v>0</v>
      </c>
      <c r="H1736" s="1636"/>
    </row>
    <row r="1737" spans="1:8">
      <c r="A1737" s="1620" t="str">
        <f>INDEX(Lists!$C$4:$C$24,MATCH(Validation!$B$3,Lists!$B$4:$B$24,0))</f>
        <v>TMS</v>
      </c>
      <c r="B1737" s="1732" t="str">
        <f>'4L'!BF26</f>
        <v>W3028NHOWT</v>
      </c>
      <c r="C1737" s="1732" t="str">
        <f>+'4L'!$C26&amp;" - "&amp;'4L'!K$5</f>
        <v>Metering (excluding cost of providing metering to new service connections) - other - Water treatment</v>
      </c>
      <c r="D1737" t="str">
        <f t="shared" si="22"/>
        <v>£m</v>
      </c>
      <c r="E1737" s="2" t="s">
        <v>9</v>
      </c>
      <c r="F1737" s="1634"/>
      <c r="G1737" s="1635">
        <f>'4L'!K26</f>
        <v>0</v>
      </c>
      <c r="H1737" s="1636"/>
    </row>
    <row r="1738" spans="1:8">
      <c r="A1738" s="1620" t="str">
        <f>INDEX(Lists!$C$4:$C$24,MATCH(Validation!$B$3,Lists!$B$4:$B$24,0))</f>
        <v>TMS</v>
      </c>
      <c r="B1738" s="1732" t="str">
        <f>'4L'!BF27</f>
        <v>W3A00001WT</v>
      </c>
      <c r="C1738" s="1732" t="str">
        <f>"Capital expenditure purpose - WATER additional line 1 [Other categories] - "&amp;'4L'!$K$5</f>
        <v>Capital expenditure purpose - WATER additional line 1 [Other categories] - Water treatment</v>
      </c>
      <c r="D1738" t="str">
        <f t="shared" si="22"/>
        <v>£m</v>
      </c>
      <c r="E1738" s="2" t="s">
        <v>9</v>
      </c>
      <c r="F1738" s="1634" t="str">
        <f>F1602</f>
        <v>NEP - Flow monitoring at water treatment works</v>
      </c>
      <c r="G1738" s="1635">
        <f>IF(ISBLANK('4L'!K27), "##BLANK", '4L'!K27)</f>
        <v>0</v>
      </c>
      <c r="H1738" s="1636"/>
    </row>
    <row r="1739" spans="1:8">
      <c r="A1739" s="1620" t="str">
        <f>INDEX(Lists!$C$4:$C$24,MATCH(Validation!$B$3,Lists!$B$4:$B$24,0))</f>
        <v>TMS</v>
      </c>
      <c r="B1739" s="1732" t="str">
        <f>'4L'!BF28</f>
        <v>W3A00002WT</v>
      </c>
      <c r="C1739" s="1732" t="str">
        <f>"Capital expenditure purpose - WATER additional line 2 [Other categories] - "&amp;'4L'!$K$5</f>
        <v>Capital expenditure purpose - WATER additional line 2 [Other categories] - Water treatment</v>
      </c>
      <c r="D1739" t="str">
        <f t="shared" si="22"/>
        <v>£m</v>
      </c>
      <c r="E1739" s="2" t="s">
        <v>9</v>
      </c>
      <c r="F1739" s="1634" t="str">
        <f t="shared" ref="F1739:F1752" si="24">F1603</f>
        <v>##BLANK</v>
      </c>
      <c r="G1739" s="1635" t="str">
        <f>IF(ISBLANK('4L'!K28), "##BLANK", '4L'!K28)</f>
        <v>##BLANK</v>
      </c>
      <c r="H1739" s="1636"/>
    </row>
    <row r="1740" spans="1:8">
      <c r="A1740" s="1620" t="str">
        <f>INDEX(Lists!$C$4:$C$24,MATCH(Validation!$B$3,Lists!$B$4:$B$24,0))</f>
        <v>TMS</v>
      </c>
      <c r="B1740" s="1732" t="str">
        <f>'4L'!BF29</f>
        <v>W3A00003WT</v>
      </c>
      <c r="C1740" s="1732" t="str">
        <f>"Capital expenditure purpose - WATER additional line 3 [Other categories] - "&amp;'4L'!$K$5</f>
        <v>Capital expenditure purpose - WATER additional line 3 [Other categories] - Water treatment</v>
      </c>
      <c r="D1740" t="str">
        <f t="shared" si="22"/>
        <v>£m</v>
      </c>
      <c r="E1740" s="2" t="s">
        <v>9</v>
      </c>
      <c r="F1740" s="1634" t="str">
        <f t="shared" si="24"/>
        <v>##BLANK</v>
      </c>
      <c r="G1740" s="1635" t="str">
        <f>IF(ISBLANK('4L'!K29), "##BLANK", '4L'!K29)</f>
        <v>##BLANK</v>
      </c>
      <c r="H1740" s="1636"/>
    </row>
    <row r="1741" spans="1:8">
      <c r="A1741" s="1620" t="str">
        <f>INDEX(Lists!$C$4:$C$24,MATCH(Validation!$B$3,Lists!$B$4:$B$24,0))</f>
        <v>TMS</v>
      </c>
      <c r="B1741" s="1732" t="str">
        <f>'4L'!BF30</f>
        <v>W3A00004WT</v>
      </c>
      <c r="C1741" s="1732" t="str">
        <f>"Capital expenditure purpose - WATER additional line 4 [Other categories] - "&amp;'4L'!$K$5</f>
        <v>Capital expenditure purpose - WATER additional line 4 [Other categories] - Water treatment</v>
      </c>
      <c r="D1741" t="str">
        <f t="shared" si="22"/>
        <v>£m</v>
      </c>
      <c r="E1741" s="2" t="s">
        <v>9</v>
      </c>
      <c r="F1741" s="1634" t="str">
        <f t="shared" si="24"/>
        <v>##BLANK</v>
      </c>
      <c r="G1741" s="1635" t="str">
        <f>IF(ISBLANK('4L'!K30), "##BLANK", '4L'!K30)</f>
        <v>##BLANK</v>
      </c>
      <c r="H1741" s="1636"/>
    </row>
    <row r="1742" spans="1:8">
      <c r="A1742" s="1620" t="str">
        <f>INDEX(Lists!$C$4:$C$24,MATCH(Validation!$B$3,Lists!$B$4:$B$24,0))</f>
        <v>TMS</v>
      </c>
      <c r="B1742" s="1732" t="str">
        <f>'4L'!BF31</f>
        <v>W3A00005WT</v>
      </c>
      <c r="C1742" s="1732" t="str">
        <f>"Capital expenditure purpose - WATER additional line 5 [Other categories] - "&amp;'4L'!$K$5</f>
        <v>Capital expenditure purpose - WATER additional line 5 [Other categories] - Water treatment</v>
      </c>
      <c r="D1742" t="str">
        <f t="shared" si="22"/>
        <v>£m</v>
      </c>
      <c r="E1742" s="2" t="s">
        <v>9</v>
      </c>
      <c r="F1742" s="1634" t="str">
        <f t="shared" si="24"/>
        <v>##BLANK</v>
      </c>
      <c r="G1742" s="1635" t="str">
        <f>IF(ISBLANK('4L'!K31), "##BLANK", '4L'!K31)</f>
        <v>##BLANK</v>
      </c>
      <c r="H1742" s="1636"/>
    </row>
    <row r="1743" spans="1:8">
      <c r="A1743" s="1620" t="str">
        <f>INDEX(Lists!$C$4:$C$24,MATCH(Validation!$B$3,Lists!$B$4:$B$24,0))</f>
        <v>TMS</v>
      </c>
      <c r="B1743" s="1732" t="str">
        <f>'4L'!BF32</f>
        <v>W3A00006WT</v>
      </c>
      <c r="C1743" s="1732" t="str">
        <f>"Capital expenditure purpose - WATER additional line 6 [Other categories] - "&amp;'4L'!$K$5</f>
        <v>Capital expenditure purpose - WATER additional line 6 [Other categories] - Water treatment</v>
      </c>
      <c r="D1743" t="str">
        <f t="shared" si="22"/>
        <v>£m</v>
      </c>
      <c r="E1743" s="2" t="s">
        <v>9</v>
      </c>
      <c r="F1743" s="1634" t="str">
        <f t="shared" si="24"/>
        <v>##BLANK</v>
      </c>
      <c r="G1743" s="1635" t="str">
        <f>IF(ISBLANK('4L'!K32), "##BLANK", '4L'!K32)</f>
        <v>##BLANK</v>
      </c>
      <c r="H1743" s="1636"/>
    </row>
    <row r="1744" spans="1:8">
      <c r="A1744" s="1620" t="str">
        <f>INDEX(Lists!$C$4:$C$24,MATCH(Validation!$B$3,Lists!$B$4:$B$24,0))</f>
        <v>TMS</v>
      </c>
      <c r="B1744" s="1732" t="str">
        <f>'4L'!BF33</f>
        <v>W3A00007WT</v>
      </c>
      <c r="C1744" s="1732" t="str">
        <f>"Capital expenditure purpose - WATER additional line 7 [Other categories] - "&amp;'4L'!$K$5</f>
        <v>Capital expenditure purpose - WATER additional line 7 [Other categories] - Water treatment</v>
      </c>
      <c r="D1744" t="str">
        <f t="shared" si="22"/>
        <v>£m</v>
      </c>
      <c r="E1744" s="2" t="s">
        <v>9</v>
      </c>
      <c r="F1744" s="1634" t="str">
        <f t="shared" si="24"/>
        <v>##BLANK</v>
      </c>
      <c r="G1744" s="1635" t="str">
        <f>IF(ISBLANK('4L'!K33), "##BLANK", '4L'!K33)</f>
        <v>##BLANK</v>
      </c>
      <c r="H1744" s="1636"/>
    </row>
    <row r="1745" spans="1:8">
      <c r="A1745" s="1620" t="str">
        <f>INDEX(Lists!$C$4:$C$24,MATCH(Validation!$B$3,Lists!$B$4:$B$24,0))</f>
        <v>TMS</v>
      </c>
      <c r="B1745" s="1732" t="str">
        <f>'4L'!BF34</f>
        <v>W3A00008WT</v>
      </c>
      <c r="C1745" s="1732" t="str">
        <f>"Capital expenditure purpose - WATER additional line 8 [Other categories] - "&amp;'4L'!$K$5</f>
        <v>Capital expenditure purpose - WATER additional line 8 [Other categories] - Water treatment</v>
      </c>
      <c r="D1745" t="str">
        <f t="shared" ref="D1745:D1808" si="25">D1711</f>
        <v>£m</v>
      </c>
      <c r="E1745" s="2" t="s">
        <v>9</v>
      </c>
      <c r="F1745" s="1634" t="str">
        <f t="shared" si="24"/>
        <v>##BLANK</v>
      </c>
      <c r="G1745" s="1635" t="str">
        <f>IF(ISBLANK('4L'!K34), "##BLANK", '4L'!K34)</f>
        <v>##BLANK</v>
      </c>
      <c r="H1745" s="1636"/>
    </row>
    <row r="1746" spans="1:8">
      <c r="A1746" s="1620" t="str">
        <f>INDEX(Lists!$C$4:$C$24,MATCH(Validation!$B$3,Lists!$B$4:$B$24,0))</f>
        <v>TMS</v>
      </c>
      <c r="B1746" s="1732" t="str">
        <f>'4L'!BF35</f>
        <v>W3A00009WT</v>
      </c>
      <c r="C1746" s="1732" t="str">
        <f>"Capital expenditure purpose - WATER additional line 9 [Other categories] - "&amp;'4L'!$K$5</f>
        <v>Capital expenditure purpose - WATER additional line 9 [Other categories] - Water treatment</v>
      </c>
      <c r="D1746" t="str">
        <f t="shared" si="25"/>
        <v>£m</v>
      </c>
      <c r="E1746" s="2" t="s">
        <v>9</v>
      </c>
      <c r="F1746" s="1634" t="str">
        <f t="shared" si="24"/>
        <v>##BLANK</v>
      </c>
      <c r="G1746" s="1635" t="str">
        <f>IF(ISBLANK('4L'!K35), "##BLANK", '4L'!K35)</f>
        <v>##BLANK</v>
      </c>
      <c r="H1746" s="1636"/>
    </row>
    <row r="1747" spans="1:8">
      <c r="A1747" s="1620" t="str">
        <f>INDEX(Lists!$C$4:$C$24,MATCH(Validation!$B$3,Lists!$B$4:$B$24,0))</f>
        <v>TMS</v>
      </c>
      <c r="B1747" s="1732" t="str">
        <f>'4L'!BF36</f>
        <v>W3A00010WT</v>
      </c>
      <c r="C1747" s="1732" t="str">
        <f>"Capital expenditure purpose - WATER additional line 10 [Other categories] - "&amp;'4L'!$K$5</f>
        <v>Capital expenditure purpose - WATER additional line 10 [Other categories] - Water treatment</v>
      </c>
      <c r="D1747" t="str">
        <f t="shared" si="25"/>
        <v>£m</v>
      </c>
      <c r="E1747" s="2" t="s">
        <v>9</v>
      </c>
      <c r="F1747" s="1634" t="str">
        <f t="shared" si="24"/>
        <v>##BLANK</v>
      </c>
      <c r="G1747" s="1635" t="str">
        <f>IF(ISBLANK('4L'!K36), "##BLANK", '4L'!K36)</f>
        <v>##BLANK</v>
      </c>
      <c r="H1747" s="1636"/>
    </row>
    <row r="1748" spans="1:8">
      <c r="A1748" s="1620" t="str">
        <f>INDEX(Lists!$C$4:$C$24,MATCH(Validation!$B$3,Lists!$B$4:$B$24,0))</f>
        <v>TMS</v>
      </c>
      <c r="B1748" s="1732" t="str">
        <f>'4L'!BF37</f>
        <v>W3A00011WT</v>
      </c>
      <c r="C1748" s="1732" t="str">
        <f>"Capital expenditure purpose - WATER additional line 11 [Other categories] - "&amp;'4L'!$K$5</f>
        <v>Capital expenditure purpose - WATER additional line 11 [Other categories] - Water treatment</v>
      </c>
      <c r="D1748" t="str">
        <f t="shared" si="25"/>
        <v>£m</v>
      </c>
      <c r="E1748" s="2" t="s">
        <v>9</v>
      </c>
      <c r="F1748" s="1634" t="str">
        <f t="shared" si="24"/>
        <v>##BLANK</v>
      </c>
      <c r="G1748" s="1635" t="str">
        <f>IF(ISBLANK('4L'!K37), "##BLANK", '4L'!K37)</f>
        <v>##BLANK</v>
      </c>
      <c r="H1748" s="1636"/>
    </row>
    <row r="1749" spans="1:8">
      <c r="A1749" s="1620" t="str">
        <f>INDEX(Lists!$C$4:$C$24,MATCH(Validation!$B$3,Lists!$B$4:$B$24,0))</f>
        <v>TMS</v>
      </c>
      <c r="B1749" s="1732" t="str">
        <f>'4L'!BF38</f>
        <v>W3A00012WT</v>
      </c>
      <c r="C1749" s="1732" t="str">
        <f>"Capital expenditure purpose - WATER additional line 12 [Other categories] - "&amp;'4L'!$K$5</f>
        <v>Capital expenditure purpose - WATER additional line 12 [Other categories] - Water treatment</v>
      </c>
      <c r="D1749" t="str">
        <f t="shared" si="25"/>
        <v>£m</v>
      </c>
      <c r="E1749" s="2" t="s">
        <v>9</v>
      </c>
      <c r="F1749" s="1634" t="str">
        <f t="shared" si="24"/>
        <v>##BLANK</v>
      </c>
      <c r="G1749" s="1635" t="str">
        <f>IF(ISBLANK('4L'!K38), "##BLANK", '4L'!K38)</f>
        <v>##BLANK</v>
      </c>
      <c r="H1749" s="1636"/>
    </row>
    <row r="1750" spans="1:8">
      <c r="A1750" s="1620" t="str">
        <f>INDEX(Lists!$C$4:$C$24,MATCH(Validation!$B$3,Lists!$B$4:$B$24,0))</f>
        <v>TMS</v>
      </c>
      <c r="B1750" s="1732" t="str">
        <f>'4L'!BF39</f>
        <v>W3A00013WT</v>
      </c>
      <c r="C1750" s="1732" t="str">
        <f>"Capital expenditure purpose - WATER additional line 13 [Other categories] - "&amp;'4L'!$K$5</f>
        <v>Capital expenditure purpose - WATER additional line 13 [Other categories] - Water treatment</v>
      </c>
      <c r="D1750" t="str">
        <f t="shared" si="25"/>
        <v>£m</v>
      </c>
      <c r="E1750" s="2" t="s">
        <v>9</v>
      </c>
      <c r="F1750" s="1634" t="str">
        <f t="shared" si="24"/>
        <v>##BLANK</v>
      </c>
      <c r="G1750" s="1635" t="str">
        <f>IF(ISBLANK('4L'!K39), "##BLANK", '4L'!K39)</f>
        <v>##BLANK</v>
      </c>
      <c r="H1750" s="1636"/>
    </row>
    <row r="1751" spans="1:8">
      <c r="A1751" s="1620" t="str">
        <f>INDEX(Lists!$C$4:$C$24,MATCH(Validation!$B$3,Lists!$B$4:$B$24,0))</f>
        <v>TMS</v>
      </c>
      <c r="B1751" s="1732" t="str">
        <f>'4L'!BF40</f>
        <v>W3A00014WT</v>
      </c>
      <c r="C1751" s="1732" t="str">
        <f>"Capital expenditure purpose - WATER additional line 14 [Other categories] - "&amp;'4L'!$K$5</f>
        <v>Capital expenditure purpose - WATER additional line 14 [Other categories] - Water treatment</v>
      </c>
      <c r="D1751" t="str">
        <f t="shared" si="25"/>
        <v>£m</v>
      </c>
      <c r="E1751" s="2" t="s">
        <v>9</v>
      </c>
      <c r="F1751" s="1634" t="str">
        <f t="shared" si="24"/>
        <v>##BLANK</v>
      </c>
      <c r="G1751" s="1635" t="str">
        <f>IF(ISBLANK('4L'!K40), "##BLANK", '4L'!K40)</f>
        <v>##BLANK</v>
      </c>
      <c r="H1751" s="1636"/>
    </row>
    <row r="1752" spans="1:8">
      <c r="A1752" s="1730" t="str">
        <f>INDEX(Lists!$C$4:$C$24,MATCH(Validation!$B$3,Lists!$B$4:$B$24,0))</f>
        <v>TMS</v>
      </c>
      <c r="B1752" s="1734" t="str">
        <f>'4L'!BF41</f>
        <v>W3A00015WT</v>
      </c>
      <c r="C1752" s="1734" t="str">
        <f>"Capital expenditure purpose - WATER additional line 15 [Other categories] - "&amp;'4L'!$K$5</f>
        <v>Capital expenditure purpose - WATER additional line 15 [Other categories] - Water treatment</v>
      </c>
      <c r="D1752" s="1819" t="str">
        <f t="shared" si="25"/>
        <v>£m</v>
      </c>
      <c r="E1752" s="1651" t="s">
        <v>9</v>
      </c>
      <c r="F1752" s="1637" t="str">
        <f t="shared" si="24"/>
        <v>##BLANK</v>
      </c>
      <c r="G1752" s="1653" t="str">
        <f>IF(ISBLANK('4L'!K41), "##BLANK", '4L'!K41)</f>
        <v>##BLANK</v>
      </c>
      <c r="H1752" s="1652"/>
    </row>
    <row r="1753" spans="1:8">
      <c r="A1753" s="1620" t="str">
        <f>INDEX(Lists!$C$4:$C$24,MATCH(Validation!$B$3,Lists!$B$4:$B$24,0))</f>
        <v>TMS</v>
      </c>
      <c r="B1753" s="1732" t="str">
        <f>'4L'!BG8</f>
        <v>W3001TWD</v>
      </c>
      <c r="C1753" s="1732" t="str">
        <f>+'4L'!$C8&amp;" - "&amp;'4L'!L$5</f>
        <v>NEP - Making ecological improvements at abstractions (Habitats Directive, SSSI, NERC, BAPs) - Treated water distribution</v>
      </c>
      <c r="D1753" t="str">
        <f t="shared" si="25"/>
        <v>£m</v>
      </c>
      <c r="E1753" s="2" t="s">
        <v>9</v>
      </c>
      <c r="F1753" s="1634"/>
      <c r="G1753" s="1635">
        <f>'4L'!L8</f>
        <v>2.260523128600624</v>
      </c>
      <c r="H1753" s="1636"/>
    </row>
    <row r="1754" spans="1:8">
      <c r="A1754" s="1620" t="str">
        <f>INDEX(Lists!$C$4:$C$24,MATCH(Validation!$B$3,Lists!$B$4:$B$24,0))</f>
        <v>TMS</v>
      </c>
      <c r="B1754" s="1732" t="str">
        <f>'4L'!BG9</f>
        <v>WS2002TWD</v>
      </c>
      <c r="C1754" s="1732" t="str">
        <f>+'4L'!$C9&amp;" - "&amp;'4L'!L$5</f>
        <v>NEP - Eels Regulations (measures at intakes) - Treated water distribution</v>
      </c>
      <c r="D1754" t="str">
        <f t="shared" si="25"/>
        <v>£m</v>
      </c>
      <c r="E1754" s="2" t="s">
        <v>9</v>
      </c>
      <c r="F1754" s="1634"/>
      <c r="G1754" s="1635">
        <f>'4L'!L9</f>
        <v>0</v>
      </c>
      <c r="H1754" s="1636"/>
    </row>
    <row r="1755" spans="1:8">
      <c r="A1755" s="1620" t="str">
        <f>INDEX(Lists!$C$4:$C$24,MATCH(Validation!$B$3,Lists!$B$4:$B$24,0))</f>
        <v>TMS</v>
      </c>
      <c r="B1755" s="1732" t="str">
        <f>'4L'!BG10</f>
        <v>W3002TWD</v>
      </c>
      <c r="C1755" s="1732" t="str">
        <f>+'4L'!$C10&amp;" - "&amp;'4L'!L$5</f>
        <v>Addressing low pressure - Treated water distribution</v>
      </c>
      <c r="D1755" t="str">
        <f t="shared" si="25"/>
        <v>£m</v>
      </c>
      <c r="E1755" s="2" t="s">
        <v>9</v>
      </c>
      <c r="F1755" s="1634"/>
      <c r="G1755" s="1635">
        <f>'4L'!L10</f>
        <v>0</v>
      </c>
      <c r="H1755" s="1636"/>
    </row>
    <row r="1756" spans="1:8">
      <c r="A1756" s="1620" t="str">
        <f>INDEX(Lists!$C$4:$C$24,MATCH(Validation!$B$3,Lists!$B$4:$B$24,0))</f>
        <v>TMS</v>
      </c>
      <c r="B1756" s="1732" t="str">
        <f>'4L'!BG11</f>
        <v>W3003TWD</v>
      </c>
      <c r="C1756" s="1732" t="str">
        <f>+'4L'!$C11&amp;" - "&amp;'4L'!L$5</f>
        <v>Improving taste / odour / colour - Treated water distribution</v>
      </c>
      <c r="D1756" t="str">
        <f t="shared" si="25"/>
        <v>£m</v>
      </c>
      <c r="E1756" s="2" t="s">
        <v>9</v>
      </c>
      <c r="F1756" s="1634"/>
      <c r="G1756" s="1635">
        <f>'4L'!L11</f>
        <v>0</v>
      </c>
      <c r="H1756" s="1636"/>
    </row>
    <row r="1757" spans="1:8">
      <c r="A1757" s="1620" t="str">
        <f>INDEX(Lists!$C$4:$C$24,MATCH(Validation!$B$3,Lists!$B$4:$B$24,0))</f>
        <v>TMS</v>
      </c>
      <c r="B1757" s="1732" t="str">
        <f>'4L'!BG12</f>
        <v>W3006TWD</v>
      </c>
      <c r="C1757" s="1732" t="str">
        <f>+'4L'!$C12&amp;" - "&amp;'4L'!L$5</f>
        <v>Meeting lead standards - Treated water distribution</v>
      </c>
      <c r="D1757" t="str">
        <f t="shared" si="25"/>
        <v>£m</v>
      </c>
      <c r="E1757" s="2" t="s">
        <v>9</v>
      </c>
      <c r="F1757" s="1634"/>
      <c r="G1757" s="1635">
        <f>'4L'!L12</f>
        <v>7.8831018050539106</v>
      </c>
      <c r="H1757" s="1636"/>
    </row>
    <row r="1758" spans="1:8">
      <c r="A1758" s="1620" t="str">
        <f>INDEX(Lists!$C$4:$C$24,MATCH(Validation!$B$3,Lists!$B$4:$B$24,0))</f>
        <v>TMS</v>
      </c>
      <c r="B1758" s="1732" t="str">
        <f>'4L'!BG13</f>
        <v>W3007STWD</v>
      </c>
      <c r="C1758" s="1732" t="str">
        <f>+'4L'!$C13&amp;" - "&amp;'4L'!L$5</f>
        <v>Supply side enhancements to the supply/demand balance (dry year critical / peak conditions) - Treated water distribution</v>
      </c>
      <c r="D1758" t="str">
        <f t="shared" si="25"/>
        <v>£m</v>
      </c>
      <c r="E1758" s="2" t="s">
        <v>9</v>
      </c>
      <c r="F1758" s="1634"/>
      <c r="G1758" s="1635">
        <f>'4L'!L13</f>
        <v>2.740524296312686E-10</v>
      </c>
      <c r="H1758" s="1636"/>
    </row>
    <row r="1759" spans="1:8">
      <c r="A1759" s="1620" t="str">
        <f>INDEX(Lists!$C$4:$C$24,MATCH(Validation!$B$3,Lists!$B$4:$B$24,0))</f>
        <v>TMS</v>
      </c>
      <c r="B1759" s="1732" t="str">
        <f>'4L'!BG14</f>
        <v>W3008STWD</v>
      </c>
      <c r="C1759" s="1732" t="str">
        <f>+'4L'!$C14&amp;" - "&amp;'4L'!L$5</f>
        <v>Supply side enhancements to the supply/demand balance (dry year annual average conditions) - Treated water distribution</v>
      </c>
      <c r="D1759" t="str">
        <f t="shared" si="25"/>
        <v>£m</v>
      </c>
      <c r="E1759" s="2" t="s">
        <v>9</v>
      </c>
      <c r="F1759" s="1634"/>
      <c r="G1759" s="1635">
        <f>'4L'!L14</f>
        <v>1.3104092926871703E-5</v>
      </c>
      <c r="H1759" s="1636"/>
    </row>
    <row r="1760" spans="1:8">
      <c r="A1760" s="1620" t="str">
        <f>INDEX(Lists!$C$4:$C$24,MATCH(Validation!$B$3,Lists!$B$4:$B$24,0))</f>
        <v>TMS</v>
      </c>
      <c r="B1760" s="1732" t="str">
        <f>'4L'!BG15</f>
        <v>W3007DTWD</v>
      </c>
      <c r="C1760" s="1732" t="str">
        <f>+'4L'!$C15&amp;" - "&amp;'4L'!L$5</f>
        <v>Demand side enhancements to the supply/demand balance (dry year critical / peak conditions) - Treated water distribution</v>
      </c>
      <c r="D1760" t="str">
        <f t="shared" si="25"/>
        <v>£m</v>
      </c>
      <c r="E1760" s="2" t="s">
        <v>9</v>
      </c>
      <c r="F1760" s="1634"/>
      <c r="G1760" s="1635">
        <f>'4L'!L15</f>
        <v>11.343407703560066</v>
      </c>
      <c r="H1760" s="1636"/>
    </row>
    <row r="1761" spans="1:8">
      <c r="A1761" s="1620" t="str">
        <f>INDEX(Lists!$C$4:$C$24,MATCH(Validation!$B$3,Lists!$B$4:$B$24,0))</f>
        <v>TMS</v>
      </c>
      <c r="B1761" s="1732" t="str">
        <f>'4L'!BG16</f>
        <v>W3008DTWD</v>
      </c>
      <c r="C1761" s="1732" t="str">
        <f>+'4L'!$C16&amp;" - "&amp;'4L'!L$5</f>
        <v>Demand side enhancements to the supply/demand balance (dry year annual average conditions) - Treated water distribution</v>
      </c>
      <c r="D1761" t="str">
        <f t="shared" si="25"/>
        <v>£m</v>
      </c>
      <c r="E1761" s="2" t="s">
        <v>9</v>
      </c>
      <c r="F1761" s="1634"/>
      <c r="G1761" s="1635">
        <f>'4L'!L16</f>
        <v>5.0650813809622646</v>
      </c>
      <c r="H1761" s="1636"/>
    </row>
    <row r="1762" spans="1:8">
      <c r="A1762" s="1620" t="str">
        <f>INDEX(Lists!$C$4:$C$24,MATCH(Validation!$B$3,Lists!$B$4:$B$24,0))</f>
        <v>TMS</v>
      </c>
      <c r="B1762" s="1732" t="str">
        <f>'4L'!BG17</f>
        <v>W3009TWD</v>
      </c>
      <c r="C1762" s="1732" t="str">
        <f>+'4L'!$C17&amp;" - "&amp;'4L'!L$5</f>
        <v>New developments - Treated water distribution</v>
      </c>
      <c r="D1762" t="str">
        <f t="shared" si="25"/>
        <v>£m</v>
      </c>
      <c r="E1762" s="2" t="s">
        <v>9</v>
      </c>
      <c r="F1762" s="1634"/>
      <c r="G1762" s="1635">
        <f>'4L'!L17</f>
        <v>21.12941567272264</v>
      </c>
      <c r="H1762" s="1636"/>
    </row>
    <row r="1763" spans="1:8">
      <c r="A1763" s="1620" t="str">
        <f>INDEX(Lists!$C$4:$C$24,MATCH(Validation!$B$3,Lists!$B$4:$B$24,0))</f>
        <v>TMS</v>
      </c>
      <c r="B1763" s="1732" t="str">
        <f>'4L'!BG18</f>
        <v>WS2004TWD</v>
      </c>
      <c r="C1763" s="1732" t="str">
        <f>+'4L'!$C18&amp;" - "&amp;'4L'!L$5</f>
        <v>New connections element of new development (CPs, meters) - Treated water distribution</v>
      </c>
      <c r="D1763" t="str">
        <f t="shared" si="25"/>
        <v>£m</v>
      </c>
      <c r="E1763" s="2" t="s">
        <v>9</v>
      </c>
      <c r="F1763" s="1634"/>
      <c r="G1763" s="1635">
        <f>'4L'!L18</f>
        <v>27.980151380119953</v>
      </c>
      <c r="H1763" s="1636"/>
    </row>
    <row r="1764" spans="1:8">
      <c r="A1764" s="1620" t="str">
        <f>INDEX(Lists!$C$4:$C$24,MATCH(Validation!$B$3,Lists!$B$4:$B$24,0))</f>
        <v>TMS</v>
      </c>
      <c r="B1764" s="1732" t="str">
        <f>'4L'!BG19</f>
        <v>W3010TWD</v>
      </c>
      <c r="C1764" s="1732" t="str">
        <f>+'4L'!$C19&amp;" - "&amp;'4L'!L$5</f>
        <v>Investment to address raw water deterioration (THM, nitrates, Crypto, pesticides, others) - Treated water distribution</v>
      </c>
      <c r="D1764" t="str">
        <f t="shared" si="25"/>
        <v>£m</v>
      </c>
      <c r="E1764" s="2" t="s">
        <v>9</v>
      </c>
      <c r="F1764" s="1634"/>
      <c r="G1764" s="1635">
        <f>'4L'!L19</f>
        <v>0</v>
      </c>
      <c r="H1764" s="1636"/>
    </row>
    <row r="1765" spans="1:8">
      <c r="A1765" s="1620" t="str">
        <f>INDEX(Lists!$C$4:$C$24,MATCH(Validation!$B$3,Lists!$B$4:$B$24,0))</f>
        <v>TMS</v>
      </c>
      <c r="B1765" s="1732" t="str">
        <f>'4L'!BG20</f>
        <v>W3011TWD</v>
      </c>
      <c r="C1765" s="1732" t="str">
        <f>+'4L'!$C20&amp;" - "&amp;'4L'!L$5</f>
        <v>Resilience - Treated water distribution</v>
      </c>
      <c r="D1765" t="str">
        <f t="shared" si="25"/>
        <v>£m</v>
      </c>
      <c r="E1765" s="2" t="s">
        <v>9</v>
      </c>
      <c r="F1765" s="1634"/>
      <c r="G1765" s="1635">
        <f>'4L'!L20</f>
        <v>2.4694109052444225E-2</v>
      </c>
      <c r="H1765" s="1636"/>
    </row>
    <row r="1766" spans="1:8">
      <c r="A1766" s="1620" t="str">
        <f>INDEX(Lists!$C$4:$C$24,MATCH(Validation!$B$3,Lists!$B$4:$B$24,0))</f>
        <v>TMS</v>
      </c>
      <c r="B1766" s="1732" t="str">
        <f>'4L'!BG21</f>
        <v>W3012TWD</v>
      </c>
      <c r="C1766" s="1732" t="str">
        <f>+'4L'!$C21&amp;" - "&amp;'4L'!L$5</f>
        <v>SEMD - Treated water distribution</v>
      </c>
      <c r="D1766" t="str">
        <f t="shared" si="25"/>
        <v>£m</v>
      </c>
      <c r="E1766" s="2" t="s">
        <v>9</v>
      </c>
      <c r="F1766" s="1634"/>
      <c r="G1766" s="1635">
        <f>'4L'!L21</f>
        <v>4.2023084933041694</v>
      </c>
      <c r="H1766" s="1636"/>
    </row>
    <row r="1767" spans="1:8">
      <c r="A1767" s="1620" t="str">
        <f>INDEX(Lists!$C$4:$C$24,MATCH(Validation!$B$3,Lists!$B$4:$B$24,0))</f>
        <v>TMS</v>
      </c>
      <c r="B1767" s="1732" t="str">
        <f>'4L'!BG22</f>
        <v>WS2008TWD</v>
      </c>
      <c r="C1767" s="1732" t="str">
        <f>+'4L'!$C22&amp;" - "&amp;'4L'!L$5</f>
        <v>NEP - Investigations - Treated water distribution</v>
      </c>
      <c r="D1767" t="str">
        <f t="shared" si="25"/>
        <v>£m</v>
      </c>
      <c r="E1767" s="2" t="s">
        <v>9</v>
      </c>
      <c r="F1767" s="1634"/>
      <c r="G1767" s="1635">
        <f>'4L'!L22</f>
        <v>0</v>
      </c>
      <c r="H1767" s="1636"/>
    </row>
    <row r="1768" spans="1:8">
      <c r="A1768" s="1620" t="str">
        <f>INDEX(Lists!$C$4:$C$24,MATCH(Validation!$B$3,Lists!$B$4:$B$24,0))</f>
        <v>TMS</v>
      </c>
      <c r="B1768" s="1732" t="str">
        <f>'4L'!BG23</f>
        <v>W3027TWD</v>
      </c>
      <c r="C1768" s="1732" t="str">
        <f>+'4L'!$C23&amp;" - "&amp;'4L'!L$5</f>
        <v>Improvements to river flows - Treated water distribution</v>
      </c>
      <c r="D1768" t="str">
        <f t="shared" si="25"/>
        <v>£m</v>
      </c>
      <c r="E1768" s="2" t="s">
        <v>9</v>
      </c>
      <c r="F1768" s="1634"/>
      <c r="G1768" s="1635">
        <f>'4L'!L23</f>
        <v>0</v>
      </c>
      <c r="H1768" s="1636"/>
    </row>
    <row r="1769" spans="1:8">
      <c r="A1769" s="1620" t="str">
        <f>INDEX(Lists!$C$4:$C$24,MATCH(Validation!$B$3,Lists!$B$4:$B$24,0))</f>
        <v>TMS</v>
      </c>
      <c r="B1769" s="1732" t="str">
        <f>'4L'!BG24</f>
        <v>W3028OPTTWD</v>
      </c>
      <c r="C1769" s="1732" t="str">
        <f>+'4L'!$C24&amp;" - "&amp;'4L'!L$5</f>
        <v>Metering (excluding cost of providing metering to new service connections) - meters requested by optants - Treated water distribution</v>
      </c>
      <c r="D1769" t="str">
        <f t="shared" si="25"/>
        <v>£m</v>
      </c>
      <c r="E1769" s="2" t="s">
        <v>9</v>
      </c>
      <c r="F1769" s="1634"/>
      <c r="G1769" s="1635">
        <f>'4L'!L24</f>
        <v>7.3821198652874793</v>
      </c>
      <c r="H1769" s="1636"/>
    </row>
    <row r="1770" spans="1:8">
      <c r="A1770" s="1620" t="str">
        <f>INDEX(Lists!$C$4:$C$24,MATCH(Validation!$B$3,Lists!$B$4:$B$24,0))</f>
        <v>TMS</v>
      </c>
      <c r="B1770" s="1732" t="str">
        <f>'4L'!BG25</f>
        <v>W3028COMTWD</v>
      </c>
      <c r="C1770" s="1732" t="str">
        <f>+'4L'!$C25&amp;" - "&amp;'4L'!L$5</f>
        <v>Metering (excluding cost of providing metering to new service connections)- meters introduced by companies - Treated water distribution</v>
      </c>
      <c r="D1770" t="str">
        <f t="shared" si="25"/>
        <v>£m</v>
      </c>
      <c r="E1770" s="2" t="s">
        <v>9</v>
      </c>
      <c r="F1770" s="1634"/>
      <c r="G1770" s="1635">
        <f>'4L'!L25</f>
        <v>45.613796800030372</v>
      </c>
      <c r="H1770" s="1636"/>
    </row>
    <row r="1771" spans="1:8">
      <c r="A1771" s="1620" t="str">
        <f>INDEX(Lists!$C$4:$C$24,MATCH(Validation!$B$3,Lists!$B$4:$B$24,0))</f>
        <v>TMS</v>
      </c>
      <c r="B1771" s="1732" t="str">
        <f>'4L'!BG26</f>
        <v>W3028NHOTWD</v>
      </c>
      <c r="C1771" s="1732" t="str">
        <f>+'4L'!$C26&amp;" - "&amp;'4L'!L$5</f>
        <v>Metering (excluding cost of providing metering to new service connections) - other - Treated water distribution</v>
      </c>
      <c r="D1771" t="str">
        <f t="shared" si="25"/>
        <v>£m</v>
      </c>
      <c r="E1771" s="2" t="s">
        <v>9</v>
      </c>
      <c r="F1771" s="1634"/>
      <c r="G1771" s="1635">
        <f>'4L'!L26</f>
        <v>0</v>
      </c>
      <c r="H1771" s="1636"/>
    </row>
    <row r="1772" spans="1:8">
      <c r="A1772" s="1620" t="str">
        <f>INDEX(Lists!$C$4:$C$24,MATCH(Validation!$B$3,Lists!$B$4:$B$24,0))</f>
        <v>TMS</v>
      </c>
      <c r="B1772" s="1732" t="str">
        <f>'4L'!BG27</f>
        <v>W3A00001TWD</v>
      </c>
      <c r="C1772" s="1732" t="str">
        <f>"Capital expenditure purpose - WATER additional line 1 [Other categories] - "&amp;'4L'!$L$5</f>
        <v>Capital expenditure purpose - WATER additional line 1 [Other categories] - Treated water distribution</v>
      </c>
      <c r="D1772" t="str">
        <f t="shared" si="25"/>
        <v>£m</v>
      </c>
      <c r="E1772" s="2" t="s">
        <v>9</v>
      </c>
      <c r="F1772" s="1634" t="str">
        <f>F1602</f>
        <v>NEP - Flow monitoring at water treatment works</v>
      </c>
      <c r="G1772" s="1635">
        <f>IF(ISBLANK('4L'!L27), "##BLANK", '4L'!L27)</f>
        <v>0</v>
      </c>
      <c r="H1772" s="1636"/>
    </row>
    <row r="1773" spans="1:8">
      <c r="A1773" s="1620" t="str">
        <f>INDEX(Lists!$C$4:$C$24,MATCH(Validation!$B$3,Lists!$B$4:$B$24,0))</f>
        <v>TMS</v>
      </c>
      <c r="B1773" s="1732" t="str">
        <f>'4L'!BG28</f>
        <v>W3A00002TWD</v>
      </c>
      <c r="C1773" s="1732" t="str">
        <f>"Capital expenditure purpose - WATER additional line 2 [Other categories] - "&amp;'4L'!$L$5</f>
        <v>Capital expenditure purpose - WATER additional line 2 [Other categories] - Treated water distribution</v>
      </c>
      <c r="D1773" t="str">
        <f t="shared" si="25"/>
        <v>£m</v>
      </c>
      <c r="E1773" s="2" t="s">
        <v>9</v>
      </c>
      <c r="F1773" s="1634" t="str">
        <f t="shared" ref="F1773:F1786" si="26">F1603</f>
        <v>##BLANK</v>
      </c>
      <c r="G1773" s="1635" t="str">
        <f>IF(ISBLANK('4L'!L28), "##BLANK", '4L'!L28)</f>
        <v>##BLANK</v>
      </c>
      <c r="H1773" s="1636"/>
    </row>
    <row r="1774" spans="1:8">
      <c r="A1774" s="1620" t="str">
        <f>INDEX(Lists!$C$4:$C$24,MATCH(Validation!$B$3,Lists!$B$4:$B$24,0))</f>
        <v>TMS</v>
      </c>
      <c r="B1774" s="1732" t="str">
        <f>'4L'!BG29</f>
        <v>W3A00003TWD</v>
      </c>
      <c r="C1774" s="1732" t="str">
        <f>"Capital expenditure purpose - WATER additional line 3 [Other categories] - "&amp;'4L'!$L$5</f>
        <v>Capital expenditure purpose - WATER additional line 3 [Other categories] - Treated water distribution</v>
      </c>
      <c r="D1774" t="str">
        <f t="shared" si="25"/>
        <v>£m</v>
      </c>
      <c r="E1774" s="2" t="s">
        <v>9</v>
      </c>
      <c r="F1774" s="1634" t="str">
        <f t="shared" si="26"/>
        <v>##BLANK</v>
      </c>
      <c r="G1774" s="1635" t="str">
        <f>IF(ISBLANK('4L'!L29), "##BLANK", '4L'!L29)</f>
        <v>##BLANK</v>
      </c>
      <c r="H1774" s="1636"/>
    </row>
    <row r="1775" spans="1:8">
      <c r="A1775" s="1620" t="str">
        <f>INDEX(Lists!$C$4:$C$24,MATCH(Validation!$B$3,Lists!$B$4:$B$24,0))</f>
        <v>TMS</v>
      </c>
      <c r="B1775" s="1732" t="str">
        <f>'4L'!BG30</f>
        <v>W3A00004TWD</v>
      </c>
      <c r="C1775" s="1732" t="str">
        <f>"Capital expenditure purpose - WATER additional line 4 [Other categories] - "&amp;'4L'!$L$5</f>
        <v>Capital expenditure purpose - WATER additional line 4 [Other categories] - Treated water distribution</v>
      </c>
      <c r="D1775" t="str">
        <f t="shared" si="25"/>
        <v>£m</v>
      </c>
      <c r="E1775" s="2" t="s">
        <v>9</v>
      </c>
      <c r="F1775" s="1634" t="str">
        <f t="shared" si="26"/>
        <v>##BLANK</v>
      </c>
      <c r="G1775" s="1635" t="str">
        <f>IF(ISBLANK('4L'!L30), "##BLANK", '4L'!L30)</f>
        <v>##BLANK</v>
      </c>
      <c r="H1775" s="1636"/>
    </row>
    <row r="1776" spans="1:8">
      <c r="A1776" s="1620" t="str">
        <f>INDEX(Lists!$C$4:$C$24,MATCH(Validation!$B$3,Lists!$B$4:$B$24,0))</f>
        <v>TMS</v>
      </c>
      <c r="B1776" s="1732" t="str">
        <f>'4L'!BG31</f>
        <v>W3A00005TWD</v>
      </c>
      <c r="C1776" s="1732" t="str">
        <f>"Capital expenditure purpose - WATER additional line 5 [Other categories] - "&amp;'4L'!$L$5</f>
        <v>Capital expenditure purpose - WATER additional line 5 [Other categories] - Treated water distribution</v>
      </c>
      <c r="D1776" t="str">
        <f t="shared" si="25"/>
        <v>£m</v>
      </c>
      <c r="E1776" s="2" t="s">
        <v>9</v>
      </c>
      <c r="F1776" s="1634" t="str">
        <f t="shared" si="26"/>
        <v>##BLANK</v>
      </c>
      <c r="G1776" s="1635" t="str">
        <f>IF(ISBLANK('4L'!L31), "##BLANK", '4L'!L31)</f>
        <v>##BLANK</v>
      </c>
      <c r="H1776" s="1636"/>
    </row>
    <row r="1777" spans="1:8">
      <c r="A1777" s="1620" t="str">
        <f>INDEX(Lists!$C$4:$C$24,MATCH(Validation!$B$3,Lists!$B$4:$B$24,0))</f>
        <v>TMS</v>
      </c>
      <c r="B1777" s="1732" t="str">
        <f>'4L'!BG32</f>
        <v>W3A00006TWD</v>
      </c>
      <c r="C1777" s="1732" t="str">
        <f>"Capital expenditure purpose - WATER additional line 6 [Other categories] - "&amp;'4L'!$L$5</f>
        <v>Capital expenditure purpose - WATER additional line 6 [Other categories] - Treated water distribution</v>
      </c>
      <c r="D1777" t="str">
        <f t="shared" si="25"/>
        <v>£m</v>
      </c>
      <c r="E1777" s="2" t="s">
        <v>9</v>
      </c>
      <c r="F1777" s="1634" t="str">
        <f t="shared" si="26"/>
        <v>##BLANK</v>
      </c>
      <c r="G1777" s="1635" t="str">
        <f>IF(ISBLANK('4L'!L32), "##BLANK", '4L'!L32)</f>
        <v>##BLANK</v>
      </c>
      <c r="H1777" s="1636"/>
    </row>
    <row r="1778" spans="1:8">
      <c r="A1778" s="1620" t="str">
        <f>INDEX(Lists!$C$4:$C$24,MATCH(Validation!$B$3,Lists!$B$4:$B$24,0))</f>
        <v>TMS</v>
      </c>
      <c r="B1778" s="1732" t="str">
        <f>'4L'!BG33</f>
        <v>W3A00007TWD</v>
      </c>
      <c r="C1778" s="1732" t="str">
        <f>"Capital expenditure purpose - WATER additional line 7 [Other categories] - "&amp;'4L'!$L$5</f>
        <v>Capital expenditure purpose - WATER additional line 7 [Other categories] - Treated water distribution</v>
      </c>
      <c r="D1778" t="str">
        <f t="shared" si="25"/>
        <v>£m</v>
      </c>
      <c r="E1778" s="2" t="s">
        <v>9</v>
      </c>
      <c r="F1778" s="1634" t="str">
        <f t="shared" si="26"/>
        <v>##BLANK</v>
      </c>
      <c r="G1778" s="1635" t="str">
        <f>IF(ISBLANK('4L'!L33), "##BLANK", '4L'!L33)</f>
        <v>##BLANK</v>
      </c>
      <c r="H1778" s="1636"/>
    </row>
    <row r="1779" spans="1:8">
      <c r="A1779" s="1620" t="str">
        <f>INDEX(Lists!$C$4:$C$24,MATCH(Validation!$B$3,Lists!$B$4:$B$24,0))</f>
        <v>TMS</v>
      </c>
      <c r="B1779" s="1732" t="str">
        <f>'4L'!BG34</f>
        <v>W3A00008TWD</v>
      </c>
      <c r="C1779" s="1732" t="str">
        <f>"Capital expenditure purpose - WATER additional line 8 [Other categories] - "&amp;'4L'!$L$5</f>
        <v>Capital expenditure purpose - WATER additional line 8 [Other categories] - Treated water distribution</v>
      </c>
      <c r="D1779" t="str">
        <f t="shared" si="25"/>
        <v>£m</v>
      </c>
      <c r="E1779" s="2" t="s">
        <v>9</v>
      </c>
      <c r="F1779" s="1634" t="str">
        <f t="shared" si="26"/>
        <v>##BLANK</v>
      </c>
      <c r="G1779" s="1635" t="str">
        <f>IF(ISBLANK('4L'!L34), "##BLANK", '4L'!L34)</f>
        <v>##BLANK</v>
      </c>
      <c r="H1779" s="1636"/>
    </row>
    <row r="1780" spans="1:8">
      <c r="A1780" s="1620" t="str">
        <f>INDEX(Lists!$C$4:$C$24,MATCH(Validation!$B$3,Lists!$B$4:$B$24,0))</f>
        <v>TMS</v>
      </c>
      <c r="B1780" s="1732" t="str">
        <f>'4L'!BG35</f>
        <v>W3A00009TWD</v>
      </c>
      <c r="C1780" s="1732" t="str">
        <f>"Capital expenditure purpose - WATER additional line 9 [Other categories] - "&amp;'4L'!$L$5</f>
        <v>Capital expenditure purpose - WATER additional line 9 [Other categories] - Treated water distribution</v>
      </c>
      <c r="D1780" t="str">
        <f t="shared" si="25"/>
        <v>£m</v>
      </c>
      <c r="E1780" s="2" t="s">
        <v>9</v>
      </c>
      <c r="F1780" s="1634" t="str">
        <f t="shared" si="26"/>
        <v>##BLANK</v>
      </c>
      <c r="G1780" s="1635" t="str">
        <f>IF(ISBLANK('4L'!L35), "##BLANK", '4L'!L35)</f>
        <v>##BLANK</v>
      </c>
      <c r="H1780" s="1636"/>
    </row>
    <row r="1781" spans="1:8">
      <c r="A1781" s="1620" t="str">
        <f>INDEX(Lists!$C$4:$C$24,MATCH(Validation!$B$3,Lists!$B$4:$B$24,0))</f>
        <v>TMS</v>
      </c>
      <c r="B1781" s="1732" t="str">
        <f>'4L'!BG36</f>
        <v>W3A00010TWD</v>
      </c>
      <c r="C1781" s="1732" t="str">
        <f>"Capital expenditure purpose - WATER additional line 10 [Other categories] - "&amp;'4L'!$L$5</f>
        <v>Capital expenditure purpose - WATER additional line 10 [Other categories] - Treated water distribution</v>
      </c>
      <c r="D1781" t="str">
        <f t="shared" si="25"/>
        <v>£m</v>
      </c>
      <c r="E1781" s="2" t="s">
        <v>9</v>
      </c>
      <c r="F1781" s="1634" t="str">
        <f t="shared" si="26"/>
        <v>##BLANK</v>
      </c>
      <c r="G1781" s="1635" t="str">
        <f>IF(ISBLANK('4L'!L36), "##BLANK", '4L'!L36)</f>
        <v>##BLANK</v>
      </c>
      <c r="H1781" s="1636"/>
    </row>
    <row r="1782" spans="1:8">
      <c r="A1782" s="1620" t="str">
        <f>INDEX(Lists!$C$4:$C$24,MATCH(Validation!$B$3,Lists!$B$4:$B$24,0))</f>
        <v>TMS</v>
      </c>
      <c r="B1782" s="1732" t="str">
        <f>'4L'!BG37</f>
        <v>W3A00011TWD</v>
      </c>
      <c r="C1782" s="1732" t="str">
        <f>"Capital expenditure purpose - WATER additional line 11 [Other categories] - "&amp;'4L'!$L$5</f>
        <v>Capital expenditure purpose - WATER additional line 11 [Other categories] - Treated water distribution</v>
      </c>
      <c r="D1782" t="str">
        <f t="shared" si="25"/>
        <v>£m</v>
      </c>
      <c r="E1782" s="2" t="s">
        <v>9</v>
      </c>
      <c r="F1782" s="1634" t="str">
        <f t="shared" si="26"/>
        <v>##BLANK</v>
      </c>
      <c r="G1782" s="1635" t="str">
        <f>IF(ISBLANK('4L'!L37), "##BLANK", '4L'!L37)</f>
        <v>##BLANK</v>
      </c>
      <c r="H1782" s="1636"/>
    </row>
    <row r="1783" spans="1:8">
      <c r="A1783" s="1620" t="str">
        <f>INDEX(Lists!$C$4:$C$24,MATCH(Validation!$B$3,Lists!$B$4:$B$24,0))</f>
        <v>TMS</v>
      </c>
      <c r="B1783" s="1732" t="str">
        <f>'4L'!BG38</f>
        <v>W3A00012TWD</v>
      </c>
      <c r="C1783" s="1732" t="str">
        <f>"Capital expenditure purpose - WATER additional line 12 [Other categories] - "&amp;'4L'!$L$5</f>
        <v>Capital expenditure purpose - WATER additional line 12 [Other categories] - Treated water distribution</v>
      </c>
      <c r="D1783" t="str">
        <f t="shared" si="25"/>
        <v>£m</v>
      </c>
      <c r="E1783" s="2" t="s">
        <v>9</v>
      </c>
      <c r="F1783" s="1634" t="str">
        <f t="shared" si="26"/>
        <v>##BLANK</v>
      </c>
      <c r="G1783" s="1635" t="str">
        <f>IF(ISBLANK('4L'!L38), "##BLANK", '4L'!L38)</f>
        <v>##BLANK</v>
      </c>
      <c r="H1783" s="1636"/>
    </row>
    <row r="1784" spans="1:8">
      <c r="A1784" s="1620" t="str">
        <f>INDEX(Lists!$C$4:$C$24,MATCH(Validation!$B$3,Lists!$B$4:$B$24,0))</f>
        <v>TMS</v>
      </c>
      <c r="B1784" s="1732" t="str">
        <f>'4L'!BG39</f>
        <v>W3A00013TWD</v>
      </c>
      <c r="C1784" s="1732" t="str">
        <f>"Capital expenditure purpose - WATER additional line 13 [Other categories] - "&amp;'4L'!$L$5</f>
        <v>Capital expenditure purpose - WATER additional line 13 [Other categories] - Treated water distribution</v>
      </c>
      <c r="D1784" t="str">
        <f t="shared" si="25"/>
        <v>£m</v>
      </c>
      <c r="E1784" s="2" t="s">
        <v>9</v>
      </c>
      <c r="F1784" s="1634" t="str">
        <f t="shared" si="26"/>
        <v>##BLANK</v>
      </c>
      <c r="G1784" s="1635" t="str">
        <f>IF(ISBLANK('4L'!L39), "##BLANK", '4L'!L39)</f>
        <v>##BLANK</v>
      </c>
      <c r="H1784" s="1636"/>
    </row>
    <row r="1785" spans="1:8">
      <c r="A1785" s="1620" t="str">
        <f>INDEX(Lists!$C$4:$C$24,MATCH(Validation!$B$3,Lists!$B$4:$B$24,0))</f>
        <v>TMS</v>
      </c>
      <c r="B1785" s="1732" t="str">
        <f>'4L'!BG40</f>
        <v>W3A00014TWD</v>
      </c>
      <c r="C1785" s="1732" t="str">
        <f>"Capital expenditure purpose - WATER additional line 14 [Other categories] - "&amp;'4L'!$L$5</f>
        <v>Capital expenditure purpose - WATER additional line 14 [Other categories] - Treated water distribution</v>
      </c>
      <c r="D1785" t="str">
        <f t="shared" si="25"/>
        <v>£m</v>
      </c>
      <c r="E1785" s="2" t="s">
        <v>9</v>
      </c>
      <c r="F1785" s="1634" t="str">
        <f t="shared" si="26"/>
        <v>##BLANK</v>
      </c>
      <c r="G1785" s="1635" t="str">
        <f>IF(ISBLANK('4L'!L40), "##BLANK", '4L'!L40)</f>
        <v>##BLANK</v>
      </c>
      <c r="H1785" s="1636"/>
    </row>
    <row r="1786" spans="1:8">
      <c r="A1786" s="1730" t="str">
        <f>INDEX(Lists!$C$4:$C$24,MATCH(Validation!$B$3,Lists!$B$4:$B$24,0))</f>
        <v>TMS</v>
      </c>
      <c r="B1786" s="1734" t="str">
        <f>'4L'!BG41</f>
        <v>W3A00015TWD</v>
      </c>
      <c r="C1786" s="1734" t="str">
        <f>"Capital expenditure purpose - WATER additional line 15 [Other categories] - "&amp;'4L'!$L$5</f>
        <v>Capital expenditure purpose - WATER additional line 15 [Other categories] - Treated water distribution</v>
      </c>
      <c r="D1786" s="1819" t="str">
        <f t="shared" si="25"/>
        <v>£m</v>
      </c>
      <c r="E1786" s="1651" t="s">
        <v>9</v>
      </c>
      <c r="F1786" s="1637" t="str">
        <f t="shared" si="26"/>
        <v>##BLANK</v>
      </c>
      <c r="G1786" s="1653" t="str">
        <f>IF(ISBLANK('4L'!L41), "##BLANK", '4L'!L41)</f>
        <v>##BLANK</v>
      </c>
      <c r="H1786" s="1652"/>
    </row>
    <row r="1787" spans="1:8">
      <c r="A1787" s="1620" t="str">
        <f>INDEX(Lists!$C$4:$C$24,MATCH(Validation!$B$3,Lists!$B$4:$B$24,0))</f>
        <v>TMS</v>
      </c>
      <c r="B1787" s="1732" t="str">
        <f>'4L'!BI8</f>
        <v>W3001WRCUM</v>
      </c>
      <c r="C1787" s="1732" t="str">
        <f>+'4L'!$C8&amp;" - "&amp;'4L'!N$5</f>
        <v>NEP - Making ecological improvements at abstractions (Habitats Directive, SSSI, NERC, BAPs) - Abstraction licences</v>
      </c>
      <c r="D1787" t="str">
        <f t="shared" si="25"/>
        <v>£m</v>
      </c>
      <c r="E1787" s="2" t="s">
        <v>9</v>
      </c>
      <c r="F1787" s="1634"/>
      <c r="G1787" s="1635">
        <f>'4L'!N8</f>
        <v>0</v>
      </c>
      <c r="H1787" s="1636"/>
    </row>
    <row r="1788" spans="1:8">
      <c r="A1788" s="1620" t="str">
        <f>INDEX(Lists!$C$4:$C$24,MATCH(Validation!$B$3,Lists!$B$4:$B$24,0))</f>
        <v>TMS</v>
      </c>
      <c r="B1788" s="1732" t="str">
        <f>'4L'!BI9</f>
        <v>WS2002WRCUM</v>
      </c>
      <c r="C1788" s="1732" t="str">
        <f>+'4L'!$C9&amp;" - "&amp;'4L'!N$5</f>
        <v>NEP - Eels Regulations (measures at intakes) - Abstraction licences</v>
      </c>
      <c r="D1788" t="str">
        <f t="shared" si="25"/>
        <v>£m</v>
      </c>
      <c r="E1788" s="2" t="s">
        <v>9</v>
      </c>
      <c r="F1788" s="1634"/>
      <c r="G1788" s="1635">
        <f>'4L'!N9</f>
        <v>0</v>
      </c>
      <c r="H1788" s="1636"/>
    </row>
    <row r="1789" spans="1:8">
      <c r="A1789" s="1620" t="str">
        <f>INDEX(Lists!$C$4:$C$24,MATCH(Validation!$B$3,Lists!$B$4:$B$24,0))</f>
        <v>TMS</v>
      </c>
      <c r="B1789" s="1732" t="str">
        <f>'4L'!BI10</f>
        <v>W3002WRCUM</v>
      </c>
      <c r="C1789" s="1732" t="str">
        <f>+'4L'!$C10&amp;" - "&amp;'4L'!N$5</f>
        <v>Addressing low pressure - Abstraction licences</v>
      </c>
      <c r="D1789" t="str">
        <f t="shared" si="25"/>
        <v>£m</v>
      </c>
      <c r="E1789" s="2" t="s">
        <v>9</v>
      </c>
      <c r="F1789" s="1634"/>
      <c r="G1789" s="1635">
        <f>'4L'!N10</f>
        <v>0</v>
      </c>
      <c r="H1789" s="1636"/>
    </row>
    <row r="1790" spans="1:8">
      <c r="A1790" s="1620" t="str">
        <f>INDEX(Lists!$C$4:$C$24,MATCH(Validation!$B$3,Lists!$B$4:$B$24,0))</f>
        <v>TMS</v>
      </c>
      <c r="B1790" s="1732" t="str">
        <f>'4L'!BI11</f>
        <v>W3003WRCUM</v>
      </c>
      <c r="C1790" s="1732" t="str">
        <f>+'4L'!$C11&amp;" - "&amp;'4L'!N$5</f>
        <v>Improving taste / odour / colour - Abstraction licences</v>
      </c>
      <c r="D1790" t="str">
        <f t="shared" si="25"/>
        <v>£m</v>
      </c>
      <c r="E1790" s="2" t="s">
        <v>9</v>
      </c>
      <c r="F1790" s="1634"/>
      <c r="G1790" s="1635">
        <f>'4L'!N11</f>
        <v>0</v>
      </c>
      <c r="H1790" s="1636"/>
    </row>
    <row r="1791" spans="1:8">
      <c r="A1791" s="1620" t="str">
        <f>INDEX(Lists!$C$4:$C$24,MATCH(Validation!$B$3,Lists!$B$4:$B$24,0))</f>
        <v>TMS</v>
      </c>
      <c r="B1791" s="1732" t="str">
        <f>'4L'!BI12</f>
        <v>W3006WRCUM</v>
      </c>
      <c r="C1791" s="1732" t="str">
        <f>+'4L'!$C12&amp;" - "&amp;'4L'!N$5</f>
        <v>Meeting lead standards - Abstraction licences</v>
      </c>
      <c r="D1791" t="str">
        <f t="shared" si="25"/>
        <v>£m</v>
      </c>
      <c r="E1791" s="2" t="s">
        <v>9</v>
      </c>
      <c r="F1791" s="1634"/>
      <c r="G1791" s="1635">
        <f>'4L'!N12</f>
        <v>0</v>
      </c>
      <c r="H1791" s="1636"/>
    </row>
    <row r="1792" spans="1:8">
      <c r="A1792" s="1620" t="str">
        <f>INDEX(Lists!$C$4:$C$24,MATCH(Validation!$B$3,Lists!$B$4:$B$24,0))</f>
        <v>TMS</v>
      </c>
      <c r="B1792" s="1732" t="str">
        <f>'4L'!BI13</f>
        <v>W3007SWRCUM</v>
      </c>
      <c r="C1792" s="1732" t="str">
        <f>+'4L'!$C13&amp;" - "&amp;'4L'!N$5</f>
        <v>Supply side enhancements to the supply/demand balance (dry year critical / peak conditions) - Abstraction licences</v>
      </c>
      <c r="D1792" t="str">
        <f t="shared" si="25"/>
        <v>£m</v>
      </c>
      <c r="E1792" s="2" t="s">
        <v>9</v>
      </c>
      <c r="F1792" s="1634"/>
      <c r="G1792" s="1635">
        <f>'4L'!N13</f>
        <v>0</v>
      </c>
      <c r="H1792" s="1636"/>
    </row>
    <row r="1793" spans="1:8">
      <c r="A1793" s="1620" t="str">
        <f>INDEX(Lists!$C$4:$C$24,MATCH(Validation!$B$3,Lists!$B$4:$B$24,0))</f>
        <v>TMS</v>
      </c>
      <c r="B1793" s="1732" t="str">
        <f>'4L'!BI14</f>
        <v>W3008SWRCUM</v>
      </c>
      <c r="C1793" s="1732" t="str">
        <f>+'4L'!$C14&amp;" - "&amp;'4L'!N$5</f>
        <v>Supply side enhancements to the supply/demand balance (dry year annual average conditions) - Abstraction licences</v>
      </c>
      <c r="D1793" t="str">
        <f t="shared" si="25"/>
        <v>£m</v>
      </c>
      <c r="E1793" s="2" t="s">
        <v>9</v>
      </c>
      <c r="F1793" s="1634"/>
      <c r="G1793" s="1635">
        <f>'4L'!N14</f>
        <v>0</v>
      </c>
      <c r="H1793" s="1636"/>
    </row>
    <row r="1794" spans="1:8">
      <c r="A1794" s="1620" t="str">
        <f>INDEX(Lists!$C$4:$C$24,MATCH(Validation!$B$3,Lists!$B$4:$B$24,0))</f>
        <v>TMS</v>
      </c>
      <c r="B1794" s="1732" t="str">
        <f>'4L'!BI15</f>
        <v>W3007DWRCUM</v>
      </c>
      <c r="C1794" s="1732" t="str">
        <f>+'4L'!$C15&amp;" - "&amp;'4L'!N$5</f>
        <v>Demand side enhancements to the supply/demand balance (dry year critical / peak conditions) - Abstraction licences</v>
      </c>
      <c r="D1794" t="str">
        <f t="shared" si="25"/>
        <v>£m</v>
      </c>
      <c r="E1794" s="2" t="s">
        <v>9</v>
      </c>
      <c r="F1794" s="1634"/>
      <c r="G1794" s="1635">
        <f>'4L'!N15</f>
        <v>0</v>
      </c>
      <c r="H1794" s="1636"/>
    </row>
    <row r="1795" spans="1:8">
      <c r="A1795" s="1620" t="str">
        <f>INDEX(Lists!$C$4:$C$24,MATCH(Validation!$B$3,Lists!$B$4:$B$24,0))</f>
        <v>TMS</v>
      </c>
      <c r="B1795" s="1732" t="str">
        <f>'4L'!BI16</f>
        <v>W3008DWRCUM</v>
      </c>
      <c r="C1795" s="1732" t="str">
        <f>+'4L'!$C16&amp;" - "&amp;'4L'!N$5</f>
        <v>Demand side enhancements to the supply/demand balance (dry year annual average conditions) - Abstraction licences</v>
      </c>
      <c r="D1795" t="str">
        <f t="shared" si="25"/>
        <v>£m</v>
      </c>
      <c r="E1795" s="2" t="s">
        <v>9</v>
      </c>
      <c r="F1795" s="1634"/>
      <c r="G1795" s="1635">
        <f>'4L'!N16</f>
        <v>0</v>
      </c>
      <c r="H1795" s="1636"/>
    </row>
    <row r="1796" spans="1:8">
      <c r="A1796" s="1620" t="str">
        <f>INDEX(Lists!$C$4:$C$24,MATCH(Validation!$B$3,Lists!$B$4:$B$24,0))</f>
        <v>TMS</v>
      </c>
      <c r="B1796" s="1732" t="str">
        <f>'4L'!BI17</f>
        <v>W3009WRCUM</v>
      </c>
      <c r="C1796" s="1732" t="str">
        <f>+'4L'!$C17&amp;" - "&amp;'4L'!N$5</f>
        <v>New developments - Abstraction licences</v>
      </c>
      <c r="D1796" t="str">
        <f t="shared" si="25"/>
        <v>£m</v>
      </c>
      <c r="E1796" s="2" t="s">
        <v>9</v>
      </c>
      <c r="F1796" s="1634"/>
      <c r="G1796" s="1635">
        <f>'4L'!N17</f>
        <v>0</v>
      </c>
      <c r="H1796" s="1636"/>
    </row>
    <row r="1797" spans="1:8">
      <c r="A1797" s="1620" t="str">
        <f>INDEX(Lists!$C$4:$C$24,MATCH(Validation!$B$3,Lists!$B$4:$B$24,0))</f>
        <v>TMS</v>
      </c>
      <c r="B1797" s="1732" t="str">
        <f>'4L'!BI18</f>
        <v>WS2004WRCUM</v>
      </c>
      <c r="C1797" s="1732" t="str">
        <f>+'4L'!$C18&amp;" - "&amp;'4L'!N$5</f>
        <v>New connections element of new development (CPs, meters) - Abstraction licences</v>
      </c>
      <c r="D1797" t="str">
        <f t="shared" si="25"/>
        <v>£m</v>
      </c>
      <c r="E1797" s="2" t="s">
        <v>9</v>
      </c>
      <c r="F1797" s="1634"/>
      <c r="G1797" s="1635">
        <f>'4L'!N18</f>
        <v>0</v>
      </c>
      <c r="H1797" s="1636"/>
    </row>
    <row r="1798" spans="1:8">
      <c r="A1798" s="1620" t="str">
        <f>INDEX(Lists!$C$4:$C$24,MATCH(Validation!$B$3,Lists!$B$4:$B$24,0))</f>
        <v>TMS</v>
      </c>
      <c r="B1798" s="1732" t="str">
        <f>'4L'!BI19</f>
        <v>W3010WRCUM</v>
      </c>
      <c r="C1798" s="1732" t="str">
        <f>+'4L'!$C19&amp;" - "&amp;'4L'!N$5</f>
        <v>Investment to address raw water deterioration (THM, nitrates, Crypto, pesticides, others) - Abstraction licences</v>
      </c>
      <c r="D1798" t="str">
        <f t="shared" si="25"/>
        <v>£m</v>
      </c>
      <c r="E1798" s="2" t="s">
        <v>9</v>
      </c>
      <c r="F1798" s="1634"/>
      <c r="G1798" s="1635">
        <f>'4L'!N19</f>
        <v>0</v>
      </c>
      <c r="H1798" s="1636"/>
    </row>
    <row r="1799" spans="1:8">
      <c r="A1799" s="1620" t="str">
        <f>INDEX(Lists!$C$4:$C$24,MATCH(Validation!$B$3,Lists!$B$4:$B$24,0))</f>
        <v>TMS</v>
      </c>
      <c r="B1799" s="1732" t="str">
        <f>'4L'!BI20</f>
        <v>W3011WRCUM</v>
      </c>
      <c r="C1799" s="1732" t="str">
        <f>+'4L'!$C20&amp;" - "&amp;'4L'!N$5</f>
        <v>Resilience - Abstraction licences</v>
      </c>
      <c r="D1799" t="str">
        <f t="shared" si="25"/>
        <v>£m</v>
      </c>
      <c r="E1799" s="2" t="s">
        <v>9</v>
      </c>
      <c r="F1799" s="1634"/>
      <c r="G1799" s="1635">
        <f>'4L'!N20</f>
        <v>0</v>
      </c>
      <c r="H1799" s="1636"/>
    </row>
    <row r="1800" spans="1:8">
      <c r="A1800" s="1620" t="str">
        <f>INDEX(Lists!$C$4:$C$24,MATCH(Validation!$B$3,Lists!$B$4:$B$24,0))</f>
        <v>TMS</v>
      </c>
      <c r="B1800" s="1732" t="str">
        <f>'4L'!BI21</f>
        <v>W3012WRCUM</v>
      </c>
      <c r="C1800" s="1732" t="str">
        <f>+'4L'!$C21&amp;" - "&amp;'4L'!N$5</f>
        <v>SEMD - Abstraction licences</v>
      </c>
      <c r="D1800" t="str">
        <f t="shared" si="25"/>
        <v>£m</v>
      </c>
      <c r="E1800" s="2" t="s">
        <v>9</v>
      </c>
      <c r="F1800" s="1634"/>
      <c r="G1800" s="1635">
        <f>'4L'!N21</f>
        <v>0</v>
      </c>
      <c r="H1800" s="1636"/>
    </row>
    <row r="1801" spans="1:8">
      <c r="A1801" s="1620" t="str">
        <f>INDEX(Lists!$C$4:$C$24,MATCH(Validation!$B$3,Lists!$B$4:$B$24,0))</f>
        <v>TMS</v>
      </c>
      <c r="B1801" s="1732" t="str">
        <f>'4L'!BI22</f>
        <v>WS2008WRCUM</v>
      </c>
      <c r="C1801" s="1732" t="str">
        <f>+'4L'!$C22&amp;" - "&amp;'4L'!N$5</f>
        <v>NEP - Investigations - Abstraction licences</v>
      </c>
      <c r="D1801" t="str">
        <f t="shared" si="25"/>
        <v>£m</v>
      </c>
      <c r="E1801" s="2" t="s">
        <v>9</v>
      </c>
      <c r="F1801" s="1634"/>
      <c r="G1801" s="1635">
        <f>'4L'!N22</f>
        <v>0</v>
      </c>
      <c r="H1801" s="1636"/>
    </row>
    <row r="1802" spans="1:8">
      <c r="A1802" s="1620" t="str">
        <f>INDEX(Lists!$C$4:$C$24,MATCH(Validation!$B$3,Lists!$B$4:$B$24,0))</f>
        <v>TMS</v>
      </c>
      <c r="B1802" s="1732" t="str">
        <f>'4L'!BI23</f>
        <v>W3027WRCUM</v>
      </c>
      <c r="C1802" s="1732" t="str">
        <f>+'4L'!$C23&amp;" - "&amp;'4L'!N$5</f>
        <v>Improvements to river flows - Abstraction licences</v>
      </c>
      <c r="D1802" t="str">
        <f t="shared" si="25"/>
        <v>£m</v>
      </c>
      <c r="E1802" s="2" t="s">
        <v>9</v>
      </c>
      <c r="F1802" s="1634"/>
      <c r="G1802" s="1635">
        <f>'4L'!N23</f>
        <v>0</v>
      </c>
      <c r="H1802" s="1636"/>
    </row>
    <row r="1803" spans="1:8">
      <c r="A1803" s="1620" t="str">
        <f>INDEX(Lists!$C$4:$C$24,MATCH(Validation!$B$3,Lists!$B$4:$B$24,0))</f>
        <v>TMS</v>
      </c>
      <c r="B1803" s="1732" t="str">
        <f>'4L'!BI24</f>
        <v>W3028OPTWRCUM</v>
      </c>
      <c r="C1803" s="1732" t="str">
        <f>+'4L'!$C24&amp;" - "&amp;'4L'!N$5</f>
        <v>Metering (excluding cost of providing metering to new service connections) - meters requested by optants - Abstraction licences</v>
      </c>
      <c r="D1803" t="str">
        <f t="shared" si="25"/>
        <v>£m</v>
      </c>
      <c r="E1803" s="2" t="s">
        <v>9</v>
      </c>
      <c r="F1803" s="1634"/>
      <c r="G1803" s="1635">
        <f>'4L'!N24</f>
        <v>0</v>
      </c>
      <c r="H1803" s="1636"/>
    </row>
    <row r="1804" spans="1:8">
      <c r="A1804" s="1620" t="str">
        <f>INDEX(Lists!$C$4:$C$24,MATCH(Validation!$B$3,Lists!$B$4:$B$24,0))</f>
        <v>TMS</v>
      </c>
      <c r="B1804" s="1732" t="str">
        <f>'4L'!BI25</f>
        <v>W3028COMWRCUM</v>
      </c>
      <c r="C1804" s="1732" t="str">
        <f>+'4L'!$C25&amp;" - "&amp;'4L'!N$5</f>
        <v>Metering (excluding cost of providing metering to new service connections)- meters introduced by companies - Abstraction licences</v>
      </c>
      <c r="D1804" t="str">
        <f t="shared" si="25"/>
        <v>£m</v>
      </c>
      <c r="E1804" s="2" t="s">
        <v>9</v>
      </c>
      <c r="F1804" s="1634"/>
      <c r="G1804" s="1635">
        <f>'4L'!N25</f>
        <v>0</v>
      </c>
      <c r="H1804" s="1636"/>
    </row>
    <row r="1805" spans="1:8">
      <c r="A1805" s="1620" t="str">
        <f>INDEX(Lists!$C$4:$C$24,MATCH(Validation!$B$3,Lists!$B$4:$B$24,0))</f>
        <v>TMS</v>
      </c>
      <c r="B1805" s="1732" t="str">
        <f>'4L'!BI26</f>
        <v>W3028NHOWRCUM</v>
      </c>
      <c r="C1805" s="1732" t="str">
        <f>+'4L'!$C26&amp;" - "&amp;'4L'!N$5</f>
        <v>Metering (excluding cost of providing metering to new service connections) - other - Abstraction licences</v>
      </c>
      <c r="D1805" t="str">
        <f t="shared" si="25"/>
        <v>£m</v>
      </c>
      <c r="E1805" s="2" t="s">
        <v>9</v>
      </c>
      <c r="F1805" s="1634"/>
      <c r="G1805" s="1635">
        <f>'4L'!N26</f>
        <v>0</v>
      </c>
      <c r="H1805" s="1636"/>
    </row>
    <row r="1806" spans="1:8">
      <c r="A1806" s="1620" t="str">
        <f>INDEX(Lists!$C$4:$C$24,MATCH(Validation!$B$3,Lists!$B$4:$B$24,0))</f>
        <v>TMS</v>
      </c>
      <c r="B1806" s="1732" t="str">
        <f>'4L'!BI27</f>
        <v>W3A00001WRCUM</v>
      </c>
      <c r="C1806" s="1732" t="str">
        <f>"Capital expenditure purpose - WATER additional line 1 [Other categories] - "&amp;'4L'!$N$5</f>
        <v>Capital expenditure purpose - WATER additional line 1 [Other categories] - Abstraction licences</v>
      </c>
      <c r="D1806" t="str">
        <f t="shared" si="25"/>
        <v>£m</v>
      </c>
      <c r="E1806" s="2" t="s">
        <v>9</v>
      </c>
      <c r="F1806" s="1634" t="str">
        <f>F1602</f>
        <v>NEP - Flow monitoring at water treatment works</v>
      </c>
      <c r="G1806" s="1635">
        <f>IF(ISBLANK('4L'!N27), "##BLANK", '4L'!N27)</f>
        <v>0</v>
      </c>
      <c r="H1806" s="1636"/>
    </row>
    <row r="1807" spans="1:8">
      <c r="A1807" s="1620" t="str">
        <f>INDEX(Lists!$C$4:$C$24,MATCH(Validation!$B$3,Lists!$B$4:$B$24,0))</f>
        <v>TMS</v>
      </c>
      <c r="B1807" s="1732" t="str">
        <f>'4L'!BI28</f>
        <v>W3A00002WRCUM</v>
      </c>
      <c r="C1807" s="1732" t="str">
        <f>"Capital expenditure purpose - WATER additional line 2 [Other categories] - "&amp;'4L'!$N$5</f>
        <v>Capital expenditure purpose - WATER additional line 2 [Other categories] - Abstraction licences</v>
      </c>
      <c r="D1807" t="str">
        <f t="shared" si="25"/>
        <v>£m</v>
      </c>
      <c r="E1807" s="2" t="s">
        <v>9</v>
      </c>
      <c r="F1807" s="1634" t="str">
        <f t="shared" ref="F1807:F1820" si="27">F1603</f>
        <v>##BLANK</v>
      </c>
      <c r="G1807" s="1635" t="str">
        <f>IF(ISBLANK('4L'!N28), "##BLANK", '4L'!N28)</f>
        <v>##BLANK</v>
      </c>
      <c r="H1807" s="1636"/>
    </row>
    <row r="1808" spans="1:8">
      <c r="A1808" s="1620" t="str">
        <f>INDEX(Lists!$C$4:$C$24,MATCH(Validation!$B$3,Lists!$B$4:$B$24,0))</f>
        <v>TMS</v>
      </c>
      <c r="B1808" s="1732" t="str">
        <f>'4L'!BI29</f>
        <v>W3A00003WRCUM</v>
      </c>
      <c r="C1808" s="1732" t="str">
        <f>"Capital expenditure purpose - WATER additional line 3 [Other categories] - "&amp;'4L'!$N$5</f>
        <v>Capital expenditure purpose - WATER additional line 3 [Other categories] - Abstraction licences</v>
      </c>
      <c r="D1808" t="str">
        <f t="shared" si="25"/>
        <v>£m</v>
      </c>
      <c r="E1808" s="2" t="s">
        <v>9</v>
      </c>
      <c r="F1808" s="1634" t="str">
        <f t="shared" si="27"/>
        <v>##BLANK</v>
      </c>
      <c r="G1808" s="1635" t="str">
        <f>IF(ISBLANK('4L'!N29), "##BLANK", '4L'!N29)</f>
        <v>##BLANK</v>
      </c>
      <c r="H1808" s="1636"/>
    </row>
    <row r="1809" spans="1:8">
      <c r="A1809" s="1620" t="str">
        <f>INDEX(Lists!$C$4:$C$24,MATCH(Validation!$B$3,Lists!$B$4:$B$24,0))</f>
        <v>TMS</v>
      </c>
      <c r="B1809" s="1732" t="str">
        <f>'4L'!BI30</f>
        <v>W3A00004WRCUM</v>
      </c>
      <c r="C1809" s="1732" t="str">
        <f>"Capital expenditure purpose - WATER additional line 4 [Other categories] - "&amp;'4L'!$N$5</f>
        <v>Capital expenditure purpose - WATER additional line 4 [Other categories] - Abstraction licences</v>
      </c>
      <c r="D1809" t="str">
        <f t="shared" ref="D1809:D1872" si="28">D1775</f>
        <v>£m</v>
      </c>
      <c r="E1809" s="2" t="s">
        <v>9</v>
      </c>
      <c r="F1809" s="1634" t="str">
        <f t="shared" si="27"/>
        <v>##BLANK</v>
      </c>
      <c r="G1809" s="1635" t="str">
        <f>IF(ISBLANK('4L'!N30), "##BLANK", '4L'!N30)</f>
        <v>##BLANK</v>
      </c>
      <c r="H1809" s="1636"/>
    </row>
    <row r="1810" spans="1:8">
      <c r="A1810" s="1620" t="str">
        <f>INDEX(Lists!$C$4:$C$24,MATCH(Validation!$B$3,Lists!$B$4:$B$24,0))</f>
        <v>TMS</v>
      </c>
      <c r="B1810" s="1732" t="str">
        <f>'4L'!BI31</f>
        <v>W3A00005WRCUM</v>
      </c>
      <c r="C1810" s="1732" t="str">
        <f>"Capital expenditure purpose - WATER additional line 5 [Other categories] - "&amp;'4L'!$N$5</f>
        <v>Capital expenditure purpose - WATER additional line 5 [Other categories] - Abstraction licences</v>
      </c>
      <c r="D1810" t="str">
        <f t="shared" si="28"/>
        <v>£m</v>
      </c>
      <c r="E1810" s="2" t="s">
        <v>9</v>
      </c>
      <c r="F1810" s="1634" t="str">
        <f t="shared" si="27"/>
        <v>##BLANK</v>
      </c>
      <c r="G1810" s="1635" t="str">
        <f>IF(ISBLANK('4L'!N31), "##BLANK", '4L'!N31)</f>
        <v>##BLANK</v>
      </c>
      <c r="H1810" s="1636"/>
    </row>
    <row r="1811" spans="1:8">
      <c r="A1811" s="1620" t="str">
        <f>INDEX(Lists!$C$4:$C$24,MATCH(Validation!$B$3,Lists!$B$4:$B$24,0))</f>
        <v>TMS</v>
      </c>
      <c r="B1811" s="1732" t="str">
        <f>'4L'!BI32</f>
        <v>W3A00006WRCUM</v>
      </c>
      <c r="C1811" s="1732" t="str">
        <f>"Capital expenditure purpose - WATER additional line 6 [Other categories] - "&amp;'4L'!$N$5</f>
        <v>Capital expenditure purpose - WATER additional line 6 [Other categories] - Abstraction licences</v>
      </c>
      <c r="D1811" t="str">
        <f t="shared" si="28"/>
        <v>£m</v>
      </c>
      <c r="E1811" s="2" t="s">
        <v>9</v>
      </c>
      <c r="F1811" s="1634" t="str">
        <f t="shared" si="27"/>
        <v>##BLANK</v>
      </c>
      <c r="G1811" s="1635" t="str">
        <f>IF(ISBLANK('4L'!N32), "##BLANK", '4L'!N32)</f>
        <v>##BLANK</v>
      </c>
      <c r="H1811" s="1636"/>
    </row>
    <row r="1812" spans="1:8">
      <c r="A1812" s="1620" t="str">
        <f>INDEX(Lists!$C$4:$C$24,MATCH(Validation!$B$3,Lists!$B$4:$B$24,0))</f>
        <v>TMS</v>
      </c>
      <c r="B1812" s="1732" t="str">
        <f>'4L'!BI33</f>
        <v>W3A00007WRCUM</v>
      </c>
      <c r="C1812" s="1732" t="str">
        <f>"Capital expenditure purpose - WATER additional line 7 [Other categories] - "&amp;'4L'!$N$5</f>
        <v>Capital expenditure purpose - WATER additional line 7 [Other categories] - Abstraction licences</v>
      </c>
      <c r="D1812" t="str">
        <f t="shared" si="28"/>
        <v>£m</v>
      </c>
      <c r="E1812" s="2" t="s">
        <v>9</v>
      </c>
      <c r="F1812" s="1634" t="str">
        <f t="shared" si="27"/>
        <v>##BLANK</v>
      </c>
      <c r="G1812" s="1635" t="str">
        <f>IF(ISBLANK('4L'!N33), "##BLANK", '4L'!N33)</f>
        <v>##BLANK</v>
      </c>
      <c r="H1812" s="1636"/>
    </row>
    <row r="1813" spans="1:8">
      <c r="A1813" s="1620" t="str">
        <f>INDEX(Lists!$C$4:$C$24,MATCH(Validation!$B$3,Lists!$B$4:$B$24,0))</f>
        <v>TMS</v>
      </c>
      <c r="B1813" s="1732" t="str">
        <f>'4L'!BI34</f>
        <v>W3A00008WRCUM</v>
      </c>
      <c r="C1813" s="1732" t="str">
        <f>"Capital expenditure purpose - WATER additional line 8 [Other categories] - "&amp;'4L'!$N$5</f>
        <v>Capital expenditure purpose - WATER additional line 8 [Other categories] - Abstraction licences</v>
      </c>
      <c r="D1813" t="str">
        <f t="shared" si="28"/>
        <v>£m</v>
      </c>
      <c r="E1813" s="2" t="s">
        <v>9</v>
      </c>
      <c r="F1813" s="1634" t="str">
        <f t="shared" si="27"/>
        <v>##BLANK</v>
      </c>
      <c r="G1813" s="1635" t="str">
        <f>IF(ISBLANK('4L'!N34), "##BLANK", '4L'!N34)</f>
        <v>##BLANK</v>
      </c>
      <c r="H1813" s="1636"/>
    </row>
    <row r="1814" spans="1:8">
      <c r="A1814" s="1620" t="str">
        <f>INDEX(Lists!$C$4:$C$24,MATCH(Validation!$B$3,Lists!$B$4:$B$24,0))</f>
        <v>TMS</v>
      </c>
      <c r="B1814" s="1732" t="str">
        <f>'4L'!BI35</f>
        <v>W3A00009WRCUM</v>
      </c>
      <c r="C1814" s="1732" t="str">
        <f>"Capital expenditure purpose - WATER additional line 9 [Other categories] - "&amp;'4L'!$N$5</f>
        <v>Capital expenditure purpose - WATER additional line 9 [Other categories] - Abstraction licences</v>
      </c>
      <c r="D1814" t="str">
        <f t="shared" si="28"/>
        <v>£m</v>
      </c>
      <c r="E1814" s="2" t="s">
        <v>9</v>
      </c>
      <c r="F1814" s="1634" t="str">
        <f t="shared" si="27"/>
        <v>##BLANK</v>
      </c>
      <c r="G1814" s="1635" t="str">
        <f>IF(ISBLANK('4L'!N35), "##BLANK", '4L'!N35)</f>
        <v>##BLANK</v>
      </c>
      <c r="H1814" s="1636"/>
    </row>
    <row r="1815" spans="1:8">
      <c r="A1815" s="1620" t="str">
        <f>INDEX(Lists!$C$4:$C$24,MATCH(Validation!$B$3,Lists!$B$4:$B$24,0))</f>
        <v>TMS</v>
      </c>
      <c r="B1815" s="1732" t="str">
        <f>'4L'!BI36</f>
        <v>W3A00010WRCUM</v>
      </c>
      <c r="C1815" s="1732" t="str">
        <f>"Capital expenditure purpose - WATER additional line 10 [Other categories] - "&amp;'4L'!$N$5</f>
        <v>Capital expenditure purpose - WATER additional line 10 [Other categories] - Abstraction licences</v>
      </c>
      <c r="D1815" t="str">
        <f t="shared" si="28"/>
        <v>£m</v>
      </c>
      <c r="E1815" s="2" t="s">
        <v>9</v>
      </c>
      <c r="F1815" s="1634" t="str">
        <f t="shared" si="27"/>
        <v>##BLANK</v>
      </c>
      <c r="G1815" s="1635" t="str">
        <f>IF(ISBLANK('4L'!N36), "##BLANK", '4L'!N36)</f>
        <v>##BLANK</v>
      </c>
      <c r="H1815" s="1636"/>
    </row>
    <row r="1816" spans="1:8">
      <c r="A1816" s="1620" t="str">
        <f>INDEX(Lists!$C$4:$C$24,MATCH(Validation!$B$3,Lists!$B$4:$B$24,0))</f>
        <v>TMS</v>
      </c>
      <c r="B1816" s="1732" t="str">
        <f>'4L'!BI37</f>
        <v>W3A00011WRCUM</v>
      </c>
      <c r="C1816" s="1732" t="str">
        <f>"Capital expenditure purpose - WATER additional line 11 [Other categories] - "&amp;'4L'!$N$5</f>
        <v>Capital expenditure purpose - WATER additional line 11 [Other categories] - Abstraction licences</v>
      </c>
      <c r="D1816" t="str">
        <f t="shared" si="28"/>
        <v>£m</v>
      </c>
      <c r="E1816" s="2" t="s">
        <v>9</v>
      </c>
      <c r="F1816" s="1634" t="str">
        <f t="shared" si="27"/>
        <v>##BLANK</v>
      </c>
      <c r="G1816" s="1635" t="str">
        <f>IF(ISBLANK('4L'!N37), "##BLANK", '4L'!N37)</f>
        <v>##BLANK</v>
      </c>
      <c r="H1816" s="1636"/>
    </row>
    <row r="1817" spans="1:8">
      <c r="A1817" s="1620" t="str">
        <f>INDEX(Lists!$C$4:$C$24,MATCH(Validation!$B$3,Lists!$B$4:$B$24,0))</f>
        <v>TMS</v>
      </c>
      <c r="B1817" s="1732" t="str">
        <f>'4L'!BI38</f>
        <v>W3A00012WRCUM</v>
      </c>
      <c r="C1817" s="1732" t="str">
        <f>"Capital expenditure purpose - WATER additional line 12 [Other categories] - "&amp;'4L'!$N$5</f>
        <v>Capital expenditure purpose - WATER additional line 12 [Other categories] - Abstraction licences</v>
      </c>
      <c r="D1817" t="str">
        <f t="shared" si="28"/>
        <v>£m</v>
      </c>
      <c r="E1817" s="2" t="s">
        <v>9</v>
      </c>
      <c r="F1817" s="1634" t="str">
        <f t="shared" si="27"/>
        <v>##BLANK</v>
      </c>
      <c r="G1817" s="1635" t="str">
        <f>IF(ISBLANK('4L'!N38), "##BLANK", '4L'!N38)</f>
        <v>##BLANK</v>
      </c>
      <c r="H1817" s="1636"/>
    </row>
    <row r="1818" spans="1:8">
      <c r="A1818" s="1620" t="str">
        <f>INDEX(Lists!$C$4:$C$24,MATCH(Validation!$B$3,Lists!$B$4:$B$24,0))</f>
        <v>TMS</v>
      </c>
      <c r="B1818" s="1732" t="str">
        <f>'4L'!BI39</f>
        <v>W3A00013WRCUM</v>
      </c>
      <c r="C1818" s="1732" t="str">
        <f>"Capital expenditure purpose - WATER additional line 13 [Other categories] - "&amp;'4L'!$N$5</f>
        <v>Capital expenditure purpose - WATER additional line 13 [Other categories] - Abstraction licences</v>
      </c>
      <c r="D1818" t="str">
        <f t="shared" si="28"/>
        <v>£m</v>
      </c>
      <c r="E1818" s="2" t="s">
        <v>9</v>
      </c>
      <c r="F1818" s="1634" t="str">
        <f t="shared" si="27"/>
        <v>##BLANK</v>
      </c>
      <c r="G1818" s="1635" t="str">
        <f>IF(ISBLANK('4L'!N39), "##BLANK", '4L'!N39)</f>
        <v>##BLANK</v>
      </c>
      <c r="H1818" s="1636"/>
    </row>
    <row r="1819" spans="1:8">
      <c r="A1819" s="1620" t="str">
        <f>INDEX(Lists!$C$4:$C$24,MATCH(Validation!$B$3,Lists!$B$4:$B$24,0))</f>
        <v>TMS</v>
      </c>
      <c r="B1819" s="1732" t="str">
        <f>'4L'!BI40</f>
        <v>W3A00014WRCUM</v>
      </c>
      <c r="C1819" s="1732" t="str">
        <f>"Capital expenditure purpose - WATER additional line 14 [Other categories] - "&amp;'4L'!$N$5</f>
        <v>Capital expenditure purpose - WATER additional line 14 [Other categories] - Abstraction licences</v>
      </c>
      <c r="D1819" t="str">
        <f t="shared" si="28"/>
        <v>£m</v>
      </c>
      <c r="E1819" s="2" t="s">
        <v>9</v>
      </c>
      <c r="F1819" s="1634" t="str">
        <f t="shared" si="27"/>
        <v>##BLANK</v>
      </c>
      <c r="G1819" s="1635" t="str">
        <f>IF(ISBLANK('4L'!N40), "##BLANK", '4L'!N40)</f>
        <v>##BLANK</v>
      </c>
      <c r="H1819" s="1636"/>
    </row>
    <row r="1820" spans="1:8">
      <c r="A1820" s="1730" t="str">
        <f>INDEX(Lists!$C$4:$C$24,MATCH(Validation!$B$3,Lists!$B$4:$B$24,0))</f>
        <v>TMS</v>
      </c>
      <c r="B1820" s="1734" t="str">
        <f>'4L'!BI41</f>
        <v>W3A00015WRCUM</v>
      </c>
      <c r="C1820" s="1734" t="str">
        <f>"Capital expenditure purpose - WATER additional line 15 [Other categories] - "&amp;'4L'!$N$5</f>
        <v>Capital expenditure purpose - WATER additional line 15 [Other categories] - Abstraction licences</v>
      </c>
      <c r="D1820" s="1819" t="str">
        <f t="shared" si="28"/>
        <v>£m</v>
      </c>
      <c r="E1820" s="1651" t="s">
        <v>9</v>
      </c>
      <c r="F1820" s="1637" t="str">
        <f t="shared" si="27"/>
        <v>##BLANK</v>
      </c>
      <c r="G1820" s="1653" t="str">
        <f>IF(ISBLANK('4L'!N41), "##BLANK", '4L'!N41)</f>
        <v>##BLANK</v>
      </c>
      <c r="H1820" s="1652"/>
    </row>
    <row r="1821" spans="1:8">
      <c r="A1821" s="1620" t="str">
        <f>INDEX(Lists!$C$4:$C$24,MATCH(Validation!$B$3,Lists!$B$4:$B$24,0))</f>
        <v>TMS</v>
      </c>
      <c r="B1821" s="1732" t="str">
        <f>'4L'!BJ8</f>
        <v>W3001RWACUM</v>
      </c>
      <c r="C1821" s="1732" t="str">
        <f>+'4L'!$C8&amp;" - "&amp;'4L'!O$5</f>
        <v>NEP - Making ecological improvements at abstractions (Habitats Directive, SSSI, NERC, BAPs) - Raw water abstraction</v>
      </c>
      <c r="D1821" t="str">
        <f t="shared" si="28"/>
        <v>£m</v>
      </c>
      <c r="E1821" s="2" t="s">
        <v>9</v>
      </c>
      <c r="F1821" s="1634"/>
      <c r="G1821" s="1635">
        <f>'4L'!O8</f>
        <v>-1.587539519153278</v>
      </c>
      <c r="H1821" s="1636"/>
    </row>
    <row r="1822" spans="1:8">
      <c r="A1822" s="1620" t="str">
        <f>INDEX(Lists!$C$4:$C$24,MATCH(Validation!$B$3,Lists!$B$4:$B$24,0))</f>
        <v>TMS</v>
      </c>
      <c r="B1822" s="1732" t="str">
        <f>'4L'!BJ9</f>
        <v>WS2002RWACUM</v>
      </c>
      <c r="C1822" s="1732" t="str">
        <f>+'4L'!$C9&amp;" - "&amp;'4L'!O$5</f>
        <v>NEP - Eels Regulations (measures at intakes) - Raw water abstraction</v>
      </c>
      <c r="D1822" t="str">
        <f t="shared" si="28"/>
        <v>£m</v>
      </c>
      <c r="E1822" s="2" t="s">
        <v>9</v>
      </c>
      <c r="F1822" s="1634"/>
      <c r="G1822" s="1635">
        <f>'4L'!O9</f>
        <v>-1.1496146818651711E-2</v>
      </c>
      <c r="H1822" s="1636"/>
    </row>
    <row r="1823" spans="1:8">
      <c r="A1823" s="1620" t="str">
        <f>INDEX(Lists!$C$4:$C$24,MATCH(Validation!$B$3,Lists!$B$4:$B$24,0))</f>
        <v>TMS</v>
      </c>
      <c r="B1823" s="1732" t="str">
        <f>'4L'!BJ10</f>
        <v>W3002RWACUM</v>
      </c>
      <c r="C1823" s="1732" t="str">
        <f>+'4L'!$C10&amp;" - "&amp;'4L'!O$5</f>
        <v>Addressing low pressure - Raw water abstraction</v>
      </c>
      <c r="D1823" t="str">
        <f t="shared" si="28"/>
        <v>£m</v>
      </c>
      <c r="E1823" s="2" t="s">
        <v>9</v>
      </c>
      <c r="F1823" s="1634"/>
      <c r="G1823" s="1635">
        <f>'4L'!O10</f>
        <v>0</v>
      </c>
      <c r="H1823" s="1636"/>
    </row>
    <row r="1824" spans="1:8">
      <c r="A1824" s="1620" t="str">
        <f>INDEX(Lists!$C$4:$C$24,MATCH(Validation!$B$3,Lists!$B$4:$B$24,0))</f>
        <v>TMS</v>
      </c>
      <c r="B1824" s="1732" t="str">
        <f>'4L'!BJ11</f>
        <v>W3003RWACUM</v>
      </c>
      <c r="C1824" s="1732" t="str">
        <f>+'4L'!$C11&amp;" - "&amp;'4L'!O$5</f>
        <v>Improving taste / odour / colour - Raw water abstraction</v>
      </c>
      <c r="D1824" t="str">
        <f t="shared" si="28"/>
        <v>£m</v>
      </c>
      <c r="E1824" s="2" t="s">
        <v>9</v>
      </c>
      <c r="F1824" s="1634"/>
      <c r="G1824" s="1635">
        <f>'4L'!O11</f>
        <v>0</v>
      </c>
      <c r="H1824" s="1636"/>
    </row>
    <row r="1825" spans="1:8">
      <c r="A1825" s="1620" t="str">
        <f>INDEX(Lists!$C$4:$C$24,MATCH(Validation!$B$3,Lists!$B$4:$B$24,0))</f>
        <v>TMS</v>
      </c>
      <c r="B1825" s="1732" t="str">
        <f>'4L'!BJ12</f>
        <v>W3006RWACUM</v>
      </c>
      <c r="C1825" s="1732" t="str">
        <f>+'4L'!$C12&amp;" - "&amp;'4L'!O$5</f>
        <v>Meeting lead standards - Raw water abstraction</v>
      </c>
      <c r="D1825" t="str">
        <f t="shared" si="28"/>
        <v>£m</v>
      </c>
      <c r="E1825" s="2" t="s">
        <v>9</v>
      </c>
      <c r="F1825" s="1634"/>
      <c r="G1825" s="1635">
        <f>'4L'!O12</f>
        <v>0</v>
      </c>
      <c r="H1825" s="1636"/>
    </row>
    <row r="1826" spans="1:8">
      <c r="A1826" s="1620" t="str">
        <f>INDEX(Lists!$C$4:$C$24,MATCH(Validation!$B$3,Lists!$B$4:$B$24,0))</f>
        <v>TMS</v>
      </c>
      <c r="B1826" s="1732" t="str">
        <f>'4L'!BJ13</f>
        <v>W3007SRWACUM</v>
      </c>
      <c r="C1826" s="1732" t="str">
        <f>+'4L'!$C13&amp;" - "&amp;'4L'!O$5</f>
        <v>Supply side enhancements to the supply/demand balance (dry year critical / peak conditions) - Raw water abstraction</v>
      </c>
      <c r="D1826" t="str">
        <f t="shared" si="28"/>
        <v>£m</v>
      </c>
      <c r="E1826" s="2" t="s">
        <v>9</v>
      </c>
      <c r="F1826" s="1634"/>
      <c r="G1826" s="1635">
        <f>'4L'!O13</f>
        <v>0.14449469323520867</v>
      </c>
      <c r="H1826" s="1636"/>
    </row>
    <row r="1827" spans="1:8">
      <c r="A1827" s="1620" t="str">
        <f>INDEX(Lists!$C$4:$C$24,MATCH(Validation!$B$3,Lists!$B$4:$B$24,0))</f>
        <v>TMS</v>
      </c>
      <c r="B1827" s="1732" t="str">
        <f>'4L'!BJ14</f>
        <v>W3008SRWACUM</v>
      </c>
      <c r="C1827" s="1732" t="str">
        <f>+'4L'!$C14&amp;" - "&amp;'4L'!O$5</f>
        <v>Supply side enhancements to the supply/demand balance (dry year annual average conditions) - Raw water abstraction</v>
      </c>
      <c r="D1827" t="str">
        <f t="shared" si="28"/>
        <v>£m</v>
      </c>
      <c r="E1827" s="2" t="s">
        <v>9</v>
      </c>
      <c r="F1827" s="1634"/>
      <c r="G1827" s="1635">
        <f>'4L'!O14</f>
        <v>0.87663000494144283</v>
      </c>
      <c r="H1827" s="1636"/>
    </row>
    <row r="1828" spans="1:8">
      <c r="A1828" s="1620" t="str">
        <f>INDEX(Lists!$C$4:$C$24,MATCH(Validation!$B$3,Lists!$B$4:$B$24,0))</f>
        <v>TMS</v>
      </c>
      <c r="B1828" s="1732" t="str">
        <f>'4L'!BJ15</f>
        <v>W3007DRWACUM</v>
      </c>
      <c r="C1828" s="1732" t="str">
        <f>+'4L'!$C15&amp;" - "&amp;'4L'!O$5</f>
        <v>Demand side enhancements to the supply/demand balance (dry year critical / peak conditions) - Raw water abstraction</v>
      </c>
      <c r="D1828" t="str">
        <f t="shared" si="28"/>
        <v>£m</v>
      </c>
      <c r="E1828" s="2" t="s">
        <v>9</v>
      </c>
      <c r="F1828" s="1634"/>
      <c r="G1828" s="1635">
        <f>'4L'!O15</f>
        <v>0.12893918915000005</v>
      </c>
      <c r="H1828" s="1636"/>
    </row>
    <row r="1829" spans="1:8">
      <c r="A1829" s="1620" t="str">
        <f>INDEX(Lists!$C$4:$C$24,MATCH(Validation!$B$3,Lists!$B$4:$B$24,0))</f>
        <v>TMS</v>
      </c>
      <c r="B1829" s="1732" t="str">
        <f>'4L'!BJ16</f>
        <v>W3008DRWACUM</v>
      </c>
      <c r="C1829" s="1732" t="str">
        <f>+'4L'!$C16&amp;" - "&amp;'4L'!O$5</f>
        <v>Demand side enhancements to the supply/demand balance (dry year annual average conditions) - Raw water abstraction</v>
      </c>
      <c r="D1829" t="str">
        <f t="shared" si="28"/>
        <v>£m</v>
      </c>
      <c r="E1829" s="2" t="s">
        <v>9</v>
      </c>
      <c r="F1829" s="1634"/>
      <c r="G1829" s="1635">
        <f>'4L'!O16</f>
        <v>0.12893918915000005</v>
      </c>
      <c r="H1829" s="1636"/>
    </row>
    <row r="1830" spans="1:8">
      <c r="A1830" s="1620" t="str">
        <f>INDEX(Lists!$C$4:$C$24,MATCH(Validation!$B$3,Lists!$B$4:$B$24,0))</f>
        <v>TMS</v>
      </c>
      <c r="B1830" s="1732" t="str">
        <f>'4L'!BJ17</f>
        <v>W3009RWACUM</v>
      </c>
      <c r="C1830" s="1732" t="str">
        <f>+'4L'!$C17&amp;" - "&amp;'4L'!O$5</f>
        <v>New developments - Raw water abstraction</v>
      </c>
      <c r="D1830" t="str">
        <f t="shared" si="28"/>
        <v>£m</v>
      </c>
      <c r="E1830" s="2" t="s">
        <v>9</v>
      </c>
      <c r="F1830" s="1634"/>
      <c r="G1830" s="1635">
        <f>'4L'!O17</f>
        <v>0.24024285999999997</v>
      </c>
      <c r="H1830" s="1636"/>
    </row>
    <row r="1831" spans="1:8">
      <c r="A1831" s="1620" t="str">
        <f>INDEX(Lists!$C$4:$C$24,MATCH(Validation!$B$3,Lists!$B$4:$B$24,0))</f>
        <v>TMS</v>
      </c>
      <c r="B1831" s="1732" t="str">
        <f>'4L'!BJ18</f>
        <v>WS2004RWACUM</v>
      </c>
      <c r="C1831" s="1732" t="str">
        <f>+'4L'!$C18&amp;" - "&amp;'4L'!O$5</f>
        <v>New connections element of new development (CPs, meters) - Raw water abstraction</v>
      </c>
      <c r="D1831" t="str">
        <f t="shared" si="28"/>
        <v>£m</v>
      </c>
      <c r="E1831" s="2" t="s">
        <v>9</v>
      </c>
      <c r="F1831" s="1634"/>
      <c r="G1831" s="1635">
        <f>'4L'!O18</f>
        <v>0</v>
      </c>
      <c r="H1831" s="1636"/>
    </row>
    <row r="1832" spans="1:8">
      <c r="A1832" s="1620" t="str">
        <f>INDEX(Lists!$C$4:$C$24,MATCH(Validation!$B$3,Lists!$B$4:$B$24,0))</f>
        <v>TMS</v>
      </c>
      <c r="B1832" s="1732" t="str">
        <f>'4L'!BJ19</f>
        <v>W3010RWACUM</v>
      </c>
      <c r="C1832" s="1732" t="str">
        <f>+'4L'!$C19&amp;" - "&amp;'4L'!O$5</f>
        <v>Investment to address raw water deterioration (THM, nitrates, Crypto, pesticides, others) - Raw water abstraction</v>
      </c>
      <c r="D1832" t="str">
        <f t="shared" si="28"/>
        <v>£m</v>
      </c>
      <c r="E1832" s="2" t="s">
        <v>9</v>
      </c>
      <c r="F1832" s="1634"/>
      <c r="G1832" s="1635">
        <f>'4L'!O19</f>
        <v>3.300720314917921E-2</v>
      </c>
      <c r="H1832" s="1636"/>
    </row>
    <row r="1833" spans="1:8">
      <c r="A1833" s="1620" t="str">
        <f>INDEX(Lists!$C$4:$C$24,MATCH(Validation!$B$3,Lists!$B$4:$B$24,0))</f>
        <v>TMS</v>
      </c>
      <c r="B1833" s="1732" t="str">
        <f>'4L'!BJ20</f>
        <v>W3011RWACUM</v>
      </c>
      <c r="C1833" s="1732" t="str">
        <f>+'4L'!$C20&amp;" - "&amp;'4L'!O$5</f>
        <v>Resilience - Raw water abstraction</v>
      </c>
      <c r="D1833" t="str">
        <f t="shared" si="28"/>
        <v>£m</v>
      </c>
      <c r="E1833" s="2" t="s">
        <v>9</v>
      </c>
      <c r="F1833" s="1634"/>
      <c r="G1833" s="1635">
        <f>'4L'!O20</f>
        <v>0.49323788000000002</v>
      </c>
      <c r="H1833" s="1636"/>
    </row>
    <row r="1834" spans="1:8">
      <c r="A1834" s="1620" t="str">
        <f>INDEX(Lists!$C$4:$C$24,MATCH(Validation!$B$3,Lists!$B$4:$B$24,0))</f>
        <v>TMS</v>
      </c>
      <c r="B1834" s="1732" t="str">
        <f>'4L'!BJ21</f>
        <v>W3012RWACUM</v>
      </c>
      <c r="C1834" s="1732" t="str">
        <f>+'4L'!$C21&amp;" - "&amp;'4L'!O$5</f>
        <v>SEMD - Raw water abstraction</v>
      </c>
      <c r="D1834" t="str">
        <f t="shared" si="28"/>
        <v>£m</v>
      </c>
      <c r="E1834" s="2" t="s">
        <v>9</v>
      </c>
      <c r="F1834" s="1634"/>
      <c r="G1834" s="1635">
        <f>'4L'!O21</f>
        <v>-5.7211518165509623E-2</v>
      </c>
      <c r="H1834" s="1636"/>
    </row>
    <row r="1835" spans="1:8">
      <c r="A1835" s="1620" t="str">
        <f>INDEX(Lists!$C$4:$C$24,MATCH(Validation!$B$3,Lists!$B$4:$B$24,0))</f>
        <v>TMS</v>
      </c>
      <c r="B1835" s="1732" t="str">
        <f>'4L'!BJ22</f>
        <v>WS2008RWACUM</v>
      </c>
      <c r="C1835" s="1732" t="str">
        <f>+'4L'!$C22&amp;" - "&amp;'4L'!O$5</f>
        <v>NEP - Investigations - Raw water abstraction</v>
      </c>
      <c r="D1835" t="str">
        <f t="shared" si="28"/>
        <v>£m</v>
      </c>
      <c r="E1835" s="2" t="s">
        <v>9</v>
      </c>
      <c r="F1835" s="1634"/>
      <c r="G1835" s="1635">
        <f>'4L'!O22</f>
        <v>0</v>
      </c>
      <c r="H1835" s="1636"/>
    </row>
    <row r="1836" spans="1:8">
      <c r="A1836" s="1620" t="str">
        <f>INDEX(Lists!$C$4:$C$24,MATCH(Validation!$B$3,Lists!$B$4:$B$24,0))</f>
        <v>TMS</v>
      </c>
      <c r="B1836" s="1732" t="str">
        <f>'4L'!BJ23</f>
        <v>W3027RWACUM</v>
      </c>
      <c r="C1836" s="1732" t="str">
        <f>+'4L'!$C23&amp;" - "&amp;'4L'!O$5</f>
        <v>Improvements to river flows - Raw water abstraction</v>
      </c>
      <c r="D1836" t="str">
        <f t="shared" si="28"/>
        <v>£m</v>
      </c>
      <c r="E1836" s="2" t="s">
        <v>9</v>
      </c>
      <c r="F1836" s="1634"/>
      <c r="G1836" s="1635">
        <f>'4L'!O23</f>
        <v>0</v>
      </c>
      <c r="H1836" s="1636"/>
    </row>
    <row r="1837" spans="1:8">
      <c r="A1837" s="1620" t="str">
        <f>INDEX(Lists!$C$4:$C$24,MATCH(Validation!$B$3,Lists!$B$4:$B$24,0))</f>
        <v>TMS</v>
      </c>
      <c r="B1837" s="1732" t="str">
        <f>'4L'!BJ24</f>
        <v>W3028OPTRWACUM</v>
      </c>
      <c r="C1837" s="1732" t="str">
        <f>+'4L'!$C24&amp;" - "&amp;'4L'!O$5</f>
        <v>Metering (excluding cost of providing metering to new service connections) - meters requested by optants - Raw water abstraction</v>
      </c>
      <c r="D1837" t="str">
        <f t="shared" si="28"/>
        <v>£m</v>
      </c>
      <c r="E1837" s="2" t="s">
        <v>9</v>
      </c>
      <c r="F1837" s="1634"/>
      <c r="G1837" s="1635">
        <f>'4L'!O24</f>
        <v>0</v>
      </c>
      <c r="H1837" s="1636"/>
    </row>
    <row r="1838" spans="1:8">
      <c r="A1838" s="1620" t="str">
        <f>INDEX(Lists!$C$4:$C$24,MATCH(Validation!$B$3,Lists!$B$4:$B$24,0))</f>
        <v>TMS</v>
      </c>
      <c r="B1838" s="1732" t="str">
        <f>'4L'!BJ25</f>
        <v>W3028COMRWACUM</v>
      </c>
      <c r="C1838" s="1732" t="str">
        <f>+'4L'!$C25&amp;" - "&amp;'4L'!O$5</f>
        <v>Metering (excluding cost of providing metering to new service connections)- meters introduced by companies - Raw water abstraction</v>
      </c>
      <c r="D1838" t="str">
        <f t="shared" si="28"/>
        <v>£m</v>
      </c>
      <c r="E1838" s="2" t="s">
        <v>9</v>
      </c>
      <c r="F1838" s="1634"/>
      <c r="G1838" s="1635">
        <f>'4L'!O25</f>
        <v>0</v>
      </c>
      <c r="H1838" s="1636"/>
    </row>
    <row r="1839" spans="1:8">
      <c r="A1839" s="1620" t="str">
        <f>INDEX(Lists!$C$4:$C$24,MATCH(Validation!$B$3,Lists!$B$4:$B$24,0))</f>
        <v>TMS</v>
      </c>
      <c r="B1839" s="1732" t="str">
        <f>'4L'!BJ26</f>
        <v>W3028NHORWACUM</v>
      </c>
      <c r="C1839" s="1732" t="str">
        <f>+'4L'!$C26&amp;" - "&amp;'4L'!O$5</f>
        <v>Metering (excluding cost of providing metering to new service connections) - other - Raw water abstraction</v>
      </c>
      <c r="D1839" t="str">
        <f t="shared" si="28"/>
        <v>£m</v>
      </c>
      <c r="E1839" s="2" t="s">
        <v>9</v>
      </c>
      <c r="F1839" s="1634"/>
      <c r="G1839" s="1635">
        <f>'4L'!O26</f>
        <v>0</v>
      </c>
      <c r="H1839" s="1636"/>
    </row>
    <row r="1840" spans="1:8">
      <c r="A1840" s="1620" t="str">
        <f>INDEX(Lists!$C$4:$C$24,MATCH(Validation!$B$3,Lists!$B$4:$B$24,0))</f>
        <v>TMS</v>
      </c>
      <c r="B1840" s="1732" t="str">
        <f>'4L'!BJ27</f>
        <v>W3A00001RWACUM</v>
      </c>
      <c r="C1840" s="1732" t="str">
        <f>"Capital expenditure purpose - WATER additional line 1 [Other categories] - "&amp;'4L'!$O$5</f>
        <v>Capital expenditure purpose - WATER additional line 1 [Other categories] - Raw water abstraction</v>
      </c>
      <c r="D1840" t="str">
        <f t="shared" si="28"/>
        <v>£m</v>
      </c>
      <c r="E1840" s="2" t="s">
        <v>9</v>
      </c>
      <c r="F1840" s="1634" t="str">
        <f>F1602</f>
        <v>NEP - Flow monitoring at water treatment works</v>
      </c>
      <c r="G1840" s="1635">
        <f>IF(ISBLANK('4L'!O27), "##BLANK", '4L'!O27)</f>
        <v>1.4041735166812448E-6</v>
      </c>
      <c r="H1840" s="1636"/>
    </row>
    <row r="1841" spans="1:8">
      <c r="A1841" s="1620" t="str">
        <f>INDEX(Lists!$C$4:$C$24,MATCH(Validation!$B$3,Lists!$B$4:$B$24,0))</f>
        <v>TMS</v>
      </c>
      <c r="B1841" s="1732" t="str">
        <f>'4L'!BJ28</f>
        <v>W3A00002RWACUM</v>
      </c>
      <c r="C1841" s="1732" t="str">
        <f>"Capital expenditure purpose - WATER additional line 2 [Other categories] - "&amp;'4L'!$O$5</f>
        <v>Capital expenditure purpose - WATER additional line 2 [Other categories] - Raw water abstraction</v>
      </c>
      <c r="D1841" t="str">
        <f t="shared" si="28"/>
        <v>£m</v>
      </c>
      <c r="E1841" s="2" t="s">
        <v>9</v>
      </c>
      <c r="F1841" s="1634" t="str">
        <f t="shared" ref="F1841:F1854" si="29">F1603</f>
        <v>##BLANK</v>
      </c>
      <c r="G1841" s="1635" t="str">
        <f>IF(ISBLANK('4L'!O28), "##BLANK", '4L'!O28)</f>
        <v>##BLANK</v>
      </c>
      <c r="H1841" s="1636"/>
    </row>
    <row r="1842" spans="1:8">
      <c r="A1842" s="1620" t="str">
        <f>INDEX(Lists!$C$4:$C$24,MATCH(Validation!$B$3,Lists!$B$4:$B$24,0))</f>
        <v>TMS</v>
      </c>
      <c r="B1842" s="1732" t="str">
        <f>'4L'!BJ29</f>
        <v>W3A00003RWACUM</v>
      </c>
      <c r="C1842" s="1732" t="str">
        <f>"Capital expenditure purpose - WATER additional line 3 [Other categories] - "&amp;'4L'!$O$5</f>
        <v>Capital expenditure purpose - WATER additional line 3 [Other categories] - Raw water abstraction</v>
      </c>
      <c r="D1842" t="str">
        <f t="shared" si="28"/>
        <v>£m</v>
      </c>
      <c r="E1842" s="2" t="s">
        <v>9</v>
      </c>
      <c r="F1842" s="1634" t="str">
        <f t="shared" si="29"/>
        <v>##BLANK</v>
      </c>
      <c r="G1842" s="1635" t="str">
        <f>IF(ISBLANK('4L'!O29), "##BLANK", '4L'!O29)</f>
        <v>##BLANK</v>
      </c>
      <c r="H1842" s="1636"/>
    </row>
    <row r="1843" spans="1:8">
      <c r="A1843" s="1620" t="str">
        <f>INDEX(Lists!$C$4:$C$24,MATCH(Validation!$B$3,Lists!$B$4:$B$24,0))</f>
        <v>TMS</v>
      </c>
      <c r="B1843" s="1732" t="str">
        <f>'4L'!BJ30</f>
        <v>W3A00004RWACUM</v>
      </c>
      <c r="C1843" s="1732" t="str">
        <f>"Capital expenditure purpose - WATER additional line 4 [Other categories] - "&amp;'4L'!$O$5</f>
        <v>Capital expenditure purpose - WATER additional line 4 [Other categories] - Raw water abstraction</v>
      </c>
      <c r="D1843" t="str">
        <f t="shared" si="28"/>
        <v>£m</v>
      </c>
      <c r="E1843" s="2" t="s">
        <v>9</v>
      </c>
      <c r="F1843" s="1634" t="str">
        <f t="shared" si="29"/>
        <v>##BLANK</v>
      </c>
      <c r="G1843" s="1635" t="str">
        <f>IF(ISBLANK('4L'!O30), "##BLANK", '4L'!O30)</f>
        <v>##BLANK</v>
      </c>
      <c r="H1843" s="1636"/>
    </row>
    <row r="1844" spans="1:8">
      <c r="A1844" s="1620" t="str">
        <f>INDEX(Lists!$C$4:$C$24,MATCH(Validation!$B$3,Lists!$B$4:$B$24,0))</f>
        <v>TMS</v>
      </c>
      <c r="B1844" s="1732" t="str">
        <f>'4L'!BJ31</f>
        <v>W3A00005RWACUM</v>
      </c>
      <c r="C1844" s="1732" t="str">
        <f>"Capital expenditure purpose - WATER additional line 5 [Other categories] - "&amp;'4L'!$O$5</f>
        <v>Capital expenditure purpose - WATER additional line 5 [Other categories] - Raw water abstraction</v>
      </c>
      <c r="D1844" t="str">
        <f t="shared" si="28"/>
        <v>£m</v>
      </c>
      <c r="E1844" s="2" t="s">
        <v>9</v>
      </c>
      <c r="F1844" s="1634" t="str">
        <f t="shared" si="29"/>
        <v>##BLANK</v>
      </c>
      <c r="G1844" s="1635" t="str">
        <f>IF(ISBLANK('4L'!O31), "##BLANK", '4L'!O31)</f>
        <v>##BLANK</v>
      </c>
      <c r="H1844" s="1636"/>
    </row>
    <row r="1845" spans="1:8">
      <c r="A1845" s="1620" t="str">
        <f>INDEX(Lists!$C$4:$C$24,MATCH(Validation!$B$3,Lists!$B$4:$B$24,0))</f>
        <v>TMS</v>
      </c>
      <c r="B1845" s="1732" t="str">
        <f>'4L'!BJ32</f>
        <v>W3A00006RWACUM</v>
      </c>
      <c r="C1845" s="1732" t="str">
        <f>"Capital expenditure purpose - WATER additional line 6 [Other categories] - "&amp;'4L'!$O$5</f>
        <v>Capital expenditure purpose - WATER additional line 6 [Other categories] - Raw water abstraction</v>
      </c>
      <c r="D1845" t="str">
        <f t="shared" si="28"/>
        <v>£m</v>
      </c>
      <c r="E1845" s="2" t="s">
        <v>9</v>
      </c>
      <c r="F1845" s="1634" t="str">
        <f t="shared" si="29"/>
        <v>##BLANK</v>
      </c>
      <c r="G1845" s="1635" t="str">
        <f>IF(ISBLANK('4L'!O32), "##BLANK", '4L'!O32)</f>
        <v>##BLANK</v>
      </c>
      <c r="H1845" s="1636"/>
    </row>
    <row r="1846" spans="1:8">
      <c r="A1846" s="1620" t="str">
        <f>INDEX(Lists!$C$4:$C$24,MATCH(Validation!$B$3,Lists!$B$4:$B$24,0))</f>
        <v>TMS</v>
      </c>
      <c r="B1846" s="1732" t="str">
        <f>'4L'!BJ33</f>
        <v>W3A00007RWACUM</v>
      </c>
      <c r="C1846" s="1732" t="str">
        <f>"Capital expenditure purpose - WATER additional line 7 [Other categories] - "&amp;'4L'!$O$5</f>
        <v>Capital expenditure purpose - WATER additional line 7 [Other categories] - Raw water abstraction</v>
      </c>
      <c r="D1846" t="str">
        <f t="shared" si="28"/>
        <v>£m</v>
      </c>
      <c r="E1846" s="2" t="s">
        <v>9</v>
      </c>
      <c r="F1846" s="1634" t="str">
        <f t="shared" si="29"/>
        <v>##BLANK</v>
      </c>
      <c r="G1846" s="1635" t="str">
        <f>IF(ISBLANK('4L'!O33), "##BLANK", '4L'!O33)</f>
        <v>##BLANK</v>
      </c>
      <c r="H1846" s="1636"/>
    </row>
    <row r="1847" spans="1:8">
      <c r="A1847" s="1620" t="str">
        <f>INDEX(Lists!$C$4:$C$24,MATCH(Validation!$B$3,Lists!$B$4:$B$24,0))</f>
        <v>TMS</v>
      </c>
      <c r="B1847" s="1732" t="str">
        <f>'4L'!BJ34</f>
        <v>W3A00008RWACUM</v>
      </c>
      <c r="C1847" s="1732" t="str">
        <f>"Capital expenditure purpose - WATER additional line 8 [Other categories] - "&amp;'4L'!$O$5</f>
        <v>Capital expenditure purpose - WATER additional line 8 [Other categories] - Raw water abstraction</v>
      </c>
      <c r="D1847" t="str">
        <f t="shared" si="28"/>
        <v>£m</v>
      </c>
      <c r="E1847" s="2" t="s">
        <v>9</v>
      </c>
      <c r="F1847" s="1634" t="str">
        <f t="shared" si="29"/>
        <v>##BLANK</v>
      </c>
      <c r="G1847" s="1635" t="str">
        <f>IF(ISBLANK('4L'!O34), "##BLANK", '4L'!O34)</f>
        <v>##BLANK</v>
      </c>
      <c r="H1847" s="1636"/>
    </row>
    <row r="1848" spans="1:8">
      <c r="A1848" s="1620" t="str">
        <f>INDEX(Lists!$C$4:$C$24,MATCH(Validation!$B$3,Lists!$B$4:$B$24,0))</f>
        <v>TMS</v>
      </c>
      <c r="B1848" s="1732" t="str">
        <f>'4L'!BJ35</f>
        <v>W3A00009RWACUM</v>
      </c>
      <c r="C1848" s="1732" t="str">
        <f>"Capital expenditure purpose - WATER additional line 9 [Other categories] - "&amp;'4L'!$O$5</f>
        <v>Capital expenditure purpose - WATER additional line 9 [Other categories] - Raw water abstraction</v>
      </c>
      <c r="D1848" t="str">
        <f t="shared" si="28"/>
        <v>£m</v>
      </c>
      <c r="E1848" s="2" t="s">
        <v>9</v>
      </c>
      <c r="F1848" s="1634" t="str">
        <f t="shared" si="29"/>
        <v>##BLANK</v>
      </c>
      <c r="G1848" s="1635" t="str">
        <f>IF(ISBLANK('4L'!O35), "##BLANK", '4L'!O35)</f>
        <v>##BLANK</v>
      </c>
      <c r="H1848" s="1636"/>
    </row>
    <row r="1849" spans="1:8">
      <c r="A1849" s="1620" t="str">
        <f>INDEX(Lists!$C$4:$C$24,MATCH(Validation!$B$3,Lists!$B$4:$B$24,0))</f>
        <v>TMS</v>
      </c>
      <c r="B1849" s="1732" t="str">
        <f>'4L'!BJ36</f>
        <v>W3A00010RWACUM</v>
      </c>
      <c r="C1849" s="1732" t="str">
        <f>"Capital expenditure purpose - WATER additional line 10 [Other categories] - "&amp;'4L'!$O$5</f>
        <v>Capital expenditure purpose - WATER additional line 10 [Other categories] - Raw water abstraction</v>
      </c>
      <c r="D1849" t="str">
        <f t="shared" si="28"/>
        <v>£m</v>
      </c>
      <c r="E1849" s="2" t="s">
        <v>9</v>
      </c>
      <c r="F1849" s="1634" t="str">
        <f t="shared" si="29"/>
        <v>##BLANK</v>
      </c>
      <c r="G1849" s="1635" t="str">
        <f>IF(ISBLANK('4L'!O36), "##BLANK", '4L'!O36)</f>
        <v>##BLANK</v>
      </c>
      <c r="H1849" s="1636"/>
    </row>
    <row r="1850" spans="1:8">
      <c r="A1850" s="1620" t="str">
        <f>INDEX(Lists!$C$4:$C$24,MATCH(Validation!$B$3,Lists!$B$4:$B$24,0))</f>
        <v>TMS</v>
      </c>
      <c r="B1850" s="1732" t="str">
        <f>'4L'!BJ37</f>
        <v>W3A00011RWACUM</v>
      </c>
      <c r="C1850" s="1732" t="str">
        <f>"Capital expenditure purpose - WATER additional line 11 [Other categories] - "&amp;'4L'!$O$5</f>
        <v>Capital expenditure purpose - WATER additional line 11 [Other categories] - Raw water abstraction</v>
      </c>
      <c r="D1850" t="str">
        <f t="shared" si="28"/>
        <v>£m</v>
      </c>
      <c r="E1850" s="2" t="s">
        <v>9</v>
      </c>
      <c r="F1850" s="1634" t="str">
        <f t="shared" si="29"/>
        <v>##BLANK</v>
      </c>
      <c r="G1850" s="1635" t="str">
        <f>IF(ISBLANK('4L'!O37), "##BLANK", '4L'!O37)</f>
        <v>##BLANK</v>
      </c>
      <c r="H1850" s="1636"/>
    </row>
    <row r="1851" spans="1:8">
      <c r="A1851" s="1620" t="str">
        <f>INDEX(Lists!$C$4:$C$24,MATCH(Validation!$B$3,Lists!$B$4:$B$24,0))</f>
        <v>TMS</v>
      </c>
      <c r="B1851" s="1732" t="str">
        <f>'4L'!BJ38</f>
        <v>W3A00012RWACUM</v>
      </c>
      <c r="C1851" s="1732" t="str">
        <f>"Capital expenditure purpose - WATER additional line 12 [Other categories] - "&amp;'4L'!$O$5</f>
        <v>Capital expenditure purpose - WATER additional line 12 [Other categories] - Raw water abstraction</v>
      </c>
      <c r="D1851" t="str">
        <f t="shared" si="28"/>
        <v>£m</v>
      </c>
      <c r="E1851" s="2" t="s">
        <v>9</v>
      </c>
      <c r="F1851" s="1634" t="str">
        <f t="shared" si="29"/>
        <v>##BLANK</v>
      </c>
      <c r="G1851" s="1635" t="str">
        <f>IF(ISBLANK('4L'!O38), "##BLANK", '4L'!O38)</f>
        <v>##BLANK</v>
      </c>
      <c r="H1851" s="1636"/>
    </row>
    <row r="1852" spans="1:8">
      <c r="A1852" s="1620" t="str">
        <f>INDEX(Lists!$C$4:$C$24,MATCH(Validation!$B$3,Lists!$B$4:$B$24,0))</f>
        <v>TMS</v>
      </c>
      <c r="B1852" s="1732" t="str">
        <f>'4L'!BJ39</f>
        <v>W3A00013RWACUM</v>
      </c>
      <c r="C1852" s="1732" t="str">
        <f>"Capital expenditure purpose - WATER additional line 13 [Other categories] - "&amp;'4L'!$O$5</f>
        <v>Capital expenditure purpose - WATER additional line 13 [Other categories] - Raw water abstraction</v>
      </c>
      <c r="D1852" t="str">
        <f t="shared" si="28"/>
        <v>£m</v>
      </c>
      <c r="E1852" s="2" t="s">
        <v>9</v>
      </c>
      <c r="F1852" s="1634" t="str">
        <f t="shared" si="29"/>
        <v>##BLANK</v>
      </c>
      <c r="G1852" s="1635" t="str">
        <f>IF(ISBLANK('4L'!O39), "##BLANK", '4L'!O39)</f>
        <v>##BLANK</v>
      </c>
      <c r="H1852" s="1636"/>
    </row>
    <row r="1853" spans="1:8">
      <c r="A1853" s="1620" t="str">
        <f>INDEX(Lists!$C$4:$C$24,MATCH(Validation!$B$3,Lists!$B$4:$B$24,0))</f>
        <v>TMS</v>
      </c>
      <c r="B1853" s="1732" t="str">
        <f>'4L'!BJ40</f>
        <v>W3A00014RWACUM</v>
      </c>
      <c r="C1853" s="1732" t="str">
        <f>"Capital expenditure purpose - WATER additional line 14 [Other categories] - "&amp;'4L'!$O$5</f>
        <v>Capital expenditure purpose - WATER additional line 14 [Other categories] - Raw water abstraction</v>
      </c>
      <c r="D1853" t="str">
        <f t="shared" si="28"/>
        <v>£m</v>
      </c>
      <c r="E1853" s="2" t="s">
        <v>9</v>
      </c>
      <c r="F1853" s="1634" t="str">
        <f t="shared" si="29"/>
        <v>##BLANK</v>
      </c>
      <c r="G1853" s="1635" t="str">
        <f>IF(ISBLANK('4L'!O40), "##BLANK", '4L'!O40)</f>
        <v>##BLANK</v>
      </c>
      <c r="H1853" s="1636"/>
    </row>
    <row r="1854" spans="1:8">
      <c r="A1854" s="1730" t="str">
        <f>INDEX(Lists!$C$4:$C$24,MATCH(Validation!$B$3,Lists!$B$4:$B$24,0))</f>
        <v>TMS</v>
      </c>
      <c r="B1854" s="1734" t="str">
        <f>'4L'!BJ41</f>
        <v>W3A00015RWACUM</v>
      </c>
      <c r="C1854" s="1734" t="str">
        <f>"Capital expenditure purpose - WATER additional line 15 [Other categories] - "&amp;'4L'!$O$5</f>
        <v>Capital expenditure purpose - WATER additional line 15 [Other categories] - Raw water abstraction</v>
      </c>
      <c r="D1854" s="1819" t="str">
        <f t="shared" si="28"/>
        <v>£m</v>
      </c>
      <c r="E1854" s="1651" t="s">
        <v>9</v>
      </c>
      <c r="F1854" s="1637" t="str">
        <f t="shared" si="29"/>
        <v>##BLANK</v>
      </c>
      <c r="G1854" s="1653" t="str">
        <f>IF(ISBLANK('4L'!O41), "##BLANK", '4L'!O41)</f>
        <v>##BLANK</v>
      </c>
      <c r="H1854" s="1652"/>
    </row>
    <row r="1855" spans="1:8">
      <c r="A1855" s="1620" t="str">
        <f>INDEX(Lists!$C$4:$C$24,MATCH(Validation!$B$3,Lists!$B$4:$B$24,0))</f>
        <v>TMS</v>
      </c>
      <c r="B1855" s="1732" t="str">
        <f>'4L'!BK8</f>
        <v>W3001RWTCUM</v>
      </c>
      <c r="C1855" s="1732" t="str">
        <f>+'4L'!$C8&amp;" - "&amp;'4L'!P$5</f>
        <v>NEP - Making ecological improvements at abstractions (Habitats Directive, SSSI, NERC, BAPs) - Raw water transport</v>
      </c>
      <c r="D1855" t="str">
        <f t="shared" si="28"/>
        <v>£m</v>
      </c>
      <c r="E1855" s="2" t="s">
        <v>9</v>
      </c>
      <c r="F1855" s="1634"/>
      <c r="G1855" s="1635">
        <f>'4L'!P8</f>
        <v>0</v>
      </c>
      <c r="H1855" s="1636"/>
    </row>
    <row r="1856" spans="1:8">
      <c r="A1856" s="1620" t="str">
        <f>INDEX(Lists!$C$4:$C$24,MATCH(Validation!$B$3,Lists!$B$4:$B$24,0))</f>
        <v>TMS</v>
      </c>
      <c r="B1856" s="1732" t="str">
        <f>'4L'!BK9</f>
        <v>WS2002RWTCUM</v>
      </c>
      <c r="C1856" s="1732" t="str">
        <f>+'4L'!$C9&amp;" - "&amp;'4L'!P$5</f>
        <v>NEP - Eels Regulations (measures at intakes) - Raw water transport</v>
      </c>
      <c r="D1856" t="str">
        <f t="shared" si="28"/>
        <v>£m</v>
      </c>
      <c r="E1856" s="2" t="s">
        <v>9</v>
      </c>
      <c r="F1856" s="1634"/>
      <c r="G1856" s="1635">
        <f>'4L'!P9</f>
        <v>0</v>
      </c>
      <c r="H1856" s="1636"/>
    </row>
    <row r="1857" spans="1:8">
      <c r="A1857" s="1620" t="str">
        <f>INDEX(Lists!$C$4:$C$24,MATCH(Validation!$B$3,Lists!$B$4:$B$24,0))</f>
        <v>TMS</v>
      </c>
      <c r="B1857" s="1732" t="str">
        <f>'4L'!BK10</f>
        <v>W3002RWTCUM</v>
      </c>
      <c r="C1857" s="1732" t="str">
        <f>+'4L'!$C10&amp;" - "&amp;'4L'!P$5</f>
        <v>Addressing low pressure - Raw water transport</v>
      </c>
      <c r="D1857" t="str">
        <f t="shared" si="28"/>
        <v>£m</v>
      </c>
      <c r="E1857" s="2" t="s">
        <v>9</v>
      </c>
      <c r="F1857" s="1634"/>
      <c r="G1857" s="1635">
        <f>'4L'!P10</f>
        <v>0</v>
      </c>
      <c r="H1857" s="1636"/>
    </row>
    <row r="1858" spans="1:8">
      <c r="A1858" s="1620" t="str">
        <f>INDEX(Lists!$C$4:$C$24,MATCH(Validation!$B$3,Lists!$B$4:$B$24,0))</f>
        <v>TMS</v>
      </c>
      <c r="B1858" s="1732" t="str">
        <f>'4L'!BK11</f>
        <v>W3003RWTCUM</v>
      </c>
      <c r="C1858" s="1732" t="str">
        <f>+'4L'!$C11&amp;" - "&amp;'4L'!P$5</f>
        <v>Improving taste / odour / colour - Raw water transport</v>
      </c>
      <c r="D1858" t="str">
        <f t="shared" si="28"/>
        <v>£m</v>
      </c>
      <c r="E1858" s="2" t="s">
        <v>9</v>
      </c>
      <c r="F1858" s="1634"/>
      <c r="G1858" s="1635">
        <f>'4L'!P11</f>
        <v>0</v>
      </c>
      <c r="H1858" s="1636"/>
    </row>
    <row r="1859" spans="1:8">
      <c r="A1859" s="1620" t="str">
        <f>INDEX(Lists!$C$4:$C$24,MATCH(Validation!$B$3,Lists!$B$4:$B$24,0))</f>
        <v>TMS</v>
      </c>
      <c r="B1859" s="1732" t="str">
        <f>'4L'!BK12</f>
        <v>W3006RWTCUM</v>
      </c>
      <c r="C1859" s="1732" t="str">
        <f>+'4L'!$C12&amp;" - "&amp;'4L'!P$5</f>
        <v>Meeting lead standards - Raw water transport</v>
      </c>
      <c r="D1859" t="str">
        <f t="shared" si="28"/>
        <v>£m</v>
      </c>
      <c r="E1859" s="2" t="s">
        <v>9</v>
      </c>
      <c r="F1859" s="1634"/>
      <c r="G1859" s="1635">
        <f>'4L'!P12</f>
        <v>0</v>
      </c>
      <c r="H1859" s="1636"/>
    </row>
    <row r="1860" spans="1:8">
      <c r="A1860" s="1620" t="str">
        <f>INDEX(Lists!$C$4:$C$24,MATCH(Validation!$B$3,Lists!$B$4:$B$24,0))</f>
        <v>TMS</v>
      </c>
      <c r="B1860" s="1732" t="str">
        <f>'4L'!BK13</f>
        <v>W3007SRWTCUM</v>
      </c>
      <c r="C1860" s="1732" t="str">
        <f>+'4L'!$C13&amp;" - "&amp;'4L'!P$5</f>
        <v>Supply side enhancements to the supply/demand balance (dry year critical / peak conditions) - Raw water transport</v>
      </c>
      <c r="D1860" t="str">
        <f t="shared" si="28"/>
        <v>£m</v>
      </c>
      <c r="E1860" s="2" t="s">
        <v>9</v>
      </c>
      <c r="F1860" s="1634"/>
      <c r="G1860" s="1635">
        <f>'4L'!P13</f>
        <v>-1.5879806897091953E-4</v>
      </c>
      <c r="H1860" s="1636"/>
    </row>
    <row r="1861" spans="1:8">
      <c r="A1861" s="1620" t="str">
        <f>INDEX(Lists!$C$4:$C$24,MATCH(Validation!$B$3,Lists!$B$4:$B$24,0))</f>
        <v>TMS</v>
      </c>
      <c r="B1861" s="1732" t="str">
        <f>'4L'!BK14</f>
        <v>W3008SRWTCUM</v>
      </c>
      <c r="C1861" s="1732" t="str">
        <f>+'4L'!$C14&amp;" - "&amp;'4L'!P$5</f>
        <v>Supply side enhancements to the supply/demand balance (dry year annual average conditions) - Raw water transport</v>
      </c>
      <c r="D1861" t="str">
        <f t="shared" si="28"/>
        <v>£m</v>
      </c>
      <c r="E1861" s="2" t="s">
        <v>9</v>
      </c>
      <c r="F1861" s="1634"/>
      <c r="G1861" s="1635">
        <f>'4L'!P14</f>
        <v>0.15198725193102908</v>
      </c>
      <c r="H1861" s="1636"/>
    </row>
    <row r="1862" spans="1:8">
      <c r="A1862" s="1620" t="str">
        <f>INDEX(Lists!$C$4:$C$24,MATCH(Validation!$B$3,Lists!$B$4:$B$24,0))</f>
        <v>TMS</v>
      </c>
      <c r="B1862" s="1732" t="str">
        <f>'4L'!BK15</f>
        <v>W3007DRWTCUM</v>
      </c>
      <c r="C1862" s="1732" t="str">
        <f>+'4L'!$C15&amp;" - "&amp;'4L'!P$5</f>
        <v>Demand side enhancements to the supply/demand balance (dry year critical / peak conditions) - Raw water transport</v>
      </c>
      <c r="D1862" t="str">
        <f t="shared" si="28"/>
        <v>£m</v>
      </c>
      <c r="E1862" s="2" t="s">
        <v>9</v>
      </c>
      <c r="F1862" s="1634"/>
      <c r="G1862" s="1635">
        <f>'4L'!P15</f>
        <v>0</v>
      </c>
      <c r="H1862" s="1636"/>
    </row>
    <row r="1863" spans="1:8">
      <c r="A1863" s="1620" t="str">
        <f>INDEX(Lists!$C$4:$C$24,MATCH(Validation!$B$3,Lists!$B$4:$B$24,0))</f>
        <v>TMS</v>
      </c>
      <c r="B1863" s="1732" t="str">
        <f>'4L'!BK16</f>
        <v>W3008DRWTCUM</v>
      </c>
      <c r="C1863" s="1732" t="str">
        <f>+'4L'!$C16&amp;" - "&amp;'4L'!P$5</f>
        <v>Demand side enhancements to the supply/demand balance (dry year annual average conditions) - Raw water transport</v>
      </c>
      <c r="D1863" t="str">
        <f t="shared" si="28"/>
        <v>£m</v>
      </c>
      <c r="E1863" s="2" t="s">
        <v>9</v>
      </c>
      <c r="F1863" s="1634"/>
      <c r="G1863" s="1635">
        <f>'4L'!P16</f>
        <v>4.9154235713441729E-3</v>
      </c>
      <c r="H1863" s="1636"/>
    </row>
    <row r="1864" spans="1:8">
      <c r="A1864" s="1620" t="str">
        <f>INDEX(Lists!$C$4:$C$24,MATCH(Validation!$B$3,Lists!$B$4:$B$24,0))</f>
        <v>TMS</v>
      </c>
      <c r="B1864" s="1732" t="str">
        <f>'4L'!BK17</f>
        <v>W3009RWTCUM</v>
      </c>
      <c r="C1864" s="1732" t="str">
        <f>+'4L'!$C17&amp;" - "&amp;'4L'!P$5</f>
        <v>New developments - Raw water transport</v>
      </c>
      <c r="D1864" t="str">
        <f t="shared" si="28"/>
        <v>£m</v>
      </c>
      <c r="E1864" s="2" t="s">
        <v>9</v>
      </c>
      <c r="F1864" s="1634"/>
      <c r="G1864" s="1635">
        <f>'4L'!P17</f>
        <v>0</v>
      </c>
      <c r="H1864" s="1636"/>
    </row>
    <row r="1865" spans="1:8">
      <c r="A1865" s="1620" t="str">
        <f>INDEX(Lists!$C$4:$C$24,MATCH(Validation!$B$3,Lists!$B$4:$B$24,0))</f>
        <v>TMS</v>
      </c>
      <c r="B1865" s="1732" t="str">
        <f>'4L'!BK18</f>
        <v>WS2004RWTCUM</v>
      </c>
      <c r="C1865" s="1732" t="str">
        <f>+'4L'!$C18&amp;" - "&amp;'4L'!P$5</f>
        <v>New connections element of new development (CPs, meters) - Raw water transport</v>
      </c>
      <c r="D1865" t="str">
        <f t="shared" si="28"/>
        <v>£m</v>
      </c>
      <c r="E1865" s="2" t="s">
        <v>9</v>
      </c>
      <c r="F1865" s="1634"/>
      <c r="G1865" s="1635">
        <f>'4L'!P18</f>
        <v>0</v>
      </c>
      <c r="H1865" s="1636"/>
    </row>
    <row r="1866" spans="1:8">
      <c r="A1866" s="1620" t="str">
        <f>INDEX(Lists!$C$4:$C$24,MATCH(Validation!$B$3,Lists!$B$4:$B$24,0))</f>
        <v>TMS</v>
      </c>
      <c r="B1866" s="1732" t="str">
        <f>'4L'!BK19</f>
        <v>W3010RWTCUM</v>
      </c>
      <c r="C1866" s="1732" t="str">
        <f>+'4L'!$C19&amp;" - "&amp;'4L'!P$5</f>
        <v>Investment to address raw water deterioration (THM, nitrates, Crypto, pesticides, others) - Raw water transport</v>
      </c>
      <c r="D1866" t="str">
        <f t="shared" si="28"/>
        <v>£m</v>
      </c>
      <c r="E1866" s="2" t="s">
        <v>9</v>
      </c>
      <c r="F1866" s="1634"/>
      <c r="G1866" s="1635">
        <f>'4L'!P19</f>
        <v>0</v>
      </c>
      <c r="H1866" s="1636"/>
    </row>
    <row r="1867" spans="1:8">
      <c r="A1867" s="1620" t="str">
        <f>INDEX(Lists!$C$4:$C$24,MATCH(Validation!$B$3,Lists!$B$4:$B$24,0))</f>
        <v>TMS</v>
      </c>
      <c r="B1867" s="1732" t="str">
        <f>'4L'!BK20</f>
        <v>W3011RWTCUM</v>
      </c>
      <c r="C1867" s="1732" t="str">
        <f>+'4L'!$C20&amp;" - "&amp;'4L'!P$5</f>
        <v>Resilience - Raw water transport</v>
      </c>
      <c r="D1867" t="str">
        <f t="shared" si="28"/>
        <v>£m</v>
      </c>
      <c r="E1867" s="2" t="s">
        <v>9</v>
      </c>
      <c r="F1867" s="1634"/>
      <c r="G1867" s="1635">
        <f>'4L'!P20</f>
        <v>2.2469726299999997</v>
      </c>
      <c r="H1867" s="1636"/>
    </row>
    <row r="1868" spans="1:8">
      <c r="A1868" s="1620" t="str">
        <f>INDEX(Lists!$C$4:$C$24,MATCH(Validation!$B$3,Lists!$B$4:$B$24,0))</f>
        <v>TMS</v>
      </c>
      <c r="B1868" s="1732" t="str">
        <f>'4L'!BK21</f>
        <v>W3012RWTCUM</v>
      </c>
      <c r="C1868" s="1732" t="str">
        <f>+'4L'!$C21&amp;" - "&amp;'4L'!P$5</f>
        <v>SEMD - Raw water transport</v>
      </c>
      <c r="D1868" t="str">
        <f t="shared" si="28"/>
        <v>£m</v>
      </c>
      <c r="E1868" s="2" t="s">
        <v>9</v>
      </c>
      <c r="F1868" s="1634"/>
      <c r="G1868" s="1635">
        <f>'4L'!P21</f>
        <v>0.11380948677965504</v>
      </c>
      <c r="H1868" s="1636"/>
    </row>
    <row r="1869" spans="1:8">
      <c r="A1869" s="1620" t="str">
        <f>INDEX(Lists!$C$4:$C$24,MATCH(Validation!$B$3,Lists!$B$4:$B$24,0))</f>
        <v>TMS</v>
      </c>
      <c r="B1869" s="1732" t="str">
        <f>'4L'!BK22</f>
        <v>WS2008RWTCUM</v>
      </c>
      <c r="C1869" s="1732" t="str">
        <f>+'4L'!$C22&amp;" - "&amp;'4L'!P$5</f>
        <v>NEP - Investigations - Raw water transport</v>
      </c>
      <c r="D1869" t="str">
        <f t="shared" si="28"/>
        <v>£m</v>
      </c>
      <c r="E1869" s="2" t="s">
        <v>9</v>
      </c>
      <c r="F1869" s="1634"/>
      <c r="G1869" s="1635">
        <f>'4L'!P22</f>
        <v>0</v>
      </c>
      <c r="H1869" s="1636"/>
    </row>
    <row r="1870" spans="1:8">
      <c r="A1870" s="1620" t="str">
        <f>INDEX(Lists!$C$4:$C$24,MATCH(Validation!$B$3,Lists!$B$4:$B$24,0))</f>
        <v>TMS</v>
      </c>
      <c r="B1870" s="1732" t="str">
        <f>'4L'!BK23</f>
        <v>W3027RWTCUM</v>
      </c>
      <c r="C1870" s="1732" t="str">
        <f>+'4L'!$C23&amp;" - "&amp;'4L'!P$5</f>
        <v>Improvements to river flows - Raw water transport</v>
      </c>
      <c r="D1870" t="str">
        <f t="shared" si="28"/>
        <v>£m</v>
      </c>
      <c r="E1870" s="2" t="s">
        <v>9</v>
      </c>
      <c r="F1870" s="1634"/>
      <c r="G1870" s="1635">
        <f>'4L'!P23</f>
        <v>0</v>
      </c>
      <c r="H1870" s="1636"/>
    </row>
    <row r="1871" spans="1:8">
      <c r="A1871" s="1620" t="str">
        <f>INDEX(Lists!$C$4:$C$24,MATCH(Validation!$B$3,Lists!$B$4:$B$24,0))</f>
        <v>TMS</v>
      </c>
      <c r="B1871" s="1732" t="str">
        <f>'4L'!BK24</f>
        <v>W3028OPTRWTCUM</v>
      </c>
      <c r="C1871" s="1732" t="str">
        <f>+'4L'!$C24&amp;" - "&amp;'4L'!P$5</f>
        <v>Metering (excluding cost of providing metering to new service connections) - meters requested by optants - Raw water transport</v>
      </c>
      <c r="D1871" t="str">
        <f t="shared" si="28"/>
        <v>£m</v>
      </c>
      <c r="E1871" s="2" t="s">
        <v>9</v>
      </c>
      <c r="F1871" s="1634"/>
      <c r="G1871" s="1635">
        <f>'4L'!P24</f>
        <v>0</v>
      </c>
      <c r="H1871" s="1636"/>
    </row>
    <row r="1872" spans="1:8">
      <c r="A1872" s="1620" t="str">
        <f>INDEX(Lists!$C$4:$C$24,MATCH(Validation!$B$3,Lists!$B$4:$B$24,0))</f>
        <v>TMS</v>
      </c>
      <c r="B1872" s="1732" t="str">
        <f>'4L'!BK25</f>
        <v>W3028COMRWTCUM</v>
      </c>
      <c r="C1872" s="1732" t="str">
        <f>+'4L'!$C25&amp;" - "&amp;'4L'!P$5</f>
        <v>Metering (excluding cost of providing metering to new service connections)- meters introduced by companies - Raw water transport</v>
      </c>
      <c r="D1872" t="str">
        <f t="shared" si="28"/>
        <v>£m</v>
      </c>
      <c r="E1872" s="2" t="s">
        <v>9</v>
      </c>
      <c r="F1872" s="1634"/>
      <c r="G1872" s="1635">
        <f>'4L'!P25</f>
        <v>0</v>
      </c>
      <c r="H1872" s="1636"/>
    </row>
    <row r="1873" spans="1:8">
      <c r="A1873" s="1620" t="str">
        <f>INDEX(Lists!$C$4:$C$24,MATCH(Validation!$B$3,Lists!$B$4:$B$24,0))</f>
        <v>TMS</v>
      </c>
      <c r="B1873" s="1732" t="str">
        <f>'4L'!BK26</f>
        <v>W3028NHORWTCUM</v>
      </c>
      <c r="C1873" s="1732" t="str">
        <f>+'4L'!$C26&amp;" - "&amp;'4L'!P$5</f>
        <v>Metering (excluding cost of providing metering to new service connections) - other - Raw water transport</v>
      </c>
      <c r="D1873" t="str">
        <f t="shared" ref="D1873:D1936" si="30">D1839</f>
        <v>£m</v>
      </c>
      <c r="E1873" s="2" t="s">
        <v>9</v>
      </c>
      <c r="F1873" s="1634"/>
      <c r="G1873" s="1635">
        <f>'4L'!P26</f>
        <v>0</v>
      </c>
      <c r="H1873" s="1636"/>
    </row>
    <row r="1874" spans="1:8">
      <c r="A1874" s="1620" t="str">
        <f>INDEX(Lists!$C$4:$C$24,MATCH(Validation!$B$3,Lists!$B$4:$B$24,0))</f>
        <v>TMS</v>
      </c>
      <c r="B1874" s="1732" t="str">
        <f>'4L'!BK27</f>
        <v>W3A00001RWTCUM</v>
      </c>
      <c r="C1874" s="1732" t="str">
        <f>"Capital expenditure purpose - WATER additional line 1 [Other categories] - "&amp;'4L'!$P$5</f>
        <v>Capital expenditure purpose - WATER additional line 1 [Other categories] - Raw water transport</v>
      </c>
      <c r="D1874" t="str">
        <f t="shared" si="30"/>
        <v>£m</v>
      </c>
      <c r="E1874" s="2" t="s">
        <v>9</v>
      </c>
      <c r="F1874" s="1634" t="str">
        <f>F1602</f>
        <v>NEP - Flow monitoring at water treatment works</v>
      </c>
      <c r="G1874" s="1635">
        <f>IF(ISBLANK('4L'!P27), "##BLANK", '4L'!P27)</f>
        <v>0</v>
      </c>
      <c r="H1874" s="1636"/>
    </row>
    <row r="1875" spans="1:8">
      <c r="A1875" s="1620" t="str">
        <f>INDEX(Lists!$C$4:$C$24,MATCH(Validation!$B$3,Lists!$B$4:$B$24,0))</f>
        <v>TMS</v>
      </c>
      <c r="B1875" s="1732" t="str">
        <f>'4L'!BK28</f>
        <v>W3A00002RWTCUM</v>
      </c>
      <c r="C1875" s="1732" t="str">
        <f>"Capital expenditure purpose - WATER additional line 2 [Other categories] - "&amp;'4L'!$P$5</f>
        <v>Capital expenditure purpose - WATER additional line 2 [Other categories] - Raw water transport</v>
      </c>
      <c r="D1875" t="str">
        <f t="shared" si="30"/>
        <v>£m</v>
      </c>
      <c r="E1875" s="2" t="s">
        <v>9</v>
      </c>
      <c r="F1875" s="1634" t="str">
        <f t="shared" ref="F1875:F1888" si="31">F1603</f>
        <v>##BLANK</v>
      </c>
      <c r="G1875" s="1635" t="str">
        <f>IF(ISBLANK('4L'!P28), "##BLANK", '4L'!P28)</f>
        <v>##BLANK</v>
      </c>
      <c r="H1875" s="1636"/>
    </row>
    <row r="1876" spans="1:8">
      <c r="A1876" s="1620" t="str">
        <f>INDEX(Lists!$C$4:$C$24,MATCH(Validation!$B$3,Lists!$B$4:$B$24,0))</f>
        <v>TMS</v>
      </c>
      <c r="B1876" s="1732" t="str">
        <f>'4L'!BK29</f>
        <v>W3A00003RWTCUM</v>
      </c>
      <c r="C1876" s="1732" t="str">
        <f>"Capital expenditure purpose - WATER additional line 3 [Other categories] - "&amp;'4L'!$P$5</f>
        <v>Capital expenditure purpose - WATER additional line 3 [Other categories] - Raw water transport</v>
      </c>
      <c r="D1876" t="str">
        <f t="shared" si="30"/>
        <v>£m</v>
      </c>
      <c r="E1876" s="2" t="s">
        <v>9</v>
      </c>
      <c r="F1876" s="1634" t="str">
        <f t="shared" si="31"/>
        <v>##BLANK</v>
      </c>
      <c r="G1876" s="1635" t="str">
        <f>IF(ISBLANK('4L'!P29), "##BLANK", '4L'!P29)</f>
        <v>##BLANK</v>
      </c>
      <c r="H1876" s="1636"/>
    </row>
    <row r="1877" spans="1:8">
      <c r="A1877" s="1620" t="str">
        <f>INDEX(Lists!$C$4:$C$24,MATCH(Validation!$B$3,Lists!$B$4:$B$24,0))</f>
        <v>TMS</v>
      </c>
      <c r="B1877" s="1732" t="str">
        <f>'4L'!BK30</f>
        <v>W3A00004RWTCUM</v>
      </c>
      <c r="C1877" s="1732" t="str">
        <f>"Capital expenditure purpose - WATER additional line 4 [Other categories] - "&amp;'4L'!$P$5</f>
        <v>Capital expenditure purpose - WATER additional line 4 [Other categories] - Raw water transport</v>
      </c>
      <c r="D1877" t="str">
        <f t="shared" si="30"/>
        <v>£m</v>
      </c>
      <c r="E1877" s="2" t="s">
        <v>9</v>
      </c>
      <c r="F1877" s="1634" t="str">
        <f t="shared" si="31"/>
        <v>##BLANK</v>
      </c>
      <c r="G1877" s="1635" t="str">
        <f>IF(ISBLANK('4L'!P30), "##BLANK", '4L'!P30)</f>
        <v>##BLANK</v>
      </c>
      <c r="H1877" s="1636"/>
    </row>
    <row r="1878" spans="1:8">
      <c r="A1878" s="1620" t="str">
        <f>INDEX(Lists!$C$4:$C$24,MATCH(Validation!$B$3,Lists!$B$4:$B$24,0))</f>
        <v>TMS</v>
      </c>
      <c r="B1878" s="1732" t="str">
        <f>'4L'!BK31</f>
        <v>W3A00005RWTCUM</v>
      </c>
      <c r="C1878" s="1732" t="str">
        <f>"Capital expenditure purpose - WATER additional line 5 [Other categories] - "&amp;'4L'!$P$5</f>
        <v>Capital expenditure purpose - WATER additional line 5 [Other categories] - Raw water transport</v>
      </c>
      <c r="D1878" t="str">
        <f t="shared" si="30"/>
        <v>£m</v>
      </c>
      <c r="E1878" s="2" t="s">
        <v>9</v>
      </c>
      <c r="F1878" s="1634" t="str">
        <f t="shared" si="31"/>
        <v>##BLANK</v>
      </c>
      <c r="G1878" s="1635" t="str">
        <f>IF(ISBLANK('4L'!P31), "##BLANK", '4L'!P31)</f>
        <v>##BLANK</v>
      </c>
      <c r="H1878" s="1636"/>
    </row>
    <row r="1879" spans="1:8">
      <c r="A1879" s="1620" t="str">
        <f>INDEX(Lists!$C$4:$C$24,MATCH(Validation!$B$3,Lists!$B$4:$B$24,0))</f>
        <v>TMS</v>
      </c>
      <c r="B1879" s="1732" t="str">
        <f>'4L'!BK32</f>
        <v>W3A00006RWTCUM</v>
      </c>
      <c r="C1879" s="1732" t="str">
        <f>"Capital expenditure purpose - WATER additional line 6 [Other categories] - "&amp;'4L'!$P$5</f>
        <v>Capital expenditure purpose - WATER additional line 6 [Other categories] - Raw water transport</v>
      </c>
      <c r="D1879" t="str">
        <f t="shared" si="30"/>
        <v>£m</v>
      </c>
      <c r="E1879" s="2" t="s">
        <v>9</v>
      </c>
      <c r="F1879" s="1634" t="str">
        <f t="shared" si="31"/>
        <v>##BLANK</v>
      </c>
      <c r="G1879" s="1635" t="str">
        <f>IF(ISBLANK('4L'!P32), "##BLANK", '4L'!P32)</f>
        <v>##BLANK</v>
      </c>
      <c r="H1879" s="1636"/>
    </row>
    <row r="1880" spans="1:8">
      <c r="A1880" s="1620" t="str">
        <f>INDEX(Lists!$C$4:$C$24,MATCH(Validation!$B$3,Lists!$B$4:$B$24,0))</f>
        <v>TMS</v>
      </c>
      <c r="B1880" s="1732" t="str">
        <f>'4L'!BK33</f>
        <v>W3A00007RWTCUM</v>
      </c>
      <c r="C1880" s="1732" t="str">
        <f>"Capital expenditure purpose - WATER additional line 7 [Other categories] - "&amp;'4L'!$P$5</f>
        <v>Capital expenditure purpose - WATER additional line 7 [Other categories] - Raw water transport</v>
      </c>
      <c r="D1880" t="str">
        <f t="shared" si="30"/>
        <v>£m</v>
      </c>
      <c r="E1880" s="2" t="s">
        <v>9</v>
      </c>
      <c r="F1880" s="1634" t="str">
        <f t="shared" si="31"/>
        <v>##BLANK</v>
      </c>
      <c r="G1880" s="1635" t="str">
        <f>IF(ISBLANK('4L'!P33), "##BLANK", '4L'!P33)</f>
        <v>##BLANK</v>
      </c>
      <c r="H1880" s="1636"/>
    </row>
    <row r="1881" spans="1:8">
      <c r="A1881" s="1620" t="str">
        <f>INDEX(Lists!$C$4:$C$24,MATCH(Validation!$B$3,Lists!$B$4:$B$24,0))</f>
        <v>TMS</v>
      </c>
      <c r="B1881" s="1732" t="str">
        <f>'4L'!BK34</f>
        <v>W3A00008RWTCUM</v>
      </c>
      <c r="C1881" s="1732" t="str">
        <f>"Capital expenditure purpose - WATER additional line 8 [Other categories] - "&amp;'4L'!$P$5</f>
        <v>Capital expenditure purpose - WATER additional line 8 [Other categories] - Raw water transport</v>
      </c>
      <c r="D1881" t="str">
        <f t="shared" si="30"/>
        <v>£m</v>
      </c>
      <c r="E1881" s="2" t="s">
        <v>9</v>
      </c>
      <c r="F1881" s="1634" t="str">
        <f t="shared" si="31"/>
        <v>##BLANK</v>
      </c>
      <c r="G1881" s="1635" t="str">
        <f>IF(ISBLANK('4L'!P34), "##BLANK", '4L'!P34)</f>
        <v>##BLANK</v>
      </c>
      <c r="H1881" s="1636"/>
    </row>
    <row r="1882" spans="1:8">
      <c r="A1882" s="1620" t="str">
        <f>INDEX(Lists!$C$4:$C$24,MATCH(Validation!$B$3,Lists!$B$4:$B$24,0))</f>
        <v>TMS</v>
      </c>
      <c r="B1882" s="1732" t="str">
        <f>'4L'!BK35</f>
        <v>W3A00009RWTCUM</v>
      </c>
      <c r="C1882" s="1732" t="str">
        <f>"Capital expenditure purpose - WATER additional line 9 [Other categories] - "&amp;'4L'!$P$5</f>
        <v>Capital expenditure purpose - WATER additional line 9 [Other categories] - Raw water transport</v>
      </c>
      <c r="D1882" t="str">
        <f t="shared" si="30"/>
        <v>£m</v>
      </c>
      <c r="E1882" s="2" t="s">
        <v>9</v>
      </c>
      <c r="F1882" s="1634" t="str">
        <f t="shared" si="31"/>
        <v>##BLANK</v>
      </c>
      <c r="G1882" s="1635" t="str">
        <f>IF(ISBLANK('4L'!P35), "##BLANK", '4L'!P35)</f>
        <v>##BLANK</v>
      </c>
      <c r="H1882" s="1636"/>
    </row>
    <row r="1883" spans="1:8">
      <c r="A1883" s="1620" t="str">
        <f>INDEX(Lists!$C$4:$C$24,MATCH(Validation!$B$3,Lists!$B$4:$B$24,0))</f>
        <v>TMS</v>
      </c>
      <c r="B1883" s="1732" t="str">
        <f>'4L'!BK36</f>
        <v>W3A00010RWTCUM</v>
      </c>
      <c r="C1883" s="1732" t="str">
        <f>"Capital expenditure purpose - WATER additional line 10 [Other categories] - "&amp;'4L'!$P$5</f>
        <v>Capital expenditure purpose - WATER additional line 10 [Other categories] - Raw water transport</v>
      </c>
      <c r="D1883" t="str">
        <f t="shared" si="30"/>
        <v>£m</v>
      </c>
      <c r="E1883" s="2" t="s">
        <v>9</v>
      </c>
      <c r="F1883" s="1634" t="str">
        <f t="shared" si="31"/>
        <v>##BLANK</v>
      </c>
      <c r="G1883" s="1635" t="str">
        <f>IF(ISBLANK('4L'!P36), "##BLANK", '4L'!P36)</f>
        <v>##BLANK</v>
      </c>
      <c r="H1883" s="1636"/>
    </row>
    <row r="1884" spans="1:8">
      <c r="A1884" s="1620" t="str">
        <f>INDEX(Lists!$C$4:$C$24,MATCH(Validation!$B$3,Lists!$B$4:$B$24,0))</f>
        <v>TMS</v>
      </c>
      <c r="B1884" s="1732" t="str">
        <f>'4L'!BK37</f>
        <v>W3A00011RWTCUM</v>
      </c>
      <c r="C1884" s="1732" t="str">
        <f>"Capital expenditure purpose - WATER additional line 11 [Other categories] - "&amp;'4L'!$P$5</f>
        <v>Capital expenditure purpose - WATER additional line 11 [Other categories] - Raw water transport</v>
      </c>
      <c r="D1884" t="str">
        <f t="shared" si="30"/>
        <v>£m</v>
      </c>
      <c r="E1884" s="2" t="s">
        <v>9</v>
      </c>
      <c r="F1884" s="1634" t="str">
        <f t="shared" si="31"/>
        <v>##BLANK</v>
      </c>
      <c r="G1884" s="1635" t="str">
        <f>IF(ISBLANK('4L'!P37), "##BLANK", '4L'!P37)</f>
        <v>##BLANK</v>
      </c>
      <c r="H1884" s="1636"/>
    </row>
    <row r="1885" spans="1:8">
      <c r="A1885" s="1620" t="str">
        <f>INDEX(Lists!$C$4:$C$24,MATCH(Validation!$B$3,Lists!$B$4:$B$24,0))</f>
        <v>TMS</v>
      </c>
      <c r="B1885" s="1732" t="str">
        <f>'4L'!BK38</f>
        <v>W3A00012RWTCUM</v>
      </c>
      <c r="C1885" s="1732" t="str">
        <f>"Capital expenditure purpose - WATER additional line 12 [Other categories] - "&amp;'4L'!$P$5</f>
        <v>Capital expenditure purpose - WATER additional line 12 [Other categories] - Raw water transport</v>
      </c>
      <c r="D1885" t="str">
        <f t="shared" si="30"/>
        <v>£m</v>
      </c>
      <c r="E1885" s="2" t="s">
        <v>9</v>
      </c>
      <c r="F1885" s="1634" t="str">
        <f t="shared" si="31"/>
        <v>##BLANK</v>
      </c>
      <c r="G1885" s="1635" t="str">
        <f>IF(ISBLANK('4L'!P38), "##BLANK", '4L'!P38)</f>
        <v>##BLANK</v>
      </c>
      <c r="H1885" s="1636"/>
    </row>
    <row r="1886" spans="1:8">
      <c r="A1886" s="1620" t="str">
        <f>INDEX(Lists!$C$4:$C$24,MATCH(Validation!$B$3,Lists!$B$4:$B$24,0))</f>
        <v>TMS</v>
      </c>
      <c r="B1886" s="1732" t="str">
        <f>'4L'!BK39</f>
        <v>W3A00013RWTCUM</v>
      </c>
      <c r="C1886" s="1732" t="str">
        <f>"Capital expenditure purpose - WATER additional line 13 [Other categories] - "&amp;'4L'!$P$5</f>
        <v>Capital expenditure purpose - WATER additional line 13 [Other categories] - Raw water transport</v>
      </c>
      <c r="D1886" t="str">
        <f t="shared" si="30"/>
        <v>£m</v>
      </c>
      <c r="E1886" s="2" t="s">
        <v>9</v>
      </c>
      <c r="F1886" s="1634" t="str">
        <f t="shared" si="31"/>
        <v>##BLANK</v>
      </c>
      <c r="G1886" s="1635" t="str">
        <f>IF(ISBLANK('4L'!P39), "##BLANK", '4L'!P39)</f>
        <v>##BLANK</v>
      </c>
      <c r="H1886" s="1636"/>
    </row>
    <row r="1887" spans="1:8">
      <c r="A1887" s="1620" t="str">
        <f>INDEX(Lists!$C$4:$C$24,MATCH(Validation!$B$3,Lists!$B$4:$B$24,0))</f>
        <v>TMS</v>
      </c>
      <c r="B1887" s="1732" t="str">
        <f>'4L'!BK40</f>
        <v>W3A00014RWTCUM</v>
      </c>
      <c r="C1887" s="1732" t="str">
        <f>"Capital expenditure purpose - WATER additional line 14 [Other categories] - "&amp;'4L'!$P$5</f>
        <v>Capital expenditure purpose - WATER additional line 14 [Other categories] - Raw water transport</v>
      </c>
      <c r="D1887" t="str">
        <f t="shared" si="30"/>
        <v>£m</v>
      </c>
      <c r="E1887" s="2" t="s">
        <v>9</v>
      </c>
      <c r="F1887" s="1634" t="str">
        <f t="shared" si="31"/>
        <v>##BLANK</v>
      </c>
      <c r="G1887" s="1635" t="str">
        <f>IF(ISBLANK('4L'!P40), "##BLANK", '4L'!P40)</f>
        <v>##BLANK</v>
      </c>
      <c r="H1887" s="1636"/>
    </row>
    <row r="1888" spans="1:8">
      <c r="A1888" s="1730" t="str">
        <f>INDEX(Lists!$C$4:$C$24,MATCH(Validation!$B$3,Lists!$B$4:$B$24,0))</f>
        <v>TMS</v>
      </c>
      <c r="B1888" s="1734" t="str">
        <f>'4L'!BK41</f>
        <v>W3A00015RWTCUM</v>
      </c>
      <c r="C1888" s="1734" t="str">
        <f>"Capital expenditure purpose - WATER additional line 15 [Other categories] - "&amp;'4L'!$P$5</f>
        <v>Capital expenditure purpose - WATER additional line 15 [Other categories] - Raw water transport</v>
      </c>
      <c r="D1888" s="1819" t="str">
        <f t="shared" si="30"/>
        <v>£m</v>
      </c>
      <c r="E1888" s="1651" t="s">
        <v>9</v>
      </c>
      <c r="F1888" s="1637" t="str">
        <f t="shared" si="31"/>
        <v>##BLANK</v>
      </c>
      <c r="G1888" s="1653" t="str">
        <f>IF(ISBLANK('4L'!P41), "##BLANK", '4L'!P41)</f>
        <v>##BLANK</v>
      </c>
      <c r="H1888" s="1652"/>
    </row>
    <row r="1889" spans="1:8">
      <c r="A1889" s="1620" t="str">
        <f>INDEX(Lists!$C$4:$C$24,MATCH(Validation!$B$3,Lists!$B$4:$B$24,0))</f>
        <v>TMS</v>
      </c>
      <c r="B1889" s="1732" t="str">
        <f>'4L'!BL8</f>
        <v>W3001RWSCUM</v>
      </c>
      <c r="C1889" s="1732" t="str">
        <f>+'4L'!$C8&amp;" - "&amp;'4L'!Q$5</f>
        <v>NEP - Making ecological improvements at abstractions (Habitats Directive, SSSI, NERC, BAPs) - Raw water storage</v>
      </c>
      <c r="D1889" t="str">
        <f t="shared" si="30"/>
        <v>£m</v>
      </c>
      <c r="E1889" s="2" t="s">
        <v>9</v>
      </c>
      <c r="F1889" s="1634"/>
      <c r="G1889" s="1635">
        <f>'4L'!Q8</f>
        <v>0</v>
      </c>
      <c r="H1889" s="1636"/>
    </row>
    <row r="1890" spans="1:8">
      <c r="A1890" s="1620" t="str">
        <f>INDEX(Lists!$C$4:$C$24,MATCH(Validation!$B$3,Lists!$B$4:$B$24,0))</f>
        <v>TMS</v>
      </c>
      <c r="B1890" s="1732" t="str">
        <f>'4L'!BL9</f>
        <v>WS2002RWSCUM</v>
      </c>
      <c r="C1890" s="1732" t="str">
        <f>+'4L'!$C9&amp;" - "&amp;'4L'!Q$5</f>
        <v>NEP - Eels Regulations (measures at intakes) - Raw water storage</v>
      </c>
      <c r="D1890" t="str">
        <f t="shared" si="30"/>
        <v>£m</v>
      </c>
      <c r="E1890" s="2" t="s">
        <v>9</v>
      </c>
      <c r="F1890" s="1634"/>
      <c r="G1890" s="1635">
        <f>'4L'!Q9</f>
        <v>0</v>
      </c>
      <c r="H1890" s="1636"/>
    </row>
    <row r="1891" spans="1:8">
      <c r="A1891" s="1620" t="str">
        <f>INDEX(Lists!$C$4:$C$24,MATCH(Validation!$B$3,Lists!$B$4:$B$24,0))</f>
        <v>TMS</v>
      </c>
      <c r="B1891" s="1732" t="str">
        <f>'4L'!BL10</f>
        <v>W3002RWSCUM</v>
      </c>
      <c r="C1891" s="1732" t="str">
        <f>+'4L'!$C10&amp;" - "&amp;'4L'!Q$5</f>
        <v>Addressing low pressure - Raw water storage</v>
      </c>
      <c r="D1891" t="str">
        <f t="shared" si="30"/>
        <v>£m</v>
      </c>
      <c r="E1891" s="2" t="s">
        <v>9</v>
      </c>
      <c r="F1891" s="1634"/>
      <c r="G1891" s="1635">
        <f>'4L'!Q10</f>
        <v>0</v>
      </c>
      <c r="H1891" s="1636"/>
    </row>
    <row r="1892" spans="1:8">
      <c r="A1892" s="1620" t="str">
        <f>INDEX(Lists!$C$4:$C$24,MATCH(Validation!$B$3,Lists!$B$4:$B$24,0))</f>
        <v>TMS</v>
      </c>
      <c r="B1892" s="1732" t="str">
        <f>'4L'!BL11</f>
        <v>W3003RWSCUM</v>
      </c>
      <c r="C1892" s="1732" t="str">
        <f>+'4L'!$C11&amp;" - "&amp;'4L'!Q$5</f>
        <v>Improving taste / odour / colour - Raw water storage</v>
      </c>
      <c r="D1892" t="str">
        <f t="shared" si="30"/>
        <v>£m</v>
      </c>
      <c r="E1892" s="2" t="s">
        <v>9</v>
      </c>
      <c r="F1892" s="1634"/>
      <c r="G1892" s="1635">
        <f>'4L'!Q11</f>
        <v>0</v>
      </c>
      <c r="H1892" s="1636"/>
    </row>
    <row r="1893" spans="1:8">
      <c r="A1893" s="1620" t="str">
        <f>INDEX(Lists!$C$4:$C$24,MATCH(Validation!$B$3,Lists!$B$4:$B$24,0))</f>
        <v>TMS</v>
      </c>
      <c r="B1893" s="1732" t="str">
        <f>'4L'!BL12</f>
        <v>W3006RWSCUM</v>
      </c>
      <c r="C1893" s="1732" t="str">
        <f>+'4L'!$C12&amp;" - "&amp;'4L'!Q$5</f>
        <v>Meeting lead standards - Raw water storage</v>
      </c>
      <c r="D1893" t="str">
        <f t="shared" si="30"/>
        <v>£m</v>
      </c>
      <c r="E1893" s="2" t="s">
        <v>9</v>
      </c>
      <c r="F1893" s="1634"/>
      <c r="G1893" s="1635">
        <f>'4L'!Q12</f>
        <v>0</v>
      </c>
      <c r="H1893" s="1636"/>
    </row>
    <row r="1894" spans="1:8">
      <c r="A1894" s="1620" t="str">
        <f>INDEX(Lists!$C$4:$C$24,MATCH(Validation!$B$3,Lists!$B$4:$B$24,0))</f>
        <v>TMS</v>
      </c>
      <c r="B1894" s="1732" t="str">
        <f>'4L'!BL13</f>
        <v>W3007SRWSCUM</v>
      </c>
      <c r="C1894" s="1732" t="str">
        <f>+'4L'!$C13&amp;" - "&amp;'4L'!Q$5</f>
        <v>Supply side enhancements to the supply/demand balance (dry year critical / peak conditions) - Raw water storage</v>
      </c>
      <c r="D1894" t="str">
        <f t="shared" si="30"/>
        <v>£m</v>
      </c>
      <c r="E1894" s="2" t="s">
        <v>9</v>
      </c>
      <c r="F1894" s="1634"/>
      <c r="G1894" s="1635">
        <f>'4L'!Q13</f>
        <v>0</v>
      </c>
      <c r="H1894" s="1636"/>
    </row>
    <row r="1895" spans="1:8">
      <c r="A1895" s="1620" t="str">
        <f>INDEX(Lists!$C$4:$C$24,MATCH(Validation!$B$3,Lists!$B$4:$B$24,0))</f>
        <v>TMS</v>
      </c>
      <c r="B1895" s="1732" t="str">
        <f>'4L'!BL14</f>
        <v>W3008SRWSCUM</v>
      </c>
      <c r="C1895" s="1732" t="str">
        <f>+'4L'!$C14&amp;" - "&amp;'4L'!Q$5</f>
        <v>Supply side enhancements to the supply/demand balance (dry year annual average conditions) - Raw water storage</v>
      </c>
      <c r="D1895" t="str">
        <f t="shared" si="30"/>
        <v>£m</v>
      </c>
      <c r="E1895" s="2" t="s">
        <v>9</v>
      </c>
      <c r="F1895" s="1634"/>
      <c r="G1895" s="1635">
        <f>'4L'!Q14</f>
        <v>0</v>
      </c>
      <c r="H1895" s="1636"/>
    </row>
    <row r="1896" spans="1:8">
      <c r="A1896" s="1620" t="str">
        <f>INDEX(Lists!$C$4:$C$24,MATCH(Validation!$B$3,Lists!$B$4:$B$24,0))</f>
        <v>TMS</v>
      </c>
      <c r="B1896" s="1732" t="str">
        <f>'4L'!BL15</f>
        <v>W3007DRWSCUM</v>
      </c>
      <c r="C1896" s="1732" t="str">
        <f>+'4L'!$C15&amp;" - "&amp;'4L'!Q$5</f>
        <v>Demand side enhancements to the supply/demand balance (dry year critical / peak conditions) - Raw water storage</v>
      </c>
      <c r="D1896" t="str">
        <f t="shared" si="30"/>
        <v>£m</v>
      </c>
      <c r="E1896" s="2" t="s">
        <v>9</v>
      </c>
      <c r="F1896" s="1634"/>
      <c r="G1896" s="1635">
        <f>'4L'!Q15</f>
        <v>0</v>
      </c>
      <c r="H1896" s="1636"/>
    </row>
    <row r="1897" spans="1:8">
      <c r="A1897" s="1620" t="str">
        <f>INDEX(Lists!$C$4:$C$24,MATCH(Validation!$B$3,Lists!$B$4:$B$24,0))</f>
        <v>TMS</v>
      </c>
      <c r="B1897" s="1732" t="str">
        <f>'4L'!BL16</f>
        <v>W3008DRWSCUM</v>
      </c>
      <c r="C1897" s="1732" t="str">
        <f>+'4L'!$C16&amp;" - "&amp;'4L'!Q$5</f>
        <v>Demand side enhancements to the supply/demand balance (dry year annual average conditions) - Raw water storage</v>
      </c>
      <c r="D1897" t="str">
        <f t="shared" si="30"/>
        <v>£m</v>
      </c>
      <c r="E1897" s="2" t="s">
        <v>9</v>
      </c>
      <c r="F1897" s="1634"/>
      <c r="G1897" s="1635">
        <f>'4L'!Q16</f>
        <v>0</v>
      </c>
      <c r="H1897" s="1636"/>
    </row>
    <row r="1898" spans="1:8">
      <c r="A1898" s="1620" t="str">
        <f>INDEX(Lists!$C$4:$C$24,MATCH(Validation!$B$3,Lists!$B$4:$B$24,0))</f>
        <v>TMS</v>
      </c>
      <c r="B1898" s="1732" t="str">
        <f>'4L'!BL17</f>
        <v>W3009RWSCUM</v>
      </c>
      <c r="C1898" s="1732" t="str">
        <f>+'4L'!$C17&amp;" - "&amp;'4L'!Q$5</f>
        <v>New developments - Raw water storage</v>
      </c>
      <c r="D1898" t="str">
        <f t="shared" si="30"/>
        <v>£m</v>
      </c>
      <c r="E1898" s="2" t="s">
        <v>9</v>
      </c>
      <c r="F1898" s="1634"/>
      <c r="G1898" s="1635">
        <f>'4L'!Q17</f>
        <v>0</v>
      </c>
      <c r="H1898" s="1636"/>
    </row>
    <row r="1899" spans="1:8">
      <c r="A1899" s="1620" t="str">
        <f>INDEX(Lists!$C$4:$C$24,MATCH(Validation!$B$3,Lists!$B$4:$B$24,0))</f>
        <v>TMS</v>
      </c>
      <c r="B1899" s="1732" t="str">
        <f>'4L'!BL18</f>
        <v>WS2004RWSCUM</v>
      </c>
      <c r="C1899" s="1732" t="str">
        <f>+'4L'!$C18&amp;" - "&amp;'4L'!Q$5</f>
        <v>New connections element of new development (CPs, meters) - Raw water storage</v>
      </c>
      <c r="D1899" t="str">
        <f t="shared" si="30"/>
        <v>£m</v>
      </c>
      <c r="E1899" s="2" t="s">
        <v>9</v>
      </c>
      <c r="F1899" s="1634"/>
      <c r="G1899" s="1635">
        <f>'4L'!Q18</f>
        <v>0</v>
      </c>
      <c r="H1899" s="1636"/>
    </row>
    <row r="1900" spans="1:8">
      <c r="A1900" s="1620" t="str">
        <f>INDEX(Lists!$C$4:$C$24,MATCH(Validation!$B$3,Lists!$B$4:$B$24,0))</f>
        <v>TMS</v>
      </c>
      <c r="B1900" s="1732" t="str">
        <f>'4L'!BL19</f>
        <v>W3010RWSCUM</v>
      </c>
      <c r="C1900" s="1732" t="str">
        <f>+'4L'!$C19&amp;" - "&amp;'4L'!Q$5</f>
        <v>Investment to address raw water deterioration (THM, nitrates, Crypto, pesticides, others) - Raw water storage</v>
      </c>
      <c r="D1900" t="str">
        <f t="shared" si="30"/>
        <v>£m</v>
      </c>
      <c r="E1900" s="2" t="s">
        <v>9</v>
      </c>
      <c r="F1900" s="1634"/>
      <c r="G1900" s="1635">
        <f>'4L'!Q19</f>
        <v>0</v>
      </c>
      <c r="H1900" s="1636"/>
    </row>
    <row r="1901" spans="1:8">
      <c r="A1901" s="1620" t="str">
        <f>INDEX(Lists!$C$4:$C$24,MATCH(Validation!$B$3,Lists!$B$4:$B$24,0))</f>
        <v>TMS</v>
      </c>
      <c r="B1901" s="1732" t="str">
        <f>'4L'!BL20</f>
        <v>W3011RWSCUM</v>
      </c>
      <c r="C1901" s="1732" t="str">
        <f>+'4L'!$C20&amp;" - "&amp;'4L'!Q$5</f>
        <v>Resilience - Raw water storage</v>
      </c>
      <c r="D1901" t="str">
        <f t="shared" si="30"/>
        <v>£m</v>
      </c>
      <c r="E1901" s="2" t="s">
        <v>9</v>
      </c>
      <c r="F1901" s="1634"/>
      <c r="G1901" s="1635">
        <f>'4L'!Q20</f>
        <v>0</v>
      </c>
      <c r="H1901" s="1636"/>
    </row>
    <row r="1902" spans="1:8">
      <c r="A1902" s="1620" t="str">
        <f>INDEX(Lists!$C$4:$C$24,MATCH(Validation!$B$3,Lists!$B$4:$B$24,0))</f>
        <v>TMS</v>
      </c>
      <c r="B1902" s="1732" t="str">
        <f>'4L'!BL21</f>
        <v>W3012RWSCUM</v>
      </c>
      <c r="C1902" s="1732" t="str">
        <f>+'4L'!$C21&amp;" - "&amp;'4L'!Q$5</f>
        <v>SEMD - Raw water storage</v>
      </c>
      <c r="D1902" t="str">
        <f t="shared" si="30"/>
        <v>£m</v>
      </c>
      <c r="E1902" s="2" t="s">
        <v>9</v>
      </c>
      <c r="F1902" s="1634"/>
      <c r="G1902" s="1635">
        <f>'4L'!Q21</f>
        <v>0</v>
      </c>
      <c r="H1902" s="1636"/>
    </row>
    <row r="1903" spans="1:8">
      <c r="A1903" s="1620" t="str">
        <f>INDEX(Lists!$C$4:$C$24,MATCH(Validation!$B$3,Lists!$B$4:$B$24,0))</f>
        <v>TMS</v>
      </c>
      <c r="B1903" s="1732" t="str">
        <f>'4L'!BL22</f>
        <v>WS2008RWSCUM</v>
      </c>
      <c r="C1903" s="1732" t="str">
        <f>+'4L'!$C22&amp;" - "&amp;'4L'!Q$5</f>
        <v>NEP - Investigations - Raw water storage</v>
      </c>
      <c r="D1903" t="str">
        <f t="shared" si="30"/>
        <v>£m</v>
      </c>
      <c r="E1903" s="2" t="s">
        <v>9</v>
      </c>
      <c r="F1903" s="1634"/>
      <c r="G1903" s="1635">
        <f>'4L'!Q22</f>
        <v>0</v>
      </c>
      <c r="H1903" s="1636"/>
    </row>
    <row r="1904" spans="1:8">
      <c r="A1904" s="1620" t="str">
        <f>INDEX(Lists!$C$4:$C$24,MATCH(Validation!$B$3,Lists!$B$4:$B$24,0))</f>
        <v>TMS</v>
      </c>
      <c r="B1904" s="1732" t="str">
        <f>'4L'!BL23</f>
        <v>W3027RWSCUM</v>
      </c>
      <c r="C1904" s="1732" t="str">
        <f>+'4L'!$C23&amp;" - "&amp;'4L'!Q$5</f>
        <v>Improvements to river flows - Raw water storage</v>
      </c>
      <c r="D1904" t="str">
        <f t="shared" si="30"/>
        <v>£m</v>
      </c>
      <c r="E1904" s="2" t="s">
        <v>9</v>
      </c>
      <c r="F1904" s="1634"/>
      <c r="G1904" s="1635">
        <f>'4L'!Q23</f>
        <v>0</v>
      </c>
      <c r="H1904" s="1636"/>
    </row>
    <row r="1905" spans="1:8">
      <c r="A1905" s="1620" t="str">
        <f>INDEX(Lists!$C$4:$C$24,MATCH(Validation!$B$3,Lists!$B$4:$B$24,0))</f>
        <v>TMS</v>
      </c>
      <c r="B1905" s="1732" t="str">
        <f>'4L'!BL24</f>
        <v>W3028OPTRWSCUM</v>
      </c>
      <c r="C1905" s="1732" t="str">
        <f>+'4L'!$C24&amp;" - "&amp;'4L'!Q$5</f>
        <v>Metering (excluding cost of providing metering to new service connections) - meters requested by optants - Raw water storage</v>
      </c>
      <c r="D1905" t="str">
        <f t="shared" si="30"/>
        <v>£m</v>
      </c>
      <c r="E1905" s="2" t="s">
        <v>9</v>
      </c>
      <c r="F1905" s="1634"/>
      <c r="G1905" s="1635">
        <f>'4L'!Q24</f>
        <v>0</v>
      </c>
      <c r="H1905" s="1636"/>
    </row>
    <row r="1906" spans="1:8">
      <c r="A1906" s="1620" t="str">
        <f>INDEX(Lists!$C$4:$C$24,MATCH(Validation!$B$3,Lists!$B$4:$B$24,0))</f>
        <v>TMS</v>
      </c>
      <c r="B1906" s="1732" t="str">
        <f>'4L'!BL25</f>
        <v>W3028COMRWSCUM</v>
      </c>
      <c r="C1906" s="1732" t="str">
        <f>+'4L'!$C25&amp;" - "&amp;'4L'!Q$5</f>
        <v>Metering (excluding cost of providing metering to new service connections)- meters introduced by companies - Raw water storage</v>
      </c>
      <c r="D1906" t="str">
        <f t="shared" si="30"/>
        <v>£m</v>
      </c>
      <c r="E1906" s="2" t="s">
        <v>9</v>
      </c>
      <c r="F1906" s="1634"/>
      <c r="G1906" s="1635">
        <f>'4L'!Q25</f>
        <v>0</v>
      </c>
      <c r="H1906" s="1636"/>
    </row>
    <row r="1907" spans="1:8">
      <c r="A1907" s="1620" t="str">
        <f>INDEX(Lists!$C$4:$C$24,MATCH(Validation!$B$3,Lists!$B$4:$B$24,0))</f>
        <v>TMS</v>
      </c>
      <c r="B1907" s="1732" t="str">
        <f>'4L'!BL26</f>
        <v>W3028NHORWSCUM</v>
      </c>
      <c r="C1907" s="1732" t="str">
        <f>+'4L'!$C26&amp;" - "&amp;'4L'!Q$5</f>
        <v>Metering (excluding cost of providing metering to new service connections) - other - Raw water storage</v>
      </c>
      <c r="D1907" t="str">
        <f t="shared" si="30"/>
        <v>£m</v>
      </c>
      <c r="E1907" s="2" t="s">
        <v>9</v>
      </c>
      <c r="F1907" s="1634"/>
      <c r="G1907" s="1635">
        <f>'4L'!Q26</f>
        <v>0</v>
      </c>
      <c r="H1907" s="1636"/>
    </row>
    <row r="1908" spans="1:8">
      <c r="A1908" s="1620" t="str">
        <f>INDEX(Lists!$C$4:$C$24,MATCH(Validation!$B$3,Lists!$B$4:$B$24,0))</f>
        <v>TMS</v>
      </c>
      <c r="B1908" s="1732" t="str">
        <f>'4L'!BL27</f>
        <v>W3A00001RWSCUM</v>
      </c>
      <c r="C1908" s="1732" t="str">
        <f>"Capital expenditure purpose - WATER additional line 1 [Other categories] - "&amp;'4L'!$Q$5</f>
        <v>Capital expenditure purpose - WATER additional line 1 [Other categories] - Raw water storage</v>
      </c>
      <c r="D1908" t="str">
        <f t="shared" si="30"/>
        <v>£m</v>
      </c>
      <c r="E1908" s="2" t="s">
        <v>9</v>
      </c>
      <c r="F1908" s="1634" t="str">
        <f>F1602</f>
        <v>NEP - Flow monitoring at water treatment works</v>
      </c>
      <c r="G1908" s="1635">
        <f>IF(ISBLANK('4L'!Q27), "##BLANK", '4L'!Q27)</f>
        <v>0</v>
      </c>
      <c r="H1908" s="1636"/>
    </row>
    <row r="1909" spans="1:8">
      <c r="A1909" s="1620" t="str">
        <f>INDEX(Lists!$C$4:$C$24,MATCH(Validation!$B$3,Lists!$B$4:$B$24,0))</f>
        <v>TMS</v>
      </c>
      <c r="B1909" s="1732" t="str">
        <f>'4L'!BL28</f>
        <v>W3A00002RWSCUM</v>
      </c>
      <c r="C1909" s="1732" t="str">
        <f>"Capital expenditure purpose - WATER additional line 2 [Other categories] - "&amp;'4L'!$Q$5</f>
        <v>Capital expenditure purpose - WATER additional line 2 [Other categories] - Raw water storage</v>
      </c>
      <c r="D1909" t="str">
        <f t="shared" si="30"/>
        <v>£m</v>
      </c>
      <c r="E1909" s="2" t="s">
        <v>9</v>
      </c>
      <c r="F1909" s="1634" t="str">
        <f t="shared" ref="F1909:F1922" si="32">F1603</f>
        <v>##BLANK</v>
      </c>
      <c r="G1909" s="1635" t="str">
        <f>IF(ISBLANK('4L'!Q28), "##BLANK", '4L'!Q28)</f>
        <v>##BLANK</v>
      </c>
      <c r="H1909" s="1636"/>
    </row>
    <row r="1910" spans="1:8">
      <c r="A1910" s="1620" t="str">
        <f>INDEX(Lists!$C$4:$C$24,MATCH(Validation!$B$3,Lists!$B$4:$B$24,0))</f>
        <v>TMS</v>
      </c>
      <c r="B1910" s="1732" t="str">
        <f>'4L'!BL29</f>
        <v>W3A00003RWSCUM</v>
      </c>
      <c r="C1910" s="1732" t="str">
        <f>"Capital expenditure purpose - WATER additional line 3 [Other categories] - "&amp;'4L'!$Q$5</f>
        <v>Capital expenditure purpose - WATER additional line 3 [Other categories] - Raw water storage</v>
      </c>
      <c r="D1910" t="str">
        <f t="shared" si="30"/>
        <v>£m</v>
      </c>
      <c r="E1910" s="2" t="s">
        <v>9</v>
      </c>
      <c r="F1910" s="1634" t="str">
        <f t="shared" si="32"/>
        <v>##BLANK</v>
      </c>
      <c r="G1910" s="1635" t="str">
        <f>IF(ISBLANK('4L'!Q29), "##BLANK", '4L'!Q29)</f>
        <v>##BLANK</v>
      </c>
      <c r="H1910" s="1636"/>
    </row>
    <row r="1911" spans="1:8">
      <c r="A1911" s="1620" t="str">
        <f>INDEX(Lists!$C$4:$C$24,MATCH(Validation!$B$3,Lists!$B$4:$B$24,0))</f>
        <v>TMS</v>
      </c>
      <c r="B1911" s="1732" t="str">
        <f>'4L'!BL30</f>
        <v>W3A00004RWSCUM</v>
      </c>
      <c r="C1911" s="1732" t="str">
        <f>"Capital expenditure purpose - WATER additional line 4 [Other categories] - "&amp;'4L'!$Q$5</f>
        <v>Capital expenditure purpose - WATER additional line 4 [Other categories] - Raw water storage</v>
      </c>
      <c r="D1911" t="str">
        <f t="shared" si="30"/>
        <v>£m</v>
      </c>
      <c r="E1911" s="2" t="s">
        <v>9</v>
      </c>
      <c r="F1911" s="1634" t="str">
        <f t="shared" si="32"/>
        <v>##BLANK</v>
      </c>
      <c r="G1911" s="1635" t="str">
        <f>IF(ISBLANK('4L'!Q30), "##BLANK", '4L'!Q30)</f>
        <v>##BLANK</v>
      </c>
      <c r="H1911" s="1636"/>
    </row>
    <row r="1912" spans="1:8">
      <c r="A1912" s="1620" t="str">
        <f>INDEX(Lists!$C$4:$C$24,MATCH(Validation!$B$3,Lists!$B$4:$B$24,0))</f>
        <v>TMS</v>
      </c>
      <c r="B1912" s="1732" t="str">
        <f>'4L'!BL31</f>
        <v>W3A00005RWSCUM</v>
      </c>
      <c r="C1912" s="1732" t="str">
        <f>"Capital expenditure purpose - WATER additional line 5 [Other categories] - "&amp;'4L'!$Q$5</f>
        <v>Capital expenditure purpose - WATER additional line 5 [Other categories] - Raw water storage</v>
      </c>
      <c r="D1912" t="str">
        <f t="shared" si="30"/>
        <v>£m</v>
      </c>
      <c r="E1912" s="2" t="s">
        <v>9</v>
      </c>
      <c r="F1912" s="1634" t="str">
        <f t="shared" si="32"/>
        <v>##BLANK</v>
      </c>
      <c r="G1912" s="1635" t="str">
        <f>IF(ISBLANK('4L'!Q31), "##BLANK", '4L'!Q31)</f>
        <v>##BLANK</v>
      </c>
      <c r="H1912" s="1636"/>
    </row>
    <row r="1913" spans="1:8">
      <c r="A1913" s="1620" t="str">
        <f>INDEX(Lists!$C$4:$C$24,MATCH(Validation!$B$3,Lists!$B$4:$B$24,0))</f>
        <v>TMS</v>
      </c>
      <c r="B1913" s="1732" t="str">
        <f>'4L'!BL32</f>
        <v>W3A00006RWSCUM</v>
      </c>
      <c r="C1913" s="1732" t="str">
        <f>"Capital expenditure purpose - WATER additional line 6 [Other categories] - "&amp;'4L'!$Q$5</f>
        <v>Capital expenditure purpose - WATER additional line 6 [Other categories] - Raw water storage</v>
      </c>
      <c r="D1913" t="str">
        <f t="shared" si="30"/>
        <v>£m</v>
      </c>
      <c r="E1913" s="2" t="s">
        <v>9</v>
      </c>
      <c r="F1913" s="1634" t="str">
        <f t="shared" si="32"/>
        <v>##BLANK</v>
      </c>
      <c r="G1913" s="1635" t="str">
        <f>IF(ISBLANK('4L'!Q32), "##BLANK", '4L'!Q32)</f>
        <v>##BLANK</v>
      </c>
      <c r="H1913" s="1636"/>
    </row>
    <row r="1914" spans="1:8">
      <c r="A1914" s="1620" t="str">
        <f>INDEX(Lists!$C$4:$C$24,MATCH(Validation!$B$3,Lists!$B$4:$B$24,0))</f>
        <v>TMS</v>
      </c>
      <c r="B1914" s="1732" t="str">
        <f>'4L'!BL33</f>
        <v>W3A00007RWSCUM</v>
      </c>
      <c r="C1914" s="1732" t="str">
        <f>"Capital expenditure purpose - WATER additional line 7 [Other categories] - "&amp;'4L'!$Q$5</f>
        <v>Capital expenditure purpose - WATER additional line 7 [Other categories] - Raw water storage</v>
      </c>
      <c r="D1914" t="str">
        <f t="shared" si="30"/>
        <v>£m</v>
      </c>
      <c r="E1914" s="2" t="s">
        <v>9</v>
      </c>
      <c r="F1914" s="1634" t="str">
        <f t="shared" si="32"/>
        <v>##BLANK</v>
      </c>
      <c r="G1914" s="1635" t="str">
        <f>IF(ISBLANK('4L'!Q33), "##BLANK", '4L'!Q33)</f>
        <v>##BLANK</v>
      </c>
      <c r="H1914" s="1636"/>
    </row>
    <row r="1915" spans="1:8">
      <c r="A1915" s="1620" t="str">
        <f>INDEX(Lists!$C$4:$C$24,MATCH(Validation!$B$3,Lists!$B$4:$B$24,0))</f>
        <v>TMS</v>
      </c>
      <c r="B1915" s="1732" t="str">
        <f>'4L'!BL34</f>
        <v>W3A00008RWSCUM</v>
      </c>
      <c r="C1915" s="1732" t="str">
        <f>"Capital expenditure purpose - WATER additional line 8 [Other categories] - "&amp;'4L'!$Q$5</f>
        <v>Capital expenditure purpose - WATER additional line 8 [Other categories] - Raw water storage</v>
      </c>
      <c r="D1915" t="str">
        <f t="shared" si="30"/>
        <v>£m</v>
      </c>
      <c r="E1915" s="2" t="s">
        <v>9</v>
      </c>
      <c r="F1915" s="1634" t="str">
        <f t="shared" si="32"/>
        <v>##BLANK</v>
      </c>
      <c r="G1915" s="1635" t="str">
        <f>IF(ISBLANK('4L'!Q34), "##BLANK", '4L'!Q34)</f>
        <v>##BLANK</v>
      </c>
      <c r="H1915" s="1636"/>
    </row>
    <row r="1916" spans="1:8">
      <c r="A1916" s="1620" t="str">
        <f>INDEX(Lists!$C$4:$C$24,MATCH(Validation!$B$3,Lists!$B$4:$B$24,0))</f>
        <v>TMS</v>
      </c>
      <c r="B1916" s="1732" t="str">
        <f>'4L'!BL35</f>
        <v>W3A00009RWSCUM</v>
      </c>
      <c r="C1916" s="1732" t="str">
        <f>"Capital expenditure purpose - WATER additional line 9 [Other categories] - "&amp;'4L'!$Q$5</f>
        <v>Capital expenditure purpose - WATER additional line 9 [Other categories] - Raw water storage</v>
      </c>
      <c r="D1916" t="str">
        <f t="shared" si="30"/>
        <v>£m</v>
      </c>
      <c r="E1916" s="2" t="s">
        <v>9</v>
      </c>
      <c r="F1916" s="1634" t="str">
        <f t="shared" si="32"/>
        <v>##BLANK</v>
      </c>
      <c r="G1916" s="1635" t="str">
        <f>IF(ISBLANK('4L'!Q35), "##BLANK", '4L'!Q35)</f>
        <v>##BLANK</v>
      </c>
      <c r="H1916" s="1636"/>
    </row>
    <row r="1917" spans="1:8">
      <c r="A1917" s="1620" t="str">
        <f>INDEX(Lists!$C$4:$C$24,MATCH(Validation!$B$3,Lists!$B$4:$B$24,0))</f>
        <v>TMS</v>
      </c>
      <c r="B1917" s="1732" t="str">
        <f>'4L'!BL36</f>
        <v>W3A00010RWSCUM</v>
      </c>
      <c r="C1917" s="1732" t="str">
        <f>"Capital expenditure purpose - WATER additional line 10 [Other categories] - "&amp;'4L'!$Q$5</f>
        <v>Capital expenditure purpose - WATER additional line 10 [Other categories] - Raw water storage</v>
      </c>
      <c r="D1917" t="str">
        <f t="shared" si="30"/>
        <v>£m</v>
      </c>
      <c r="E1917" s="2" t="s">
        <v>9</v>
      </c>
      <c r="F1917" s="1634" t="str">
        <f t="shared" si="32"/>
        <v>##BLANK</v>
      </c>
      <c r="G1917" s="1635" t="str">
        <f>IF(ISBLANK('4L'!Q36), "##BLANK", '4L'!Q36)</f>
        <v>##BLANK</v>
      </c>
      <c r="H1917" s="1636"/>
    </row>
    <row r="1918" spans="1:8">
      <c r="A1918" s="1620" t="str">
        <f>INDEX(Lists!$C$4:$C$24,MATCH(Validation!$B$3,Lists!$B$4:$B$24,0))</f>
        <v>TMS</v>
      </c>
      <c r="B1918" s="1732" t="str">
        <f>'4L'!BL37</f>
        <v>W3A00011RWSCUM</v>
      </c>
      <c r="C1918" s="1732" t="str">
        <f>"Capital expenditure purpose - WATER additional line 11 [Other categories] - "&amp;'4L'!$Q$5</f>
        <v>Capital expenditure purpose - WATER additional line 11 [Other categories] - Raw water storage</v>
      </c>
      <c r="D1918" t="str">
        <f t="shared" si="30"/>
        <v>£m</v>
      </c>
      <c r="E1918" s="2" t="s">
        <v>9</v>
      </c>
      <c r="F1918" s="1634" t="str">
        <f t="shared" si="32"/>
        <v>##BLANK</v>
      </c>
      <c r="G1918" s="1635" t="str">
        <f>IF(ISBLANK('4L'!Q37), "##BLANK", '4L'!Q37)</f>
        <v>##BLANK</v>
      </c>
      <c r="H1918" s="1636"/>
    </row>
    <row r="1919" spans="1:8">
      <c r="A1919" s="1620" t="str">
        <f>INDEX(Lists!$C$4:$C$24,MATCH(Validation!$B$3,Lists!$B$4:$B$24,0))</f>
        <v>TMS</v>
      </c>
      <c r="B1919" s="1732" t="str">
        <f>'4L'!BL38</f>
        <v>W3A00012RWSCUM</v>
      </c>
      <c r="C1919" s="1732" t="str">
        <f>"Capital expenditure purpose - WATER additional line 12 [Other categories] - "&amp;'4L'!$Q$5</f>
        <v>Capital expenditure purpose - WATER additional line 12 [Other categories] - Raw water storage</v>
      </c>
      <c r="D1919" t="str">
        <f t="shared" si="30"/>
        <v>£m</v>
      </c>
      <c r="E1919" s="2" t="s">
        <v>9</v>
      </c>
      <c r="F1919" s="1634" t="str">
        <f t="shared" si="32"/>
        <v>##BLANK</v>
      </c>
      <c r="G1919" s="1635" t="str">
        <f>IF(ISBLANK('4L'!Q38), "##BLANK", '4L'!Q38)</f>
        <v>##BLANK</v>
      </c>
      <c r="H1919" s="1636"/>
    </row>
    <row r="1920" spans="1:8">
      <c r="A1920" s="1620" t="str">
        <f>INDEX(Lists!$C$4:$C$24,MATCH(Validation!$B$3,Lists!$B$4:$B$24,0))</f>
        <v>TMS</v>
      </c>
      <c r="B1920" s="1732" t="str">
        <f>'4L'!BL39</f>
        <v>W3A00013RWSCUM</v>
      </c>
      <c r="C1920" s="1732" t="str">
        <f>"Capital expenditure purpose - WATER additional line 13 [Other categories] - "&amp;'4L'!$Q$5</f>
        <v>Capital expenditure purpose - WATER additional line 13 [Other categories] - Raw water storage</v>
      </c>
      <c r="D1920" t="str">
        <f t="shared" si="30"/>
        <v>£m</v>
      </c>
      <c r="E1920" s="2" t="s">
        <v>9</v>
      </c>
      <c r="F1920" s="1634" t="str">
        <f t="shared" si="32"/>
        <v>##BLANK</v>
      </c>
      <c r="G1920" s="1635" t="str">
        <f>IF(ISBLANK('4L'!Q39), "##BLANK", '4L'!Q39)</f>
        <v>##BLANK</v>
      </c>
      <c r="H1920" s="1636"/>
    </row>
    <row r="1921" spans="1:8">
      <c r="A1921" s="1620" t="str">
        <f>INDEX(Lists!$C$4:$C$24,MATCH(Validation!$B$3,Lists!$B$4:$B$24,0))</f>
        <v>TMS</v>
      </c>
      <c r="B1921" s="1732" t="str">
        <f>'4L'!BL40</f>
        <v>W3A00014RWSCUM</v>
      </c>
      <c r="C1921" s="1732" t="str">
        <f>"Capital expenditure purpose - WATER additional line 14 [Other categories] - "&amp;'4L'!$Q$5</f>
        <v>Capital expenditure purpose - WATER additional line 14 [Other categories] - Raw water storage</v>
      </c>
      <c r="D1921" t="str">
        <f t="shared" si="30"/>
        <v>£m</v>
      </c>
      <c r="E1921" s="2" t="s">
        <v>9</v>
      </c>
      <c r="F1921" s="1634" t="str">
        <f t="shared" si="32"/>
        <v>##BLANK</v>
      </c>
      <c r="G1921" s="1635" t="str">
        <f>IF(ISBLANK('4L'!Q40), "##BLANK", '4L'!Q40)</f>
        <v>##BLANK</v>
      </c>
      <c r="H1921" s="1636"/>
    </row>
    <row r="1922" spans="1:8">
      <c r="A1922" s="1730" t="str">
        <f>INDEX(Lists!$C$4:$C$24,MATCH(Validation!$B$3,Lists!$B$4:$B$24,0))</f>
        <v>TMS</v>
      </c>
      <c r="B1922" s="1734" t="str">
        <f>'4L'!BL41</f>
        <v>W3A00015RWSCUM</v>
      </c>
      <c r="C1922" s="1734" t="str">
        <f>"Capital expenditure purpose - WATER additional line 15 [Other categories] - "&amp;'4L'!$Q$5</f>
        <v>Capital expenditure purpose - WATER additional line 15 [Other categories] - Raw water storage</v>
      </c>
      <c r="D1922" s="1819" t="str">
        <f t="shared" si="30"/>
        <v>£m</v>
      </c>
      <c r="E1922" s="1651" t="s">
        <v>9</v>
      </c>
      <c r="F1922" s="1637" t="str">
        <f t="shared" si="32"/>
        <v>##BLANK</v>
      </c>
      <c r="G1922" s="1653" t="str">
        <f>IF(ISBLANK('4L'!Q41), "##BLANK", '4L'!Q41)</f>
        <v>##BLANK</v>
      </c>
      <c r="H1922" s="1652"/>
    </row>
    <row r="1923" spans="1:8">
      <c r="A1923" s="1620" t="str">
        <f>INDEX(Lists!$C$4:$C$24,MATCH(Validation!$B$3,Lists!$B$4:$B$24,0))</f>
        <v>TMS</v>
      </c>
      <c r="B1923" s="1732" t="str">
        <f>'4L'!BM8</f>
        <v>W3001WTCUM</v>
      </c>
      <c r="C1923" s="1732" t="str">
        <f>+'4L'!$C8&amp;" - "&amp;'4L'!R$5</f>
        <v>NEP - Making ecological improvements at abstractions (Habitats Directive, SSSI, NERC, BAPs) - Water treatment</v>
      </c>
      <c r="D1923" t="str">
        <f t="shared" si="30"/>
        <v>£m</v>
      </c>
      <c r="E1923" s="2" t="s">
        <v>9</v>
      </c>
      <c r="F1923" s="1634"/>
      <c r="G1923" s="1635">
        <f>'4L'!R8</f>
        <v>0</v>
      </c>
      <c r="H1923" s="1636"/>
    </row>
    <row r="1924" spans="1:8">
      <c r="A1924" s="1620" t="str">
        <f>INDEX(Lists!$C$4:$C$24,MATCH(Validation!$B$3,Lists!$B$4:$B$24,0))</f>
        <v>TMS</v>
      </c>
      <c r="B1924" s="1732" t="str">
        <f>'4L'!BM9</f>
        <v>WS2002WTCUM</v>
      </c>
      <c r="C1924" s="1732" t="str">
        <f>+'4L'!$C9&amp;" - "&amp;'4L'!R$5</f>
        <v>NEP - Eels Regulations (measures at intakes) - Water treatment</v>
      </c>
      <c r="D1924" t="str">
        <f t="shared" si="30"/>
        <v>£m</v>
      </c>
      <c r="E1924" s="2" t="s">
        <v>9</v>
      </c>
      <c r="F1924" s="1634"/>
      <c r="G1924" s="1635">
        <f>'4L'!R9</f>
        <v>0</v>
      </c>
      <c r="H1924" s="1636"/>
    </row>
    <row r="1925" spans="1:8">
      <c r="A1925" s="1620" t="str">
        <f>INDEX(Lists!$C$4:$C$24,MATCH(Validation!$B$3,Lists!$B$4:$B$24,0))</f>
        <v>TMS</v>
      </c>
      <c r="B1925" s="1732" t="str">
        <f>'4L'!BM10</f>
        <v>W3002WTCUM</v>
      </c>
      <c r="C1925" s="1732" t="str">
        <f>+'4L'!$C10&amp;" - "&amp;'4L'!R$5</f>
        <v>Addressing low pressure - Water treatment</v>
      </c>
      <c r="D1925" t="str">
        <f t="shared" si="30"/>
        <v>£m</v>
      </c>
      <c r="E1925" s="2" t="s">
        <v>9</v>
      </c>
      <c r="F1925" s="1634"/>
      <c r="G1925" s="1635">
        <f>'4L'!R10</f>
        <v>0</v>
      </c>
      <c r="H1925" s="1636"/>
    </row>
    <row r="1926" spans="1:8">
      <c r="A1926" s="1620" t="str">
        <f>INDEX(Lists!$C$4:$C$24,MATCH(Validation!$B$3,Lists!$B$4:$B$24,0))</f>
        <v>TMS</v>
      </c>
      <c r="B1926" s="1732" t="str">
        <f>'4L'!BM11</f>
        <v>W3003WTCUM</v>
      </c>
      <c r="C1926" s="1732" t="str">
        <f>+'4L'!$C11&amp;" - "&amp;'4L'!R$5</f>
        <v>Improving taste / odour / colour - Water treatment</v>
      </c>
      <c r="D1926" t="str">
        <f t="shared" si="30"/>
        <v>£m</v>
      </c>
      <c r="E1926" s="2" t="s">
        <v>9</v>
      </c>
      <c r="F1926" s="1634"/>
      <c r="G1926" s="1635">
        <f>'4L'!R11</f>
        <v>0</v>
      </c>
      <c r="H1926" s="1636"/>
    </row>
    <row r="1927" spans="1:8">
      <c r="A1927" s="1620" t="str">
        <f>INDEX(Lists!$C$4:$C$24,MATCH(Validation!$B$3,Lists!$B$4:$B$24,0))</f>
        <v>TMS</v>
      </c>
      <c r="B1927" s="1732" t="str">
        <f>'4L'!BM12</f>
        <v>W3006WTCUM</v>
      </c>
      <c r="C1927" s="1732" t="str">
        <f>+'4L'!$C12&amp;" - "&amp;'4L'!R$5</f>
        <v>Meeting lead standards - Water treatment</v>
      </c>
      <c r="D1927" t="str">
        <f t="shared" si="30"/>
        <v>£m</v>
      </c>
      <c r="E1927" s="2" t="s">
        <v>9</v>
      </c>
      <c r="F1927" s="1634"/>
      <c r="G1927" s="1635">
        <f>'4L'!R12</f>
        <v>-7.6675318895231118E-2</v>
      </c>
      <c r="H1927" s="1636"/>
    </row>
    <row r="1928" spans="1:8">
      <c r="A1928" s="1620" t="str">
        <f>INDEX(Lists!$C$4:$C$24,MATCH(Validation!$B$3,Lists!$B$4:$B$24,0))</f>
        <v>TMS</v>
      </c>
      <c r="B1928" s="1732" t="str">
        <f>'4L'!BM13</f>
        <v>W3007SWTCUM</v>
      </c>
      <c r="C1928" s="1732" t="str">
        <f>+'4L'!$C13&amp;" - "&amp;'4L'!R$5</f>
        <v>Supply side enhancements to the supply/demand balance (dry year critical / peak conditions) - Water treatment</v>
      </c>
      <c r="D1928" t="str">
        <f t="shared" si="30"/>
        <v>£m</v>
      </c>
      <c r="E1928" s="2" t="s">
        <v>9</v>
      </c>
      <c r="F1928" s="1634"/>
      <c r="G1928" s="1635">
        <f>'4L'!R13</f>
        <v>0.13649624835000004</v>
      </c>
      <c r="H1928" s="1636"/>
    </row>
    <row r="1929" spans="1:8">
      <c r="A1929" s="1620" t="str">
        <f>INDEX(Lists!$C$4:$C$24,MATCH(Validation!$B$3,Lists!$B$4:$B$24,0))</f>
        <v>TMS</v>
      </c>
      <c r="B1929" s="1732" t="str">
        <f>'4L'!BM14</f>
        <v>W3008SWTCUM</v>
      </c>
      <c r="C1929" s="1732" t="str">
        <f>+'4L'!$C14&amp;" - "&amp;'4L'!R$5</f>
        <v>Supply side enhancements to the supply/demand balance (dry year annual average conditions) - Water treatment</v>
      </c>
      <c r="D1929" t="str">
        <f t="shared" si="30"/>
        <v>£m</v>
      </c>
      <c r="E1929" s="2" t="s">
        <v>9</v>
      </c>
      <c r="F1929" s="1634"/>
      <c r="G1929" s="1635">
        <f>'4L'!R14</f>
        <v>0.13649624835000004</v>
      </c>
      <c r="H1929" s="1636"/>
    </row>
    <row r="1930" spans="1:8">
      <c r="A1930" s="1620" t="str">
        <f>INDEX(Lists!$C$4:$C$24,MATCH(Validation!$B$3,Lists!$B$4:$B$24,0))</f>
        <v>TMS</v>
      </c>
      <c r="B1930" s="1732" t="str">
        <f>'4L'!BM15</f>
        <v>W3007DWTCUM</v>
      </c>
      <c r="C1930" s="1732" t="str">
        <f>+'4L'!$C15&amp;" - "&amp;'4L'!R$5</f>
        <v>Demand side enhancements to the supply/demand balance (dry year critical / peak conditions) - Water treatment</v>
      </c>
      <c r="D1930" t="str">
        <f t="shared" si="30"/>
        <v>£m</v>
      </c>
      <c r="E1930" s="2" t="s">
        <v>9</v>
      </c>
      <c r="F1930" s="1634"/>
      <c r="G1930" s="1635">
        <f>'4L'!R15</f>
        <v>0.13649624835000004</v>
      </c>
      <c r="H1930" s="1636"/>
    </row>
    <row r="1931" spans="1:8">
      <c r="A1931" s="1620" t="str">
        <f>INDEX(Lists!$C$4:$C$24,MATCH(Validation!$B$3,Lists!$B$4:$B$24,0))</f>
        <v>TMS</v>
      </c>
      <c r="B1931" s="1732" t="str">
        <f>'4L'!BM16</f>
        <v>W3008DWTCUM</v>
      </c>
      <c r="C1931" s="1732" t="str">
        <f>+'4L'!$C16&amp;" - "&amp;'4L'!R$5</f>
        <v>Demand side enhancements to the supply/demand balance (dry year annual average conditions) - Water treatment</v>
      </c>
      <c r="D1931" t="str">
        <f t="shared" si="30"/>
        <v>£m</v>
      </c>
      <c r="E1931" s="2" t="s">
        <v>9</v>
      </c>
      <c r="F1931" s="1634"/>
      <c r="G1931" s="1635">
        <f>'4L'!R16</f>
        <v>0.13649624835000004</v>
      </c>
      <c r="H1931" s="1636"/>
    </row>
    <row r="1932" spans="1:8">
      <c r="A1932" s="1620" t="str">
        <f>INDEX(Lists!$C$4:$C$24,MATCH(Validation!$B$3,Lists!$B$4:$B$24,0))</f>
        <v>TMS</v>
      </c>
      <c r="B1932" s="1732" t="str">
        <f>'4L'!BM17</f>
        <v>W3009WTCUM</v>
      </c>
      <c r="C1932" s="1732" t="str">
        <f>+'4L'!$C17&amp;" - "&amp;'4L'!R$5</f>
        <v>New developments - Water treatment</v>
      </c>
      <c r="D1932" t="str">
        <f t="shared" si="30"/>
        <v>£m</v>
      </c>
      <c r="E1932" s="2" t="s">
        <v>9</v>
      </c>
      <c r="F1932" s="1634"/>
      <c r="G1932" s="1635">
        <f>'4L'!R17</f>
        <v>0</v>
      </c>
      <c r="H1932" s="1636"/>
    </row>
    <row r="1933" spans="1:8">
      <c r="A1933" s="1620" t="str">
        <f>INDEX(Lists!$C$4:$C$24,MATCH(Validation!$B$3,Lists!$B$4:$B$24,0))</f>
        <v>TMS</v>
      </c>
      <c r="B1933" s="1732" t="str">
        <f>'4L'!BM18</f>
        <v>WS2004WTCUM</v>
      </c>
      <c r="C1933" s="1732" t="str">
        <f>+'4L'!$C18&amp;" - "&amp;'4L'!R$5</f>
        <v>New connections element of new development (CPs, meters) - Water treatment</v>
      </c>
      <c r="D1933" t="str">
        <f t="shared" si="30"/>
        <v>£m</v>
      </c>
      <c r="E1933" s="2" t="s">
        <v>9</v>
      </c>
      <c r="F1933" s="1634"/>
      <c r="G1933" s="1635">
        <f>'4L'!R18</f>
        <v>0</v>
      </c>
      <c r="H1933" s="1636"/>
    </row>
    <row r="1934" spans="1:8">
      <c r="A1934" s="1620" t="str">
        <f>INDEX(Lists!$C$4:$C$24,MATCH(Validation!$B$3,Lists!$B$4:$B$24,0))</f>
        <v>TMS</v>
      </c>
      <c r="B1934" s="1732" t="str">
        <f>'4L'!BM19</f>
        <v>W3010WTCUM</v>
      </c>
      <c r="C1934" s="1732" t="str">
        <f>+'4L'!$C19&amp;" - "&amp;'4L'!R$5</f>
        <v>Investment to address raw water deterioration (THM, nitrates, Crypto, pesticides, others) - Water treatment</v>
      </c>
      <c r="D1934" t="str">
        <f t="shared" si="30"/>
        <v>£m</v>
      </c>
      <c r="E1934" s="2" t="s">
        <v>9</v>
      </c>
      <c r="F1934" s="1634"/>
      <c r="G1934" s="1635">
        <f>'4L'!R19</f>
        <v>0.16624026451345952</v>
      </c>
      <c r="H1934" s="1636"/>
    </row>
    <row r="1935" spans="1:8">
      <c r="A1935" s="1620" t="str">
        <f>INDEX(Lists!$C$4:$C$24,MATCH(Validation!$B$3,Lists!$B$4:$B$24,0))</f>
        <v>TMS</v>
      </c>
      <c r="B1935" s="1732" t="str">
        <f>'4L'!BM20</f>
        <v>W3011WTCUM</v>
      </c>
      <c r="C1935" s="1732" t="str">
        <f>+'4L'!$C20&amp;" - "&amp;'4L'!R$5</f>
        <v>Resilience - Water treatment</v>
      </c>
      <c r="D1935" t="str">
        <f t="shared" si="30"/>
        <v>£m</v>
      </c>
      <c r="E1935" s="2" t="s">
        <v>9</v>
      </c>
      <c r="F1935" s="1634"/>
      <c r="G1935" s="1635">
        <f>'4L'!R20</f>
        <v>3.3125460743513309E-2</v>
      </c>
      <c r="H1935" s="1636"/>
    </row>
    <row r="1936" spans="1:8">
      <c r="A1936" s="1620" t="str">
        <f>INDEX(Lists!$C$4:$C$24,MATCH(Validation!$B$3,Lists!$B$4:$B$24,0))</f>
        <v>TMS</v>
      </c>
      <c r="B1936" s="1732" t="str">
        <f>'4L'!BM21</f>
        <v>W3012WTCUM</v>
      </c>
      <c r="C1936" s="1732" t="str">
        <f>+'4L'!$C21&amp;" - "&amp;'4L'!R$5</f>
        <v>SEMD - Water treatment</v>
      </c>
      <c r="D1936" t="str">
        <f t="shared" si="30"/>
        <v>£m</v>
      </c>
      <c r="E1936" s="2" t="s">
        <v>9</v>
      </c>
      <c r="F1936" s="1634"/>
      <c r="G1936" s="1635">
        <f>'4L'!R21</f>
        <v>6.3573826389326893</v>
      </c>
      <c r="H1936" s="1636"/>
    </row>
    <row r="1937" spans="1:8">
      <c r="A1937" s="1620" t="str">
        <f>INDEX(Lists!$C$4:$C$24,MATCH(Validation!$B$3,Lists!$B$4:$B$24,0))</f>
        <v>TMS</v>
      </c>
      <c r="B1937" s="1732" t="str">
        <f>'4L'!BM22</f>
        <v>WS2008WTCUM</v>
      </c>
      <c r="C1937" s="1732" t="str">
        <f>+'4L'!$C22&amp;" - "&amp;'4L'!R$5</f>
        <v>NEP - Investigations - Water treatment</v>
      </c>
      <c r="D1937" t="str">
        <f t="shared" ref="D1937:D1990" si="33">D1903</f>
        <v>£m</v>
      </c>
      <c r="E1937" s="2" t="s">
        <v>9</v>
      </c>
      <c r="F1937" s="1634"/>
      <c r="G1937" s="1635">
        <f>'4L'!R22</f>
        <v>0</v>
      </c>
      <c r="H1937" s="1636"/>
    </row>
    <row r="1938" spans="1:8">
      <c r="A1938" s="1620" t="str">
        <f>INDEX(Lists!$C$4:$C$24,MATCH(Validation!$B$3,Lists!$B$4:$B$24,0))</f>
        <v>TMS</v>
      </c>
      <c r="B1938" s="1732" t="str">
        <f>'4L'!BM23</f>
        <v>W3027WTCUM</v>
      </c>
      <c r="C1938" s="1732" t="str">
        <f>+'4L'!$C23&amp;" - "&amp;'4L'!R$5</f>
        <v>Improvements to river flows - Water treatment</v>
      </c>
      <c r="D1938" t="str">
        <f t="shared" si="33"/>
        <v>£m</v>
      </c>
      <c r="E1938" s="2" t="s">
        <v>9</v>
      </c>
      <c r="F1938" s="1634"/>
      <c r="G1938" s="1635">
        <f>'4L'!R23</f>
        <v>0</v>
      </c>
      <c r="H1938" s="1636"/>
    </row>
    <row r="1939" spans="1:8">
      <c r="A1939" s="1620" t="str">
        <f>INDEX(Lists!$C$4:$C$24,MATCH(Validation!$B$3,Lists!$B$4:$B$24,0))</f>
        <v>TMS</v>
      </c>
      <c r="B1939" s="1732" t="str">
        <f>'4L'!BM24</f>
        <v>W3028OPTWTCUM</v>
      </c>
      <c r="C1939" s="1732" t="str">
        <f>+'4L'!$C24&amp;" - "&amp;'4L'!R$5</f>
        <v>Metering (excluding cost of providing metering to new service connections) - meters requested by optants - Water treatment</v>
      </c>
      <c r="D1939" t="str">
        <f t="shared" si="33"/>
        <v>£m</v>
      </c>
      <c r="E1939" s="2" t="s">
        <v>9</v>
      </c>
      <c r="F1939" s="1634"/>
      <c r="G1939" s="1635">
        <f>'4L'!R24</f>
        <v>0</v>
      </c>
      <c r="H1939" s="1636"/>
    </row>
    <row r="1940" spans="1:8">
      <c r="A1940" s="1620" t="str">
        <f>INDEX(Lists!$C$4:$C$24,MATCH(Validation!$B$3,Lists!$B$4:$B$24,0))</f>
        <v>TMS</v>
      </c>
      <c r="B1940" s="1732" t="str">
        <f>'4L'!BM25</f>
        <v>W3028COMWTCUM</v>
      </c>
      <c r="C1940" s="1732" t="str">
        <f>+'4L'!$C25&amp;" - "&amp;'4L'!R$5</f>
        <v>Metering (excluding cost of providing metering to new service connections)- meters introduced by companies - Water treatment</v>
      </c>
      <c r="D1940" t="str">
        <f t="shared" si="33"/>
        <v>£m</v>
      </c>
      <c r="E1940" s="2" t="s">
        <v>9</v>
      </c>
      <c r="F1940" s="1634"/>
      <c r="G1940" s="1635">
        <f>'4L'!R25</f>
        <v>0</v>
      </c>
      <c r="H1940" s="1636"/>
    </row>
    <row r="1941" spans="1:8">
      <c r="A1941" s="1620" t="str">
        <f>INDEX(Lists!$C$4:$C$24,MATCH(Validation!$B$3,Lists!$B$4:$B$24,0))</f>
        <v>TMS</v>
      </c>
      <c r="B1941" s="1732" t="str">
        <f>'4L'!BM26</f>
        <v>W3028NHOWTCUM</v>
      </c>
      <c r="C1941" s="1732" t="str">
        <f>+'4L'!$C26&amp;" - "&amp;'4L'!R$5</f>
        <v>Metering (excluding cost of providing metering to new service connections) - other - Water treatment</v>
      </c>
      <c r="D1941" t="str">
        <f t="shared" si="33"/>
        <v>£m</v>
      </c>
      <c r="E1941" s="2" t="s">
        <v>9</v>
      </c>
      <c r="F1941" s="1634"/>
      <c r="G1941" s="1635">
        <f>'4L'!R26</f>
        <v>0</v>
      </c>
      <c r="H1941" s="1636"/>
    </row>
    <row r="1942" spans="1:8">
      <c r="A1942" s="1620" t="str">
        <f>INDEX(Lists!$C$4:$C$24,MATCH(Validation!$B$3,Lists!$B$4:$B$24,0))</f>
        <v>TMS</v>
      </c>
      <c r="B1942" s="1732" t="str">
        <f>'4L'!BM27</f>
        <v>W3A00001WTCUM</v>
      </c>
      <c r="C1942" s="1732" t="str">
        <f>"Capital expenditure purpose - WATER additional line 1 [Other categories] - "&amp;'4L'!$R$5</f>
        <v>Capital expenditure purpose - WATER additional line 1 [Other categories] - Water treatment</v>
      </c>
      <c r="D1942" t="str">
        <f t="shared" si="33"/>
        <v>£m</v>
      </c>
      <c r="E1942" s="2" t="s">
        <v>9</v>
      </c>
      <c r="F1942" s="1634" t="str">
        <f>F1602</f>
        <v>NEP - Flow monitoring at water treatment works</v>
      </c>
      <c r="G1942" s="1635">
        <f>IF(ISBLANK('4L'!R27), "##BLANK", '4L'!R27)</f>
        <v>0</v>
      </c>
      <c r="H1942" s="1636"/>
    </row>
    <row r="1943" spans="1:8">
      <c r="A1943" s="1620" t="str">
        <f>INDEX(Lists!$C$4:$C$24,MATCH(Validation!$B$3,Lists!$B$4:$B$24,0))</f>
        <v>TMS</v>
      </c>
      <c r="B1943" s="1732" t="str">
        <f>'4L'!BM28</f>
        <v>W3A00002WTCUM</v>
      </c>
      <c r="C1943" s="1732" t="str">
        <f>"Capital expenditure purpose - WATER additional line 2 [Other categories] - "&amp;'4L'!$R$5</f>
        <v>Capital expenditure purpose - WATER additional line 2 [Other categories] - Water treatment</v>
      </c>
      <c r="D1943" t="str">
        <f t="shared" si="33"/>
        <v>£m</v>
      </c>
      <c r="E1943" s="2" t="s">
        <v>9</v>
      </c>
      <c r="F1943" s="1634" t="str">
        <f t="shared" ref="F1943:F1956" si="34">F1603</f>
        <v>##BLANK</v>
      </c>
      <c r="G1943" s="1635" t="str">
        <f>IF(ISBLANK('4L'!R28), "##BLANK", '4L'!R28)</f>
        <v>##BLANK</v>
      </c>
      <c r="H1943" s="1636"/>
    </row>
    <row r="1944" spans="1:8">
      <c r="A1944" s="1620" t="str">
        <f>INDEX(Lists!$C$4:$C$24,MATCH(Validation!$B$3,Lists!$B$4:$B$24,0))</f>
        <v>TMS</v>
      </c>
      <c r="B1944" s="1732" t="str">
        <f>'4L'!BM29</f>
        <v>W3A00003WTCUM</v>
      </c>
      <c r="C1944" s="1732" t="str">
        <f>"Capital expenditure purpose - WATER additional line 3 [Other categories] - "&amp;'4L'!$R$5</f>
        <v>Capital expenditure purpose - WATER additional line 3 [Other categories] - Water treatment</v>
      </c>
      <c r="D1944" t="str">
        <f t="shared" si="33"/>
        <v>£m</v>
      </c>
      <c r="E1944" s="2" t="s">
        <v>9</v>
      </c>
      <c r="F1944" s="1634" t="str">
        <f t="shared" si="34"/>
        <v>##BLANK</v>
      </c>
      <c r="G1944" s="1635" t="str">
        <f>IF(ISBLANK('4L'!R29), "##BLANK", '4L'!R29)</f>
        <v>##BLANK</v>
      </c>
      <c r="H1944" s="1636"/>
    </row>
    <row r="1945" spans="1:8">
      <c r="A1945" s="1620" t="str">
        <f>INDEX(Lists!$C$4:$C$24,MATCH(Validation!$B$3,Lists!$B$4:$B$24,0))</f>
        <v>TMS</v>
      </c>
      <c r="B1945" s="1732" t="str">
        <f>'4L'!BM30</f>
        <v>W3A00004WTCUM</v>
      </c>
      <c r="C1945" s="1732" t="str">
        <f>"Capital expenditure purpose - WATER additional line 4 [Other categories] - "&amp;'4L'!$R$5</f>
        <v>Capital expenditure purpose - WATER additional line 4 [Other categories] - Water treatment</v>
      </c>
      <c r="D1945" t="str">
        <f t="shared" si="33"/>
        <v>£m</v>
      </c>
      <c r="E1945" s="2" t="s">
        <v>9</v>
      </c>
      <c r="F1945" s="1634" t="str">
        <f t="shared" si="34"/>
        <v>##BLANK</v>
      </c>
      <c r="G1945" s="1635" t="str">
        <f>IF(ISBLANK('4L'!R30), "##BLANK", '4L'!R30)</f>
        <v>##BLANK</v>
      </c>
      <c r="H1945" s="1636"/>
    </row>
    <row r="1946" spans="1:8">
      <c r="A1946" s="1620" t="str">
        <f>INDEX(Lists!$C$4:$C$24,MATCH(Validation!$B$3,Lists!$B$4:$B$24,0))</f>
        <v>TMS</v>
      </c>
      <c r="B1946" s="1732" t="str">
        <f>'4L'!BM31</f>
        <v>W3A00005WTCUM</v>
      </c>
      <c r="C1946" s="1732" t="str">
        <f>"Capital expenditure purpose - WATER additional line 5 [Other categories] - "&amp;'4L'!$R$5</f>
        <v>Capital expenditure purpose - WATER additional line 5 [Other categories] - Water treatment</v>
      </c>
      <c r="D1946" t="str">
        <f t="shared" si="33"/>
        <v>£m</v>
      </c>
      <c r="E1946" s="2" t="s">
        <v>9</v>
      </c>
      <c r="F1946" s="1634" t="str">
        <f t="shared" si="34"/>
        <v>##BLANK</v>
      </c>
      <c r="G1946" s="1635" t="str">
        <f>IF(ISBLANK('4L'!R31), "##BLANK", '4L'!R31)</f>
        <v>##BLANK</v>
      </c>
      <c r="H1946" s="1636"/>
    </row>
    <row r="1947" spans="1:8">
      <c r="A1947" s="1620" t="str">
        <f>INDEX(Lists!$C$4:$C$24,MATCH(Validation!$B$3,Lists!$B$4:$B$24,0))</f>
        <v>TMS</v>
      </c>
      <c r="B1947" s="1732" t="str">
        <f>'4L'!BM32</f>
        <v>W3A00006WTCUM</v>
      </c>
      <c r="C1947" s="1732" t="str">
        <f>"Capital expenditure purpose - WATER additional line 6 [Other categories] - "&amp;'4L'!$R$5</f>
        <v>Capital expenditure purpose - WATER additional line 6 [Other categories] - Water treatment</v>
      </c>
      <c r="D1947" t="str">
        <f t="shared" si="33"/>
        <v>£m</v>
      </c>
      <c r="E1947" s="2" t="s">
        <v>9</v>
      </c>
      <c r="F1947" s="1634" t="str">
        <f t="shared" si="34"/>
        <v>##BLANK</v>
      </c>
      <c r="G1947" s="1635" t="str">
        <f>IF(ISBLANK('4L'!R32), "##BLANK", '4L'!R32)</f>
        <v>##BLANK</v>
      </c>
      <c r="H1947" s="1636"/>
    </row>
    <row r="1948" spans="1:8">
      <c r="A1948" s="1620" t="str">
        <f>INDEX(Lists!$C$4:$C$24,MATCH(Validation!$B$3,Lists!$B$4:$B$24,0))</f>
        <v>TMS</v>
      </c>
      <c r="B1948" s="1732" t="str">
        <f>'4L'!BM33</f>
        <v>W3A00007WTCUM</v>
      </c>
      <c r="C1948" s="1732" t="str">
        <f>"Capital expenditure purpose - WATER additional line 7 [Other categories] - "&amp;'4L'!$R$5</f>
        <v>Capital expenditure purpose - WATER additional line 7 [Other categories] - Water treatment</v>
      </c>
      <c r="D1948" t="str">
        <f t="shared" si="33"/>
        <v>£m</v>
      </c>
      <c r="E1948" s="2" t="s">
        <v>9</v>
      </c>
      <c r="F1948" s="1634" t="str">
        <f t="shared" si="34"/>
        <v>##BLANK</v>
      </c>
      <c r="G1948" s="1635" t="str">
        <f>IF(ISBLANK('4L'!R33), "##BLANK", '4L'!R33)</f>
        <v>##BLANK</v>
      </c>
      <c r="H1948" s="1636"/>
    </row>
    <row r="1949" spans="1:8">
      <c r="A1949" s="1620" t="str">
        <f>INDEX(Lists!$C$4:$C$24,MATCH(Validation!$B$3,Lists!$B$4:$B$24,0))</f>
        <v>TMS</v>
      </c>
      <c r="B1949" s="1732" t="str">
        <f>'4L'!BM34</f>
        <v>W3A00008WTCUM</v>
      </c>
      <c r="C1949" s="1732" t="str">
        <f>"Capital expenditure purpose - WATER additional line 8 [Other categories] - "&amp;'4L'!$R$5</f>
        <v>Capital expenditure purpose - WATER additional line 8 [Other categories] - Water treatment</v>
      </c>
      <c r="D1949" t="str">
        <f t="shared" si="33"/>
        <v>£m</v>
      </c>
      <c r="E1949" s="2" t="s">
        <v>9</v>
      </c>
      <c r="F1949" s="1634" t="str">
        <f t="shared" si="34"/>
        <v>##BLANK</v>
      </c>
      <c r="G1949" s="1635" t="str">
        <f>IF(ISBLANK('4L'!R34), "##BLANK", '4L'!R34)</f>
        <v>##BLANK</v>
      </c>
      <c r="H1949" s="1636"/>
    </row>
    <row r="1950" spans="1:8">
      <c r="A1950" s="1620" t="str">
        <f>INDEX(Lists!$C$4:$C$24,MATCH(Validation!$B$3,Lists!$B$4:$B$24,0))</f>
        <v>TMS</v>
      </c>
      <c r="B1950" s="1732" t="str">
        <f>'4L'!BM35</f>
        <v>W3A00009WTCUM</v>
      </c>
      <c r="C1950" s="1732" t="str">
        <f>"Capital expenditure purpose - WATER additional line 9 [Other categories] - "&amp;'4L'!$R$5</f>
        <v>Capital expenditure purpose - WATER additional line 9 [Other categories] - Water treatment</v>
      </c>
      <c r="D1950" t="str">
        <f t="shared" si="33"/>
        <v>£m</v>
      </c>
      <c r="E1950" s="2" t="s">
        <v>9</v>
      </c>
      <c r="F1950" s="1634" t="str">
        <f t="shared" si="34"/>
        <v>##BLANK</v>
      </c>
      <c r="G1950" s="1635" t="str">
        <f>IF(ISBLANK('4L'!R35), "##BLANK", '4L'!R35)</f>
        <v>##BLANK</v>
      </c>
      <c r="H1950" s="1636"/>
    </row>
    <row r="1951" spans="1:8">
      <c r="A1951" s="1620" t="str">
        <f>INDEX(Lists!$C$4:$C$24,MATCH(Validation!$B$3,Lists!$B$4:$B$24,0))</f>
        <v>TMS</v>
      </c>
      <c r="B1951" s="1732" t="str">
        <f>'4L'!BM36</f>
        <v>W3A00010WTCUM</v>
      </c>
      <c r="C1951" s="1732" t="str">
        <f>"Capital expenditure purpose - WATER additional line 10 [Other categories] - "&amp;'4L'!$R$5</f>
        <v>Capital expenditure purpose - WATER additional line 10 [Other categories] - Water treatment</v>
      </c>
      <c r="D1951" t="str">
        <f t="shared" si="33"/>
        <v>£m</v>
      </c>
      <c r="E1951" s="2" t="s">
        <v>9</v>
      </c>
      <c r="F1951" s="1634" t="str">
        <f t="shared" si="34"/>
        <v>##BLANK</v>
      </c>
      <c r="G1951" s="1635" t="str">
        <f>IF(ISBLANK('4L'!R36), "##BLANK", '4L'!R36)</f>
        <v>##BLANK</v>
      </c>
      <c r="H1951" s="1636"/>
    </row>
    <row r="1952" spans="1:8">
      <c r="A1952" s="1620" t="str">
        <f>INDEX(Lists!$C$4:$C$24,MATCH(Validation!$B$3,Lists!$B$4:$B$24,0))</f>
        <v>TMS</v>
      </c>
      <c r="B1952" s="1732" t="str">
        <f>'4L'!BM37</f>
        <v>W3A00011WTCUM</v>
      </c>
      <c r="C1952" s="1732" t="str">
        <f>"Capital expenditure purpose - WATER additional line 11 [Other categories] - "&amp;'4L'!$R$5</f>
        <v>Capital expenditure purpose - WATER additional line 11 [Other categories] - Water treatment</v>
      </c>
      <c r="D1952" t="str">
        <f t="shared" si="33"/>
        <v>£m</v>
      </c>
      <c r="E1952" s="2" t="s">
        <v>9</v>
      </c>
      <c r="F1952" s="1634" t="str">
        <f t="shared" si="34"/>
        <v>##BLANK</v>
      </c>
      <c r="G1952" s="1635" t="str">
        <f>IF(ISBLANK('4L'!R37), "##BLANK", '4L'!R37)</f>
        <v>##BLANK</v>
      </c>
      <c r="H1952" s="1636"/>
    </row>
    <row r="1953" spans="1:8">
      <c r="A1953" s="1620" t="str">
        <f>INDEX(Lists!$C$4:$C$24,MATCH(Validation!$B$3,Lists!$B$4:$B$24,0))</f>
        <v>TMS</v>
      </c>
      <c r="B1953" s="1732" t="str">
        <f>'4L'!BM38</f>
        <v>W3A00012WTCUM</v>
      </c>
      <c r="C1953" s="1732" t="str">
        <f>"Capital expenditure purpose - WATER additional line 12 [Other categories] - "&amp;'4L'!$R$5</f>
        <v>Capital expenditure purpose - WATER additional line 12 [Other categories] - Water treatment</v>
      </c>
      <c r="D1953" t="str">
        <f t="shared" si="33"/>
        <v>£m</v>
      </c>
      <c r="E1953" s="2" t="s">
        <v>9</v>
      </c>
      <c r="F1953" s="1634" t="str">
        <f t="shared" si="34"/>
        <v>##BLANK</v>
      </c>
      <c r="G1953" s="1635" t="str">
        <f>IF(ISBLANK('4L'!R38), "##BLANK", '4L'!R38)</f>
        <v>##BLANK</v>
      </c>
      <c r="H1953" s="1636"/>
    </row>
    <row r="1954" spans="1:8">
      <c r="A1954" s="1620" t="str">
        <f>INDEX(Lists!$C$4:$C$24,MATCH(Validation!$B$3,Lists!$B$4:$B$24,0))</f>
        <v>TMS</v>
      </c>
      <c r="B1954" s="1732" t="str">
        <f>'4L'!BM39</f>
        <v>W3A00013WTCUM</v>
      </c>
      <c r="C1954" s="1732" t="str">
        <f>"Capital expenditure purpose - WATER additional line 13 [Other categories] - "&amp;'4L'!$R$5</f>
        <v>Capital expenditure purpose - WATER additional line 13 [Other categories] - Water treatment</v>
      </c>
      <c r="D1954" t="str">
        <f t="shared" si="33"/>
        <v>£m</v>
      </c>
      <c r="E1954" s="2" t="s">
        <v>9</v>
      </c>
      <c r="F1954" s="1634" t="str">
        <f t="shared" si="34"/>
        <v>##BLANK</v>
      </c>
      <c r="G1954" s="1635" t="str">
        <f>IF(ISBLANK('4L'!R39), "##BLANK", '4L'!R39)</f>
        <v>##BLANK</v>
      </c>
      <c r="H1954" s="1636"/>
    </row>
    <row r="1955" spans="1:8">
      <c r="A1955" s="1620" t="str">
        <f>INDEX(Lists!$C$4:$C$24,MATCH(Validation!$B$3,Lists!$B$4:$B$24,0))</f>
        <v>TMS</v>
      </c>
      <c r="B1955" s="1732" t="str">
        <f>'4L'!BM40</f>
        <v>W3A00014WTCUM</v>
      </c>
      <c r="C1955" s="1732" t="str">
        <f>"Capital expenditure purpose - WATER additional line 14 [Other categories] - "&amp;'4L'!$R$5</f>
        <v>Capital expenditure purpose - WATER additional line 14 [Other categories] - Water treatment</v>
      </c>
      <c r="D1955" t="str">
        <f t="shared" si="33"/>
        <v>£m</v>
      </c>
      <c r="E1955" s="2" t="s">
        <v>9</v>
      </c>
      <c r="F1955" s="1634" t="str">
        <f t="shared" si="34"/>
        <v>##BLANK</v>
      </c>
      <c r="G1955" s="1635" t="str">
        <f>IF(ISBLANK('4L'!R40), "##BLANK", '4L'!R40)</f>
        <v>##BLANK</v>
      </c>
      <c r="H1955" s="1636"/>
    </row>
    <row r="1956" spans="1:8">
      <c r="A1956" s="1730" t="str">
        <f>INDEX(Lists!$C$4:$C$24,MATCH(Validation!$B$3,Lists!$B$4:$B$24,0))</f>
        <v>TMS</v>
      </c>
      <c r="B1956" s="1734" t="str">
        <f>'4L'!BM41</f>
        <v>W3A00015WTCUM</v>
      </c>
      <c r="C1956" s="1734" t="str">
        <f>"Capital expenditure purpose - WATER additional line 15 [Other categories] - "&amp;'4L'!$R$5</f>
        <v>Capital expenditure purpose - WATER additional line 15 [Other categories] - Water treatment</v>
      </c>
      <c r="D1956" s="1819" t="str">
        <f t="shared" si="33"/>
        <v>£m</v>
      </c>
      <c r="E1956" s="1651" t="s">
        <v>9</v>
      </c>
      <c r="F1956" s="1634" t="str">
        <f t="shared" si="34"/>
        <v>##BLANK</v>
      </c>
      <c r="G1956" s="1653" t="str">
        <f>IF(ISBLANK('4L'!R41), "##BLANK", '4L'!R41)</f>
        <v>##BLANK</v>
      </c>
      <c r="H1956" s="1652"/>
    </row>
    <row r="1957" spans="1:8">
      <c r="A1957" s="1620" t="str">
        <f>INDEX(Lists!$C$4:$C$24,MATCH(Validation!$B$3,Lists!$B$4:$B$24,0))</f>
        <v>TMS</v>
      </c>
      <c r="B1957" s="1732" t="str">
        <f>'4L'!BN8</f>
        <v>W3001TWDCUM</v>
      </c>
      <c r="C1957" s="1732" t="str">
        <f>+'4L'!$C8&amp;" - "&amp;'4L'!S$5</f>
        <v>NEP - Making ecological improvements at abstractions (Habitats Directive, SSSI, NERC, BAPs) - Treated water distribution</v>
      </c>
      <c r="D1957" t="str">
        <f t="shared" si="33"/>
        <v>£m</v>
      </c>
      <c r="E1957" s="2" t="s">
        <v>9</v>
      </c>
      <c r="F1957" s="1634"/>
      <c r="G1957" s="1635">
        <f>'4L'!S8</f>
        <v>-0.2599163695175864</v>
      </c>
      <c r="H1957" s="1636"/>
    </row>
    <row r="1958" spans="1:8">
      <c r="A1958" s="1620" t="str">
        <f>INDEX(Lists!$C$4:$C$24,MATCH(Validation!$B$3,Lists!$B$4:$B$24,0))</f>
        <v>TMS</v>
      </c>
      <c r="B1958" s="1732" t="str">
        <f>'4L'!BN9</f>
        <v>WS2002TWDCUM</v>
      </c>
      <c r="C1958" s="1732" t="str">
        <f>+'4L'!$C9&amp;" - "&amp;'4L'!S$5</f>
        <v>NEP - Eels Regulations (measures at intakes) - Treated water distribution</v>
      </c>
      <c r="D1958" t="str">
        <f t="shared" si="33"/>
        <v>£m</v>
      </c>
      <c r="E1958" s="2" t="s">
        <v>9</v>
      </c>
      <c r="F1958" s="1634"/>
      <c r="G1958" s="1635">
        <f>'4L'!S9</f>
        <v>0</v>
      </c>
      <c r="H1958" s="1636"/>
    </row>
    <row r="1959" spans="1:8">
      <c r="A1959" s="1620" t="str">
        <f>INDEX(Lists!$C$4:$C$24,MATCH(Validation!$B$3,Lists!$B$4:$B$24,0))</f>
        <v>TMS</v>
      </c>
      <c r="B1959" s="1732" t="str">
        <f>'4L'!BN10</f>
        <v>W3002TWDCUM</v>
      </c>
      <c r="C1959" s="1732" t="str">
        <f>+'4L'!$C10&amp;" - "&amp;'4L'!S$5</f>
        <v>Addressing low pressure - Treated water distribution</v>
      </c>
      <c r="D1959" t="str">
        <f t="shared" si="33"/>
        <v>£m</v>
      </c>
      <c r="E1959" s="2" t="s">
        <v>9</v>
      </c>
      <c r="F1959" s="1634"/>
      <c r="G1959" s="1635">
        <f>'4L'!S10</f>
        <v>0</v>
      </c>
      <c r="H1959" s="1636"/>
    </row>
    <row r="1960" spans="1:8">
      <c r="A1960" s="1620" t="str">
        <f>INDEX(Lists!$C$4:$C$24,MATCH(Validation!$B$3,Lists!$B$4:$B$24,0))</f>
        <v>TMS</v>
      </c>
      <c r="B1960" s="1732" t="str">
        <f>'4L'!BN11</f>
        <v>W3003TWDCUM</v>
      </c>
      <c r="C1960" s="1732" t="str">
        <f>+'4L'!$C11&amp;" - "&amp;'4L'!S$5</f>
        <v>Improving taste / odour / colour - Treated water distribution</v>
      </c>
      <c r="D1960" t="str">
        <f t="shared" si="33"/>
        <v>£m</v>
      </c>
      <c r="E1960" s="2" t="s">
        <v>9</v>
      </c>
      <c r="F1960" s="1634"/>
      <c r="G1960" s="1635">
        <f>'4L'!S11</f>
        <v>0</v>
      </c>
      <c r="H1960" s="1636"/>
    </row>
    <row r="1961" spans="1:8">
      <c r="A1961" s="1620" t="str">
        <f>INDEX(Lists!$C$4:$C$24,MATCH(Validation!$B$3,Lists!$B$4:$B$24,0))</f>
        <v>TMS</v>
      </c>
      <c r="B1961" s="1732" t="str">
        <f>'4L'!BN12</f>
        <v>W3006TWDCUM</v>
      </c>
      <c r="C1961" s="1732" t="str">
        <f>+'4L'!$C12&amp;" - "&amp;'4L'!S$5</f>
        <v>Meeting lead standards - Treated water distribution</v>
      </c>
      <c r="D1961" t="str">
        <f t="shared" si="33"/>
        <v>£m</v>
      </c>
      <c r="E1961" s="2" t="s">
        <v>9</v>
      </c>
      <c r="F1961" s="1634"/>
      <c r="G1961" s="1635">
        <f>'4L'!S12</f>
        <v>7.8464458199999987</v>
      </c>
      <c r="H1961" s="1636"/>
    </row>
    <row r="1962" spans="1:8">
      <c r="A1962" s="1620" t="str">
        <f>INDEX(Lists!$C$4:$C$24,MATCH(Validation!$B$3,Lists!$B$4:$B$24,0))</f>
        <v>TMS</v>
      </c>
      <c r="B1962" s="1732" t="str">
        <f>'4L'!BN13</f>
        <v>W3007STWDCUM</v>
      </c>
      <c r="C1962" s="1732" t="str">
        <f>+'4L'!$C13&amp;" - "&amp;'4L'!S$5</f>
        <v>Supply side enhancements to the supply/demand balance (dry year critical / peak conditions) - Treated water distribution</v>
      </c>
      <c r="D1962" t="str">
        <f t="shared" si="33"/>
        <v>£m</v>
      </c>
      <c r="E1962" s="2" t="s">
        <v>9</v>
      </c>
      <c r="F1962" s="1634"/>
      <c r="G1962" s="1635">
        <f>'4L'!S13</f>
        <v>0</v>
      </c>
      <c r="H1962" s="1636"/>
    </row>
    <row r="1963" spans="1:8">
      <c r="A1963" s="1620" t="str">
        <f>INDEX(Lists!$C$4:$C$24,MATCH(Validation!$B$3,Lists!$B$4:$B$24,0))</f>
        <v>TMS</v>
      </c>
      <c r="B1963" s="1732" t="str">
        <f>'4L'!BN14</f>
        <v>W3008STWDCUM</v>
      </c>
      <c r="C1963" s="1732" t="str">
        <f>+'4L'!$C14&amp;" - "&amp;'4L'!S$5</f>
        <v>Supply side enhancements to the supply/demand balance (dry year annual average conditions) - Treated water distribution</v>
      </c>
      <c r="D1963" t="str">
        <f t="shared" si="33"/>
        <v>£m</v>
      </c>
      <c r="E1963" s="2" t="s">
        <v>9</v>
      </c>
      <c r="F1963" s="1634"/>
      <c r="G1963" s="1635">
        <f>'4L'!S14</f>
        <v>0</v>
      </c>
      <c r="H1963" s="1636"/>
    </row>
    <row r="1964" spans="1:8">
      <c r="A1964" s="1620" t="str">
        <f>INDEX(Lists!$C$4:$C$24,MATCH(Validation!$B$3,Lists!$B$4:$B$24,0))</f>
        <v>TMS</v>
      </c>
      <c r="B1964" s="1732" t="str">
        <f>'4L'!BN15</f>
        <v>W3007DTWDCUM</v>
      </c>
      <c r="C1964" s="1732" t="str">
        <f>+'4L'!$C15&amp;" - "&amp;'4L'!S$5</f>
        <v>Demand side enhancements to the supply/demand balance (dry year critical / peak conditions) - Treated water distribution</v>
      </c>
      <c r="D1964" t="str">
        <f t="shared" si="33"/>
        <v>£m</v>
      </c>
      <c r="E1964" s="2" t="s">
        <v>9</v>
      </c>
      <c r="F1964" s="1634"/>
      <c r="G1964" s="1635">
        <f>'4L'!S15</f>
        <v>2.824017103178269</v>
      </c>
      <c r="H1964" s="1636"/>
    </row>
    <row r="1965" spans="1:8">
      <c r="A1965" s="1620" t="str">
        <f>INDEX(Lists!$C$4:$C$24,MATCH(Validation!$B$3,Lists!$B$4:$B$24,0))</f>
        <v>TMS</v>
      </c>
      <c r="B1965" s="1732" t="str">
        <f>'4L'!BN16</f>
        <v>W3008DTWDCUM</v>
      </c>
      <c r="C1965" s="1732" t="str">
        <f>+'4L'!$C16&amp;" - "&amp;'4L'!S$5</f>
        <v>Demand side enhancements to the supply/demand balance (dry year annual average conditions) - Treated water distribution</v>
      </c>
      <c r="D1965" t="str">
        <f t="shared" si="33"/>
        <v>£m</v>
      </c>
      <c r="E1965" s="2" t="s">
        <v>9</v>
      </c>
      <c r="F1965" s="1634"/>
      <c r="G1965" s="1635">
        <f>'4L'!S16</f>
        <v>4.6940291230615934</v>
      </c>
      <c r="H1965" s="1636"/>
    </row>
    <row r="1966" spans="1:8">
      <c r="A1966" s="1620" t="str">
        <f>INDEX(Lists!$C$4:$C$24,MATCH(Validation!$B$3,Lists!$B$4:$B$24,0))</f>
        <v>TMS</v>
      </c>
      <c r="B1966" s="1732" t="str">
        <f>'4L'!BN17</f>
        <v>W3009TWDCUM</v>
      </c>
      <c r="C1966" s="1732" t="str">
        <f>+'4L'!$C17&amp;" - "&amp;'4L'!S$5</f>
        <v>New developments - Treated water distribution</v>
      </c>
      <c r="D1966" t="str">
        <f t="shared" si="33"/>
        <v>£m</v>
      </c>
      <c r="E1966" s="2" t="s">
        <v>9</v>
      </c>
      <c r="F1966" s="1634"/>
      <c r="G1966" s="1635">
        <f>'4L'!S17</f>
        <v>26.98400157174278</v>
      </c>
      <c r="H1966" s="1636"/>
    </row>
    <row r="1967" spans="1:8">
      <c r="A1967" s="1620" t="str">
        <f>INDEX(Lists!$C$4:$C$24,MATCH(Validation!$B$3,Lists!$B$4:$B$24,0))</f>
        <v>TMS</v>
      </c>
      <c r="B1967" s="1732" t="str">
        <f>'4L'!BN18</f>
        <v>WS2004TWDCUM</v>
      </c>
      <c r="C1967" s="1732" t="str">
        <f>+'4L'!$C18&amp;" - "&amp;'4L'!S$5</f>
        <v>New connections element of new development (CPs, meters) - Treated water distribution</v>
      </c>
      <c r="D1967" t="str">
        <f t="shared" si="33"/>
        <v>£m</v>
      </c>
      <c r="E1967" s="2" t="s">
        <v>9</v>
      </c>
      <c r="F1967" s="1634"/>
      <c r="G1967" s="1635">
        <f>'4L'!S18</f>
        <v>27.875470145741232</v>
      </c>
      <c r="H1967" s="1636"/>
    </row>
    <row r="1968" spans="1:8">
      <c r="A1968" s="1620" t="str">
        <f>INDEX(Lists!$C$4:$C$24,MATCH(Validation!$B$3,Lists!$B$4:$B$24,0))</f>
        <v>TMS</v>
      </c>
      <c r="B1968" s="1732" t="str">
        <f>'4L'!BN19</f>
        <v>W3010TWDCUM</v>
      </c>
      <c r="C1968" s="1732" t="str">
        <f>+'4L'!$C19&amp;" - "&amp;'4L'!S$5</f>
        <v>Investment to address raw water deterioration (THM, nitrates, Crypto, pesticides, others) - Treated water distribution</v>
      </c>
      <c r="D1968" t="str">
        <f t="shared" si="33"/>
        <v>£m</v>
      </c>
      <c r="E1968" s="2" t="s">
        <v>9</v>
      </c>
      <c r="F1968" s="1634"/>
      <c r="G1968" s="1635">
        <f>'4L'!S19</f>
        <v>0</v>
      </c>
      <c r="H1968" s="1636"/>
    </row>
    <row r="1969" spans="1:8">
      <c r="A1969" s="1620" t="str">
        <f>INDEX(Lists!$C$4:$C$24,MATCH(Validation!$B$3,Lists!$B$4:$B$24,0))</f>
        <v>TMS</v>
      </c>
      <c r="B1969" s="1732" t="str">
        <f>'4L'!BN20</f>
        <v>W3011TWDCUM</v>
      </c>
      <c r="C1969" s="1732" t="str">
        <f>+'4L'!$C20&amp;" - "&amp;'4L'!S$5</f>
        <v>Resilience - Treated water distribution</v>
      </c>
      <c r="D1969" t="str">
        <f t="shared" si="33"/>
        <v>£m</v>
      </c>
      <c r="E1969" s="2" t="s">
        <v>9</v>
      </c>
      <c r="F1969" s="1634"/>
      <c r="G1969" s="1635">
        <f>'4L'!S20</f>
        <v>0.33611893449690544</v>
      </c>
      <c r="H1969" s="1636"/>
    </row>
    <row r="1970" spans="1:8">
      <c r="A1970" s="1620" t="str">
        <f>INDEX(Lists!$C$4:$C$24,MATCH(Validation!$B$3,Lists!$B$4:$B$24,0))</f>
        <v>TMS</v>
      </c>
      <c r="B1970" s="1732" t="str">
        <f>'4L'!BN21</f>
        <v>W3012TWDCUM</v>
      </c>
      <c r="C1970" s="1732" t="str">
        <f>+'4L'!$C21&amp;" - "&amp;'4L'!S$5</f>
        <v>SEMD - Treated water distribution</v>
      </c>
      <c r="D1970" t="str">
        <f t="shared" si="33"/>
        <v>£m</v>
      </c>
      <c r="E1970" s="2" t="s">
        <v>9</v>
      </c>
      <c r="F1970" s="1634"/>
      <c r="G1970" s="1635">
        <f>'4L'!S21</f>
        <v>4.9957951265758007</v>
      </c>
      <c r="H1970" s="1636"/>
    </row>
    <row r="1971" spans="1:8">
      <c r="A1971" s="1620" t="str">
        <f>INDEX(Lists!$C$4:$C$24,MATCH(Validation!$B$3,Lists!$B$4:$B$24,0))</f>
        <v>TMS</v>
      </c>
      <c r="B1971" s="1732" t="str">
        <f>'4L'!BN22</f>
        <v>WS2008TWDCUM</v>
      </c>
      <c r="C1971" s="1732" t="str">
        <f>+'4L'!$C22&amp;" - "&amp;'4L'!S$5</f>
        <v>NEP - Investigations - Treated water distribution</v>
      </c>
      <c r="D1971" t="str">
        <f t="shared" si="33"/>
        <v>£m</v>
      </c>
      <c r="E1971" s="2" t="s">
        <v>9</v>
      </c>
      <c r="F1971" s="1634"/>
      <c r="G1971" s="1635">
        <f>'4L'!S22</f>
        <v>0</v>
      </c>
      <c r="H1971" s="1636"/>
    </row>
    <row r="1972" spans="1:8">
      <c r="A1972" s="1620" t="str">
        <f>INDEX(Lists!$C$4:$C$24,MATCH(Validation!$B$3,Lists!$B$4:$B$24,0))</f>
        <v>TMS</v>
      </c>
      <c r="B1972" s="1732" t="str">
        <f>'4L'!BN23</f>
        <v>W3027TWDCUM</v>
      </c>
      <c r="C1972" s="1732" t="str">
        <f>+'4L'!$C23&amp;" - "&amp;'4L'!S$5</f>
        <v>Improvements to river flows - Treated water distribution</v>
      </c>
      <c r="D1972" t="str">
        <f t="shared" si="33"/>
        <v>£m</v>
      </c>
      <c r="E1972" s="2" t="s">
        <v>9</v>
      </c>
      <c r="F1972" s="1634"/>
      <c r="G1972" s="1635">
        <f>'4L'!S23</f>
        <v>0</v>
      </c>
      <c r="H1972" s="1636"/>
    </row>
    <row r="1973" spans="1:8">
      <c r="A1973" s="1620" t="str">
        <f>INDEX(Lists!$C$4:$C$24,MATCH(Validation!$B$3,Lists!$B$4:$B$24,0))</f>
        <v>TMS</v>
      </c>
      <c r="B1973" s="1732" t="str">
        <f>'4L'!BN24</f>
        <v>W3028OPTTWDCUM</v>
      </c>
      <c r="C1973" s="1732" t="str">
        <f>+'4L'!$C24&amp;" - "&amp;'4L'!S$5</f>
        <v>Metering (excluding cost of providing metering to new service connections) - meters requested by optants - Treated water distribution</v>
      </c>
      <c r="D1973" t="str">
        <f t="shared" si="33"/>
        <v>£m</v>
      </c>
      <c r="E1973" s="2" t="s">
        <v>9</v>
      </c>
      <c r="F1973" s="1634"/>
      <c r="G1973" s="1635">
        <f>'4L'!S24</f>
        <v>7.3482668283703116</v>
      </c>
      <c r="H1973" s="1636"/>
    </row>
    <row r="1974" spans="1:8">
      <c r="A1974" s="1620" t="str">
        <f>INDEX(Lists!$C$4:$C$24,MATCH(Validation!$B$3,Lists!$B$4:$B$24,0))</f>
        <v>TMS</v>
      </c>
      <c r="B1974" s="1732" t="str">
        <f>'4L'!BN25</f>
        <v>W3028COMTWDCUM</v>
      </c>
      <c r="C1974" s="1732" t="str">
        <f>+'4L'!$C25&amp;" - "&amp;'4L'!S$5</f>
        <v>Metering (excluding cost of providing metering to new service connections)- meters introduced by companies - Treated water distribution</v>
      </c>
      <c r="D1974" t="str">
        <f t="shared" si="33"/>
        <v>£m</v>
      </c>
      <c r="E1974" s="2" t="s">
        <v>9</v>
      </c>
      <c r="F1974" s="1634"/>
      <c r="G1974" s="1635">
        <f>'4L'!S25</f>
        <v>45.763924607147011</v>
      </c>
      <c r="H1974" s="1636"/>
    </row>
    <row r="1975" spans="1:8">
      <c r="A1975" s="1620" t="str">
        <f>INDEX(Lists!$C$4:$C$24,MATCH(Validation!$B$3,Lists!$B$4:$B$24,0))</f>
        <v>TMS</v>
      </c>
      <c r="B1975" s="1732" t="str">
        <f>'4L'!BN26</f>
        <v>W3028NHOTWDCUM</v>
      </c>
      <c r="C1975" s="1732" t="str">
        <f>+'4L'!$C26&amp;" - "&amp;'4L'!S$5</f>
        <v>Metering (excluding cost of providing metering to new service connections) - other - Treated water distribution</v>
      </c>
      <c r="D1975" t="str">
        <f t="shared" si="33"/>
        <v>£m</v>
      </c>
      <c r="E1975" s="2" t="s">
        <v>9</v>
      </c>
      <c r="F1975" s="1634"/>
      <c r="G1975" s="1635">
        <f>'4L'!S26</f>
        <v>0</v>
      </c>
      <c r="H1975" s="1636"/>
    </row>
    <row r="1976" spans="1:8">
      <c r="A1976" s="1620" t="str">
        <f>INDEX(Lists!$C$4:$C$24,MATCH(Validation!$B$3,Lists!$B$4:$B$24,0))</f>
        <v>TMS</v>
      </c>
      <c r="B1976" s="1732" t="str">
        <f>'4L'!BN27</f>
        <v>W3A00001TWDCUM</v>
      </c>
      <c r="C1976" s="1732" t="str">
        <f>"Capital expenditure purpose - WATER additional line 1 [Other categories] - "&amp;'4L'!$S$5</f>
        <v>Capital expenditure purpose - WATER additional line 1 [Other categories] - Treated water distribution</v>
      </c>
      <c r="D1976" t="str">
        <f t="shared" si="33"/>
        <v>£m</v>
      </c>
      <c r="E1976" s="2" t="s">
        <v>9</v>
      </c>
      <c r="F1976" s="1634" t="str">
        <f>F1602</f>
        <v>NEP - Flow monitoring at water treatment works</v>
      </c>
      <c r="G1976" s="1635">
        <f>IF(ISBLANK('4L'!S27), "##BLANK", '4L'!S27)</f>
        <v>0</v>
      </c>
      <c r="H1976" s="1636"/>
    </row>
    <row r="1977" spans="1:8">
      <c r="A1977" s="1620" t="str">
        <f>INDEX(Lists!$C$4:$C$24,MATCH(Validation!$B$3,Lists!$B$4:$B$24,0))</f>
        <v>TMS</v>
      </c>
      <c r="B1977" s="1732" t="str">
        <f>'4L'!BN28</f>
        <v>W3A00002TWDCUM</v>
      </c>
      <c r="C1977" s="1732" t="str">
        <f>"Capital expenditure purpose - WATER additional line 2 [Other categories] - "&amp;'4L'!$S$5</f>
        <v>Capital expenditure purpose - WATER additional line 2 [Other categories] - Treated water distribution</v>
      </c>
      <c r="D1977" t="str">
        <f t="shared" si="33"/>
        <v>£m</v>
      </c>
      <c r="E1977" s="2" t="s">
        <v>9</v>
      </c>
      <c r="F1977" s="1634" t="str">
        <f t="shared" ref="F1977:F1990" si="35">F1603</f>
        <v>##BLANK</v>
      </c>
      <c r="G1977" s="1635" t="str">
        <f>IF(ISBLANK('4L'!S28), "##BLANK", '4L'!S28)</f>
        <v>##BLANK</v>
      </c>
      <c r="H1977" s="1636"/>
    </row>
    <row r="1978" spans="1:8">
      <c r="A1978" s="1620" t="str">
        <f>INDEX(Lists!$C$4:$C$24,MATCH(Validation!$B$3,Lists!$B$4:$B$24,0))</f>
        <v>TMS</v>
      </c>
      <c r="B1978" s="1732" t="str">
        <f>'4L'!BN29</f>
        <v>W3A00003TWDCUM</v>
      </c>
      <c r="C1978" s="1732" t="str">
        <f>"Capital expenditure purpose - WATER additional line 3 [Other categories] - "&amp;'4L'!$S$5</f>
        <v>Capital expenditure purpose - WATER additional line 3 [Other categories] - Treated water distribution</v>
      </c>
      <c r="D1978" t="str">
        <f t="shared" si="33"/>
        <v>£m</v>
      </c>
      <c r="E1978" s="2" t="s">
        <v>9</v>
      </c>
      <c r="F1978" s="1634" t="str">
        <f t="shared" si="35"/>
        <v>##BLANK</v>
      </c>
      <c r="G1978" s="1635" t="str">
        <f>IF(ISBLANK('4L'!S29), "##BLANK", '4L'!S29)</f>
        <v>##BLANK</v>
      </c>
      <c r="H1978" s="1636"/>
    </row>
    <row r="1979" spans="1:8">
      <c r="A1979" s="1620" t="str">
        <f>INDEX(Lists!$C$4:$C$24,MATCH(Validation!$B$3,Lists!$B$4:$B$24,0))</f>
        <v>TMS</v>
      </c>
      <c r="B1979" s="1732" t="str">
        <f>'4L'!BN30</f>
        <v>W3A00004TWDCUM</v>
      </c>
      <c r="C1979" s="1732" t="str">
        <f>"Capital expenditure purpose - WATER additional line 4 [Other categories] - "&amp;'4L'!$S$5</f>
        <v>Capital expenditure purpose - WATER additional line 4 [Other categories] - Treated water distribution</v>
      </c>
      <c r="D1979" t="str">
        <f t="shared" si="33"/>
        <v>£m</v>
      </c>
      <c r="E1979" s="2" t="s">
        <v>9</v>
      </c>
      <c r="F1979" s="1634" t="str">
        <f t="shared" si="35"/>
        <v>##BLANK</v>
      </c>
      <c r="G1979" s="1635" t="str">
        <f>IF(ISBLANK('4L'!S30), "##BLANK", '4L'!S30)</f>
        <v>##BLANK</v>
      </c>
      <c r="H1979" s="1636"/>
    </row>
    <row r="1980" spans="1:8">
      <c r="A1980" s="1620" t="str">
        <f>INDEX(Lists!$C$4:$C$24,MATCH(Validation!$B$3,Lists!$B$4:$B$24,0))</f>
        <v>TMS</v>
      </c>
      <c r="B1980" s="1732" t="str">
        <f>'4L'!BN31</f>
        <v>W3A00005TWDCUM</v>
      </c>
      <c r="C1980" s="1732" t="str">
        <f>"Capital expenditure purpose - WATER additional line 5 [Other categories] - "&amp;'4L'!$S$5</f>
        <v>Capital expenditure purpose - WATER additional line 5 [Other categories] - Treated water distribution</v>
      </c>
      <c r="D1980" t="str">
        <f t="shared" si="33"/>
        <v>£m</v>
      </c>
      <c r="E1980" s="2" t="s">
        <v>9</v>
      </c>
      <c r="F1980" s="1634" t="str">
        <f t="shared" si="35"/>
        <v>##BLANK</v>
      </c>
      <c r="G1980" s="1635" t="str">
        <f>IF(ISBLANK('4L'!S31), "##BLANK", '4L'!S31)</f>
        <v>##BLANK</v>
      </c>
      <c r="H1980" s="1636"/>
    </row>
    <row r="1981" spans="1:8">
      <c r="A1981" s="1620" t="str">
        <f>INDEX(Lists!$C$4:$C$24,MATCH(Validation!$B$3,Lists!$B$4:$B$24,0))</f>
        <v>TMS</v>
      </c>
      <c r="B1981" s="1732" t="str">
        <f>'4L'!BN32</f>
        <v>W3A00006TWDCUM</v>
      </c>
      <c r="C1981" s="1732" t="str">
        <f>"Capital expenditure purpose - WATER additional line 6 [Other categories] - "&amp;'4L'!$S$5</f>
        <v>Capital expenditure purpose - WATER additional line 6 [Other categories] - Treated water distribution</v>
      </c>
      <c r="D1981" t="str">
        <f t="shared" si="33"/>
        <v>£m</v>
      </c>
      <c r="E1981" s="2" t="s">
        <v>9</v>
      </c>
      <c r="F1981" s="1634" t="str">
        <f t="shared" si="35"/>
        <v>##BLANK</v>
      </c>
      <c r="G1981" s="1635" t="str">
        <f>IF(ISBLANK('4L'!S32), "##BLANK", '4L'!S32)</f>
        <v>##BLANK</v>
      </c>
      <c r="H1981" s="1636"/>
    </row>
    <row r="1982" spans="1:8">
      <c r="A1982" s="1620" t="str">
        <f>INDEX(Lists!$C$4:$C$24,MATCH(Validation!$B$3,Lists!$B$4:$B$24,0))</f>
        <v>TMS</v>
      </c>
      <c r="B1982" s="1732" t="str">
        <f>'4L'!BN33</f>
        <v>W3A00007TWDCUM</v>
      </c>
      <c r="C1982" s="1732" t="str">
        <f>"Capital expenditure purpose - WATER additional line 7 [Other categories] - "&amp;'4L'!$S$5</f>
        <v>Capital expenditure purpose - WATER additional line 7 [Other categories] - Treated water distribution</v>
      </c>
      <c r="D1982" t="str">
        <f t="shared" si="33"/>
        <v>£m</v>
      </c>
      <c r="E1982" s="2" t="s">
        <v>9</v>
      </c>
      <c r="F1982" s="1634" t="str">
        <f t="shared" si="35"/>
        <v>##BLANK</v>
      </c>
      <c r="G1982" s="1635" t="str">
        <f>IF(ISBLANK('4L'!S33), "##BLANK", '4L'!S33)</f>
        <v>##BLANK</v>
      </c>
      <c r="H1982" s="1636"/>
    </row>
    <row r="1983" spans="1:8">
      <c r="A1983" s="1620" t="str">
        <f>INDEX(Lists!$C$4:$C$24,MATCH(Validation!$B$3,Lists!$B$4:$B$24,0))</f>
        <v>TMS</v>
      </c>
      <c r="B1983" s="1732" t="str">
        <f>'4L'!BN34</f>
        <v>W3A00008TWDCUM</v>
      </c>
      <c r="C1983" s="1732" t="str">
        <f>"Capital expenditure purpose - WATER additional line 8 [Other categories] - "&amp;'4L'!$S$5</f>
        <v>Capital expenditure purpose - WATER additional line 8 [Other categories] - Treated water distribution</v>
      </c>
      <c r="D1983" t="str">
        <f t="shared" si="33"/>
        <v>£m</v>
      </c>
      <c r="E1983" s="2" t="s">
        <v>9</v>
      </c>
      <c r="F1983" s="1634" t="str">
        <f t="shared" si="35"/>
        <v>##BLANK</v>
      </c>
      <c r="G1983" s="1635" t="str">
        <f>IF(ISBLANK('4L'!S34), "##BLANK", '4L'!S34)</f>
        <v>##BLANK</v>
      </c>
      <c r="H1983" s="1636"/>
    </row>
    <row r="1984" spans="1:8">
      <c r="A1984" s="1620" t="str">
        <f>INDEX(Lists!$C$4:$C$24,MATCH(Validation!$B$3,Lists!$B$4:$B$24,0))</f>
        <v>TMS</v>
      </c>
      <c r="B1984" s="1732" t="str">
        <f>'4L'!BN35</f>
        <v>W3A00009TWDCUM</v>
      </c>
      <c r="C1984" s="1732" t="str">
        <f>"Capital expenditure purpose - WATER additional line 9 [Other categories] - "&amp;'4L'!$S$5</f>
        <v>Capital expenditure purpose - WATER additional line 9 [Other categories] - Treated water distribution</v>
      </c>
      <c r="D1984" t="str">
        <f t="shared" si="33"/>
        <v>£m</v>
      </c>
      <c r="E1984" s="2" t="s">
        <v>9</v>
      </c>
      <c r="F1984" s="1634" t="str">
        <f t="shared" si="35"/>
        <v>##BLANK</v>
      </c>
      <c r="G1984" s="1635" t="str">
        <f>IF(ISBLANK('4L'!S35), "##BLANK", '4L'!S35)</f>
        <v>##BLANK</v>
      </c>
      <c r="H1984" s="1636"/>
    </row>
    <row r="1985" spans="1:8">
      <c r="A1985" s="1620" t="str">
        <f>INDEX(Lists!$C$4:$C$24,MATCH(Validation!$B$3,Lists!$B$4:$B$24,0))</f>
        <v>TMS</v>
      </c>
      <c r="B1985" s="1732" t="str">
        <f>'4L'!BN36</f>
        <v>W3A00010TWDCUM</v>
      </c>
      <c r="C1985" s="1732" t="str">
        <f>"Capital expenditure purpose - WATER additional line 10 [Other categories] - "&amp;'4L'!$S$5</f>
        <v>Capital expenditure purpose - WATER additional line 10 [Other categories] - Treated water distribution</v>
      </c>
      <c r="D1985" t="str">
        <f t="shared" si="33"/>
        <v>£m</v>
      </c>
      <c r="E1985" s="2" t="s">
        <v>9</v>
      </c>
      <c r="F1985" s="1634" t="str">
        <f t="shared" si="35"/>
        <v>##BLANK</v>
      </c>
      <c r="G1985" s="1635" t="str">
        <f>IF(ISBLANK('4L'!S36), "##BLANK", '4L'!S36)</f>
        <v>##BLANK</v>
      </c>
      <c r="H1985" s="1636"/>
    </row>
    <row r="1986" spans="1:8">
      <c r="A1986" s="1620" t="str">
        <f>INDEX(Lists!$C$4:$C$24,MATCH(Validation!$B$3,Lists!$B$4:$B$24,0))</f>
        <v>TMS</v>
      </c>
      <c r="B1986" s="1732" t="str">
        <f>'4L'!BN37</f>
        <v>W3A00011TWDCUM</v>
      </c>
      <c r="C1986" s="1732" t="str">
        <f>"Capital expenditure purpose - WATER additional line 11 [Other categories] - "&amp;'4L'!$S$5</f>
        <v>Capital expenditure purpose - WATER additional line 11 [Other categories] - Treated water distribution</v>
      </c>
      <c r="D1986" t="str">
        <f t="shared" si="33"/>
        <v>£m</v>
      </c>
      <c r="E1986" s="2" t="s">
        <v>9</v>
      </c>
      <c r="F1986" s="1634" t="str">
        <f t="shared" si="35"/>
        <v>##BLANK</v>
      </c>
      <c r="G1986" s="1635" t="str">
        <f>IF(ISBLANK('4L'!S37), "##BLANK", '4L'!S37)</f>
        <v>##BLANK</v>
      </c>
      <c r="H1986" s="1636"/>
    </row>
    <row r="1987" spans="1:8">
      <c r="A1987" s="1620" t="str">
        <f>INDEX(Lists!$C$4:$C$24,MATCH(Validation!$B$3,Lists!$B$4:$B$24,0))</f>
        <v>TMS</v>
      </c>
      <c r="B1987" s="1732" t="str">
        <f>'4L'!BN38</f>
        <v>W3A00012TWDCUM</v>
      </c>
      <c r="C1987" s="1732" t="str">
        <f>"Capital expenditure purpose - WATER additional line 12 [Other categories] - "&amp;'4L'!$S$5</f>
        <v>Capital expenditure purpose - WATER additional line 12 [Other categories] - Treated water distribution</v>
      </c>
      <c r="D1987" t="str">
        <f t="shared" si="33"/>
        <v>£m</v>
      </c>
      <c r="E1987" s="2" t="s">
        <v>9</v>
      </c>
      <c r="F1987" s="1634" t="str">
        <f t="shared" si="35"/>
        <v>##BLANK</v>
      </c>
      <c r="G1987" s="1635" t="str">
        <f>IF(ISBLANK('4L'!S38), "##BLANK", '4L'!S38)</f>
        <v>##BLANK</v>
      </c>
      <c r="H1987" s="1636"/>
    </row>
    <row r="1988" spans="1:8">
      <c r="A1988" s="1620" t="str">
        <f>INDEX(Lists!$C$4:$C$24,MATCH(Validation!$B$3,Lists!$B$4:$B$24,0))</f>
        <v>TMS</v>
      </c>
      <c r="B1988" s="1732" t="str">
        <f>'4L'!BN39</f>
        <v>W3A00013TWDCUM</v>
      </c>
      <c r="C1988" s="1732" t="str">
        <f>"Capital expenditure purpose - WATER additional line 13 [Other categories] - "&amp;'4L'!$S$5</f>
        <v>Capital expenditure purpose - WATER additional line 13 [Other categories] - Treated water distribution</v>
      </c>
      <c r="D1988" t="str">
        <f t="shared" si="33"/>
        <v>£m</v>
      </c>
      <c r="E1988" s="2" t="s">
        <v>9</v>
      </c>
      <c r="F1988" s="1634" t="str">
        <f t="shared" si="35"/>
        <v>##BLANK</v>
      </c>
      <c r="G1988" s="1635" t="str">
        <f>IF(ISBLANK('4L'!S39), "##BLANK", '4L'!S39)</f>
        <v>##BLANK</v>
      </c>
      <c r="H1988" s="1636"/>
    </row>
    <row r="1989" spans="1:8">
      <c r="A1989" s="1620" t="str">
        <f>INDEX(Lists!$C$4:$C$24,MATCH(Validation!$B$3,Lists!$B$4:$B$24,0))</f>
        <v>TMS</v>
      </c>
      <c r="B1989" s="1732" t="str">
        <f>'4L'!BN40</f>
        <v>W3A00014TWDCUM</v>
      </c>
      <c r="C1989" s="1732" t="str">
        <f>"Capital expenditure purpose - WATER additional line 14 [Other categories] - "&amp;'4L'!$S$5</f>
        <v>Capital expenditure purpose - WATER additional line 14 [Other categories] - Treated water distribution</v>
      </c>
      <c r="D1989" t="str">
        <f t="shared" si="33"/>
        <v>£m</v>
      </c>
      <c r="E1989" s="2" t="s">
        <v>9</v>
      </c>
      <c r="F1989" s="1634" t="str">
        <f t="shared" si="35"/>
        <v>##BLANK</v>
      </c>
      <c r="G1989" s="1635" t="str">
        <f>IF(ISBLANK('4L'!S40), "##BLANK", '4L'!S40)</f>
        <v>##BLANK</v>
      </c>
      <c r="H1989" s="1636"/>
    </row>
    <row r="1990" spans="1:8" ht="15" thickBot="1">
      <c r="A1990" s="1621" t="str">
        <f>INDEX(Lists!$C$4:$C$24,MATCH(Validation!$B$3,Lists!$B$4:$B$24,0))</f>
        <v>TMS</v>
      </c>
      <c r="B1990" s="1733" t="str">
        <f>'4L'!BN41</f>
        <v>W3A00015TWDCUM</v>
      </c>
      <c r="C1990" s="1733" t="str">
        <f>"Capital expenditure purpose - WATER additional line 15 [Other categories] - "&amp;'4L'!$S$5</f>
        <v>Capital expenditure purpose - WATER additional line 15 [Other categories] - Treated water distribution</v>
      </c>
      <c r="D1990" s="1622" t="str">
        <f t="shared" si="33"/>
        <v>£m</v>
      </c>
      <c r="E1990" s="1648" t="s">
        <v>9</v>
      </c>
      <c r="F1990" s="1642" t="str">
        <f t="shared" si="35"/>
        <v>##BLANK</v>
      </c>
      <c r="G1990" s="1653" t="str">
        <f>IF(ISBLANK('4L'!S41), "##BLANK", '4L'!S41)</f>
        <v>##BLANK</v>
      </c>
      <c r="H1990" s="1649"/>
    </row>
    <row r="1991" spans="1:8">
      <c r="A1991" s="1618" t="str">
        <f>INDEX(Lists!$C$4:$C$24,MATCH(Validation!$B$3,Lists!$B$4:$B$24,0))</f>
        <v>TMS</v>
      </c>
      <c r="B1991" s="1731" t="str">
        <f>'4M'!BI8</f>
        <v>BC31379FL</v>
      </c>
      <c r="C1991" s="1619" t="str">
        <f>'4M'!$C8&amp;" - "&amp;'4M'!G$5</f>
        <v>First time sewerage (s101A) - Foul</v>
      </c>
      <c r="D1991" s="1618" t="str">
        <f>'4M'!E8</f>
        <v>£m</v>
      </c>
      <c r="E1991" s="1645" t="s">
        <v>9</v>
      </c>
      <c r="F1991" s="1644"/>
      <c r="G1991" s="1635">
        <f>'4M'!G8</f>
        <v>0.48015892106382946</v>
      </c>
      <c r="H1991" s="1645"/>
    </row>
    <row r="1992" spans="1:8">
      <c r="A1992" s="1620" t="str">
        <f>INDEX(Lists!$C$4:$C$24,MATCH(Validation!$B$3,Lists!$B$4:$B$24,0))</f>
        <v>TMS</v>
      </c>
      <c r="B1992" s="1732" t="str">
        <f>'4M'!BI9</f>
        <v>S3035QFL</v>
      </c>
      <c r="C1992" t="str">
        <f>'4M'!$C9&amp;" - "&amp;'4M'!G$5</f>
        <v>Sludge enhancement (quality) - Foul</v>
      </c>
      <c r="D1992" s="1620" t="str">
        <f>'4M'!E9</f>
        <v>£m</v>
      </c>
      <c r="E1992" s="1636" t="s">
        <v>9</v>
      </c>
      <c r="G1992" s="1635">
        <f>'4M'!G9</f>
        <v>0</v>
      </c>
      <c r="H1992" s="1636"/>
    </row>
    <row r="1993" spans="1:8">
      <c r="A1993" s="1620" t="str">
        <f>INDEX(Lists!$C$4:$C$24,MATCH(Validation!$B$3,Lists!$B$4:$B$24,0))</f>
        <v>TMS</v>
      </c>
      <c r="B1993" s="1732" t="str">
        <f>'4M'!BI10</f>
        <v>S3036GFL</v>
      </c>
      <c r="C1993" t="str">
        <f>'4M'!$C10&amp;" - "&amp;'4M'!G$5</f>
        <v>Sludge enhancement (growth) - Foul</v>
      </c>
      <c r="D1993" s="1620" t="str">
        <f>'4M'!E10</f>
        <v>£m</v>
      </c>
      <c r="E1993" s="1636" t="s">
        <v>9</v>
      </c>
      <c r="G1993" s="1635">
        <f>'4M'!G10</f>
        <v>0</v>
      </c>
      <c r="H1993" s="1636"/>
    </row>
    <row r="1994" spans="1:8">
      <c r="A1994" s="1620" t="str">
        <f>INDEX(Lists!$C$4:$C$24,MATCH(Validation!$B$3,Lists!$B$4:$B$24,0))</f>
        <v>TMS</v>
      </c>
      <c r="B1994" s="1732" t="str">
        <f>'4M'!BI11</f>
        <v>S3004FL</v>
      </c>
      <c r="C1994" t="str">
        <f>'4M'!$C11&amp;" - "&amp;'4M'!G$5</f>
        <v>NEP - Conservation drivers - Foul</v>
      </c>
      <c r="D1994" s="1620" t="str">
        <f>'4M'!E11</f>
        <v>£m</v>
      </c>
      <c r="E1994" s="1636" t="s">
        <v>9</v>
      </c>
      <c r="G1994" s="1635">
        <f>'4M'!G11</f>
        <v>0</v>
      </c>
      <c r="H1994" s="1636"/>
    </row>
    <row r="1995" spans="1:8">
      <c r="A1995" s="1620" t="str">
        <f>INDEX(Lists!$C$4:$C$24,MATCH(Validation!$B$3,Lists!$B$4:$B$24,0))</f>
        <v>TMS</v>
      </c>
      <c r="B1995" s="1732" t="str">
        <f>'4M'!BI12</f>
        <v>WWS2001FL</v>
      </c>
      <c r="C1995" t="str">
        <f>'4M'!$C12&amp;" - "&amp;'4M'!G$5</f>
        <v>NEP - Eels Regulations (measures at outfalls) - Foul</v>
      </c>
      <c r="D1995" s="1620" t="str">
        <f>'4M'!E12</f>
        <v>£m</v>
      </c>
      <c r="E1995" s="1636" t="s">
        <v>9</v>
      </c>
      <c r="G1995" s="1635">
        <f>'4M'!G12</f>
        <v>0</v>
      </c>
      <c r="H1995" s="1636"/>
    </row>
    <row r="1996" spans="1:8">
      <c r="A1996" s="1620" t="str">
        <f>INDEX(Lists!$C$4:$C$24,MATCH(Validation!$B$3,Lists!$B$4:$B$24,0))</f>
        <v>TMS</v>
      </c>
      <c r="B1996" s="1732" t="str">
        <f>'4M'!BI13</f>
        <v>S3005FL</v>
      </c>
      <c r="C1996" t="str">
        <f>'4M'!$C13&amp;" - "&amp;'4M'!G$5</f>
        <v>NEP - Event Duration Monitoring at intermittent discharges - Foul</v>
      </c>
      <c r="D1996" s="1620" t="str">
        <f>'4M'!E13</f>
        <v>£m</v>
      </c>
      <c r="E1996" s="1636" t="s">
        <v>9</v>
      </c>
      <c r="G1996" s="1635">
        <f>'4M'!G13</f>
        <v>1.2368396041715701</v>
      </c>
      <c r="H1996" s="1636"/>
    </row>
    <row r="1997" spans="1:8">
      <c r="A1997" s="1620" t="str">
        <f>INDEX(Lists!$C$4:$C$24,MATCH(Validation!$B$3,Lists!$B$4:$B$24,0))</f>
        <v>TMS</v>
      </c>
      <c r="B1997" s="1732" t="str">
        <f>'4M'!BI14</f>
        <v>S3006FL</v>
      </c>
      <c r="C1997" t="str">
        <f>'4M'!$C14&amp;" - "&amp;'4M'!G$5</f>
        <v>NEP - Flow monitoring at sewage treatment works - Foul</v>
      </c>
      <c r="D1997" s="1620" t="str">
        <f>'4M'!E14</f>
        <v>£m</v>
      </c>
      <c r="E1997" s="1636" t="s">
        <v>9</v>
      </c>
      <c r="G1997" s="1635">
        <f>'4M'!G14</f>
        <v>0</v>
      </c>
      <c r="H1997" s="1636"/>
    </row>
    <row r="1998" spans="1:8">
      <c r="A1998" s="1620" t="str">
        <f>INDEX(Lists!$C$4:$C$24,MATCH(Validation!$B$3,Lists!$B$4:$B$24,0))</f>
        <v>TMS</v>
      </c>
      <c r="B1998" s="1732" t="str">
        <f>'4M'!BI15</f>
        <v>S3007FL</v>
      </c>
      <c r="C1998" t="str">
        <f>'4M'!$C15&amp;" - "&amp;'4M'!G$5</f>
        <v>NEP - Monitoring of pass forward flows at CSOs - Foul</v>
      </c>
      <c r="D1998" s="1620" t="str">
        <f>'4M'!E15</f>
        <v>£m</v>
      </c>
      <c r="E1998" s="1636" t="s">
        <v>9</v>
      </c>
      <c r="G1998" s="1635">
        <f>'4M'!G15</f>
        <v>0.45872513497769268</v>
      </c>
      <c r="H1998" s="1636"/>
    </row>
    <row r="1999" spans="1:8">
      <c r="A1999" s="1620" t="str">
        <f>INDEX(Lists!$C$4:$C$24,MATCH(Validation!$B$3,Lists!$B$4:$B$24,0))</f>
        <v>TMS</v>
      </c>
      <c r="B1999" s="1732" t="str">
        <f>'4M'!BI16</f>
        <v>WWS2002FL</v>
      </c>
      <c r="C1999" t="str">
        <f>'4M'!$C16&amp;" - "&amp;'4M'!G$5</f>
        <v>NEP - Schemes to increase flow to full treatment - Foul</v>
      </c>
      <c r="D1999" s="1620" t="str">
        <f>'4M'!E16</f>
        <v>£m</v>
      </c>
      <c r="E1999" s="1636" t="s">
        <v>9</v>
      </c>
      <c r="G1999" s="1635">
        <f>'4M'!G16</f>
        <v>0</v>
      </c>
      <c r="H1999" s="1636"/>
    </row>
    <row r="2000" spans="1:8">
      <c r="A2000" s="1620" t="str">
        <f>INDEX(Lists!$C$4:$C$24,MATCH(Validation!$B$3,Lists!$B$4:$B$24,0))</f>
        <v>TMS</v>
      </c>
      <c r="B2000" s="1732" t="str">
        <f>'4M'!BI17</f>
        <v>WWS2003FL</v>
      </c>
      <c r="C2000" t="str">
        <f>'4M'!$C17&amp;" - "&amp;'4M'!G$5</f>
        <v>NEP - Schemes to increase storm tank capacity - Foul</v>
      </c>
      <c r="D2000" s="1620" t="str">
        <f>'4M'!E17</f>
        <v>£m</v>
      </c>
      <c r="E2000" s="1636" t="s">
        <v>9</v>
      </c>
      <c r="G2000" s="1635">
        <f>'4M'!G17</f>
        <v>0</v>
      </c>
      <c r="H2000" s="1636"/>
    </row>
    <row r="2001" spans="1:8">
      <c r="A2001" s="1620" t="str">
        <f>INDEX(Lists!$C$4:$C$24,MATCH(Validation!$B$3,Lists!$B$4:$B$24,0))</f>
        <v>TMS</v>
      </c>
      <c r="B2001" s="1732" t="str">
        <f>'4M'!BI18</f>
        <v>S3008FL</v>
      </c>
      <c r="C2001" t="str">
        <f>'4M'!$C18&amp;" - "&amp;'4M'!G$5</f>
        <v>NEP - Storage schemes to reduce spill frequency at CSOs, storm tanks, etc - Foul</v>
      </c>
      <c r="D2001" s="1620" t="str">
        <f>'4M'!E18</f>
        <v>£m</v>
      </c>
      <c r="E2001" s="1636" t="s">
        <v>9</v>
      </c>
      <c r="G2001" s="1635">
        <f>'4M'!G18</f>
        <v>0</v>
      </c>
      <c r="H2001" s="1636"/>
    </row>
    <row r="2002" spans="1:8">
      <c r="A2002" s="1620" t="str">
        <f>INDEX(Lists!$C$4:$C$24,MATCH(Validation!$B$3,Lists!$B$4:$B$24,0))</f>
        <v>TMS</v>
      </c>
      <c r="B2002" s="1732" t="str">
        <f>'4M'!BI19</f>
        <v>S3009FL</v>
      </c>
      <c r="C2002" t="str">
        <f>'4M'!$C19&amp;" - "&amp;'4M'!G$5</f>
        <v>NEP - Chemicals monitoring/ investigations/ options appraisals - Foul</v>
      </c>
      <c r="D2002" s="1620" t="str">
        <f>'4M'!E19</f>
        <v>£m</v>
      </c>
      <c r="E2002" s="1636" t="s">
        <v>9</v>
      </c>
      <c r="G2002" s="1635">
        <f>'4M'!G19</f>
        <v>0</v>
      </c>
      <c r="H2002" s="1636"/>
    </row>
    <row r="2003" spans="1:8">
      <c r="A2003" s="1620" t="str">
        <f>INDEX(Lists!$C$4:$C$24,MATCH(Validation!$B$3,Lists!$B$4:$B$24,0))</f>
        <v>TMS</v>
      </c>
      <c r="B2003" s="1732" t="str">
        <f>'4M'!BI20</f>
        <v>WWS2007FL</v>
      </c>
      <c r="C2003" t="str">
        <f>'4M'!$C20&amp;" - "&amp;'4M'!G$5</f>
        <v>NEP - National phosphorus removal technology investigations - Foul</v>
      </c>
      <c r="D2003" s="1620" t="str">
        <f>'4M'!E20</f>
        <v>£m</v>
      </c>
      <c r="E2003" s="1636" t="s">
        <v>9</v>
      </c>
      <c r="G2003" s="1635">
        <f>'4M'!G20</f>
        <v>0</v>
      </c>
      <c r="H2003" s="1636"/>
    </row>
    <row r="2004" spans="1:8">
      <c r="A2004" s="1620" t="str">
        <f>INDEX(Lists!$C$4:$C$24,MATCH(Validation!$B$3,Lists!$B$4:$B$24,0))</f>
        <v>TMS</v>
      </c>
      <c r="B2004" s="1732" t="str">
        <f>'4M'!BI21</f>
        <v>S3010FL</v>
      </c>
      <c r="C2004" t="str">
        <f>'4M'!$C21&amp;" - "&amp;'4M'!G$5</f>
        <v>NEP - Groundwater schemes - Foul</v>
      </c>
      <c r="D2004" s="1620" t="str">
        <f>'4M'!E21</f>
        <v>£m</v>
      </c>
      <c r="E2004" s="1636" t="s">
        <v>9</v>
      </c>
      <c r="G2004" s="1635">
        <f>'4M'!G21</f>
        <v>4.74478437005669E-2</v>
      </c>
      <c r="H2004" s="1636"/>
    </row>
    <row r="2005" spans="1:8">
      <c r="A2005" s="1620" t="str">
        <f>INDEX(Lists!$C$4:$C$24,MATCH(Validation!$B$3,Lists!$B$4:$B$24,0))</f>
        <v>TMS</v>
      </c>
      <c r="B2005" s="1732" t="str">
        <f>'4M'!BI22</f>
        <v>S3011FL</v>
      </c>
      <c r="C2005" t="str">
        <f>'4M'!$C22&amp;" - "&amp;'4M'!G$5</f>
        <v>NEP - Investigations - Foul</v>
      </c>
      <c r="D2005" s="1620" t="str">
        <f>'4M'!E22</f>
        <v>£m</v>
      </c>
      <c r="E2005" s="1636" t="s">
        <v>9</v>
      </c>
      <c r="G2005" s="1635">
        <f>'4M'!G22</f>
        <v>0</v>
      </c>
      <c r="H2005" s="1636"/>
    </row>
    <row r="2006" spans="1:8">
      <c r="A2006" s="1620" t="str">
        <f>INDEX(Lists!$C$4:$C$24,MATCH(Validation!$B$3,Lists!$B$4:$B$24,0))</f>
        <v>TMS</v>
      </c>
      <c r="B2006" s="1732" t="str">
        <f>'4M'!BI23</f>
        <v>S3012FL</v>
      </c>
      <c r="C2006" t="str">
        <f>'4M'!$C23&amp;" - "&amp;'4M'!G$5</f>
        <v>NEP - Nutrients (N removal) - Foul</v>
      </c>
      <c r="D2006" s="1620" t="str">
        <f>'4M'!E23</f>
        <v>£m</v>
      </c>
      <c r="E2006" s="1636" t="s">
        <v>9</v>
      </c>
      <c r="G2006" s="1635">
        <f>'4M'!G23</f>
        <v>0</v>
      </c>
      <c r="H2006" s="1636"/>
    </row>
    <row r="2007" spans="1:8">
      <c r="A2007" s="1620" t="str">
        <f>INDEX(Lists!$C$4:$C$24,MATCH(Validation!$B$3,Lists!$B$4:$B$24,0))</f>
        <v>TMS</v>
      </c>
      <c r="B2007" s="1732" t="str">
        <f>'4M'!BI24</f>
        <v>S3013FL</v>
      </c>
      <c r="C2007" t="str">
        <f>'4M'!$C24&amp;" - "&amp;'4M'!G$5</f>
        <v>NEP - Nutrients (P removal at activated sludge STWs) - Foul</v>
      </c>
      <c r="D2007" s="1620" t="str">
        <f>'4M'!E24</f>
        <v>£m</v>
      </c>
      <c r="E2007" s="1636" t="s">
        <v>9</v>
      </c>
      <c r="G2007" s="1635">
        <f>'4M'!G24</f>
        <v>0</v>
      </c>
      <c r="H2007" s="1636"/>
    </row>
    <row r="2008" spans="1:8">
      <c r="A2008" s="1620" t="str">
        <f>INDEX(Lists!$C$4:$C$24,MATCH(Validation!$B$3,Lists!$B$4:$B$24,0))</f>
        <v>TMS</v>
      </c>
      <c r="B2008" s="1732" t="str">
        <f>'4M'!BI25</f>
        <v>S3014FL</v>
      </c>
      <c r="C2008" t="str">
        <f>'4M'!$C25&amp;" - "&amp;'4M'!G$5</f>
        <v>NEP - Nutrients (P removal at filter bed STWs) - Foul</v>
      </c>
      <c r="D2008" s="1620" t="str">
        <f>'4M'!E25</f>
        <v>£m</v>
      </c>
      <c r="E2008" s="1636" t="s">
        <v>9</v>
      </c>
      <c r="G2008" s="1635">
        <f>'4M'!G25</f>
        <v>0</v>
      </c>
      <c r="H2008" s="1636"/>
    </row>
    <row r="2009" spans="1:8">
      <c r="A2009" s="1620" t="str">
        <f>INDEX(Lists!$C$4:$C$24,MATCH(Validation!$B$3,Lists!$B$4:$B$24,0))</f>
        <v>TMS</v>
      </c>
      <c r="B2009" s="1732" t="str">
        <f>'4M'!BI26</f>
        <v>S3015FL</v>
      </c>
      <c r="C2009" t="str">
        <f>'4M'!$C26&amp;" - "&amp;'4M'!G$5</f>
        <v>NEP - Reduction of sanitary parameters - Foul</v>
      </c>
      <c r="D2009" s="1620" t="str">
        <f>'4M'!E26</f>
        <v>£m</v>
      </c>
      <c r="E2009" s="1636" t="s">
        <v>9</v>
      </c>
      <c r="G2009" s="1635">
        <f>'4M'!G26</f>
        <v>0</v>
      </c>
      <c r="H2009" s="1636"/>
    </row>
    <row r="2010" spans="1:8">
      <c r="A2010" s="1620" t="str">
        <f>INDEX(Lists!$C$4:$C$24,MATCH(Validation!$B$3,Lists!$B$4:$B$24,0))</f>
        <v>TMS</v>
      </c>
      <c r="B2010" s="1732" t="str">
        <f>'4M'!BI27</f>
        <v>S3016FL</v>
      </c>
      <c r="C2010" t="str">
        <f>'4M'!$C27&amp;" - "&amp;'4M'!G$5</f>
        <v>NEP - UV disinfection (or similar) - Foul</v>
      </c>
      <c r="D2010" s="1620" t="str">
        <f>'4M'!E27</f>
        <v>£m</v>
      </c>
      <c r="E2010" s="1636" t="s">
        <v>9</v>
      </c>
      <c r="G2010" s="1635">
        <f>'4M'!G27</f>
        <v>0</v>
      </c>
      <c r="H2010" s="1636"/>
    </row>
    <row r="2011" spans="1:8">
      <c r="A2011" s="1620" t="str">
        <f>INDEX(Lists!$C$4:$C$24,MATCH(Validation!$B$3,Lists!$B$4:$B$24,0))</f>
        <v>TMS</v>
      </c>
      <c r="B2011" s="1732" t="str">
        <f>'4M'!BI28</f>
        <v>S3017FL</v>
      </c>
      <c r="C2011" t="str">
        <f>'4M'!$C28&amp;" - "&amp;'4M'!G$5</f>
        <v>NEP - Discharge relocation - Foul</v>
      </c>
      <c r="D2011" s="1620" t="str">
        <f>'4M'!E28</f>
        <v>£m</v>
      </c>
      <c r="E2011" s="1636" t="s">
        <v>9</v>
      </c>
      <c r="G2011" s="1635">
        <f>'4M'!G28</f>
        <v>0</v>
      </c>
      <c r="H2011" s="1636"/>
    </row>
    <row r="2012" spans="1:8">
      <c r="A2012" s="1620" t="str">
        <f>INDEX(Lists!$C$4:$C$24,MATCH(Validation!$B$3,Lists!$B$4:$B$24,0))</f>
        <v>TMS</v>
      </c>
      <c r="B2012" s="1732" t="str">
        <f>'4M'!BI29</f>
        <v>S3018FL</v>
      </c>
      <c r="C2012" t="str">
        <f>'4M'!$C29&amp;" - "&amp;'4M'!G$5</f>
        <v>NEP - Flow 1 schemes - Foul</v>
      </c>
      <c r="D2012" s="1620" t="str">
        <f>'4M'!E29</f>
        <v>£m</v>
      </c>
      <c r="E2012" s="1636" t="s">
        <v>9</v>
      </c>
      <c r="G2012" s="1635">
        <f>'4M'!G29</f>
        <v>0</v>
      </c>
      <c r="H2012" s="1636"/>
    </row>
    <row r="2013" spans="1:8">
      <c r="A2013" s="1620" t="str">
        <f>INDEX(Lists!$C$4:$C$24,MATCH(Validation!$B$3,Lists!$B$4:$B$24,0))</f>
        <v>TMS</v>
      </c>
      <c r="B2013" s="1732" t="str">
        <f>'4M'!BI30</f>
        <v>S3019FL</v>
      </c>
      <c r="C2013" t="str">
        <f>'4M'!$C30&amp;" - "&amp;'4M'!G$5</f>
        <v>Odour - Foul</v>
      </c>
      <c r="D2013" s="1620" t="str">
        <f>'4M'!E30</f>
        <v>£m</v>
      </c>
      <c r="E2013" s="1636" t="s">
        <v>9</v>
      </c>
      <c r="G2013" s="1635">
        <f>'4M'!G30</f>
        <v>0</v>
      </c>
      <c r="H2013" s="1636"/>
    </row>
    <row r="2014" spans="1:8">
      <c r="A2014" s="1620" t="str">
        <f>INDEX(Lists!$C$4:$C$24,MATCH(Validation!$B$3,Lists!$B$4:$B$24,0))</f>
        <v>TMS</v>
      </c>
      <c r="B2014" s="1732" t="str">
        <f>'4M'!BI31</f>
        <v>S3020FL</v>
      </c>
      <c r="C2014" t="str">
        <f>'4M'!$C31&amp;" - "&amp;'4M'!G$5</f>
        <v>New development and growth - Foul</v>
      </c>
      <c r="D2014" s="1620" t="str">
        <f>'4M'!E31</f>
        <v>£m</v>
      </c>
      <c r="E2014" s="1636" t="s">
        <v>9</v>
      </c>
      <c r="G2014" s="1635">
        <f>'4M'!G31</f>
        <v>14.119767298252281</v>
      </c>
      <c r="H2014" s="1636"/>
    </row>
    <row r="2015" spans="1:8">
      <c r="A2015" s="1620" t="str">
        <f>INDEX(Lists!$C$4:$C$24,MATCH(Validation!$B$3,Lists!$B$4:$B$24,0))</f>
        <v>TMS</v>
      </c>
      <c r="B2015" s="1732" t="str">
        <f>'4M'!BI32</f>
        <v>S3021FL</v>
      </c>
      <c r="C2015" t="str">
        <f>'4M'!$C32&amp;" - "&amp;'4M'!G$5</f>
        <v>Growth at sewage treatment works (excluding sludge treatment) - Foul</v>
      </c>
      <c r="D2015" s="1620" t="str">
        <f>'4M'!E32</f>
        <v>£m</v>
      </c>
      <c r="E2015" s="1636" t="s">
        <v>9</v>
      </c>
      <c r="G2015" s="1635">
        <f>'4M'!G32</f>
        <v>0</v>
      </c>
      <c r="H2015" s="1636"/>
    </row>
    <row r="2016" spans="1:8">
      <c r="A2016" s="1620" t="str">
        <f>INDEX(Lists!$C$4:$C$24,MATCH(Validation!$B$3,Lists!$B$4:$B$24,0))</f>
        <v>TMS</v>
      </c>
      <c r="B2016" s="1732" t="str">
        <f>'4M'!BI33</f>
        <v>S3022FL</v>
      </c>
      <c r="C2016" t="str">
        <f>'4M'!$C33&amp;" - "&amp;'4M'!G$5</f>
        <v>Resilience - Foul</v>
      </c>
      <c r="D2016" s="1620" t="str">
        <f>'4M'!E33</f>
        <v>£m</v>
      </c>
      <c r="E2016" s="1636" t="s">
        <v>9</v>
      </c>
      <c r="G2016" s="1635">
        <f>'4M'!G33</f>
        <v>0</v>
      </c>
      <c r="H2016" s="1636"/>
    </row>
    <row r="2017" spans="1:8">
      <c r="A2017" s="1620" t="str">
        <f>INDEX(Lists!$C$4:$C$24,MATCH(Validation!$B$3,Lists!$B$4:$B$24,0))</f>
        <v>TMS</v>
      </c>
      <c r="B2017" s="1732" t="str">
        <f>'4M'!BI34</f>
        <v>BC31785FL</v>
      </c>
      <c r="C2017" t="str">
        <f>'4M'!$C34&amp;" - "&amp;'4M'!G$5</f>
        <v>SEMD - Foul</v>
      </c>
      <c r="D2017" s="1620" t="str">
        <f>'4M'!E34</f>
        <v>£m</v>
      </c>
      <c r="E2017" s="1636" t="s">
        <v>9</v>
      </c>
      <c r="G2017" s="1635">
        <f>'4M'!G34</f>
        <v>-1.4713197274442208E-2</v>
      </c>
      <c r="H2017" s="1636"/>
    </row>
    <row r="2018" spans="1:8">
      <c r="A2018" s="1620" t="str">
        <f>INDEX(Lists!$C$4:$C$24,MATCH(Validation!$B$3,Lists!$B$4:$B$24,0))</f>
        <v>TMS</v>
      </c>
      <c r="B2018" s="1732" t="str">
        <f>'4M'!BI35</f>
        <v>S3023FL</v>
      </c>
      <c r="C2018" t="str">
        <f>'4M'!$C35&amp;" - "&amp;'4M'!G$5</f>
        <v>Reduce flooding risk for properties - Foul</v>
      </c>
      <c r="D2018" s="1620" t="str">
        <f>'4M'!E35</f>
        <v>£m</v>
      </c>
      <c r="E2018" s="1636" t="s">
        <v>9</v>
      </c>
      <c r="G2018" s="1635">
        <f>'4M'!G35</f>
        <v>14.894898350938268</v>
      </c>
      <c r="H2018" s="1636"/>
    </row>
    <row r="2019" spans="1:8">
      <c r="A2019" s="1620" t="str">
        <f>INDEX(Lists!$C$4:$C$24,MATCH(Validation!$B$3,Lists!$B$4:$B$24,0))</f>
        <v>TMS</v>
      </c>
      <c r="B2019" s="1732" t="str">
        <f>'4M'!BI36</f>
        <v>S3A00001FL</v>
      </c>
      <c r="C2019" s="1732" t="str">
        <f>"Capital expenditure purpose - WASTEWATER additional line 1 [Other categories] - "&amp;'4M'!$G$5</f>
        <v>Capital expenditure purpose - WASTEWATER additional line 1 [Other categories] - Foul</v>
      </c>
      <c r="D2019" s="1620" t="str">
        <f>'4M'!E36</f>
        <v>£m</v>
      </c>
      <c r="E2019" s="1636" t="s">
        <v>9</v>
      </c>
      <c r="F2019" s="2" t="str">
        <f>IF(OR(ISBLANK('4M'!$C36), '4M'!$C36= "Capital expenditure purpose - WASTEWATER additional line 1 [Other categories]"),"##BLANK", '4M'!$C36)</f>
        <v>Quality spend at CSOs and quality allocation to Deephams inlet works</v>
      </c>
      <c r="G2019" s="1635">
        <f>IF(ISBLANK('4M'!G36), "##BLANK", '4M'!G36)</f>
        <v>0.28485914683848723</v>
      </c>
      <c r="H2019" s="1636"/>
    </row>
    <row r="2020" spans="1:8">
      <c r="A2020" s="1620" t="str">
        <f>INDEX(Lists!$C$4:$C$24,MATCH(Validation!$B$3,Lists!$B$4:$B$24,0))</f>
        <v>TMS</v>
      </c>
      <c r="B2020" s="1732" t="str">
        <f>'4M'!BI37</f>
        <v>S3A00002FL</v>
      </c>
      <c r="C2020" s="1732" t="str">
        <f>"Capital expenditure purpose - WASTEWATER additional line 2 [Other categories] - "&amp;'4M'!$G$5</f>
        <v>Capital expenditure purpose - WASTEWATER additional line 2 [Other categories] - Foul</v>
      </c>
      <c r="D2020" s="1620" t="str">
        <f>'4M'!E37</f>
        <v>£m</v>
      </c>
      <c r="E2020" s="1636" t="s">
        <v>9</v>
      </c>
      <c r="F2020" s="2" t="str">
        <f>IF(OR(ISBLANK('4M'!$C37), '4M'!$C37= "Capital expenditure purpose - WASTEWATER additional line 2 [Other categories]"),"##BLANK", '4M'!$C37)</f>
        <v>Tideway quality (NEP). Excludes Lee Tunnel and sludge.</v>
      </c>
      <c r="G2020" s="1635">
        <f>IF(ISBLANK('4M'!G37), "##BLANK", '4M'!G37)</f>
        <v>-1.570537884632621E-3</v>
      </c>
      <c r="H2020" s="1636"/>
    </row>
    <row r="2021" spans="1:8">
      <c r="A2021" s="1620" t="str">
        <f>INDEX(Lists!$C$4:$C$24,MATCH(Validation!$B$3,Lists!$B$4:$B$24,0))</f>
        <v>TMS</v>
      </c>
      <c r="B2021" s="1732" t="str">
        <f>'4M'!BI38</f>
        <v>S3A00003FL</v>
      </c>
      <c r="C2021" s="1732" t="str">
        <f>"Capital expenditure purpose - WASTEWATER additional line 3 [Other categories] - "&amp;'4M'!$G$5</f>
        <v>Capital expenditure purpose - WASTEWATER additional line 3 [Other categories] - Foul</v>
      </c>
      <c r="D2021" s="1620" t="str">
        <f>'4M'!E38</f>
        <v>£m</v>
      </c>
      <c r="E2021" s="1636" t="s">
        <v>9</v>
      </c>
      <c r="F2021" s="2" t="str">
        <f>IF(OR(ISBLANK('4M'!$C38), '4M'!$C38= "Capital expenditure purpose - WASTEWATER additional line 3 [Other categories]"),"##BLANK", '4M'!$C38)</f>
        <v>Lee Tunnel</v>
      </c>
      <c r="G2021" s="1635">
        <f>IF(ISBLANK('4M'!G38), "##BLANK", '4M'!G38)</f>
        <v>7.6175321746461426</v>
      </c>
      <c r="H2021" s="1636"/>
    </row>
    <row r="2022" spans="1:8">
      <c r="A2022" s="1620" t="str">
        <f>INDEX(Lists!$C$4:$C$24,MATCH(Validation!$B$3,Lists!$B$4:$B$24,0))</f>
        <v>TMS</v>
      </c>
      <c r="B2022" s="1732" t="str">
        <f>'4M'!BI39</f>
        <v>S3A00004FL</v>
      </c>
      <c r="C2022" s="1732" t="str">
        <f>"Capital expenditure purpose - WASTEWATER additional line 4 [Other categories] - "&amp;'4M'!$G$5</f>
        <v>Capital expenditure purpose - WASTEWATER additional line 4 [Other categories] - Foul</v>
      </c>
      <c r="D2022" s="1620" t="str">
        <f>'4M'!E39</f>
        <v>£m</v>
      </c>
      <c r="E2022" s="1636" t="s">
        <v>9</v>
      </c>
      <c r="F2022" s="2" t="str">
        <f>IF(OR(ISBLANK('4M'!$C39), '4M'!$C39= "Capital expenditure purpose - WASTEWATER additional line 4 [Other categories]"),"##BLANK", '4M'!$C39)</f>
        <v>Non-SEMD related security enhancement (revised Ofwat guidance 6 July 2018)</v>
      </c>
      <c r="G2022" s="1635">
        <f>IF(ISBLANK('4M'!G39), "##BLANK", '4M'!G39)</f>
        <v>0.36144379432444607</v>
      </c>
      <c r="H2022" s="1636"/>
    </row>
    <row r="2023" spans="1:8">
      <c r="A2023" s="1620" t="str">
        <f>INDEX(Lists!$C$4:$C$24,MATCH(Validation!$B$3,Lists!$B$4:$B$24,0))</f>
        <v>TMS</v>
      </c>
      <c r="B2023" s="1732" t="str">
        <f>'4M'!BI40</f>
        <v>S3A00005FL</v>
      </c>
      <c r="C2023" s="1732" t="str">
        <f>"Capital expenditure purpose - WASTEWATER additional line 5 [Other categories] - "&amp;'4M'!$G$5</f>
        <v>Capital expenditure purpose - WASTEWATER additional line 5 [Other categories] - Foul</v>
      </c>
      <c r="D2023" s="1620" t="str">
        <f>'4M'!E40</f>
        <v>£m</v>
      </c>
      <c r="E2023" s="1636" t="s">
        <v>9</v>
      </c>
      <c r="F2023" s="2" t="str">
        <f>IF(OR(ISBLANK('4M'!$C40), '4M'!$C40= "Capital expenditure purpose - WASTEWATER additional line 5 [Other categories]"),"##BLANK", '4M'!$C40)</f>
        <v>##BLANK</v>
      </c>
      <c r="G2023" s="1635" t="str">
        <f>IF(ISBLANK('4M'!G40), "##BLANK", '4M'!G40)</f>
        <v>##BLANK</v>
      </c>
      <c r="H2023" s="1636"/>
    </row>
    <row r="2024" spans="1:8">
      <c r="A2024" s="1620" t="str">
        <f>INDEX(Lists!$C$4:$C$24,MATCH(Validation!$B$3,Lists!$B$4:$B$24,0))</f>
        <v>TMS</v>
      </c>
      <c r="B2024" s="1732" t="str">
        <f>'4M'!BI41</f>
        <v>S3A00006FL</v>
      </c>
      <c r="C2024" s="1732" t="str">
        <f>"Capital expenditure purpose - WASTEWATER additional line 6 [Other categories] - "&amp;'4M'!$G$5</f>
        <v>Capital expenditure purpose - WASTEWATER additional line 6 [Other categories] - Foul</v>
      </c>
      <c r="D2024" s="1620" t="str">
        <f>'4M'!E41</f>
        <v>£m</v>
      </c>
      <c r="E2024" s="1636" t="s">
        <v>9</v>
      </c>
      <c r="F2024" s="2" t="str">
        <f>IF(OR(ISBLANK('4M'!$C41), '4M'!$C41= "Capital expenditure purpose - WASTEWATER additional line 6 [Other categories]"),"##BLANK", '4M'!$C41)</f>
        <v>##BLANK</v>
      </c>
      <c r="G2024" s="1635" t="str">
        <f>IF(ISBLANK('4M'!G41), "##BLANK", '4M'!G41)</f>
        <v>##BLANK</v>
      </c>
      <c r="H2024" s="1636"/>
    </row>
    <row r="2025" spans="1:8">
      <c r="A2025" s="1620" t="str">
        <f>INDEX(Lists!$C$4:$C$24,MATCH(Validation!$B$3,Lists!$B$4:$B$24,0))</f>
        <v>TMS</v>
      </c>
      <c r="B2025" s="1732" t="str">
        <f>'4M'!BI42</f>
        <v>S3A00007FL</v>
      </c>
      <c r="C2025" s="1732" t="str">
        <f>"Capital expenditure purpose - WASTEWATER additional line 7 [Other categories] - "&amp;'4M'!$G$5</f>
        <v>Capital expenditure purpose - WASTEWATER additional line 7 [Other categories] - Foul</v>
      </c>
      <c r="D2025" s="1620" t="str">
        <f>'4M'!E42</f>
        <v>£m</v>
      </c>
      <c r="E2025" s="1636" t="s">
        <v>9</v>
      </c>
      <c r="F2025" s="2" t="str">
        <f>IF(OR(ISBLANK('4M'!$C42), '4M'!$C42= "Capital expenditure purpose - WASTEWATER additional line 7 [Other categories]"),"##BLANK", '4M'!$C42)</f>
        <v>##BLANK</v>
      </c>
      <c r="G2025" s="1635" t="str">
        <f>IF(ISBLANK('4M'!G42), "##BLANK", '4M'!G42)</f>
        <v>##BLANK</v>
      </c>
      <c r="H2025" s="1636"/>
    </row>
    <row r="2026" spans="1:8">
      <c r="A2026" s="1620" t="str">
        <f>INDEX(Lists!$C$4:$C$24,MATCH(Validation!$B$3,Lists!$B$4:$B$24,0))</f>
        <v>TMS</v>
      </c>
      <c r="B2026" s="1732" t="str">
        <f>'4M'!BI43</f>
        <v>S3A00008FL</v>
      </c>
      <c r="C2026" s="1732" t="str">
        <f>"Capital expenditure purpose - WASTEWATER additional line 8 [Other categories] - "&amp;'4M'!$G$5</f>
        <v>Capital expenditure purpose - WASTEWATER additional line 8 [Other categories] - Foul</v>
      </c>
      <c r="D2026" s="1620" t="str">
        <f>'4M'!E43</f>
        <v>£m</v>
      </c>
      <c r="E2026" s="1636" t="s">
        <v>9</v>
      </c>
      <c r="F2026" s="2" t="str">
        <f>IF(OR(ISBLANK('4M'!$C43), '4M'!$C43= "Capital expenditure purpose - WASTEWATER additional line 8 [Other categories]"),"##BLANK", '4M'!$C43)</f>
        <v>##BLANK</v>
      </c>
      <c r="G2026" s="1635" t="str">
        <f>IF(ISBLANK('4M'!G43), "##BLANK", '4M'!G43)</f>
        <v>##BLANK</v>
      </c>
      <c r="H2026" s="1636"/>
    </row>
    <row r="2027" spans="1:8">
      <c r="A2027" s="1620" t="str">
        <f>INDEX(Lists!$C$4:$C$24,MATCH(Validation!$B$3,Lists!$B$4:$B$24,0))</f>
        <v>TMS</v>
      </c>
      <c r="B2027" s="1732" t="str">
        <f>'4M'!BI44</f>
        <v>S3A00009FL</v>
      </c>
      <c r="C2027" s="1732" t="str">
        <f>"Capital expenditure purpose - WASTEWATER additional line 9 [Other categories] - "&amp;'4M'!$G$5</f>
        <v>Capital expenditure purpose - WASTEWATER additional line 9 [Other categories] - Foul</v>
      </c>
      <c r="D2027" s="1620" t="str">
        <f>'4M'!E44</f>
        <v>£m</v>
      </c>
      <c r="E2027" s="1636" t="s">
        <v>9</v>
      </c>
      <c r="F2027" s="2" t="str">
        <f>IF(OR(ISBLANK('4M'!$C44), '4M'!$C44= "Capital expenditure purpose - WASTEWATER additional line 9 [Other categories]"),"##BLANK", '4M'!$C44)</f>
        <v>##BLANK</v>
      </c>
      <c r="G2027" s="1635" t="str">
        <f>IF(ISBLANK('4M'!G44), "##BLANK", '4M'!G44)</f>
        <v>##BLANK</v>
      </c>
      <c r="H2027" s="1636"/>
    </row>
    <row r="2028" spans="1:8">
      <c r="A2028" s="1620" t="str">
        <f>INDEX(Lists!$C$4:$C$24,MATCH(Validation!$B$3,Lists!$B$4:$B$24,0))</f>
        <v>TMS</v>
      </c>
      <c r="B2028" s="1732" t="str">
        <f>'4M'!BI45</f>
        <v>S3A00010FL</v>
      </c>
      <c r="C2028" s="1732" t="str">
        <f>"Capital expenditure purpose - WASTEWATER additional line 10 [Other categories] - "&amp;'4M'!$G$5</f>
        <v>Capital expenditure purpose - WASTEWATER additional line 10 [Other categories] - Foul</v>
      </c>
      <c r="D2028" s="1620" t="str">
        <f>'4M'!E45</f>
        <v>£m</v>
      </c>
      <c r="E2028" s="1636" t="s">
        <v>9</v>
      </c>
      <c r="F2028" s="2" t="str">
        <f>IF(OR(ISBLANK('4M'!$C45), '4M'!$C45= "Capital expenditure purpose - WASTEWATER additional line 10 [Other categories]"),"##BLANK", '4M'!$C45)</f>
        <v>##BLANK</v>
      </c>
      <c r="G2028" s="1635" t="str">
        <f>IF(ISBLANK('4M'!G45), "##BLANK", '4M'!G45)</f>
        <v>##BLANK</v>
      </c>
      <c r="H2028" s="1636"/>
    </row>
    <row r="2029" spans="1:8">
      <c r="A2029" s="1620" t="str">
        <f>INDEX(Lists!$C$4:$C$24,MATCH(Validation!$B$3,Lists!$B$4:$B$24,0))</f>
        <v>TMS</v>
      </c>
      <c r="B2029" s="1732" t="str">
        <f>'4M'!BI46</f>
        <v>S3A00011FL</v>
      </c>
      <c r="C2029" s="1732" t="str">
        <f>"Capital expenditure purpose - WASTEWATER additional line 11 [Other categories] - "&amp;'4M'!$G$5</f>
        <v>Capital expenditure purpose - WASTEWATER additional line 11 [Other categories] - Foul</v>
      </c>
      <c r="D2029" s="1620" t="str">
        <f>'4M'!E46</f>
        <v>£m</v>
      </c>
      <c r="E2029" s="1636" t="s">
        <v>9</v>
      </c>
      <c r="F2029" s="2" t="str">
        <f>IF(OR(ISBLANK('4M'!$C46), '4M'!$C46= "Capital expenditure purpose - WASTEWATER additional line 11 [Other categories]"),"##BLANK", '4M'!$C46)</f>
        <v>##BLANK</v>
      </c>
      <c r="G2029" s="1635" t="str">
        <f>IF(ISBLANK('4M'!G46), "##BLANK", '4M'!G46)</f>
        <v>##BLANK</v>
      </c>
      <c r="H2029" s="1636"/>
    </row>
    <row r="2030" spans="1:8">
      <c r="A2030" s="1620" t="str">
        <f>INDEX(Lists!$C$4:$C$24,MATCH(Validation!$B$3,Lists!$B$4:$B$24,0))</f>
        <v>TMS</v>
      </c>
      <c r="B2030" s="1732" t="str">
        <f>'4M'!BI47</f>
        <v>S3A00012FL</v>
      </c>
      <c r="C2030" s="1732" t="str">
        <f>"Capital expenditure purpose - WASTEWATER additional line 12 [Other categories] - "&amp;'4M'!$G$5</f>
        <v>Capital expenditure purpose - WASTEWATER additional line 12 [Other categories] - Foul</v>
      </c>
      <c r="D2030" s="1620" t="str">
        <f>'4M'!E47</f>
        <v>£m</v>
      </c>
      <c r="E2030" s="1636" t="s">
        <v>9</v>
      </c>
      <c r="F2030" s="2" t="str">
        <f>IF(OR(ISBLANK('4M'!$C47), '4M'!$C47= "Capital expenditure purpose - WASTEWATER additional line 12 [Other categories]"),"##BLANK", '4M'!$C47)</f>
        <v>##BLANK</v>
      </c>
      <c r="G2030" s="1635" t="str">
        <f>IF(ISBLANK('4M'!G47), "##BLANK", '4M'!G47)</f>
        <v>##BLANK</v>
      </c>
      <c r="H2030" s="1636"/>
    </row>
    <row r="2031" spans="1:8">
      <c r="A2031" s="1620" t="str">
        <f>INDEX(Lists!$C$4:$C$24,MATCH(Validation!$B$3,Lists!$B$4:$B$24,0))</f>
        <v>TMS</v>
      </c>
      <c r="B2031" s="1732" t="str">
        <f>'4M'!BI48</f>
        <v>S3A00013FL</v>
      </c>
      <c r="C2031" s="1732" t="str">
        <f>"Capital expenditure purpose - WASTEWATER additional line 13 [Other categories] - "&amp;'4M'!$G$5</f>
        <v>Capital expenditure purpose - WASTEWATER additional line 13 [Other categories] - Foul</v>
      </c>
      <c r="D2031" s="1620" t="str">
        <f>'4M'!E48</f>
        <v>£m</v>
      </c>
      <c r="E2031" s="1636" t="s">
        <v>9</v>
      </c>
      <c r="F2031" s="2" t="str">
        <f>IF(OR(ISBLANK('4M'!$C48), '4M'!$C48= "Capital expenditure purpose - WASTEWATER additional line 13 [Other categories]"),"##BLANK", '4M'!$C48)</f>
        <v>##BLANK</v>
      </c>
      <c r="G2031" s="1635" t="str">
        <f>IF(ISBLANK('4M'!G48), "##BLANK", '4M'!G48)</f>
        <v>##BLANK</v>
      </c>
      <c r="H2031" s="1636"/>
    </row>
    <row r="2032" spans="1:8">
      <c r="A2032" s="1620" t="str">
        <f>INDEX(Lists!$C$4:$C$24,MATCH(Validation!$B$3,Lists!$B$4:$B$24,0))</f>
        <v>TMS</v>
      </c>
      <c r="B2032" s="1732" t="str">
        <f>'4M'!BI49</f>
        <v>S3A00014FL</v>
      </c>
      <c r="C2032" s="1732" t="str">
        <f>"Capital expenditure purpose - WASTEWATER additional line 14 [Other categories] - "&amp;'4M'!$G$5</f>
        <v>Capital expenditure purpose - WASTEWATER additional line 14 [Other categories] - Foul</v>
      </c>
      <c r="D2032" s="1620" t="str">
        <f>'4M'!E49</f>
        <v>£m</v>
      </c>
      <c r="E2032" s="1636" t="s">
        <v>9</v>
      </c>
      <c r="F2032" s="2" t="str">
        <f>IF(OR(ISBLANK('4M'!$C49), '4M'!$C49= "Capital expenditure purpose - WASTEWATER additional line 14 [Other categories]"),"##BLANK", '4M'!$C49)</f>
        <v>##BLANK</v>
      </c>
      <c r="G2032" s="1635" t="str">
        <f>IF(ISBLANK('4M'!G49), "##BLANK", '4M'!G49)</f>
        <v>##BLANK</v>
      </c>
      <c r="H2032" s="1636"/>
    </row>
    <row r="2033" spans="1:8">
      <c r="A2033" s="1730" t="str">
        <f>INDEX(Lists!$C$4:$C$24,MATCH(Validation!$B$3,Lists!$B$4:$B$24,0))</f>
        <v>TMS</v>
      </c>
      <c r="B2033" s="1734" t="str">
        <f>'4M'!BI50</f>
        <v>S3A00015FL</v>
      </c>
      <c r="C2033" s="1734" t="str">
        <f>"Capital expenditure purpose - WASTEWATER additional line 15 [Other categories] - "&amp;'4M'!$G$5</f>
        <v>Capital expenditure purpose - WASTEWATER additional line 15 [Other categories] - Foul</v>
      </c>
      <c r="D2033" s="1730" t="str">
        <f>'4M'!E50</f>
        <v>£m</v>
      </c>
      <c r="E2033" s="1652" t="s">
        <v>9</v>
      </c>
      <c r="F2033" s="1637" t="str">
        <f>IF(OR(ISBLANK('4M'!$C50), '4M'!$C50= "Capital expenditure purpose - WASTEWATER additional line 15 [Other categories]"),"##BLANK", '4M'!$C50)</f>
        <v>##BLANK</v>
      </c>
      <c r="G2033" s="1653" t="str">
        <f>IF(ISBLANK('4M'!G50), "##BLANK", '4M'!G50)</f>
        <v>##BLANK</v>
      </c>
      <c r="H2033" s="1652"/>
    </row>
    <row r="2034" spans="1:8">
      <c r="A2034" s="1620" t="str">
        <f>INDEX(Lists!$C$4:$C$24,MATCH(Validation!$B$3,Lists!$B$4:$B$24,0))</f>
        <v>TMS</v>
      </c>
      <c r="B2034" s="1732" t="str">
        <f>'4M'!BJ8</f>
        <v>BC31379SWD</v>
      </c>
      <c r="C2034" t="str">
        <f>'4M'!$C8&amp;" - "&amp;'4M'!H$5</f>
        <v>First time sewerage (s101A) - Surface water drainage</v>
      </c>
      <c r="D2034" s="1620" t="str">
        <f t="shared" ref="D2034:D2097" si="36">D1991</f>
        <v>£m</v>
      </c>
      <c r="E2034" s="1636" t="s">
        <v>9</v>
      </c>
      <c r="G2034" s="1635">
        <f>'4M'!H8</f>
        <v>0</v>
      </c>
      <c r="H2034" s="1636"/>
    </row>
    <row r="2035" spans="1:8">
      <c r="A2035" s="1620" t="str">
        <f>INDEX(Lists!$C$4:$C$24,MATCH(Validation!$B$3,Lists!$B$4:$B$24,0))</f>
        <v>TMS</v>
      </c>
      <c r="B2035" s="1732" t="str">
        <f>'4M'!BJ9</f>
        <v>S3035QSWD</v>
      </c>
      <c r="C2035" t="str">
        <f>'4M'!$C9&amp;" - "&amp;'4M'!H$5</f>
        <v>Sludge enhancement (quality) - Surface water drainage</v>
      </c>
      <c r="D2035" s="1620" t="str">
        <f t="shared" si="36"/>
        <v>£m</v>
      </c>
      <c r="E2035" s="1636" t="s">
        <v>9</v>
      </c>
      <c r="G2035" s="1635">
        <f>'4M'!H9</f>
        <v>0</v>
      </c>
      <c r="H2035" s="1636"/>
    </row>
    <row r="2036" spans="1:8">
      <c r="A2036" s="1620" t="str">
        <f>INDEX(Lists!$C$4:$C$24,MATCH(Validation!$B$3,Lists!$B$4:$B$24,0))</f>
        <v>TMS</v>
      </c>
      <c r="B2036" s="1732" t="str">
        <f>'4M'!BJ10</f>
        <v>S3036GSWD</v>
      </c>
      <c r="C2036" t="str">
        <f>'4M'!$C10&amp;" - "&amp;'4M'!H$5</f>
        <v>Sludge enhancement (growth) - Surface water drainage</v>
      </c>
      <c r="D2036" s="1620" t="str">
        <f t="shared" si="36"/>
        <v>£m</v>
      </c>
      <c r="E2036" s="1636" t="s">
        <v>9</v>
      </c>
      <c r="G2036" s="1635">
        <f>'4M'!H10</f>
        <v>0</v>
      </c>
      <c r="H2036" s="1636"/>
    </row>
    <row r="2037" spans="1:8">
      <c r="A2037" s="1620" t="str">
        <f>INDEX(Lists!$C$4:$C$24,MATCH(Validation!$B$3,Lists!$B$4:$B$24,0))</f>
        <v>TMS</v>
      </c>
      <c r="B2037" s="1732" t="str">
        <f>'4M'!BJ11</f>
        <v>S3004SWD</v>
      </c>
      <c r="C2037" t="str">
        <f>'4M'!$C11&amp;" - "&amp;'4M'!H$5</f>
        <v>NEP - Conservation drivers - Surface water drainage</v>
      </c>
      <c r="D2037" s="1620" t="str">
        <f t="shared" si="36"/>
        <v>£m</v>
      </c>
      <c r="E2037" s="1636" t="s">
        <v>9</v>
      </c>
      <c r="G2037" s="1635">
        <f>'4M'!H11</f>
        <v>1.0118287724073066E-2</v>
      </c>
      <c r="H2037" s="1636"/>
    </row>
    <row r="2038" spans="1:8">
      <c r="A2038" s="1620" t="str">
        <f>INDEX(Lists!$C$4:$C$24,MATCH(Validation!$B$3,Lists!$B$4:$B$24,0))</f>
        <v>TMS</v>
      </c>
      <c r="B2038" s="1732" t="str">
        <f>'4M'!BJ12</f>
        <v>WWS2001SWD</v>
      </c>
      <c r="C2038" t="str">
        <f>'4M'!$C12&amp;" - "&amp;'4M'!H$5</f>
        <v>NEP - Eels Regulations (measures at outfalls) - Surface water drainage</v>
      </c>
      <c r="D2038" s="1620" t="str">
        <f t="shared" si="36"/>
        <v>£m</v>
      </c>
      <c r="E2038" s="1636" t="s">
        <v>9</v>
      </c>
      <c r="G2038" s="1635">
        <f>'4M'!H12</f>
        <v>0</v>
      </c>
      <c r="H2038" s="1636"/>
    </row>
    <row r="2039" spans="1:8">
      <c r="A2039" s="1620" t="str">
        <f>INDEX(Lists!$C$4:$C$24,MATCH(Validation!$B$3,Lists!$B$4:$B$24,0))</f>
        <v>TMS</v>
      </c>
      <c r="B2039" s="1732" t="str">
        <f>'4M'!BJ13</f>
        <v>S3005SWD</v>
      </c>
      <c r="C2039" t="str">
        <f>'4M'!$C13&amp;" - "&amp;'4M'!H$5</f>
        <v>NEP - Event Duration Monitoring at intermittent discharges - Surface water drainage</v>
      </c>
      <c r="D2039" s="1620" t="str">
        <f t="shared" si="36"/>
        <v>£m</v>
      </c>
      <c r="E2039" s="1636" t="s">
        <v>9</v>
      </c>
      <c r="G2039" s="1635">
        <f>'4M'!H13</f>
        <v>0</v>
      </c>
      <c r="H2039" s="1636"/>
    </row>
    <row r="2040" spans="1:8">
      <c r="A2040" s="1620" t="str">
        <f>INDEX(Lists!$C$4:$C$24,MATCH(Validation!$B$3,Lists!$B$4:$B$24,0))</f>
        <v>TMS</v>
      </c>
      <c r="B2040" s="1732" t="str">
        <f>'4M'!BJ14</f>
        <v>S3006SWD</v>
      </c>
      <c r="C2040" t="str">
        <f>'4M'!$C14&amp;" - "&amp;'4M'!H$5</f>
        <v>NEP - Flow monitoring at sewage treatment works - Surface water drainage</v>
      </c>
      <c r="D2040" s="1620" t="str">
        <f t="shared" si="36"/>
        <v>£m</v>
      </c>
      <c r="E2040" s="1636" t="s">
        <v>9</v>
      </c>
      <c r="G2040" s="1635">
        <f>'4M'!H14</f>
        <v>0</v>
      </c>
      <c r="H2040" s="1636"/>
    </row>
    <row r="2041" spans="1:8">
      <c r="A2041" s="1620" t="str">
        <f>INDEX(Lists!$C$4:$C$24,MATCH(Validation!$B$3,Lists!$B$4:$B$24,0))</f>
        <v>TMS</v>
      </c>
      <c r="B2041" s="1732" t="str">
        <f>'4M'!BJ15</f>
        <v>S3007SWD</v>
      </c>
      <c r="C2041" t="str">
        <f>'4M'!$C15&amp;" - "&amp;'4M'!H$5</f>
        <v>NEP - Monitoring of pass forward flows at CSOs - Surface water drainage</v>
      </c>
      <c r="D2041" s="1620" t="str">
        <f t="shared" si="36"/>
        <v>£m</v>
      </c>
      <c r="E2041" s="1636" t="s">
        <v>9</v>
      </c>
      <c r="G2041" s="1635">
        <f>'4M'!H15</f>
        <v>0</v>
      </c>
      <c r="H2041" s="1636"/>
    </row>
    <row r="2042" spans="1:8">
      <c r="A2042" s="1620" t="str">
        <f>INDEX(Lists!$C$4:$C$24,MATCH(Validation!$B$3,Lists!$B$4:$B$24,0))</f>
        <v>TMS</v>
      </c>
      <c r="B2042" s="1732" t="str">
        <f>'4M'!BJ16</f>
        <v>WWS2002SWD</v>
      </c>
      <c r="C2042" t="str">
        <f>'4M'!$C16&amp;" - "&amp;'4M'!H$5</f>
        <v>NEP - Schemes to increase flow to full treatment - Surface water drainage</v>
      </c>
      <c r="D2042" s="1620" t="str">
        <f t="shared" si="36"/>
        <v>£m</v>
      </c>
      <c r="E2042" s="1636" t="s">
        <v>9</v>
      </c>
      <c r="G2042" s="1635">
        <f>'4M'!H16</f>
        <v>0</v>
      </c>
      <c r="H2042" s="1636"/>
    </row>
    <row r="2043" spans="1:8">
      <c r="A2043" s="1620" t="str">
        <f>INDEX(Lists!$C$4:$C$24,MATCH(Validation!$B$3,Lists!$B$4:$B$24,0))</f>
        <v>TMS</v>
      </c>
      <c r="B2043" s="1732" t="str">
        <f>'4M'!BJ17</f>
        <v>WWS2003SWD</v>
      </c>
      <c r="C2043" t="str">
        <f>'4M'!$C17&amp;" - "&amp;'4M'!H$5</f>
        <v>NEP - Schemes to increase storm tank capacity - Surface water drainage</v>
      </c>
      <c r="D2043" s="1620" t="str">
        <f t="shared" si="36"/>
        <v>£m</v>
      </c>
      <c r="E2043" s="1636" t="s">
        <v>9</v>
      </c>
      <c r="G2043" s="1635">
        <f>'4M'!H17</f>
        <v>0</v>
      </c>
      <c r="H2043" s="1636"/>
    </row>
    <row r="2044" spans="1:8">
      <c r="A2044" s="1620" t="str">
        <f>INDEX(Lists!$C$4:$C$24,MATCH(Validation!$B$3,Lists!$B$4:$B$24,0))</f>
        <v>TMS</v>
      </c>
      <c r="B2044" s="1732" t="str">
        <f>'4M'!BJ18</f>
        <v>S3008SWD</v>
      </c>
      <c r="C2044" t="str">
        <f>'4M'!$C18&amp;" - "&amp;'4M'!H$5</f>
        <v>NEP - Storage schemes to reduce spill frequency at CSOs, storm tanks, etc - Surface water drainage</v>
      </c>
      <c r="D2044" s="1620" t="str">
        <f t="shared" si="36"/>
        <v>£m</v>
      </c>
      <c r="E2044" s="1636" t="s">
        <v>9</v>
      </c>
      <c r="G2044" s="1635">
        <f>'4M'!H18</f>
        <v>0</v>
      </c>
      <c r="H2044" s="1636"/>
    </row>
    <row r="2045" spans="1:8">
      <c r="A2045" s="1620" t="str">
        <f>INDEX(Lists!$C$4:$C$24,MATCH(Validation!$B$3,Lists!$B$4:$B$24,0))</f>
        <v>TMS</v>
      </c>
      <c r="B2045" s="1732" t="str">
        <f>'4M'!BJ19</f>
        <v>S3009SWD</v>
      </c>
      <c r="C2045" t="str">
        <f>'4M'!$C19&amp;" - "&amp;'4M'!H$5</f>
        <v>NEP - Chemicals monitoring/ investigations/ options appraisals - Surface water drainage</v>
      </c>
      <c r="D2045" s="1620" t="str">
        <f t="shared" si="36"/>
        <v>£m</v>
      </c>
      <c r="E2045" s="1636" t="s">
        <v>9</v>
      </c>
      <c r="G2045" s="1635">
        <f>'4M'!H19</f>
        <v>0</v>
      </c>
      <c r="H2045" s="1636"/>
    </row>
    <row r="2046" spans="1:8">
      <c r="A2046" s="1620" t="str">
        <f>INDEX(Lists!$C$4:$C$24,MATCH(Validation!$B$3,Lists!$B$4:$B$24,0))</f>
        <v>TMS</v>
      </c>
      <c r="B2046" s="1732" t="str">
        <f>'4M'!BJ20</f>
        <v>WWS2007SWD</v>
      </c>
      <c r="C2046" t="str">
        <f>'4M'!$C20&amp;" - "&amp;'4M'!H$5</f>
        <v>NEP - National phosphorus removal technology investigations - Surface water drainage</v>
      </c>
      <c r="D2046" s="1620" t="str">
        <f t="shared" si="36"/>
        <v>£m</v>
      </c>
      <c r="E2046" s="1636" t="s">
        <v>9</v>
      </c>
      <c r="G2046" s="1635">
        <f>'4M'!H20</f>
        <v>0</v>
      </c>
      <c r="H2046" s="1636"/>
    </row>
    <row r="2047" spans="1:8">
      <c r="A2047" s="1620" t="str">
        <f>INDEX(Lists!$C$4:$C$24,MATCH(Validation!$B$3,Lists!$B$4:$B$24,0))</f>
        <v>TMS</v>
      </c>
      <c r="B2047" s="1732" t="str">
        <f>'4M'!BJ21</f>
        <v>S3010SWD</v>
      </c>
      <c r="C2047" t="str">
        <f>'4M'!$C21&amp;" - "&amp;'4M'!H$5</f>
        <v>NEP - Groundwater schemes - Surface water drainage</v>
      </c>
      <c r="D2047" s="1620" t="str">
        <f t="shared" si="36"/>
        <v>£m</v>
      </c>
      <c r="E2047" s="1636" t="s">
        <v>9</v>
      </c>
      <c r="G2047" s="1635">
        <f>'4M'!H21</f>
        <v>0</v>
      </c>
      <c r="H2047" s="1636"/>
    </row>
    <row r="2048" spans="1:8">
      <c r="A2048" s="1620" t="str">
        <f>INDEX(Lists!$C$4:$C$24,MATCH(Validation!$B$3,Lists!$B$4:$B$24,0))</f>
        <v>TMS</v>
      </c>
      <c r="B2048" s="1732" t="str">
        <f>'4M'!BJ22</f>
        <v>S3011SWD</v>
      </c>
      <c r="C2048" t="str">
        <f>'4M'!$C22&amp;" - "&amp;'4M'!H$5</f>
        <v>NEP - Investigations - Surface water drainage</v>
      </c>
      <c r="D2048" s="1620" t="str">
        <f t="shared" si="36"/>
        <v>£m</v>
      </c>
      <c r="E2048" s="1636" t="s">
        <v>9</v>
      </c>
      <c r="G2048" s="1635">
        <f>'4M'!H22</f>
        <v>0</v>
      </c>
      <c r="H2048" s="1636"/>
    </row>
    <row r="2049" spans="1:8">
      <c r="A2049" s="1620" t="str">
        <f>INDEX(Lists!$C$4:$C$24,MATCH(Validation!$B$3,Lists!$B$4:$B$24,0))</f>
        <v>TMS</v>
      </c>
      <c r="B2049" s="1732" t="str">
        <f>'4M'!BJ23</f>
        <v>S3012SWD</v>
      </c>
      <c r="C2049" t="str">
        <f>'4M'!$C23&amp;" - "&amp;'4M'!H$5</f>
        <v>NEP - Nutrients (N removal) - Surface water drainage</v>
      </c>
      <c r="D2049" s="1620" t="str">
        <f t="shared" si="36"/>
        <v>£m</v>
      </c>
      <c r="E2049" s="1636" t="s">
        <v>9</v>
      </c>
      <c r="G2049" s="1635">
        <f>'4M'!H23</f>
        <v>0</v>
      </c>
      <c r="H2049" s="1636"/>
    </row>
    <row r="2050" spans="1:8">
      <c r="A2050" s="1620" t="str">
        <f>INDEX(Lists!$C$4:$C$24,MATCH(Validation!$B$3,Lists!$B$4:$B$24,0))</f>
        <v>TMS</v>
      </c>
      <c r="B2050" s="1732" t="str">
        <f>'4M'!BJ24</f>
        <v>S3013SWD</v>
      </c>
      <c r="C2050" t="str">
        <f>'4M'!$C24&amp;" - "&amp;'4M'!H$5</f>
        <v>NEP - Nutrients (P removal at activated sludge STWs) - Surface water drainage</v>
      </c>
      <c r="D2050" s="1620" t="str">
        <f t="shared" si="36"/>
        <v>£m</v>
      </c>
      <c r="E2050" s="1636" t="s">
        <v>9</v>
      </c>
      <c r="G2050" s="1635">
        <f>'4M'!H24</f>
        <v>0</v>
      </c>
      <c r="H2050" s="1636"/>
    </row>
    <row r="2051" spans="1:8">
      <c r="A2051" s="1620" t="str">
        <f>INDEX(Lists!$C$4:$C$24,MATCH(Validation!$B$3,Lists!$B$4:$B$24,0))</f>
        <v>TMS</v>
      </c>
      <c r="B2051" s="1732" t="str">
        <f>'4M'!BJ25</f>
        <v>S3014SWD</v>
      </c>
      <c r="C2051" t="str">
        <f>'4M'!$C25&amp;" - "&amp;'4M'!H$5</f>
        <v>NEP - Nutrients (P removal at filter bed STWs) - Surface water drainage</v>
      </c>
      <c r="D2051" s="1620" t="str">
        <f t="shared" si="36"/>
        <v>£m</v>
      </c>
      <c r="E2051" s="1636" t="s">
        <v>9</v>
      </c>
      <c r="G2051" s="1635">
        <f>'4M'!H25</f>
        <v>0</v>
      </c>
      <c r="H2051" s="1636"/>
    </row>
    <row r="2052" spans="1:8">
      <c r="A2052" s="1620" t="str">
        <f>INDEX(Lists!$C$4:$C$24,MATCH(Validation!$B$3,Lists!$B$4:$B$24,0))</f>
        <v>TMS</v>
      </c>
      <c r="B2052" s="1732" t="str">
        <f>'4M'!BJ26</f>
        <v>S3015SWD</v>
      </c>
      <c r="C2052" t="str">
        <f>'4M'!$C26&amp;" - "&amp;'4M'!H$5</f>
        <v>NEP - Reduction of sanitary parameters - Surface water drainage</v>
      </c>
      <c r="D2052" s="1620" t="str">
        <f t="shared" si="36"/>
        <v>£m</v>
      </c>
      <c r="E2052" s="1636" t="s">
        <v>9</v>
      </c>
      <c r="G2052" s="1635">
        <f>'4M'!H26</f>
        <v>0</v>
      </c>
      <c r="H2052" s="1636"/>
    </row>
    <row r="2053" spans="1:8">
      <c r="A2053" s="1620" t="str">
        <f>INDEX(Lists!$C$4:$C$24,MATCH(Validation!$B$3,Lists!$B$4:$B$24,0))</f>
        <v>TMS</v>
      </c>
      <c r="B2053" s="1732" t="str">
        <f>'4M'!BJ27</f>
        <v>S3016SWD</v>
      </c>
      <c r="C2053" t="str">
        <f>'4M'!$C27&amp;" - "&amp;'4M'!H$5</f>
        <v>NEP - UV disinfection (or similar) - Surface water drainage</v>
      </c>
      <c r="D2053" s="1620" t="str">
        <f t="shared" si="36"/>
        <v>£m</v>
      </c>
      <c r="E2053" s="1636" t="s">
        <v>9</v>
      </c>
      <c r="G2053" s="1635">
        <f>'4M'!H27</f>
        <v>0</v>
      </c>
      <c r="H2053" s="1636"/>
    </row>
    <row r="2054" spans="1:8">
      <c r="A2054" s="1620" t="str">
        <f>INDEX(Lists!$C$4:$C$24,MATCH(Validation!$B$3,Lists!$B$4:$B$24,0))</f>
        <v>TMS</v>
      </c>
      <c r="B2054" s="1732" t="str">
        <f>'4M'!BJ28</f>
        <v>S3017SWD</v>
      </c>
      <c r="C2054" t="str">
        <f>'4M'!$C28&amp;" - "&amp;'4M'!H$5</f>
        <v>NEP - Discharge relocation - Surface water drainage</v>
      </c>
      <c r="D2054" s="1620" t="str">
        <f t="shared" si="36"/>
        <v>£m</v>
      </c>
      <c r="E2054" s="1636" t="s">
        <v>9</v>
      </c>
      <c r="G2054" s="1635">
        <f>'4M'!H28</f>
        <v>0</v>
      </c>
      <c r="H2054" s="1636"/>
    </row>
    <row r="2055" spans="1:8">
      <c r="A2055" s="1620" t="str">
        <f>INDEX(Lists!$C$4:$C$24,MATCH(Validation!$B$3,Lists!$B$4:$B$24,0))</f>
        <v>TMS</v>
      </c>
      <c r="B2055" s="1732" t="str">
        <f>'4M'!BJ29</f>
        <v>S3018SWD</v>
      </c>
      <c r="C2055" t="str">
        <f>'4M'!$C29&amp;" - "&amp;'4M'!H$5</f>
        <v>NEP - Flow 1 schemes - Surface water drainage</v>
      </c>
      <c r="D2055" s="1620" t="str">
        <f t="shared" si="36"/>
        <v>£m</v>
      </c>
      <c r="E2055" s="1636" t="s">
        <v>9</v>
      </c>
      <c r="G2055" s="1635">
        <f>'4M'!H29</f>
        <v>0</v>
      </c>
      <c r="H2055" s="1636"/>
    </row>
    <row r="2056" spans="1:8">
      <c r="A2056" s="1620" t="str">
        <f>INDEX(Lists!$C$4:$C$24,MATCH(Validation!$B$3,Lists!$B$4:$B$24,0))</f>
        <v>TMS</v>
      </c>
      <c r="B2056" s="1732" t="str">
        <f>'4M'!BJ30</f>
        <v>S3019SWD</v>
      </c>
      <c r="C2056" t="str">
        <f>'4M'!$C30&amp;" - "&amp;'4M'!H$5</f>
        <v>Odour - Surface water drainage</v>
      </c>
      <c r="D2056" s="1620" t="str">
        <f t="shared" si="36"/>
        <v>£m</v>
      </c>
      <c r="E2056" s="1636" t="s">
        <v>9</v>
      </c>
      <c r="G2056" s="1635">
        <f>'4M'!H30</f>
        <v>0</v>
      </c>
      <c r="H2056" s="1636"/>
    </row>
    <row r="2057" spans="1:8">
      <c r="A2057" s="1620" t="str">
        <f>INDEX(Lists!$C$4:$C$24,MATCH(Validation!$B$3,Lists!$B$4:$B$24,0))</f>
        <v>TMS</v>
      </c>
      <c r="B2057" s="1732" t="str">
        <f>'4M'!BJ31</f>
        <v>S3020SWD</v>
      </c>
      <c r="C2057" t="str">
        <f>'4M'!$C31&amp;" - "&amp;'4M'!H$5</f>
        <v>New development and growth - Surface water drainage</v>
      </c>
      <c r="D2057" s="1620" t="str">
        <f t="shared" si="36"/>
        <v>£m</v>
      </c>
      <c r="E2057" s="1636" t="s">
        <v>9</v>
      </c>
      <c r="G2057" s="1635">
        <f>'4M'!H31</f>
        <v>1.7786252755431913</v>
      </c>
      <c r="H2057" s="1636"/>
    </row>
    <row r="2058" spans="1:8">
      <c r="A2058" s="1620" t="str">
        <f>INDEX(Lists!$C$4:$C$24,MATCH(Validation!$B$3,Lists!$B$4:$B$24,0))</f>
        <v>TMS</v>
      </c>
      <c r="B2058" s="1732" t="str">
        <f>'4M'!BJ32</f>
        <v>S3021SWD</v>
      </c>
      <c r="C2058" t="str">
        <f>'4M'!$C32&amp;" - "&amp;'4M'!H$5</f>
        <v>Growth at sewage treatment works (excluding sludge treatment) - Surface water drainage</v>
      </c>
      <c r="D2058" s="1620" t="str">
        <f t="shared" si="36"/>
        <v>£m</v>
      </c>
      <c r="E2058" s="1636" t="s">
        <v>9</v>
      </c>
      <c r="G2058" s="1635">
        <f>'4M'!H32</f>
        <v>0</v>
      </c>
      <c r="H2058" s="1636"/>
    </row>
    <row r="2059" spans="1:8">
      <c r="A2059" s="1620" t="str">
        <f>INDEX(Lists!$C$4:$C$24,MATCH(Validation!$B$3,Lists!$B$4:$B$24,0))</f>
        <v>TMS</v>
      </c>
      <c r="B2059" s="1732" t="str">
        <f>'4M'!BJ33</f>
        <v>S3022SWD</v>
      </c>
      <c r="C2059" t="str">
        <f>'4M'!$C33&amp;" - "&amp;'4M'!H$5</f>
        <v>Resilience - Surface water drainage</v>
      </c>
      <c r="D2059" s="1620" t="str">
        <f t="shared" si="36"/>
        <v>£m</v>
      </c>
      <c r="E2059" s="1636" t="s">
        <v>9</v>
      </c>
      <c r="G2059" s="1635">
        <f>'4M'!H33</f>
        <v>0</v>
      </c>
      <c r="H2059" s="1636"/>
    </row>
    <row r="2060" spans="1:8">
      <c r="A2060" s="1620" t="str">
        <f>INDEX(Lists!$C$4:$C$24,MATCH(Validation!$B$3,Lists!$B$4:$B$24,0))</f>
        <v>TMS</v>
      </c>
      <c r="B2060" s="1732" t="str">
        <f>'4M'!BJ34</f>
        <v>BC31785SWD</v>
      </c>
      <c r="C2060" t="str">
        <f>'4M'!$C34&amp;" - "&amp;'4M'!H$5</f>
        <v>SEMD - Surface water drainage</v>
      </c>
      <c r="D2060" s="1620" t="str">
        <f t="shared" si="36"/>
        <v>£m</v>
      </c>
      <c r="E2060" s="1636" t="s">
        <v>9</v>
      </c>
      <c r="G2060" s="1635">
        <f>'4M'!H34</f>
        <v>0</v>
      </c>
      <c r="H2060" s="1636"/>
    </row>
    <row r="2061" spans="1:8">
      <c r="A2061" s="1620" t="str">
        <f>INDEX(Lists!$C$4:$C$24,MATCH(Validation!$B$3,Lists!$B$4:$B$24,0))</f>
        <v>TMS</v>
      </c>
      <c r="B2061" s="1732" t="str">
        <f>'4M'!BJ35</f>
        <v>S3023SWD</v>
      </c>
      <c r="C2061" t="str">
        <f>'4M'!$C35&amp;" - "&amp;'4M'!H$5</f>
        <v>Reduce flooding risk for properties - Surface water drainage</v>
      </c>
      <c r="D2061" s="1620" t="str">
        <f t="shared" si="36"/>
        <v>£m</v>
      </c>
      <c r="E2061" s="1636" t="s">
        <v>9</v>
      </c>
      <c r="G2061" s="1635">
        <f>'4M'!H35</f>
        <v>6.3265946075810348E-2</v>
      </c>
      <c r="H2061" s="1636"/>
    </row>
    <row r="2062" spans="1:8">
      <c r="A2062" s="1620" t="str">
        <f>INDEX(Lists!$C$4:$C$24,MATCH(Validation!$B$3,Lists!$B$4:$B$24,0))</f>
        <v>TMS</v>
      </c>
      <c r="B2062" s="1732" t="str">
        <f>'4M'!BJ36</f>
        <v>S3A00001SWD</v>
      </c>
      <c r="C2062" s="1732" t="str">
        <f>"Capital expenditure purpose - WASTEWATER additional line 1 [Other categories] - "&amp;'4M'!$H$5</f>
        <v>Capital expenditure purpose - WASTEWATER additional line 1 [Other categories] - Surface water drainage</v>
      </c>
      <c r="D2062" s="1620" t="str">
        <f t="shared" si="36"/>
        <v>£m</v>
      </c>
      <c r="E2062" s="1636" t="s">
        <v>9</v>
      </c>
      <c r="F2062" s="2" t="str">
        <f>F2019</f>
        <v>Quality spend at CSOs and quality allocation to Deephams inlet works</v>
      </c>
      <c r="G2062" s="1635">
        <f>IF(ISBLANK('4M'!H36), "##BLANK", '4M'!H36)</f>
        <v>0</v>
      </c>
      <c r="H2062" s="1636"/>
    </row>
    <row r="2063" spans="1:8">
      <c r="A2063" s="1620" t="str">
        <f>INDEX(Lists!$C$4:$C$24,MATCH(Validation!$B$3,Lists!$B$4:$B$24,0))</f>
        <v>TMS</v>
      </c>
      <c r="B2063" s="1732" t="str">
        <f>'4M'!BJ37</f>
        <v>S3A00002SWD</v>
      </c>
      <c r="C2063" s="1732" t="str">
        <f>"Capital expenditure purpose - WASTEWATER additional line 2 [Other categories] - "&amp;'4M'!$H$5</f>
        <v>Capital expenditure purpose - WASTEWATER additional line 2 [Other categories] - Surface water drainage</v>
      </c>
      <c r="D2063" s="1620" t="str">
        <f t="shared" si="36"/>
        <v>£m</v>
      </c>
      <c r="E2063" s="1636" t="s">
        <v>9</v>
      </c>
      <c r="F2063" s="2" t="str">
        <f t="shared" ref="F2063:F2076" si="37">F2020</f>
        <v>Tideway quality (NEP). Excludes Lee Tunnel and sludge.</v>
      </c>
      <c r="G2063" s="1635">
        <f>IF(ISBLANK('4M'!H37), "##BLANK", '4M'!H37)</f>
        <v>0</v>
      </c>
      <c r="H2063" s="1636"/>
    </row>
    <row r="2064" spans="1:8">
      <c r="A2064" s="1620" t="str">
        <f>INDEX(Lists!$C$4:$C$24,MATCH(Validation!$B$3,Lists!$B$4:$B$24,0))</f>
        <v>TMS</v>
      </c>
      <c r="B2064" s="1732" t="str">
        <f>'4M'!BJ38</f>
        <v>S3A00003SWD</v>
      </c>
      <c r="C2064" s="1732" t="str">
        <f>"Capital expenditure purpose - WASTEWATER additional line 3 [Other categories] - "&amp;'4M'!$H$5</f>
        <v>Capital expenditure purpose - WASTEWATER additional line 3 [Other categories] - Surface water drainage</v>
      </c>
      <c r="D2064" s="1620" t="str">
        <f t="shared" si="36"/>
        <v>£m</v>
      </c>
      <c r="E2064" s="1636" t="s">
        <v>9</v>
      </c>
      <c r="F2064" s="2" t="str">
        <f t="shared" si="37"/>
        <v>Lee Tunnel</v>
      </c>
      <c r="G2064" s="1635">
        <f>IF(ISBLANK('4M'!H38), "##BLANK", '4M'!H38)</f>
        <v>0</v>
      </c>
      <c r="H2064" s="1636"/>
    </row>
    <row r="2065" spans="1:8">
      <c r="A2065" s="1620" t="str">
        <f>INDEX(Lists!$C$4:$C$24,MATCH(Validation!$B$3,Lists!$B$4:$B$24,0))</f>
        <v>TMS</v>
      </c>
      <c r="B2065" s="1732" t="str">
        <f>'4M'!BJ39</f>
        <v>S3A00004SWD</v>
      </c>
      <c r="C2065" s="1732" t="str">
        <f>"Capital expenditure purpose - WASTEWATER additional line 4 [Other categories] - "&amp;'4M'!$H$5</f>
        <v>Capital expenditure purpose - WASTEWATER additional line 4 [Other categories] - Surface water drainage</v>
      </c>
      <c r="D2065" s="1620" t="str">
        <f t="shared" si="36"/>
        <v>£m</v>
      </c>
      <c r="E2065" s="1636" t="s">
        <v>9</v>
      </c>
      <c r="F2065" s="2" t="str">
        <f t="shared" si="37"/>
        <v>Non-SEMD related security enhancement (revised Ofwat guidance 6 July 2018)</v>
      </c>
      <c r="G2065" s="1635">
        <f>IF(ISBLANK('4M'!H39), "##BLANK", '4M'!H39)</f>
        <v>0.10647841143883016</v>
      </c>
      <c r="H2065" s="1636"/>
    </row>
    <row r="2066" spans="1:8">
      <c r="A2066" s="1620" t="str">
        <f>INDEX(Lists!$C$4:$C$24,MATCH(Validation!$B$3,Lists!$B$4:$B$24,0))</f>
        <v>TMS</v>
      </c>
      <c r="B2066" s="1732" t="str">
        <f>'4M'!BJ40</f>
        <v>S3A00005SWD</v>
      </c>
      <c r="C2066" s="1732" t="str">
        <f>"Capital expenditure purpose - WASTEWATER additional line 5 [Other categories] - "&amp;'4M'!$H$5</f>
        <v>Capital expenditure purpose - WASTEWATER additional line 5 [Other categories] - Surface water drainage</v>
      </c>
      <c r="D2066" s="1620" t="str">
        <f t="shared" si="36"/>
        <v>£m</v>
      </c>
      <c r="E2066" s="1636" t="s">
        <v>9</v>
      </c>
      <c r="F2066" s="2" t="str">
        <f t="shared" si="37"/>
        <v>##BLANK</v>
      </c>
      <c r="G2066" s="1635" t="str">
        <f>IF(ISBLANK('4M'!H40), "##BLANK", '4M'!H40)</f>
        <v>##BLANK</v>
      </c>
      <c r="H2066" s="1636"/>
    </row>
    <row r="2067" spans="1:8">
      <c r="A2067" s="1620" t="str">
        <f>INDEX(Lists!$C$4:$C$24,MATCH(Validation!$B$3,Lists!$B$4:$B$24,0))</f>
        <v>TMS</v>
      </c>
      <c r="B2067" s="1732" t="str">
        <f>'4M'!BJ41</f>
        <v>S3A00006SWD</v>
      </c>
      <c r="C2067" s="1732" t="str">
        <f>"Capital expenditure purpose - WASTEWATER additional line 6 [Other categories] - "&amp;'4M'!$H$5</f>
        <v>Capital expenditure purpose - WASTEWATER additional line 6 [Other categories] - Surface water drainage</v>
      </c>
      <c r="D2067" s="1620" t="str">
        <f t="shared" si="36"/>
        <v>£m</v>
      </c>
      <c r="E2067" s="1636" t="s">
        <v>9</v>
      </c>
      <c r="F2067" s="2" t="str">
        <f t="shared" si="37"/>
        <v>##BLANK</v>
      </c>
      <c r="G2067" s="1635" t="str">
        <f>IF(ISBLANK('4M'!H41), "##BLANK", '4M'!H41)</f>
        <v>##BLANK</v>
      </c>
      <c r="H2067" s="1636"/>
    </row>
    <row r="2068" spans="1:8">
      <c r="A2068" s="1620" t="str">
        <f>INDEX(Lists!$C$4:$C$24,MATCH(Validation!$B$3,Lists!$B$4:$B$24,0))</f>
        <v>TMS</v>
      </c>
      <c r="B2068" s="1732" t="str">
        <f>'4M'!BJ42</f>
        <v>S3A00007SWD</v>
      </c>
      <c r="C2068" s="1732" t="str">
        <f>"Capital expenditure purpose - WASTEWATER additional line 7 [Other categories] - "&amp;'4M'!$H$5</f>
        <v>Capital expenditure purpose - WASTEWATER additional line 7 [Other categories] - Surface water drainage</v>
      </c>
      <c r="D2068" s="1620" t="str">
        <f t="shared" si="36"/>
        <v>£m</v>
      </c>
      <c r="E2068" s="1636" t="s">
        <v>9</v>
      </c>
      <c r="F2068" s="2" t="str">
        <f t="shared" si="37"/>
        <v>##BLANK</v>
      </c>
      <c r="G2068" s="1635" t="str">
        <f>IF(ISBLANK('4M'!H42), "##BLANK", '4M'!H42)</f>
        <v>##BLANK</v>
      </c>
      <c r="H2068" s="1636"/>
    </row>
    <row r="2069" spans="1:8">
      <c r="A2069" s="1620" t="str">
        <f>INDEX(Lists!$C$4:$C$24,MATCH(Validation!$B$3,Lists!$B$4:$B$24,0))</f>
        <v>TMS</v>
      </c>
      <c r="B2069" s="1732" t="str">
        <f>'4M'!BJ43</f>
        <v>S3A00008SWD</v>
      </c>
      <c r="C2069" s="1732" t="str">
        <f>"Capital expenditure purpose - WASTEWATER additional line 8 [Other categories] - "&amp;'4M'!$H$5</f>
        <v>Capital expenditure purpose - WASTEWATER additional line 8 [Other categories] - Surface water drainage</v>
      </c>
      <c r="D2069" s="1620" t="str">
        <f t="shared" si="36"/>
        <v>£m</v>
      </c>
      <c r="E2069" s="1636" t="s">
        <v>9</v>
      </c>
      <c r="F2069" s="2" t="str">
        <f t="shared" si="37"/>
        <v>##BLANK</v>
      </c>
      <c r="G2069" s="1635" t="str">
        <f>IF(ISBLANK('4M'!H43), "##BLANK", '4M'!H43)</f>
        <v>##BLANK</v>
      </c>
      <c r="H2069" s="1636"/>
    </row>
    <row r="2070" spans="1:8">
      <c r="A2070" s="1620" t="str">
        <f>INDEX(Lists!$C$4:$C$24,MATCH(Validation!$B$3,Lists!$B$4:$B$24,0))</f>
        <v>TMS</v>
      </c>
      <c r="B2070" s="1732" t="str">
        <f>'4M'!BJ44</f>
        <v>S3A00009SWD</v>
      </c>
      <c r="C2070" s="1732" t="str">
        <f>"Capital expenditure purpose - WASTEWATER additional line 9 [Other categories] - "&amp;'4M'!$H$5</f>
        <v>Capital expenditure purpose - WASTEWATER additional line 9 [Other categories] - Surface water drainage</v>
      </c>
      <c r="D2070" s="1620" t="str">
        <f t="shared" si="36"/>
        <v>£m</v>
      </c>
      <c r="E2070" s="1636" t="s">
        <v>9</v>
      </c>
      <c r="F2070" s="2" t="str">
        <f t="shared" si="37"/>
        <v>##BLANK</v>
      </c>
      <c r="G2070" s="1635" t="str">
        <f>IF(ISBLANK('4M'!H44), "##BLANK", '4M'!H44)</f>
        <v>##BLANK</v>
      </c>
      <c r="H2070" s="1636"/>
    </row>
    <row r="2071" spans="1:8">
      <c r="A2071" s="1620" t="str">
        <f>INDEX(Lists!$C$4:$C$24,MATCH(Validation!$B$3,Lists!$B$4:$B$24,0))</f>
        <v>TMS</v>
      </c>
      <c r="B2071" s="1732" t="str">
        <f>'4M'!BJ45</f>
        <v>S3A00010SWD</v>
      </c>
      <c r="C2071" s="1732" t="str">
        <f>"Capital expenditure purpose - WASTEWATER additional line 10 [Other categories] - "&amp;'4M'!$H$5</f>
        <v>Capital expenditure purpose - WASTEWATER additional line 10 [Other categories] - Surface water drainage</v>
      </c>
      <c r="D2071" s="1620" t="str">
        <f t="shared" si="36"/>
        <v>£m</v>
      </c>
      <c r="E2071" s="1636" t="s">
        <v>9</v>
      </c>
      <c r="F2071" s="2" t="str">
        <f t="shared" si="37"/>
        <v>##BLANK</v>
      </c>
      <c r="G2071" s="1635" t="str">
        <f>IF(ISBLANK('4M'!H45), "##BLANK", '4M'!H45)</f>
        <v>##BLANK</v>
      </c>
      <c r="H2071" s="1636"/>
    </row>
    <row r="2072" spans="1:8">
      <c r="A2072" s="1620" t="str">
        <f>INDEX(Lists!$C$4:$C$24,MATCH(Validation!$B$3,Lists!$B$4:$B$24,0))</f>
        <v>TMS</v>
      </c>
      <c r="B2072" s="1732" t="str">
        <f>'4M'!BJ46</f>
        <v>S3A00011SWD</v>
      </c>
      <c r="C2072" s="1732" t="str">
        <f>"Capital expenditure purpose - WASTEWATER additional line 11 [Other categories] - "&amp;'4M'!$H$5</f>
        <v>Capital expenditure purpose - WASTEWATER additional line 11 [Other categories] - Surface water drainage</v>
      </c>
      <c r="D2072" s="1620" t="str">
        <f t="shared" si="36"/>
        <v>£m</v>
      </c>
      <c r="E2072" s="1636" t="s">
        <v>9</v>
      </c>
      <c r="F2072" s="2" t="str">
        <f t="shared" si="37"/>
        <v>##BLANK</v>
      </c>
      <c r="G2072" s="1635" t="str">
        <f>IF(ISBLANK('4M'!H46), "##BLANK", '4M'!H46)</f>
        <v>##BLANK</v>
      </c>
      <c r="H2072" s="1636"/>
    </row>
    <row r="2073" spans="1:8">
      <c r="A2073" s="1620" t="str">
        <f>INDEX(Lists!$C$4:$C$24,MATCH(Validation!$B$3,Lists!$B$4:$B$24,0))</f>
        <v>TMS</v>
      </c>
      <c r="B2073" s="1732" t="str">
        <f>'4M'!BJ47</f>
        <v>S3A00012SWD</v>
      </c>
      <c r="C2073" s="1732" t="str">
        <f>"Capital expenditure purpose - WASTEWATER additional line 12 [Other categories] - "&amp;'4M'!$H$5</f>
        <v>Capital expenditure purpose - WASTEWATER additional line 12 [Other categories] - Surface water drainage</v>
      </c>
      <c r="D2073" s="1620" t="str">
        <f t="shared" si="36"/>
        <v>£m</v>
      </c>
      <c r="E2073" s="1636" t="s">
        <v>9</v>
      </c>
      <c r="F2073" s="2" t="str">
        <f t="shared" si="37"/>
        <v>##BLANK</v>
      </c>
      <c r="G2073" s="1635" t="str">
        <f>IF(ISBLANK('4M'!H47), "##BLANK", '4M'!H47)</f>
        <v>##BLANK</v>
      </c>
      <c r="H2073" s="1636"/>
    </row>
    <row r="2074" spans="1:8">
      <c r="A2074" s="1620" t="str">
        <f>INDEX(Lists!$C$4:$C$24,MATCH(Validation!$B$3,Lists!$B$4:$B$24,0))</f>
        <v>TMS</v>
      </c>
      <c r="B2074" s="1732" t="str">
        <f>'4M'!BJ48</f>
        <v>S3A00013SWD</v>
      </c>
      <c r="C2074" s="1732" t="str">
        <f>"Capital expenditure purpose - WASTEWATER additional line 13 [Other categories] - "&amp;'4M'!$H$5</f>
        <v>Capital expenditure purpose - WASTEWATER additional line 13 [Other categories] - Surface water drainage</v>
      </c>
      <c r="D2074" s="1620" t="str">
        <f t="shared" si="36"/>
        <v>£m</v>
      </c>
      <c r="E2074" s="1636" t="s">
        <v>9</v>
      </c>
      <c r="F2074" s="2" t="str">
        <f t="shared" si="37"/>
        <v>##BLANK</v>
      </c>
      <c r="G2074" s="1635" t="str">
        <f>IF(ISBLANK('4M'!H48), "##BLANK", '4M'!H48)</f>
        <v>##BLANK</v>
      </c>
      <c r="H2074" s="1636"/>
    </row>
    <row r="2075" spans="1:8">
      <c r="A2075" s="1620" t="str">
        <f>INDEX(Lists!$C$4:$C$24,MATCH(Validation!$B$3,Lists!$B$4:$B$24,0))</f>
        <v>TMS</v>
      </c>
      <c r="B2075" s="1732" t="str">
        <f>'4M'!BJ49</f>
        <v>S3A00014SWD</v>
      </c>
      <c r="C2075" s="1732" t="str">
        <f>"Capital expenditure purpose - WASTEWATER additional line 14 [Other categories] - "&amp;'4M'!$H$5</f>
        <v>Capital expenditure purpose - WASTEWATER additional line 14 [Other categories] - Surface water drainage</v>
      </c>
      <c r="D2075" s="1620" t="str">
        <f t="shared" si="36"/>
        <v>£m</v>
      </c>
      <c r="E2075" s="1636" t="s">
        <v>9</v>
      </c>
      <c r="F2075" s="2" t="str">
        <f t="shared" si="37"/>
        <v>##BLANK</v>
      </c>
      <c r="G2075" s="1635" t="str">
        <f>IF(ISBLANK('4M'!H49), "##BLANK", '4M'!H49)</f>
        <v>##BLANK</v>
      </c>
      <c r="H2075" s="1636"/>
    </row>
    <row r="2076" spans="1:8">
      <c r="A2076" s="1730" t="str">
        <f>INDEX(Lists!$C$4:$C$24,MATCH(Validation!$B$3,Lists!$B$4:$B$24,0))</f>
        <v>TMS</v>
      </c>
      <c r="B2076" s="1734" t="str">
        <f>'4M'!BJ50</f>
        <v>S3A00015SWD</v>
      </c>
      <c r="C2076" s="1734" t="str">
        <f>"Capital expenditure purpose - WASTEWATER additional line 15 [Other categories] - "&amp;'4M'!$H$5</f>
        <v>Capital expenditure purpose - WASTEWATER additional line 15 [Other categories] - Surface water drainage</v>
      </c>
      <c r="D2076" s="1730" t="str">
        <f t="shared" si="36"/>
        <v>£m</v>
      </c>
      <c r="E2076" s="1652" t="s">
        <v>9</v>
      </c>
      <c r="F2076" s="1637" t="str">
        <f t="shared" si="37"/>
        <v>##BLANK</v>
      </c>
      <c r="G2076" s="1653" t="str">
        <f>IF(ISBLANK('4M'!H50), "##BLANK", '4M'!H50)</f>
        <v>##BLANK</v>
      </c>
      <c r="H2076" s="1652"/>
    </row>
    <row r="2077" spans="1:8">
      <c r="A2077" s="1620" t="str">
        <f>INDEX(Lists!$C$4:$C$24,MATCH(Validation!$B$3,Lists!$B$4:$B$24,0))</f>
        <v>TMS</v>
      </c>
      <c r="B2077" s="1732" t="str">
        <f>'4M'!BK8</f>
        <v>BC31379HD</v>
      </c>
      <c r="C2077" t="str">
        <f>'4M'!$C8&amp;" - "&amp;'4M'!I$5</f>
        <v>First time sewerage (s101A) - Highway drainage</v>
      </c>
      <c r="D2077" s="1620" t="str">
        <f t="shared" si="36"/>
        <v>£m</v>
      </c>
      <c r="E2077" s="1636" t="s">
        <v>9</v>
      </c>
      <c r="G2077" s="1635">
        <f>'4M'!I8</f>
        <v>0</v>
      </c>
      <c r="H2077" s="1636"/>
    </row>
    <row r="2078" spans="1:8">
      <c r="A2078" s="1620" t="str">
        <f>INDEX(Lists!$C$4:$C$24,MATCH(Validation!$B$3,Lists!$B$4:$B$24,0))</f>
        <v>TMS</v>
      </c>
      <c r="B2078" s="1732" t="str">
        <f>'4M'!BK9</f>
        <v>S3035QHD</v>
      </c>
      <c r="C2078" t="str">
        <f>'4M'!$C9&amp;" - "&amp;'4M'!I$5</f>
        <v>Sludge enhancement (quality) - Highway drainage</v>
      </c>
      <c r="D2078" s="1620" t="str">
        <f t="shared" si="36"/>
        <v>£m</v>
      </c>
      <c r="E2078" s="1636" t="s">
        <v>9</v>
      </c>
      <c r="G2078" s="1635">
        <f>'4M'!I9</f>
        <v>0</v>
      </c>
      <c r="H2078" s="1636"/>
    </row>
    <row r="2079" spans="1:8">
      <c r="A2079" s="1620" t="str">
        <f>INDEX(Lists!$C$4:$C$24,MATCH(Validation!$B$3,Lists!$B$4:$B$24,0))</f>
        <v>TMS</v>
      </c>
      <c r="B2079" s="1732" t="str">
        <f>'4M'!BK10</f>
        <v>S3036GHD</v>
      </c>
      <c r="C2079" t="str">
        <f>'4M'!$C10&amp;" - "&amp;'4M'!I$5</f>
        <v>Sludge enhancement (growth) - Highway drainage</v>
      </c>
      <c r="D2079" s="1620" t="str">
        <f t="shared" si="36"/>
        <v>£m</v>
      </c>
      <c r="E2079" s="1636" t="s">
        <v>9</v>
      </c>
      <c r="G2079" s="1635">
        <f>'4M'!I10</f>
        <v>0</v>
      </c>
      <c r="H2079" s="1636"/>
    </row>
    <row r="2080" spans="1:8">
      <c r="A2080" s="1620" t="str">
        <f>INDEX(Lists!$C$4:$C$24,MATCH(Validation!$B$3,Lists!$B$4:$B$24,0))</f>
        <v>TMS</v>
      </c>
      <c r="B2080" s="1732" t="str">
        <f>'4M'!BK11</f>
        <v>S3004HD</v>
      </c>
      <c r="C2080" t="str">
        <f>'4M'!$C11&amp;" - "&amp;'4M'!I$5</f>
        <v>NEP - Conservation drivers - Highway drainage</v>
      </c>
      <c r="D2080" s="1620" t="str">
        <f t="shared" si="36"/>
        <v>£m</v>
      </c>
      <c r="E2080" s="1636" t="s">
        <v>9</v>
      </c>
      <c r="G2080" s="1635">
        <f>'4M'!I11</f>
        <v>0</v>
      </c>
      <c r="H2080" s="1636"/>
    </row>
    <row r="2081" spans="1:8">
      <c r="A2081" s="1620" t="str">
        <f>INDEX(Lists!$C$4:$C$24,MATCH(Validation!$B$3,Lists!$B$4:$B$24,0))</f>
        <v>TMS</v>
      </c>
      <c r="B2081" s="1732" t="str">
        <f>'4M'!BK12</f>
        <v>WWS2001HD</v>
      </c>
      <c r="C2081" t="str">
        <f>'4M'!$C12&amp;" - "&amp;'4M'!I$5</f>
        <v>NEP - Eels Regulations (measures at outfalls) - Highway drainage</v>
      </c>
      <c r="D2081" s="1620" t="str">
        <f t="shared" si="36"/>
        <v>£m</v>
      </c>
      <c r="E2081" s="1636" t="s">
        <v>9</v>
      </c>
      <c r="G2081" s="1635">
        <f>'4M'!I12</f>
        <v>0</v>
      </c>
      <c r="H2081" s="1636"/>
    </row>
    <row r="2082" spans="1:8">
      <c r="A2082" s="1620" t="str">
        <f>INDEX(Lists!$C$4:$C$24,MATCH(Validation!$B$3,Lists!$B$4:$B$24,0))</f>
        <v>TMS</v>
      </c>
      <c r="B2082" s="1732" t="str">
        <f>'4M'!BK13</f>
        <v>S3005HD</v>
      </c>
      <c r="C2082" t="str">
        <f>'4M'!$C13&amp;" - "&amp;'4M'!I$5</f>
        <v>NEP - Event Duration Monitoring at intermittent discharges - Highway drainage</v>
      </c>
      <c r="D2082" s="1620" t="str">
        <f t="shared" si="36"/>
        <v>£m</v>
      </c>
      <c r="E2082" s="1636" t="s">
        <v>9</v>
      </c>
      <c r="G2082" s="1635">
        <f>'4M'!I13</f>
        <v>0</v>
      </c>
      <c r="H2082" s="1636"/>
    </row>
    <row r="2083" spans="1:8">
      <c r="A2083" s="1620" t="str">
        <f>INDEX(Lists!$C$4:$C$24,MATCH(Validation!$B$3,Lists!$B$4:$B$24,0))</f>
        <v>TMS</v>
      </c>
      <c r="B2083" s="1732" t="str">
        <f>'4M'!BK14</f>
        <v>S3006HD</v>
      </c>
      <c r="C2083" t="str">
        <f>'4M'!$C14&amp;" - "&amp;'4M'!I$5</f>
        <v>NEP - Flow monitoring at sewage treatment works - Highway drainage</v>
      </c>
      <c r="D2083" s="1620" t="str">
        <f t="shared" si="36"/>
        <v>£m</v>
      </c>
      <c r="E2083" s="1636" t="s">
        <v>9</v>
      </c>
      <c r="G2083" s="1635">
        <f>'4M'!I14</f>
        <v>0</v>
      </c>
      <c r="H2083" s="1636"/>
    </row>
    <row r="2084" spans="1:8">
      <c r="A2084" s="1620" t="str">
        <f>INDEX(Lists!$C$4:$C$24,MATCH(Validation!$B$3,Lists!$B$4:$B$24,0))</f>
        <v>TMS</v>
      </c>
      <c r="B2084" s="1732" t="str">
        <f>'4M'!BK15</f>
        <v>S3007HD</v>
      </c>
      <c r="C2084" t="str">
        <f>'4M'!$C15&amp;" - "&amp;'4M'!I$5</f>
        <v>NEP - Monitoring of pass forward flows at CSOs - Highway drainage</v>
      </c>
      <c r="D2084" s="1620" t="str">
        <f t="shared" si="36"/>
        <v>£m</v>
      </c>
      <c r="E2084" s="1636" t="s">
        <v>9</v>
      </c>
      <c r="G2084" s="1635">
        <f>'4M'!I15</f>
        <v>0</v>
      </c>
      <c r="H2084" s="1636"/>
    </row>
    <row r="2085" spans="1:8">
      <c r="A2085" s="1620" t="str">
        <f>INDEX(Lists!$C$4:$C$24,MATCH(Validation!$B$3,Lists!$B$4:$B$24,0))</f>
        <v>TMS</v>
      </c>
      <c r="B2085" s="1732" t="str">
        <f>'4M'!BK16</f>
        <v>WWS2002HD</v>
      </c>
      <c r="C2085" t="str">
        <f>'4M'!$C16&amp;" - "&amp;'4M'!I$5</f>
        <v>NEP - Schemes to increase flow to full treatment - Highway drainage</v>
      </c>
      <c r="D2085" s="1620" t="str">
        <f t="shared" si="36"/>
        <v>£m</v>
      </c>
      <c r="E2085" s="1636" t="s">
        <v>9</v>
      </c>
      <c r="G2085" s="1635">
        <f>'4M'!I16</f>
        <v>0</v>
      </c>
      <c r="H2085" s="1636"/>
    </row>
    <row r="2086" spans="1:8">
      <c r="A2086" s="1620" t="str">
        <f>INDEX(Lists!$C$4:$C$24,MATCH(Validation!$B$3,Lists!$B$4:$B$24,0))</f>
        <v>TMS</v>
      </c>
      <c r="B2086" s="1732" t="str">
        <f>'4M'!BK17</f>
        <v>WWS2003HD</v>
      </c>
      <c r="C2086" t="str">
        <f>'4M'!$C17&amp;" - "&amp;'4M'!I$5</f>
        <v>NEP - Schemes to increase storm tank capacity - Highway drainage</v>
      </c>
      <c r="D2086" s="1620" t="str">
        <f t="shared" si="36"/>
        <v>£m</v>
      </c>
      <c r="E2086" s="1636" t="s">
        <v>9</v>
      </c>
      <c r="G2086" s="1635">
        <f>'4M'!I17</f>
        <v>0</v>
      </c>
      <c r="H2086" s="1636"/>
    </row>
    <row r="2087" spans="1:8">
      <c r="A2087" s="1620" t="str">
        <f>INDEX(Lists!$C$4:$C$24,MATCH(Validation!$B$3,Lists!$B$4:$B$24,0))</f>
        <v>TMS</v>
      </c>
      <c r="B2087" s="1732" t="str">
        <f>'4M'!BK18</f>
        <v>S3008HD</v>
      </c>
      <c r="C2087" t="str">
        <f>'4M'!$C18&amp;" - "&amp;'4M'!I$5</f>
        <v>NEP - Storage schemes to reduce spill frequency at CSOs, storm tanks, etc - Highway drainage</v>
      </c>
      <c r="D2087" s="1620" t="str">
        <f t="shared" si="36"/>
        <v>£m</v>
      </c>
      <c r="E2087" s="1636" t="s">
        <v>9</v>
      </c>
      <c r="G2087" s="1635">
        <f>'4M'!I18</f>
        <v>0</v>
      </c>
      <c r="H2087" s="1636"/>
    </row>
    <row r="2088" spans="1:8">
      <c r="A2088" s="1620" t="str">
        <f>INDEX(Lists!$C$4:$C$24,MATCH(Validation!$B$3,Lists!$B$4:$B$24,0))</f>
        <v>TMS</v>
      </c>
      <c r="B2088" s="1732" t="str">
        <f>'4M'!BK19</f>
        <v>S3009HD</v>
      </c>
      <c r="C2088" t="str">
        <f>'4M'!$C19&amp;" - "&amp;'4M'!I$5</f>
        <v>NEP - Chemicals monitoring/ investigations/ options appraisals - Highway drainage</v>
      </c>
      <c r="D2088" s="1620" t="str">
        <f t="shared" si="36"/>
        <v>£m</v>
      </c>
      <c r="E2088" s="1636" t="s">
        <v>9</v>
      </c>
      <c r="G2088" s="1635">
        <f>'4M'!I19</f>
        <v>0</v>
      </c>
      <c r="H2088" s="1636"/>
    </row>
    <row r="2089" spans="1:8">
      <c r="A2089" s="1620" t="str">
        <f>INDEX(Lists!$C$4:$C$24,MATCH(Validation!$B$3,Lists!$B$4:$B$24,0))</f>
        <v>TMS</v>
      </c>
      <c r="B2089" s="1732" t="str">
        <f>'4M'!BK20</f>
        <v>WWS2007HD</v>
      </c>
      <c r="C2089" t="str">
        <f>'4M'!$C20&amp;" - "&amp;'4M'!I$5</f>
        <v>NEP - National phosphorus removal technology investigations - Highway drainage</v>
      </c>
      <c r="D2089" s="1620" t="str">
        <f t="shared" si="36"/>
        <v>£m</v>
      </c>
      <c r="E2089" s="1636" t="s">
        <v>9</v>
      </c>
      <c r="G2089" s="1635">
        <f>'4M'!I20</f>
        <v>0</v>
      </c>
      <c r="H2089" s="1636"/>
    </row>
    <row r="2090" spans="1:8">
      <c r="A2090" s="1620" t="str">
        <f>INDEX(Lists!$C$4:$C$24,MATCH(Validation!$B$3,Lists!$B$4:$B$24,0))</f>
        <v>TMS</v>
      </c>
      <c r="B2090" s="1732" t="str">
        <f>'4M'!BK21</f>
        <v>S3010HD</v>
      </c>
      <c r="C2090" t="str">
        <f>'4M'!$C21&amp;" - "&amp;'4M'!I$5</f>
        <v>NEP - Groundwater schemes - Highway drainage</v>
      </c>
      <c r="D2090" s="1620" t="str">
        <f t="shared" si="36"/>
        <v>£m</v>
      </c>
      <c r="E2090" s="1636" t="s">
        <v>9</v>
      </c>
      <c r="G2090" s="1635">
        <f>'4M'!I21</f>
        <v>0</v>
      </c>
      <c r="H2090" s="1636"/>
    </row>
    <row r="2091" spans="1:8">
      <c r="A2091" s="1620" t="str">
        <f>INDEX(Lists!$C$4:$C$24,MATCH(Validation!$B$3,Lists!$B$4:$B$24,0))</f>
        <v>TMS</v>
      </c>
      <c r="B2091" s="1732" t="str">
        <f>'4M'!BK22</f>
        <v>S3011HD</v>
      </c>
      <c r="C2091" t="str">
        <f>'4M'!$C22&amp;" - "&amp;'4M'!I$5</f>
        <v>NEP - Investigations - Highway drainage</v>
      </c>
      <c r="D2091" s="1620" t="str">
        <f t="shared" si="36"/>
        <v>£m</v>
      </c>
      <c r="E2091" s="1636" t="s">
        <v>9</v>
      </c>
      <c r="G2091" s="1635">
        <f>'4M'!I22</f>
        <v>0</v>
      </c>
      <c r="H2091" s="1636"/>
    </row>
    <row r="2092" spans="1:8">
      <c r="A2092" s="1620" t="str">
        <f>INDEX(Lists!$C$4:$C$24,MATCH(Validation!$B$3,Lists!$B$4:$B$24,0))</f>
        <v>TMS</v>
      </c>
      <c r="B2092" s="1732" t="str">
        <f>'4M'!BK23</f>
        <v>S3012HD</v>
      </c>
      <c r="C2092" t="str">
        <f>'4M'!$C23&amp;" - "&amp;'4M'!I$5</f>
        <v>NEP - Nutrients (N removal) - Highway drainage</v>
      </c>
      <c r="D2092" s="1620" t="str">
        <f t="shared" si="36"/>
        <v>£m</v>
      </c>
      <c r="E2092" s="1636" t="s">
        <v>9</v>
      </c>
      <c r="G2092" s="1635">
        <f>'4M'!I23</f>
        <v>0</v>
      </c>
      <c r="H2092" s="1636"/>
    </row>
    <row r="2093" spans="1:8">
      <c r="A2093" s="1620" t="str">
        <f>INDEX(Lists!$C$4:$C$24,MATCH(Validation!$B$3,Lists!$B$4:$B$24,0))</f>
        <v>TMS</v>
      </c>
      <c r="B2093" s="1732" t="str">
        <f>'4M'!BK24</f>
        <v>S3013HD</v>
      </c>
      <c r="C2093" t="str">
        <f>'4M'!$C24&amp;" - "&amp;'4M'!I$5</f>
        <v>NEP - Nutrients (P removal at activated sludge STWs) - Highway drainage</v>
      </c>
      <c r="D2093" s="1620" t="str">
        <f t="shared" si="36"/>
        <v>£m</v>
      </c>
      <c r="E2093" s="1636" t="s">
        <v>9</v>
      </c>
      <c r="G2093" s="1635">
        <f>'4M'!I24</f>
        <v>0</v>
      </c>
      <c r="H2093" s="1636"/>
    </row>
    <row r="2094" spans="1:8">
      <c r="A2094" s="1620" t="str">
        <f>INDEX(Lists!$C$4:$C$24,MATCH(Validation!$B$3,Lists!$B$4:$B$24,0))</f>
        <v>TMS</v>
      </c>
      <c r="B2094" s="1732" t="str">
        <f>'4M'!BK25</f>
        <v>S3014HD</v>
      </c>
      <c r="C2094" t="str">
        <f>'4M'!$C25&amp;" - "&amp;'4M'!I$5</f>
        <v>NEP - Nutrients (P removal at filter bed STWs) - Highway drainage</v>
      </c>
      <c r="D2094" s="1620" t="str">
        <f t="shared" si="36"/>
        <v>£m</v>
      </c>
      <c r="E2094" s="1636" t="s">
        <v>9</v>
      </c>
      <c r="G2094" s="1635">
        <f>'4M'!I25</f>
        <v>0</v>
      </c>
      <c r="H2094" s="1636"/>
    </row>
    <row r="2095" spans="1:8">
      <c r="A2095" s="1620" t="str">
        <f>INDEX(Lists!$C$4:$C$24,MATCH(Validation!$B$3,Lists!$B$4:$B$24,0))</f>
        <v>TMS</v>
      </c>
      <c r="B2095" s="1732" t="str">
        <f>'4M'!BK26</f>
        <v>S3015HD</v>
      </c>
      <c r="C2095" t="str">
        <f>'4M'!$C26&amp;" - "&amp;'4M'!I$5</f>
        <v>NEP - Reduction of sanitary parameters - Highway drainage</v>
      </c>
      <c r="D2095" s="1620" t="str">
        <f t="shared" si="36"/>
        <v>£m</v>
      </c>
      <c r="E2095" s="1636" t="s">
        <v>9</v>
      </c>
      <c r="G2095" s="1635">
        <f>'4M'!I26</f>
        <v>0</v>
      </c>
      <c r="H2095" s="1636"/>
    </row>
    <row r="2096" spans="1:8">
      <c r="A2096" s="1620" t="str">
        <f>INDEX(Lists!$C$4:$C$24,MATCH(Validation!$B$3,Lists!$B$4:$B$24,0))</f>
        <v>TMS</v>
      </c>
      <c r="B2096" s="1732" t="str">
        <f>'4M'!BK27</f>
        <v>S3016HD</v>
      </c>
      <c r="C2096" t="str">
        <f>'4M'!$C27&amp;" - "&amp;'4M'!I$5</f>
        <v>NEP - UV disinfection (or similar) - Highway drainage</v>
      </c>
      <c r="D2096" s="1620" t="str">
        <f t="shared" si="36"/>
        <v>£m</v>
      </c>
      <c r="E2096" s="1636" t="s">
        <v>9</v>
      </c>
      <c r="G2096" s="1635">
        <f>'4M'!I27</f>
        <v>0</v>
      </c>
      <c r="H2096" s="1636"/>
    </row>
    <row r="2097" spans="1:8">
      <c r="A2097" s="1620" t="str">
        <f>INDEX(Lists!$C$4:$C$24,MATCH(Validation!$B$3,Lists!$B$4:$B$24,0))</f>
        <v>TMS</v>
      </c>
      <c r="B2097" s="1732" t="str">
        <f>'4M'!BK28</f>
        <v>S3017HD</v>
      </c>
      <c r="C2097" t="str">
        <f>'4M'!$C28&amp;" - "&amp;'4M'!I$5</f>
        <v>NEP - Discharge relocation - Highway drainage</v>
      </c>
      <c r="D2097" s="1620" t="str">
        <f t="shared" si="36"/>
        <v>£m</v>
      </c>
      <c r="E2097" s="1636" t="s">
        <v>9</v>
      </c>
      <c r="G2097" s="1635">
        <f>'4M'!I28</f>
        <v>0</v>
      </c>
      <c r="H2097" s="1636"/>
    </row>
    <row r="2098" spans="1:8">
      <c r="A2098" s="1620" t="str">
        <f>INDEX(Lists!$C$4:$C$24,MATCH(Validation!$B$3,Lists!$B$4:$B$24,0))</f>
        <v>TMS</v>
      </c>
      <c r="B2098" s="1732" t="str">
        <f>'4M'!BK29</f>
        <v>S3018HD</v>
      </c>
      <c r="C2098" t="str">
        <f>'4M'!$C29&amp;" - "&amp;'4M'!I$5</f>
        <v>NEP - Flow 1 schemes - Highway drainage</v>
      </c>
      <c r="D2098" s="1620" t="str">
        <f t="shared" ref="D2098:D2161" si="38">D2055</f>
        <v>£m</v>
      </c>
      <c r="E2098" s="1636" t="s">
        <v>9</v>
      </c>
      <c r="G2098" s="1635">
        <f>'4M'!I29</f>
        <v>0</v>
      </c>
      <c r="H2098" s="1636"/>
    </row>
    <row r="2099" spans="1:8">
      <c r="A2099" s="1620" t="str">
        <f>INDEX(Lists!$C$4:$C$24,MATCH(Validation!$B$3,Lists!$B$4:$B$24,0))</f>
        <v>TMS</v>
      </c>
      <c r="B2099" s="1732" t="str">
        <f>'4M'!BK30</f>
        <v>S3019HD</v>
      </c>
      <c r="C2099" t="str">
        <f>'4M'!$C30&amp;" - "&amp;'4M'!I$5</f>
        <v>Odour - Highway drainage</v>
      </c>
      <c r="D2099" s="1620" t="str">
        <f t="shared" si="38"/>
        <v>£m</v>
      </c>
      <c r="E2099" s="1636" t="s">
        <v>9</v>
      </c>
      <c r="G2099" s="1635">
        <f>'4M'!I30</f>
        <v>0</v>
      </c>
      <c r="H2099" s="1636"/>
    </row>
    <row r="2100" spans="1:8">
      <c r="A2100" s="1620" t="str">
        <f>INDEX(Lists!$C$4:$C$24,MATCH(Validation!$B$3,Lists!$B$4:$B$24,0))</f>
        <v>TMS</v>
      </c>
      <c r="B2100" s="1732" t="str">
        <f>'4M'!BK31</f>
        <v>S3020HD</v>
      </c>
      <c r="C2100" t="str">
        <f>'4M'!$C31&amp;" - "&amp;'4M'!I$5</f>
        <v>New development and growth - Highway drainage</v>
      </c>
      <c r="D2100" s="1620" t="str">
        <f t="shared" si="38"/>
        <v>£m</v>
      </c>
      <c r="E2100" s="1636" t="s">
        <v>9</v>
      </c>
      <c r="G2100" s="1635">
        <f>'4M'!I31</f>
        <v>0</v>
      </c>
      <c r="H2100" s="1636"/>
    </row>
    <row r="2101" spans="1:8">
      <c r="A2101" s="1620" t="str">
        <f>INDEX(Lists!$C$4:$C$24,MATCH(Validation!$B$3,Lists!$B$4:$B$24,0))</f>
        <v>TMS</v>
      </c>
      <c r="B2101" s="1732" t="str">
        <f>'4M'!BK32</f>
        <v>S3021HD</v>
      </c>
      <c r="C2101" t="str">
        <f>'4M'!$C32&amp;" - "&amp;'4M'!I$5</f>
        <v>Growth at sewage treatment works (excluding sludge treatment) - Highway drainage</v>
      </c>
      <c r="D2101" s="1620" t="str">
        <f t="shared" si="38"/>
        <v>£m</v>
      </c>
      <c r="E2101" s="1636" t="s">
        <v>9</v>
      </c>
      <c r="G2101" s="1635">
        <f>'4M'!I32</f>
        <v>0</v>
      </c>
      <c r="H2101" s="1636"/>
    </row>
    <row r="2102" spans="1:8">
      <c r="A2102" s="1620" t="str">
        <f>INDEX(Lists!$C$4:$C$24,MATCH(Validation!$B$3,Lists!$B$4:$B$24,0))</f>
        <v>TMS</v>
      </c>
      <c r="B2102" s="1732" t="str">
        <f>'4M'!BK33</f>
        <v>S3022HD</v>
      </c>
      <c r="C2102" t="str">
        <f>'4M'!$C33&amp;" - "&amp;'4M'!I$5</f>
        <v>Resilience - Highway drainage</v>
      </c>
      <c r="D2102" s="1620" t="str">
        <f t="shared" si="38"/>
        <v>£m</v>
      </c>
      <c r="E2102" s="1636" t="s">
        <v>9</v>
      </c>
      <c r="G2102" s="1635">
        <f>'4M'!I33</f>
        <v>0</v>
      </c>
      <c r="H2102" s="1636"/>
    </row>
    <row r="2103" spans="1:8">
      <c r="A2103" s="1620" t="str">
        <f>INDEX(Lists!$C$4:$C$24,MATCH(Validation!$B$3,Lists!$B$4:$B$24,0))</f>
        <v>TMS</v>
      </c>
      <c r="B2103" s="1732" t="str">
        <f>'4M'!BK34</f>
        <v>BC31785HD</v>
      </c>
      <c r="C2103" t="str">
        <f>'4M'!$C34&amp;" - "&amp;'4M'!I$5</f>
        <v>SEMD - Highway drainage</v>
      </c>
      <c r="D2103" s="1620" t="str">
        <f t="shared" si="38"/>
        <v>£m</v>
      </c>
      <c r="E2103" s="1636" t="s">
        <v>9</v>
      </c>
      <c r="G2103" s="1635">
        <f>'4M'!I34</f>
        <v>0</v>
      </c>
      <c r="H2103" s="1636"/>
    </row>
    <row r="2104" spans="1:8">
      <c r="A2104" s="1620" t="str">
        <f>INDEX(Lists!$C$4:$C$24,MATCH(Validation!$B$3,Lists!$B$4:$B$24,0))</f>
        <v>TMS</v>
      </c>
      <c r="B2104" s="1732" t="str">
        <f>'4M'!BK35</f>
        <v>S3023HD</v>
      </c>
      <c r="C2104" t="str">
        <f>'4M'!$C35&amp;" - "&amp;'4M'!I$5</f>
        <v>Reduce flooding risk for properties - Highway drainage</v>
      </c>
      <c r="D2104" s="1620" t="str">
        <f t="shared" si="38"/>
        <v>£m</v>
      </c>
      <c r="E2104" s="1636" t="s">
        <v>9</v>
      </c>
      <c r="G2104" s="1635">
        <f>'4M'!I35</f>
        <v>0</v>
      </c>
      <c r="H2104" s="1636"/>
    </row>
    <row r="2105" spans="1:8">
      <c r="A2105" s="1620" t="str">
        <f>INDEX(Lists!$C$4:$C$24,MATCH(Validation!$B$3,Lists!$B$4:$B$24,0))</f>
        <v>TMS</v>
      </c>
      <c r="B2105" s="1732" t="str">
        <f>'4M'!BK36</f>
        <v>S3A00001HD</v>
      </c>
      <c r="C2105" s="1732" t="str">
        <f>"Capital expenditure purpose - WASTEWATER additional line 1 [Other categories] - "&amp;'4M'!$I$5</f>
        <v>Capital expenditure purpose - WASTEWATER additional line 1 [Other categories] - Highway drainage</v>
      </c>
      <c r="D2105" s="1620" t="str">
        <f t="shared" si="38"/>
        <v>£m</v>
      </c>
      <c r="E2105" s="1636" t="s">
        <v>9</v>
      </c>
      <c r="F2105" s="2" t="str">
        <f>F2019</f>
        <v>Quality spend at CSOs and quality allocation to Deephams inlet works</v>
      </c>
      <c r="G2105" s="1635">
        <f>IF(ISBLANK('4M'!I36), "##BLANK", '4M'!I36)</f>
        <v>0</v>
      </c>
      <c r="H2105" s="1636"/>
    </row>
    <row r="2106" spans="1:8">
      <c r="A2106" s="1620" t="str">
        <f>INDEX(Lists!$C$4:$C$24,MATCH(Validation!$B$3,Lists!$B$4:$B$24,0))</f>
        <v>TMS</v>
      </c>
      <c r="B2106" s="1732" t="str">
        <f>'4M'!BK37</f>
        <v>S3A00002HD</v>
      </c>
      <c r="C2106" s="1732" t="str">
        <f>"Capital expenditure purpose - WASTEWATER additional line 2 [Other categories] - "&amp;'4M'!$I$5</f>
        <v>Capital expenditure purpose - WASTEWATER additional line 2 [Other categories] - Highway drainage</v>
      </c>
      <c r="D2106" s="1620" t="str">
        <f t="shared" si="38"/>
        <v>£m</v>
      </c>
      <c r="E2106" s="1636" t="s">
        <v>9</v>
      </c>
      <c r="F2106" s="2" t="str">
        <f t="shared" ref="F2106:F2119" si="39">F2020</f>
        <v>Tideway quality (NEP). Excludes Lee Tunnel and sludge.</v>
      </c>
      <c r="G2106" s="1635">
        <f>IF(ISBLANK('4M'!I37), "##BLANK", '4M'!I37)</f>
        <v>0</v>
      </c>
      <c r="H2106" s="1636"/>
    </row>
    <row r="2107" spans="1:8">
      <c r="A2107" s="1620" t="str">
        <f>INDEX(Lists!$C$4:$C$24,MATCH(Validation!$B$3,Lists!$B$4:$B$24,0))</f>
        <v>TMS</v>
      </c>
      <c r="B2107" s="1732" t="str">
        <f>'4M'!BK38</f>
        <v>S3A00003HD</v>
      </c>
      <c r="C2107" s="1732" t="str">
        <f>"Capital expenditure purpose - WASTEWATER additional line 3 [Other categories] - "&amp;'4M'!$I$5</f>
        <v>Capital expenditure purpose - WASTEWATER additional line 3 [Other categories] - Highway drainage</v>
      </c>
      <c r="D2107" s="1620" t="str">
        <f t="shared" si="38"/>
        <v>£m</v>
      </c>
      <c r="E2107" s="1636" t="s">
        <v>9</v>
      </c>
      <c r="F2107" s="2" t="str">
        <f t="shared" si="39"/>
        <v>Lee Tunnel</v>
      </c>
      <c r="G2107" s="1635">
        <f>IF(ISBLANK('4M'!I38), "##BLANK", '4M'!I38)</f>
        <v>0</v>
      </c>
      <c r="H2107" s="1636"/>
    </row>
    <row r="2108" spans="1:8">
      <c r="A2108" s="1620" t="str">
        <f>INDEX(Lists!$C$4:$C$24,MATCH(Validation!$B$3,Lists!$B$4:$B$24,0))</f>
        <v>TMS</v>
      </c>
      <c r="B2108" s="1732" t="str">
        <f>'4M'!BK39</f>
        <v>S3A00004HD</v>
      </c>
      <c r="C2108" s="1732" t="str">
        <f>"Capital expenditure purpose - WASTEWATER additional line 4 [Other categories] - "&amp;'4M'!$I$5</f>
        <v>Capital expenditure purpose - WASTEWATER additional line 4 [Other categories] - Highway drainage</v>
      </c>
      <c r="D2108" s="1620" t="str">
        <f t="shared" si="38"/>
        <v>£m</v>
      </c>
      <c r="E2108" s="1636" t="s">
        <v>9</v>
      </c>
      <c r="F2108" s="2" t="str">
        <f t="shared" si="39"/>
        <v>Non-SEMD related security enhancement (revised Ofwat guidance 6 July 2018)</v>
      </c>
      <c r="G2108" s="1635">
        <f>IF(ISBLANK('4M'!I39), "##BLANK", '4M'!I39)</f>
        <v>4.9055455734580353E-2</v>
      </c>
      <c r="H2108" s="1636"/>
    </row>
    <row r="2109" spans="1:8">
      <c r="A2109" s="1620" t="str">
        <f>INDEX(Lists!$C$4:$C$24,MATCH(Validation!$B$3,Lists!$B$4:$B$24,0))</f>
        <v>TMS</v>
      </c>
      <c r="B2109" s="1732" t="str">
        <f>'4M'!BK40</f>
        <v>S3A00005HD</v>
      </c>
      <c r="C2109" s="1732" t="str">
        <f>"Capital expenditure purpose - WASTEWATER additional line 5 [Other categories] - "&amp;'4M'!$I$5</f>
        <v>Capital expenditure purpose - WASTEWATER additional line 5 [Other categories] - Highway drainage</v>
      </c>
      <c r="D2109" s="1620" t="str">
        <f t="shared" si="38"/>
        <v>£m</v>
      </c>
      <c r="E2109" s="1636" t="s">
        <v>9</v>
      </c>
      <c r="F2109" s="2" t="str">
        <f t="shared" si="39"/>
        <v>##BLANK</v>
      </c>
      <c r="G2109" s="1635" t="str">
        <f>IF(ISBLANK('4M'!I40), "##BLANK", '4M'!I40)</f>
        <v>##BLANK</v>
      </c>
      <c r="H2109" s="1636"/>
    </row>
    <row r="2110" spans="1:8">
      <c r="A2110" s="1620" t="str">
        <f>INDEX(Lists!$C$4:$C$24,MATCH(Validation!$B$3,Lists!$B$4:$B$24,0))</f>
        <v>TMS</v>
      </c>
      <c r="B2110" s="1732" t="str">
        <f>'4M'!BK41</f>
        <v>S3A00006HD</v>
      </c>
      <c r="C2110" s="1732" t="str">
        <f>"Capital expenditure purpose - WASTEWATER additional line 6 [Other categories] - "&amp;'4M'!$I$5</f>
        <v>Capital expenditure purpose - WASTEWATER additional line 6 [Other categories] - Highway drainage</v>
      </c>
      <c r="D2110" s="1620" t="str">
        <f t="shared" si="38"/>
        <v>£m</v>
      </c>
      <c r="E2110" s="1636" t="s">
        <v>9</v>
      </c>
      <c r="F2110" s="2" t="str">
        <f t="shared" si="39"/>
        <v>##BLANK</v>
      </c>
      <c r="G2110" s="1635" t="str">
        <f>IF(ISBLANK('4M'!I41), "##BLANK", '4M'!I41)</f>
        <v>##BLANK</v>
      </c>
      <c r="H2110" s="1636"/>
    </row>
    <row r="2111" spans="1:8">
      <c r="A2111" s="1620" t="str">
        <f>INDEX(Lists!$C$4:$C$24,MATCH(Validation!$B$3,Lists!$B$4:$B$24,0))</f>
        <v>TMS</v>
      </c>
      <c r="B2111" s="1732" t="str">
        <f>'4M'!BK42</f>
        <v>S3A00007HD</v>
      </c>
      <c r="C2111" s="1732" t="str">
        <f>"Capital expenditure purpose - WASTEWATER additional line 7 [Other categories] - "&amp;'4M'!$I$5</f>
        <v>Capital expenditure purpose - WASTEWATER additional line 7 [Other categories] - Highway drainage</v>
      </c>
      <c r="D2111" s="1620" t="str">
        <f t="shared" si="38"/>
        <v>£m</v>
      </c>
      <c r="E2111" s="1636" t="s">
        <v>9</v>
      </c>
      <c r="F2111" s="2" t="str">
        <f t="shared" si="39"/>
        <v>##BLANK</v>
      </c>
      <c r="G2111" s="1635" t="str">
        <f>IF(ISBLANK('4M'!I42), "##BLANK", '4M'!I42)</f>
        <v>##BLANK</v>
      </c>
      <c r="H2111" s="1636"/>
    </row>
    <row r="2112" spans="1:8">
      <c r="A2112" s="1620" t="str">
        <f>INDEX(Lists!$C$4:$C$24,MATCH(Validation!$B$3,Lists!$B$4:$B$24,0))</f>
        <v>TMS</v>
      </c>
      <c r="B2112" s="1732" t="str">
        <f>'4M'!BK43</f>
        <v>S3A00008HD</v>
      </c>
      <c r="C2112" s="1732" t="str">
        <f>"Capital expenditure purpose - WASTEWATER additional line 8 [Other categories] - "&amp;'4M'!$I$5</f>
        <v>Capital expenditure purpose - WASTEWATER additional line 8 [Other categories] - Highway drainage</v>
      </c>
      <c r="D2112" s="1620" t="str">
        <f t="shared" si="38"/>
        <v>£m</v>
      </c>
      <c r="E2112" s="1636" t="s">
        <v>9</v>
      </c>
      <c r="F2112" s="2" t="str">
        <f t="shared" si="39"/>
        <v>##BLANK</v>
      </c>
      <c r="G2112" s="1635" t="str">
        <f>IF(ISBLANK('4M'!I43), "##BLANK", '4M'!I43)</f>
        <v>##BLANK</v>
      </c>
      <c r="H2112" s="1636"/>
    </row>
    <row r="2113" spans="1:8">
      <c r="A2113" s="1620" t="str">
        <f>INDEX(Lists!$C$4:$C$24,MATCH(Validation!$B$3,Lists!$B$4:$B$24,0))</f>
        <v>TMS</v>
      </c>
      <c r="B2113" s="1732" t="str">
        <f>'4M'!BK44</f>
        <v>S3A00009HD</v>
      </c>
      <c r="C2113" s="1732" t="str">
        <f>"Capital expenditure purpose - WASTEWATER additional line 9 [Other categories] - "&amp;'4M'!$I$5</f>
        <v>Capital expenditure purpose - WASTEWATER additional line 9 [Other categories] - Highway drainage</v>
      </c>
      <c r="D2113" s="1620" t="str">
        <f t="shared" si="38"/>
        <v>£m</v>
      </c>
      <c r="E2113" s="1636" t="s">
        <v>9</v>
      </c>
      <c r="F2113" s="2" t="str">
        <f t="shared" si="39"/>
        <v>##BLANK</v>
      </c>
      <c r="G2113" s="1635" t="str">
        <f>IF(ISBLANK('4M'!I44), "##BLANK", '4M'!I44)</f>
        <v>##BLANK</v>
      </c>
      <c r="H2113" s="1636"/>
    </row>
    <row r="2114" spans="1:8">
      <c r="A2114" s="1620" t="str">
        <f>INDEX(Lists!$C$4:$C$24,MATCH(Validation!$B$3,Lists!$B$4:$B$24,0))</f>
        <v>TMS</v>
      </c>
      <c r="B2114" s="1732" t="str">
        <f>'4M'!BK45</f>
        <v>S3A00010HD</v>
      </c>
      <c r="C2114" s="1732" t="str">
        <f>"Capital expenditure purpose - WASTEWATER additional line 10 [Other categories] - "&amp;'4M'!$I$5</f>
        <v>Capital expenditure purpose - WASTEWATER additional line 10 [Other categories] - Highway drainage</v>
      </c>
      <c r="D2114" s="1620" t="str">
        <f t="shared" si="38"/>
        <v>£m</v>
      </c>
      <c r="E2114" s="1636" t="s">
        <v>9</v>
      </c>
      <c r="F2114" s="2" t="str">
        <f t="shared" si="39"/>
        <v>##BLANK</v>
      </c>
      <c r="G2114" s="1635" t="str">
        <f>IF(ISBLANK('4M'!I45), "##BLANK", '4M'!I45)</f>
        <v>##BLANK</v>
      </c>
      <c r="H2114" s="1636"/>
    </row>
    <row r="2115" spans="1:8">
      <c r="A2115" s="1620" t="str">
        <f>INDEX(Lists!$C$4:$C$24,MATCH(Validation!$B$3,Lists!$B$4:$B$24,0))</f>
        <v>TMS</v>
      </c>
      <c r="B2115" s="1732" t="str">
        <f>'4M'!BK46</f>
        <v>S3A00011HD</v>
      </c>
      <c r="C2115" s="1732" t="str">
        <f>"Capital expenditure purpose - WASTEWATER additional line 11 [Other categories] - "&amp;'4M'!$I$5</f>
        <v>Capital expenditure purpose - WASTEWATER additional line 11 [Other categories] - Highway drainage</v>
      </c>
      <c r="D2115" s="1620" t="str">
        <f t="shared" si="38"/>
        <v>£m</v>
      </c>
      <c r="E2115" s="1636" t="s">
        <v>9</v>
      </c>
      <c r="F2115" s="2" t="str">
        <f t="shared" si="39"/>
        <v>##BLANK</v>
      </c>
      <c r="G2115" s="1635" t="str">
        <f>IF(ISBLANK('4M'!I46), "##BLANK", '4M'!I46)</f>
        <v>##BLANK</v>
      </c>
      <c r="H2115" s="1636"/>
    </row>
    <row r="2116" spans="1:8">
      <c r="A2116" s="1620" t="str">
        <f>INDEX(Lists!$C$4:$C$24,MATCH(Validation!$B$3,Lists!$B$4:$B$24,0))</f>
        <v>TMS</v>
      </c>
      <c r="B2116" s="1732" t="str">
        <f>'4M'!BK47</f>
        <v>S3A00012HD</v>
      </c>
      <c r="C2116" s="1732" t="str">
        <f>"Capital expenditure purpose - WASTEWATER additional line 12 [Other categories] - "&amp;'4M'!$I$5</f>
        <v>Capital expenditure purpose - WASTEWATER additional line 12 [Other categories] - Highway drainage</v>
      </c>
      <c r="D2116" s="1620" t="str">
        <f t="shared" si="38"/>
        <v>£m</v>
      </c>
      <c r="E2116" s="1636" t="s">
        <v>9</v>
      </c>
      <c r="F2116" s="2" t="str">
        <f t="shared" si="39"/>
        <v>##BLANK</v>
      </c>
      <c r="G2116" s="1635" t="str">
        <f>IF(ISBLANK('4M'!I47), "##BLANK", '4M'!I47)</f>
        <v>##BLANK</v>
      </c>
      <c r="H2116" s="1636"/>
    </row>
    <row r="2117" spans="1:8">
      <c r="A2117" s="1620" t="str">
        <f>INDEX(Lists!$C$4:$C$24,MATCH(Validation!$B$3,Lists!$B$4:$B$24,0))</f>
        <v>TMS</v>
      </c>
      <c r="B2117" s="1732" t="str">
        <f>'4M'!BK48</f>
        <v>S3A00013HD</v>
      </c>
      <c r="C2117" s="1732" t="str">
        <f>"Capital expenditure purpose - WASTEWATER additional line 13 [Other categories] - "&amp;'4M'!$I$5</f>
        <v>Capital expenditure purpose - WASTEWATER additional line 13 [Other categories] - Highway drainage</v>
      </c>
      <c r="D2117" s="1620" t="str">
        <f t="shared" si="38"/>
        <v>£m</v>
      </c>
      <c r="E2117" s="1636" t="s">
        <v>9</v>
      </c>
      <c r="F2117" s="2" t="str">
        <f t="shared" si="39"/>
        <v>##BLANK</v>
      </c>
      <c r="G2117" s="1635" t="str">
        <f>IF(ISBLANK('4M'!I48), "##BLANK", '4M'!I48)</f>
        <v>##BLANK</v>
      </c>
      <c r="H2117" s="1636"/>
    </row>
    <row r="2118" spans="1:8">
      <c r="A2118" s="1620" t="str">
        <f>INDEX(Lists!$C$4:$C$24,MATCH(Validation!$B$3,Lists!$B$4:$B$24,0))</f>
        <v>TMS</v>
      </c>
      <c r="B2118" s="1732" t="str">
        <f>'4M'!BK49</f>
        <v>S3A00014HD</v>
      </c>
      <c r="C2118" s="1732" t="str">
        <f>"Capital expenditure purpose - WASTEWATER additional line 14 [Other categories] - "&amp;'4M'!$I$5</f>
        <v>Capital expenditure purpose - WASTEWATER additional line 14 [Other categories] - Highway drainage</v>
      </c>
      <c r="D2118" s="1620" t="str">
        <f t="shared" si="38"/>
        <v>£m</v>
      </c>
      <c r="E2118" s="1636" t="s">
        <v>9</v>
      </c>
      <c r="F2118" s="2" t="str">
        <f t="shared" si="39"/>
        <v>##BLANK</v>
      </c>
      <c r="G2118" s="1635" t="str">
        <f>IF(ISBLANK('4M'!I49), "##BLANK", '4M'!I49)</f>
        <v>##BLANK</v>
      </c>
      <c r="H2118" s="1636"/>
    </row>
    <row r="2119" spans="1:8">
      <c r="A2119" s="1730" t="str">
        <f>INDEX(Lists!$C$4:$C$24,MATCH(Validation!$B$3,Lists!$B$4:$B$24,0))</f>
        <v>TMS</v>
      </c>
      <c r="B2119" s="1734" t="str">
        <f>'4M'!BK50</f>
        <v>S3A00015HD</v>
      </c>
      <c r="C2119" s="1734" t="str">
        <f>"Capital expenditure purpose - WASTEWATER additional line 15 [Other categories] - "&amp;'4M'!$I$5</f>
        <v>Capital expenditure purpose - WASTEWATER additional line 15 [Other categories] - Highway drainage</v>
      </c>
      <c r="D2119" s="1730" t="str">
        <f t="shared" si="38"/>
        <v>£m</v>
      </c>
      <c r="E2119" s="1652" t="s">
        <v>9</v>
      </c>
      <c r="F2119" s="1637" t="str">
        <f t="shared" si="39"/>
        <v>##BLANK</v>
      </c>
      <c r="G2119" s="1653" t="str">
        <f>IF(ISBLANK('4M'!I50), "##BLANK", '4M'!I50)</f>
        <v>##BLANK</v>
      </c>
      <c r="H2119" s="1652"/>
    </row>
    <row r="2120" spans="1:8">
      <c r="A2120" s="1620" t="str">
        <f>INDEX(Lists!$C$4:$C$24,MATCH(Validation!$B$3,Lists!$B$4:$B$24,0))</f>
        <v>TMS</v>
      </c>
      <c r="B2120" s="1732" t="str">
        <f>'4M'!BL8</f>
        <v>BC31379STD</v>
      </c>
      <c r="C2120" t="str">
        <f>'4M'!$C8&amp;" - "&amp;'4M'!J$5</f>
        <v>First time sewerage (s101A) - Sewage treatment and disposal</v>
      </c>
      <c r="D2120" s="1620" t="str">
        <f t="shared" si="38"/>
        <v>£m</v>
      </c>
      <c r="E2120" s="1636" t="s">
        <v>9</v>
      </c>
      <c r="G2120" s="1635">
        <f>'4M'!J8</f>
        <v>0</v>
      </c>
      <c r="H2120" s="1636"/>
    </row>
    <row r="2121" spans="1:8">
      <c r="A2121" s="1620" t="str">
        <f>INDEX(Lists!$C$4:$C$24,MATCH(Validation!$B$3,Lists!$B$4:$B$24,0))</f>
        <v>TMS</v>
      </c>
      <c r="B2121" s="1732" t="str">
        <f>'4M'!BL9</f>
        <v>S3035QSTD</v>
      </c>
      <c r="C2121" t="str">
        <f>'4M'!$C9&amp;" - "&amp;'4M'!J$5</f>
        <v>Sludge enhancement (quality) - Sewage treatment and disposal</v>
      </c>
      <c r="D2121" s="1620" t="str">
        <f t="shared" si="38"/>
        <v>£m</v>
      </c>
      <c r="E2121" s="1636" t="s">
        <v>9</v>
      </c>
      <c r="G2121" s="1635">
        <f>'4M'!J9</f>
        <v>0</v>
      </c>
      <c r="H2121" s="1636"/>
    </row>
    <row r="2122" spans="1:8">
      <c r="A2122" s="1620" t="str">
        <f>INDEX(Lists!$C$4:$C$24,MATCH(Validation!$B$3,Lists!$B$4:$B$24,0))</f>
        <v>TMS</v>
      </c>
      <c r="B2122" s="1732" t="str">
        <f>'4M'!BL10</f>
        <v>S3036GSTD</v>
      </c>
      <c r="C2122" t="str">
        <f>'4M'!$C10&amp;" - "&amp;'4M'!J$5</f>
        <v>Sludge enhancement (growth) - Sewage treatment and disposal</v>
      </c>
      <c r="D2122" s="1620" t="str">
        <f t="shared" si="38"/>
        <v>£m</v>
      </c>
      <c r="E2122" s="1636" t="s">
        <v>9</v>
      </c>
      <c r="G2122" s="1635">
        <f>'4M'!J10</f>
        <v>0</v>
      </c>
      <c r="H2122" s="1636"/>
    </row>
    <row r="2123" spans="1:8">
      <c r="A2123" s="1620" t="str">
        <f>INDEX(Lists!$C$4:$C$24,MATCH(Validation!$B$3,Lists!$B$4:$B$24,0))</f>
        <v>TMS</v>
      </c>
      <c r="B2123" s="1732" t="str">
        <f>'4M'!BL11</f>
        <v>S3004STD</v>
      </c>
      <c r="C2123" t="str">
        <f>'4M'!$C11&amp;" - "&amp;'4M'!J$5</f>
        <v>NEP - Conservation drivers - Sewage treatment and disposal</v>
      </c>
      <c r="D2123" s="1620" t="str">
        <f t="shared" si="38"/>
        <v>£m</v>
      </c>
      <c r="E2123" s="1636" t="s">
        <v>9</v>
      </c>
      <c r="G2123" s="1635">
        <f>'4M'!J11</f>
        <v>0</v>
      </c>
      <c r="H2123" s="1636"/>
    </row>
    <row r="2124" spans="1:8">
      <c r="A2124" s="1620" t="str">
        <f>INDEX(Lists!$C$4:$C$24,MATCH(Validation!$B$3,Lists!$B$4:$B$24,0))</f>
        <v>TMS</v>
      </c>
      <c r="B2124" s="1732" t="str">
        <f>'4M'!BL12</f>
        <v>WWS2001STD</v>
      </c>
      <c r="C2124" t="str">
        <f>'4M'!$C12&amp;" - "&amp;'4M'!J$5</f>
        <v>NEP - Eels Regulations (measures at outfalls) - Sewage treatment and disposal</v>
      </c>
      <c r="D2124" s="1620" t="str">
        <f t="shared" si="38"/>
        <v>£m</v>
      </c>
      <c r="E2124" s="1636" t="s">
        <v>9</v>
      </c>
      <c r="G2124" s="1635">
        <f>'4M'!J12</f>
        <v>0</v>
      </c>
      <c r="H2124" s="1636"/>
    </row>
    <row r="2125" spans="1:8">
      <c r="A2125" s="1620" t="str">
        <f>INDEX(Lists!$C$4:$C$24,MATCH(Validation!$B$3,Lists!$B$4:$B$24,0))</f>
        <v>TMS</v>
      </c>
      <c r="B2125" s="1732" t="str">
        <f>'4M'!BL13</f>
        <v>S3005STD</v>
      </c>
      <c r="C2125" t="str">
        <f>'4M'!$C13&amp;" - "&amp;'4M'!J$5</f>
        <v>NEP - Event Duration Monitoring at intermittent discharges - Sewage treatment and disposal</v>
      </c>
      <c r="D2125" s="1620" t="str">
        <f t="shared" si="38"/>
        <v>£m</v>
      </c>
      <c r="E2125" s="1636" t="s">
        <v>9</v>
      </c>
      <c r="G2125" s="1635">
        <f>'4M'!J13</f>
        <v>0</v>
      </c>
      <c r="H2125" s="1636"/>
    </row>
    <row r="2126" spans="1:8">
      <c r="A2126" s="1620" t="str">
        <f>INDEX(Lists!$C$4:$C$24,MATCH(Validation!$B$3,Lists!$B$4:$B$24,0))</f>
        <v>TMS</v>
      </c>
      <c r="B2126" s="1732" t="str">
        <f>'4M'!BL14</f>
        <v>S3006STD</v>
      </c>
      <c r="C2126" t="str">
        <f>'4M'!$C14&amp;" - "&amp;'4M'!J$5</f>
        <v>NEP - Flow monitoring at sewage treatment works - Sewage treatment and disposal</v>
      </c>
      <c r="D2126" s="1620" t="str">
        <f t="shared" si="38"/>
        <v>£m</v>
      </c>
      <c r="E2126" s="1636" t="s">
        <v>9</v>
      </c>
      <c r="G2126" s="1635">
        <f>'4M'!J14</f>
        <v>0</v>
      </c>
      <c r="H2126" s="1636"/>
    </row>
    <row r="2127" spans="1:8">
      <c r="A2127" s="1620" t="str">
        <f>INDEX(Lists!$C$4:$C$24,MATCH(Validation!$B$3,Lists!$B$4:$B$24,0))</f>
        <v>TMS</v>
      </c>
      <c r="B2127" s="1732" t="str">
        <f>'4M'!BL15</f>
        <v>S3007STD</v>
      </c>
      <c r="C2127" t="str">
        <f>'4M'!$C15&amp;" - "&amp;'4M'!J$5</f>
        <v>NEP - Monitoring of pass forward flows at CSOs - Sewage treatment and disposal</v>
      </c>
      <c r="D2127" s="1620" t="str">
        <f t="shared" si="38"/>
        <v>£m</v>
      </c>
      <c r="E2127" s="1636" t="s">
        <v>9</v>
      </c>
      <c r="G2127" s="1635">
        <f>'4M'!J15</f>
        <v>0</v>
      </c>
      <c r="H2127" s="1636"/>
    </row>
    <row r="2128" spans="1:8">
      <c r="A2128" s="1620" t="str">
        <f>INDEX(Lists!$C$4:$C$24,MATCH(Validation!$B$3,Lists!$B$4:$B$24,0))</f>
        <v>TMS</v>
      </c>
      <c r="B2128" s="1732" t="str">
        <f>'4M'!BL16</f>
        <v>WWS2002STD</v>
      </c>
      <c r="C2128" t="str">
        <f>'4M'!$C16&amp;" - "&amp;'4M'!J$5</f>
        <v>NEP - Schemes to increase flow to full treatment - Sewage treatment and disposal</v>
      </c>
      <c r="D2128" s="1620" t="str">
        <f t="shared" si="38"/>
        <v>£m</v>
      </c>
      <c r="E2128" s="1636" t="s">
        <v>9</v>
      </c>
      <c r="G2128" s="1635">
        <f>'4M'!J16</f>
        <v>0</v>
      </c>
      <c r="H2128" s="1636"/>
    </row>
    <row r="2129" spans="1:8">
      <c r="A2129" s="1620" t="str">
        <f>INDEX(Lists!$C$4:$C$24,MATCH(Validation!$B$3,Lists!$B$4:$B$24,0))</f>
        <v>TMS</v>
      </c>
      <c r="B2129" s="1732" t="str">
        <f>'4M'!BL17</f>
        <v>WWS2003STD</v>
      </c>
      <c r="C2129" t="str">
        <f>'4M'!$C17&amp;" - "&amp;'4M'!J$5</f>
        <v>NEP - Schemes to increase storm tank capacity - Sewage treatment and disposal</v>
      </c>
      <c r="D2129" s="1620" t="str">
        <f t="shared" si="38"/>
        <v>£m</v>
      </c>
      <c r="E2129" s="1636" t="s">
        <v>9</v>
      </c>
      <c r="G2129" s="1635">
        <f>'4M'!J17</f>
        <v>0</v>
      </c>
      <c r="H2129" s="1636"/>
    </row>
    <row r="2130" spans="1:8">
      <c r="A2130" s="1620" t="str">
        <f>INDEX(Lists!$C$4:$C$24,MATCH(Validation!$B$3,Lists!$B$4:$B$24,0))</f>
        <v>TMS</v>
      </c>
      <c r="B2130" s="1732" t="str">
        <f>'4M'!BL18</f>
        <v>S3008STD</v>
      </c>
      <c r="C2130" t="str">
        <f>'4M'!$C18&amp;" - "&amp;'4M'!J$5</f>
        <v>NEP - Storage schemes to reduce spill frequency at CSOs, storm tanks, etc - Sewage treatment and disposal</v>
      </c>
      <c r="D2130" s="1620" t="str">
        <f t="shared" si="38"/>
        <v>£m</v>
      </c>
      <c r="E2130" s="1636" t="s">
        <v>9</v>
      </c>
      <c r="G2130" s="1635">
        <f>'4M'!J18</f>
        <v>0</v>
      </c>
      <c r="H2130" s="1636"/>
    </row>
    <row r="2131" spans="1:8">
      <c r="A2131" s="1620" t="str">
        <f>INDEX(Lists!$C$4:$C$24,MATCH(Validation!$B$3,Lists!$B$4:$B$24,0))</f>
        <v>TMS</v>
      </c>
      <c r="B2131" s="1732" t="str">
        <f>'4M'!BL19</f>
        <v>S3009STD</v>
      </c>
      <c r="C2131" t="str">
        <f>'4M'!$C19&amp;" - "&amp;'4M'!J$5</f>
        <v>NEP - Chemicals monitoring/ investigations/ options appraisals - Sewage treatment and disposal</v>
      </c>
      <c r="D2131" s="1620" t="str">
        <f t="shared" si="38"/>
        <v>£m</v>
      </c>
      <c r="E2131" s="1636" t="s">
        <v>9</v>
      </c>
      <c r="G2131" s="1635">
        <f>'4M'!J19</f>
        <v>2.5920415227535889</v>
      </c>
      <c r="H2131" s="1636"/>
    </row>
    <row r="2132" spans="1:8">
      <c r="A2132" s="1620" t="str">
        <f>INDEX(Lists!$C$4:$C$24,MATCH(Validation!$B$3,Lists!$B$4:$B$24,0))</f>
        <v>TMS</v>
      </c>
      <c r="B2132" s="1732" t="str">
        <f>'4M'!BL20</f>
        <v>WWS2007STD</v>
      </c>
      <c r="C2132" t="str">
        <f>'4M'!$C20&amp;" - "&amp;'4M'!J$5</f>
        <v>NEP - National phosphorus removal technology investigations - Sewage treatment and disposal</v>
      </c>
      <c r="D2132" s="1620" t="str">
        <f t="shared" si="38"/>
        <v>£m</v>
      </c>
      <c r="E2132" s="1636" t="s">
        <v>9</v>
      </c>
      <c r="G2132" s="1635">
        <f>'4M'!J20</f>
        <v>4.1670172503982986E-2</v>
      </c>
      <c r="H2132" s="1636"/>
    </row>
    <row r="2133" spans="1:8">
      <c r="A2133" s="1620" t="str">
        <f>INDEX(Lists!$C$4:$C$24,MATCH(Validation!$B$3,Lists!$B$4:$B$24,0))</f>
        <v>TMS</v>
      </c>
      <c r="B2133" s="1732" t="str">
        <f>'4M'!BL21</f>
        <v>S3010STD</v>
      </c>
      <c r="C2133" t="str">
        <f>'4M'!$C21&amp;" - "&amp;'4M'!J$5</f>
        <v>NEP - Groundwater schemes - Sewage treatment and disposal</v>
      </c>
      <c r="D2133" s="1620" t="str">
        <f t="shared" si="38"/>
        <v>£m</v>
      </c>
      <c r="E2133" s="1636" t="s">
        <v>9</v>
      </c>
      <c r="G2133" s="1635">
        <f>'4M'!J21</f>
        <v>2.4708107961282323E-3</v>
      </c>
      <c r="H2133" s="1636"/>
    </row>
    <row r="2134" spans="1:8">
      <c r="A2134" s="1620" t="str">
        <f>INDEX(Lists!$C$4:$C$24,MATCH(Validation!$B$3,Lists!$B$4:$B$24,0))</f>
        <v>TMS</v>
      </c>
      <c r="B2134" s="1732" t="str">
        <f>'4M'!BL22</f>
        <v>S3011STD</v>
      </c>
      <c r="C2134" t="str">
        <f>'4M'!$C22&amp;" - "&amp;'4M'!J$5</f>
        <v>NEP - Investigations - Sewage treatment and disposal</v>
      </c>
      <c r="D2134" s="1620" t="str">
        <f t="shared" si="38"/>
        <v>£m</v>
      </c>
      <c r="E2134" s="1636" t="s">
        <v>9</v>
      </c>
      <c r="G2134" s="1635">
        <f>'4M'!J22</f>
        <v>2.1127554428804691</v>
      </c>
      <c r="H2134" s="1636"/>
    </row>
    <row r="2135" spans="1:8">
      <c r="A2135" s="1620" t="str">
        <f>INDEX(Lists!$C$4:$C$24,MATCH(Validation!$B$3,Lists!$B$4:$B$24,0))</f>
        <v>TMS</v>
      </c>
      <c r="B2135" s="1732" t="str">
        <f>'4M'!BL23</f>
        <v>S3012STD</v>
      </c>
      <c r="C2135" t="str">
        <f>'4M'!$C23&amp;" - "&amp;'4M'!J$5</f>
        <v>NEP - Nutrients (N removal) - Sewage treatment and disposal</v>
      </c>
      <c r="D2135" s="1620" t="str">
        <f t="shared" si="38"/>
        <v>£m</v>
      </c>
      <c r="E2135" s="1636" t="s">
        <v>9</v>
      </c>
      <c r="G2135" s="1635">
        <f>'4M'!J23</f>
        <v>-1.6677374319009688E-15</v>
      </c>
      <c r="H2135" s="1636"/>
    </row>
    <row r="2136" spans="1:8">
      <c r="A2136" s="1620" t="str">
        <f>INDEX(Lists!$C$4:$C$24,MATCH(Validation!$B$3,Lists!$B$4:$B$24,0))</f>
        <v>TMS</v>
      </c>
      <c r="B2136" s="1732" t="str">
        <f>'4M'!BL24</f>
        <v>S3013STD</v>
      </c>
      <c r="C2136" t="str">
        <f>'4M'!$C24&amp;" - "&amp;'4M'!J$5</f>
        <v>NEP - Nutrients (P removal at activated sludge STWs) - Sewage treatment and disposal</v>
      </c>
      <c r="D2136" s="1620" t="str">
        <f t="shared" si="38"/>
        <v>£m</v>
      </c>
      <c r="E2136" s="1636" t="s">
        <v>9</v>
      </c>
      <c r="G2136" s="1635">
        <f>'4M'!J24</f>
        <v>10.128356275408022</v>
      </c>
      <c r="H2136" s="1636"/>
    </row>
    <row r="2137" spans="1:8">
      <c r="A2137" s="1620" t="str">
        <f>INDEX(Lists!$C$4:$C$24,MATCH(Validation!$B$3,Lists!$B$4:$B$24,0))</f>
        <v>TMS</v>
      </c>
      <c r="B2137" s="1732" t="str">
        <f>'4M'!BL25</f>
        <v>S3014STD</v>
      </c>
      <c r="C2137" t="str">
        <f>'4M'!$C25&amp;" - "&amp;'4M'!J$5</f>
        <v>NEP - Nutrients (P removal at filter bed STWs) - Sewage treatment and disposal</v>
      </c>
      <c r="D2137" s="1620" t="str">
        <f t="shared" si="38"/>
        <v>£m</v>
      </c>
      <c r="E2137" s="1636" t="s">
        <v>9</v>
      </c>
      <c r="G2137" s="1635">
        <f>'4M'!J25</f>
        <v>8.9554320853053309</v>
      </c>
      <c r="H2137" s="1636"/>
    </row>
    <row r="2138" spans="1:8">
      <c r="A2138" s="1620" t="str">
        <f>INDEX(Lists!$C$4:$C$24,MATCH(Validation!$B$3,Lists!$B$4:$B$24,0))</f>
        <v>TMS</v>
      </c>
      <c r="B2138" s="1732" t="str">
        <f>'4M'!BL26</f>
        <v>S3015STD</v>
      </c>
      <c r="C2138" t="str">
        <f>'4M'!$C26&amp;" - "&amp;'4M'!J$5</f>
        <v>NEP - Reduction of sanitary parameters - Sewage treatment and disposal</v>
      </c>
      <c r="D2138" s="1620" t="str">
        <f t="shared" si="38"/>
        <v>£m</v>
      </c>
      <c r="E2138" s="1636" t="s">
        <v>9</v>
      </c>
      <c r="G2138" s="1635">
        <f>'4M'!J26</f>
        <v>71.0319550738499</v>
      </c>
      <c r="H2138" s="1636"/>
    </row>
    <row r="2139" spans="1:8">
      <c r="A2139" s="1620" t="str">
        <f>INDEX(Lists!$C$4:$C$24,MATCH(Validation!$B$3,Lists!$B$4:$B$24,0))</f>
        <v>TMS</v>
      </c>
      <c r="B2139" s="1732" t="str">
        <f>'4M'!BL27</f>
        <v>S3016STD</v>
      </c>
      <c r="C2139" t="str">
        <f>'4M'!$C27&amp;" - "&amp;'4M'!J$5</f>
        <v>NEP - UV disinfection (or similar) - Sewage treatment and disposal</v>
      </c>
      <c r="D2139" s="1620" t="str">
        <f t="shared" si="38"/>
        <v>£m</v>
      </c>
      <c r="E2139" s="1636" t="s">
        <v>9</v>
      </c>
      <c r="G2139" s="1635">
        <f>'4M'!J27</f>
        <v>0</v>
      </c>
      <c r="H2139" s="1636"/>
    </row>
    <row r="2140" spans="1:8">
      <c r="A2140" s="1620" t="str">
        <f>INDEX(Lists!$C$4:$C$24,MATCH(Validation!$B$3,Lists!$B$4:$B$24,0))</f>
        <v>TMS</v>
      </c>
      <c r="B2140" s="1732" t="str">
        <f>'4M'!BL28</f>
        <v>S3017STD</v>
      </c>
      <c r="C2140" t="str">
        <f>'4M'!$C28&amp;" - "&amp;'4M'!J$5</f>
        <v>NEP - Discharge relocation - Sewage treatment and disposal</v>
      </c>
      <c r="D2140" s="1620" t="str">
        <f t="shared" si="38"/>
        <v>£m</v>
      </c>
      <c r="E2140" s="1636" t="s">
        <v>9</v>
      </c>
      <c r="G2140" s="1635">
        <f>'4M'!J28</f>
        <v>0</v>
      </c>
      <c r="H2140" s="1636"/>
    </row>
    <row r="2141" spans="1:8">
      <c r="A2141" s="1620" t="str">
        <f>INDEX(Lists!$C$4:$C$24,MATCH(Validation!$B$3,Lists!$B$4:$B$24,0))</f>
        <v>TMS</v>
      </c>
      <c r="B2141" s="1732" t="str">
        <f>'4M'!BL29</f>
        <v>S3018STD</v>
      </c>
      <c r="C2141" t="str">
        <f>'4M'!$C29&amp;" - "&amp;'4M'!J$5</f>
        <v>NEP - Flow 1 schemes - Sewage treatment and disposal</v>
      </c>
      <c r="D2141" s="1620" t="str">
        <f t="shared" si="38"/>
        <v>£m</v>
      </c>
      <c r="E2141" s="1636" t="s">
        <v>9</v>
      </c>
      <c r="G2141" s="1635">
        <f>'4M'!J29</f>
        <v>1.2027192052602431</v>
      </c>
      <c r="H2141" s="1636"/>
    </row>
    <row r="2142" spans="1:8">
      <c r="A2142" s="1620" t="str">
        <f>INDEX(Lists!$C$4:$C$24,MATCH(Validation!$B$3,Lists!$B$4:$B$24,0))</f>
        <v>TMS</v>
      </c>
      <c r="B2142" s="1732" t="str">
        <f>'4M'!BL30</f>
        <v>S3019STD</v>
      </c>
      <c r="C2142" t="str">
        <f>'4M'!$C30&amp;" - "&amp;'4M'!J$5</f>
        <v>Odour - Sewage treatment and disposal</v>
      </c>
      <c r="D2142" s="1620" t="str">
        <f t="shared" si="38"/>
        <v>£m</v>
      </c>
      <c r="E2142" s="1636" t="s">
        <v>9</v>
      </c>
      <c r="G2142" s="1635">
        <f>'4M'!J30</f>
        <v>9.7516199221584436</v>
      </c>
      <c r="H2142" s="1636"/>
    </row>
    <row r="2143" spans="1:8">
      <c r="A2143" s="1620" t="str">
        <f>INDEX(Lists!$C$4:$C$24,MATCH(Validation!$B$3,Lists!$B$4:$B$24,0))</f>
        <v>TMS</v>
      </c>
      <c r="B2143" s="1732" t="str">
        <f>'4M'!BL31</f>
        <v>S3020STD</v>
      </c>
      <c r="C2143" t="str">
        <f>'4M'!$C31&amp;" - "&amp;'4M'!J$5</f>
        <v>New development and growth - Sewage treatment and disposal</v>
      </c>
      <c r="D2143" s="1620" t="str">
        <f t="shared" si="38"/>
        <v>£m</v>
      </c>
      <c r="E2143" s="1636" t="s">
        <v>9</v>
      </c>
      <c r="G2143" s="1635">
        <f>'4M'!J31</f>
        <v>0</v>
      </c>
      <c r="H2143" s="1636"/>
    </row>
    <row r="2144" spans="1:8">
      <c r="A2144" s="1620" t="str">
        <f>INDEX(Lists!$C$4:$C$24,MATCH(Validation!$B$3,Lists!$B$4:$B$24,0))</f>
        <v>TMS</v>
      </c>
      <c r="B2144" s="1732" t="str">
        <f>'4M'!BL32</f>
        <v>S3021STD</v>
      </c>
      <c r="C2144" t="str">
        <f>'4M'!$C32&amp;" - "&amp;'4M'!J$5</f>
        <v>Growth at sewage treatment works (excluding sludge treatment) - Sewage treatment and disposal</v>
      </c>
      <c r="D2144" s="1620" t="str">
        <f t="shared" si="38"/>
        <v>£m</v>
      </c>
      <c r="E2144" s="1636" t="s">
        <v>9</v>
      </c>
      <c r="G2144" s="1635">
        <f>'4M'!J32</f>
        <v>27.088357244369124</v>
      </c>
      <c r="H2144" s="1636"/>
    </row>
    <row r="2145" spans="1:8">
      <c r="A2145" s="1620" t="str">
        <f>INDEX(Lists!$C$4:$C$24,MATCH(Validation!$B$3,Lists!$B$4:$B$24,0))</f>
        <v>TMS</v>
      </c>
      <c r="B2145" s="1732" t="str">
        <f>'4M'!BL33</f>
        <v>S3022STD</v>
      </c>
      <c r="C2145" t="str">
        <f>'4M'!$C33&amp;" - "&amp;'4M'!J$5</f>
        <v>Resilience - Sewage treatment and disposal</v>
      </c>
      <c r="D2145" s="1620" t="str">
        <f t="shared" si="38"/>
        <v>£m</v>
      </c>
      <c r="E2145" s="1636" t="s">
        <v>9</v>
      </c>
      <c r="G2145" s="1635">
        <f>'4M'!J33</f>
        <v>1.1295602116635259</v>
      </c>
      <c r="H2145" s="1636"/>
    </row>
    <row r="2146" spans="1:8">
      <c r="A2146" s="1620" t="str">
        <f>INDEX(Lists!$C$4:$C$24,MATCH(Validation!$B$3,Lists!$B$4:$B$24,0))</f>
        <v>TMS</v>
      </c>
      <c r="B2146" s="1732" t="str">
        <f>'4M'!BL34</f>
        <v>BC31785STD</v>
      </c>
      <c r="C2146" t="str">
        <f>'4M'!$C34&amp;" - "&amp;'4M'!J$5</f>
        <v>SEMD - Sewage treatment and disposal</v>
      </c>
      <c r="D2146" s="1620" t="str">
        <f t="shared" si="38"/>
        <v>£m</v>
      </c>
      <c r="E2146" s="1636" t="s">
        <v>9</v>
      </c>
      <c r="G2146" s="1635">
        <f>'4M'!J34</f>
        <v>3.2540670705512804</v>
      </c>
      <c r="H2146" s="1636"/>
    </row>
    <row r="2147" spans="1:8">
      <c r="A2147" s="1620" t="str">
        <f>INDEX(Lists!$C$4:$C$24,MATCH(Validation!$B$3,Lists!$B$4:$B$24,0))</f>
        <v>TMS</v>
      </c>
      <c r="B2147" s="1732" t="str">
        <f>'4M'!BL35</f>
        <v>S3023STD</v>
      </c>
      <c r="C2147" t="str">
        <f>'4M'!$C35&amp;" - "&amp;'4M'!J$5</f>
        <v>Reduce flooding risk for properties - Sewage treatment and disposal</v>
      </c>
      <c r="D2147" s="1620" t="str">
        <f t="shared" si="38"/>
        <v>£m</v>
      </c>
      <c r="E2147" s="1636" t="s">
        <v>9</v>
      </c>
      <c r="G2147" s="1635">
        <f>'4M'!J35</f>
        <v>-3.2929253121454533E-2</v>
      </c>
      <c r="H2147" s="1636"/>
    </row>
    <row r="2148" spans="1:8">
      <c r="A2148" s="1620" t="str">
        <f>INDEX(Lists!$C$4:$C$24,MATCH(Validation!$B$3,Lists!$B$4:$B$24,0))</f>
        <v>TMS</v>
      </c>
      <c r="B2148" s="1732" t="str">
        <f>'4M'!BL36</f>
        <v>S3A00001STD</v>
      </c>
      <c r="C2148" s="1732" t="str">
        <f>"Capital expenditure purpose - WASTEWATER additional line 1 [Other categories] - "&amp;'4M'!$J$5</f>
        <v>Capital expenditure purpose - WASTEWATER additional line 1 [Other categories] - Sewage treatment and disposal</v>
      </c>
      <c r="D2148" s="1620" t="str">
        <f t="shared" si="38"/>
        <v>£m</v>
      </c>
      <c r="E2148" s="1636" t="s">
        <v>9</v>
      </c>
      <c r="F2148" s="2" t="str">
        <f>F2019</f>
        <v>Quality spend at CSOs and quality allocation to Deephams inlet works</v>
      </c>
      <c r="G2148" s="1635">
        <f>IF(ISBLANK('4M'!J36), "##BLANK", '4M'!J36)</f>
        <v>0</v>
      </c>
      <c r="H2148" s="1636"/>
    </row>
    <row r="2149" spans="1:8">
      <c r="A2149" s="1620" t="str">
        <f>INDEX(Lists!$C$4:$C$24,MATCH(Validation!$B$3,Lists!$B$4:$B$24,0))</f>
        <v>TMS</v>
      </c>
      <c r="B2149" s="1732" t="str">
        <f>'4M'!BL37</f>
        <v>S3A00002STD</v>
      </c>
      <c r="C2149" s="1732" t="str">
        <f>"Capital expenditure purpose - WASTEWATER additional line 2 [Other categories] - "&amp;'4M'!$J$5</f>
        <v>Capital expenditure purpose - WASTEWATER additional line 2 [Other categories] - Sewage treatment and disposal</v>
      </c>
      <c r="D2149" s="1620" t="str">
        <f t="shared" si="38"/>
        <v>£m</v>
      </c>
      <c r="E2149" s="1636" t="s">
        <v>9</v>
      </c>
      <c r="F2149" s="2" t="str">
        <f t="shared" ref="F2149:F2162" si="40">F2020</f>
        <v>Tideway quality (NEP). Excludes Lee Tunnel and sludge.</v>
      </c>
      <c r="G2149" s="1635">
        <f>IF(ISBLANK('4M'!J37), "##BLANK", '4M'!J37)</f>
        <v>-0.27779155972915032</v>
      </c>
      <c r="H2149" s="1636"/>
    </row>
    <row r="2150" spans="1:8">
      <c r="A2150" s="1620" t="str">
        <f>INDEX(Lists!$C$4:$C$24,MATCH(Validation!$B$3,Lists!$B$4:$B$24,0))</f>
        <v>TMS</v>
      </c>
      <c r="B2150" s="1732" t="str">
        <f>'4M'!BL38</f>
        <v>S3A00003STD</v>
      </c>
      <c r="C2150" s="1732" t="str">
        <f>"Capital expenditure purpose - WASTEWATER additional line 3 [Other categories] - "&amp;'4M'!$J$5</f>
        <v>Capital expenditure purpose - WASTEWATER additional line 3 [Other categories] - Sewage treatment and disposal</v>
      </c>
      <c r="D2150" s="1620" t="str">
        <f t="shared" si="38"/>
        <v>£m</v>
      </c>
      <c r="E2150" s="1636" t="s">
        <v>9</v>
      </c>
      <c r="F2150" s="2" t="str">
        <f t="shared" si="40"/>
        <v>Lee Tunnel</v>
      </c>
      <c r="G2150" s="1635">
        <f>IF(ISBLANK('4M'!J38), "##BLANK", '4M'!J38)</f>
        <v>0</v>
      </c>
      <c r="H2150" s="1636"/>
    </row>
    <row r="2151" spans="1:8">
      <c r="A2151" s="1620" t="str">
        <f>INDEX(Lists!$C$4:$C$24,MATCH(Validation!$B$3,Lists!$B$4:$B$24,0))</f>
        <v>TMS</v>
      </c>
      <c r="B2151" s="1732" t="str">
        <f>'4M'!BL39</f>
        <v>S3A00004STD</v>
      </c>
      <c r="C2151" s="1732" t="str">
        <f>"Capital expenditure purpose - WASTEWATER additional line 4 [Other categories] - "&amp;'4M'!$J$5</f>
        <v>Capital expenditure purpose - WASTEWATER additional line 4 [Other categories] - Sewage treatment and disposal</v>
      </c>
      <c r="D2151" s="1620" t="str">
        <f t="shared" si="38"/>
        <v>£m</v>
      </c>
      <c r="E2151" s="1636" t="s">
        <v>9</v>
      </c>
      <c r="F2151" s="2" t="str">
        <f t="shared" si="40"/>
        <v>Non-SEMD related security enhancement (revised Ofwat guidance 6 July 2018)</v>
      </c>
      <c r="G2151" s="1635">
        <f>IF(ISBLANK('4M'!J39), "##BLANK", '4M'!J39)</f>
        <v>0.46368034376231837</v>
      </c>
      <c r="H2151" s="1636"/>
    </row>
    <row r="2152" spans="1:8">
      <c r="A2152" s="1620" t="str">
        <f>INDEX(Lists!$C$4:$C$24,MATCH(Validation!$B$3,Lists!$B$4:$B$24,0))</f>
        <v>TMS</v>
      </c>
      <c r="B2152" s="1732" t="str">
        <f>'4M'!BL40</f>
        <v>S3A00005STD</v>
      </c>
      <c r="C2152" s="1732" t="str">
        <f>"Capital expenditure purpose - WASTEWATER additional line 5 [Other categories] - "&amp;'4M'!$J$5</f>
        <v>Capital expenditure purpose - WASTEWATER additional line 5 [Other categories] - Sewage treatment and disposal</v>
      </c>
      <c r="D2152" s="1620" t="str">
        <f t="shared" si="38"/>
        <v>£m</v>
      </c>
      <c r="E2152" s="1636" t="s">
        <v>9</v>
      </c>
      <c r="F2152" s="2" t="str">
        <f t="shared" si="40"/>
        <v>##BLANK</v>
      </c>
      <c r="G2152" s="1635" t="str">
        <f>IF(ISBLANK('4M'!J40), "##BLANK", '4M'!J40)</f>
        <v>##BLANK</v>
      </c>
      <c r="H2152" s="1636"/>
    </row>
    <row r="2153" spans="1:8">
      <c r="A2153" s="1620" t="str">
        <f>INDEX(Lists!$C$4:$C$24,MATCH(Validation!$B$3,Lists!$B$4:$B$24,0))</f>
        <v>TMS</v>
      </c>
      <c r="B2153" s="1732" t="str">
        <f>'4M'!BL41</f>
        <v>S3A00006STD</v>
      </c>
      <c r="C2153" s="1732" t="str">
        <f>"Capital expenditure purpose - WASTEWATER additional line 6 [Other categories] - "&amp;'4M'!$J$5</f>
        <v>Capital expenditure purpose - WASTEWATER additional line 6 [Other categories] - Sewage treatment and disposal</v>
      </c>
      <c r="D2153" s="1620" t="str">
        <f t="shared" si="38"/>
        <v>£m</v>
      </c>
      <c r="E2153" s="1636" t="s">
        <v>9</v>
      </c>
      <c r="F2153" s="2" t="str">
        <f t="shared" si="40"/>
        <v>##BLANK</v>
      </c>
      <c r="G2153" s="1635" t="str">
        <f>IF(ISBLANK('4M'!J41), "##BLANK", '4M'!J41)</f>
        <v>##BLANK</v>
      </c>
      <c r="H2153" s="1636"/>
    </row>
    <row r="2154" spans="1:8">
      <c r="A2154" s="1620" t="str">
        <f>INDEX(Lists!$C$4:$C$24,MATCH(Validation!$B$3,Lists!$B$4:$B$24,0))</f>
        <v>TMS</v>
      </c>
      <c r="B2154" s="1732" t="str">
        <f>'4M'!BL42</f>
        <v>S3A00007STD</v>
      </c>
      <c r="C2154" s="1732" t="str">
        <f>"Capital expenditure purpose - WASTEWATER additional line 7 [Other categories] - "&amp;'4M'!$J$5</f>
        <v>Capital expenditure purpose - WASTEWATER additional line 7 [Other categories] - Sewage treatment and disposal</v>
      </c>
      <c r="D2154" s="1620" t="str">
        <f t="shared" si="38"/>
        <v>£m</v>
      </c>
      <c r="E2154" s="1636" t="s">
        <v>9</v>
      </c>
      <c r="F2154" s="2" t="str">
        <f t="shared" si="40"/>
        <v>##BLANK</v>
      </c>
      <c r="G2154" s="1635" t="str">
        <f>IF(ISBLANK('4M'!J42), "##BLANK", '4M'!J42)</f>
        <v>##BLANK</v>
      </c>
      <c r="H2154" s="1636"/>
    </row>
    <row r="2155" spans="1:8">
      <c r="A2155" s="1620" t="str">
        <f>INDEX(Lists!$C$4:$C$24,MATCH(Validation!$B$3,Lists!$B$4:$B$24,0))</f>
        <v>TMS</v>
      </c>
      <c r="B2155" s="1732" t="str">
        <f>'4M'!BL43</f>
        <v>S3A00008STD</v>
      </c>
      <c r="C2155" s="1732" t="str">
        <f>"Capital expenditure purpose - WASTEWATER additional line 8 [Other categories] - "&amp;'4M'!$J$5</f>
        <v>Capital expenditure purpose - WASTEWATER additional line 8 [Other categories] - Sewage treatment and disposal</v>
      </c>
      <c r="D2155" s="1620" t="str">
        <f t="shared" si="38"/>
        <v>£m</v>
      </c>
      <c r="E2155" s="1636" t="s">
        <v>9</v>
      </c>
      <c r="F2155" s="2" t="str">
        <f t="shared" si="40"/>
        <v>##BLANK</v>
      </c>
      <c r="G2155" s="1635" t="str">
        <f>IF(ISBLANK('4M'!J43), "##BLANK", '4M'!J43)</f>
        <v>##BLANK</v>
      </c>
      <c r="H2155" s="1636"/>
    </row>
    <row r="2156" spans="1:8">
      <c r="A2156" s="1620" t="str">
        <f>INDEX(Lists!$C$4:$C$24,MATCH(Validation!$B$3,Lists!$B$4:$B$24,0))</f>
        <v>TMS</v>
      </c>
      <c r="B2156" s="1732" t="str">
        <f>'4M'!BL44</f>
        <v>S3A00009STD</v>
      </c>
      <c r="C2156" s="1732" t="str">
        <f>"Capital expenditure purpose - WASTEWATER additional line 9 [Other categories] - "&amp;'4M'!$J$5</f>
        <v>Capital expenditure purpose - WASTEWATER additional line 9 [Other categories] - Sewage treatment and disposal</v>
      </c>
      <c r="D2156" s="1620" t="str">
        <f t="shared" si="38"/>
        <v>£m</v>
      </c>
      <c r="E2156" s="1636" t="s">
        <v>9</v>
      </c>
      <c r="F2156" s="2" t="str">
        <f t="shared" si="40"/>
        <v>##BLANK</v>
      </c>
      <c r="G2156" s="1635" t="str">
        <f>IF(ISBLANK('4M'!J44), "##BLANK", '4M'!J44)</f>
        <v>##BLANK</v>
      </c>
      <c r="H2156" s="1636"/>
    </row>
    <row r="2157" spans="1:8">
      <c r="A2157" s="1620" t="str">
        <f>INDEX(Lists!$C$4:$C$24,MATCH(Validation!$B$3,Lists!$B$4:$B$24,0))</f>
        <v>TMS</v>
      </c>
      <c r="B2157" s="1732" t="str">
        <f>'4M'!BL45</f>
        <v>S3A00010STD</v>
      </c>
      <c r="C2157" s="1732" t="str">
        <f>"Capital expenditure purpose - WASTEWATER additional line 10 [Other categories] - "&amp;'4M'!$J$5</f>
        <v>Capital expenditure purpose - WASTEWATER additional line 10 [Other categories] - Sewage treatment and disposal</v>
      </c>
      <c r="D2157" s="1620" t="str">
        <f t="shared" si="38"/>
        <v>£m</v>
      </c>
      <c r="E2157" s="1636" t="s">
        <v>9</v>
      </c>
      <c r="F2157" s="2" t="str">
        <f t="shared" si="40"/>
        <v>##BLANK</v>
      </c>
      <c r="G2157" s="1635" t="str">
        <f>IF(ISBLANK('4M'!J45), "##BLANK", '4M'!J45)</f>
        <v>##BLANK</v>
      </c>
      <c r="H2157" s="1636"/>
    </row>
    <row r="2158" spans="1:8">
      <c r="A2158" s="1620" t="str">
        <f>INDEX(Lists!$C$4:$C$24,MATCH(Validation!$B$3,Lists!$B$4:$B$24,0))</f>
        <v>TMS</v>
      </c>
      <c r="B2158" s="1732" t="str">
        <f>'4M'!BL46</f>
        <v>S3A00011STD</v>
      </c>
      <c r="C2158" s="1732" t="str">
        <f>"Capital expenditure purpose - WASTEWATER additional line 11 [Other categories] - "&amp;'4M'!$J$5</f>
        <v>Capital expenditure purpose - WASTEWATER additional line 11 [Other categories] - Sewage treatment and disposal</v>
      </c>
      <c r="D2158" s="1620" t="str">
        <f t="shared" si="38"/>
        <v>£m</v>
      </c>
      <c r="E2158" s="1636" t="s">
        <v>9</v>
      </c>
      <c r="F2158" s="2" t="str">
        <f t="shared" si="40"/>
        <v>##BLANK</v>
      </c>
      <c r="G2158" s="1635" t="str">
        <f>IF(ISBLANK('4M'!J46), "##BLANK", '4M'!J46)</f>
        <v>##BLANK</v>
      </c>
      <c r="H2158" s="1636"/>
    </row>
    <row r="2159" spans="1:8">
      <c r="A2159" s="1620" t="str">
        <f>INDEX(Lists!$C$4:$C$24,MATCH(Validation!$B$3,Lists!$B$4:$B$24,0))</f>
        <v>TMS</v>
      </c>
      <c r="B2159" s="1732" t="str">
        <f>'4M'!BL47</f>
        <v>S3A00012STD</v>
      </c>
      <c r="C2159" s="1732" t="str">
        <f>"Capital expenditure purpose - WASTEWATER additional line 12 [Other categories] - "&amp;'4M'!$J$5</f>
        <v>Capital expenditure purpose - WASTEWATER additional line 12 [Other categories] - Sewage treatment and disposal</v>
      </c>
      <c r="D2159" s="1620" t="str">
        <f t="shared" si="38"/>
        <v>£m</v>
      </c>
      <c r="E2159" s="1636" t="s">
        <v>9</v>
      </c>
      <c r="F2159" s="2" t="str">
        <f t="shared" si="40"/>
        <v>##BLANK</v>
      </c>
      <c r="G2159" s="1635" t="str">
        <f>IF(ISBLANK('4M'!J47), "##BLANK", '4M'!J47)</f>
        <v>##BLANK</v>
      </c>
      <c r="H2159" s="1636"/>
    </row>
    <row r="2160" spans="1:8">
      <c r="A2160" s="1620" t="str">
        <f>INDEX(Lists!$C$4:$C$24,MATCH(Validation!$B$3,Lists!$B$4:$B$24,0))</f>
        <v>TMS</v>
      </c>
      <c r="B2160" s="1732" t="str">
        <f>'4M'!BL48</f>
        <v>S3A00013STD</v>
      </c>
      <c r="C2160" s="1732" t="str">
        <f>"Capital expenditure purpose - WASTEWATER additional line 13 [Other categories] - "&amp;'4M'!$J$5</f>
        <v>Capital expenditure purpose - WASTEWATER additional line 13 [Other categories] - Sewage treatment and disposal</v>
      </c>
      <c r="D2160" s="1620" t="str">
        <f t="shared" si="38"/>
        <v>£m</v>
      </c>
      <c r="E2160" s="1636" t="s">
        <v>9</v>
      </c>
      <c r="F2160" s="2" t="str">
        <f t="shared" si="40"/>
        <v>##BLANK</v>
      </c>
      <c r="G2160" s="1635" t="str">
        <f>IF(ISBLANK('4M'!J48), "##BLANK", '4M'!J48)</f>
        <v>##BLANK</v>
      </c>
      <c r="H2160" s="1636"/>
    </row>
    <row r="2161" spans="1:8">
      <c r="A2161" s="1620" t="str">
        <f>INDEX(Lists!$C$4:$C$24,MATCH(Validation!$B$3,Lists!$B$4:$B$24,0))</f>
        <v>TMS</v>
      </c>
      <c r="B2161" s="1732" t="str">
        <f>'4M'!BL49</f>
        <v>S3A00014STD</v>
      </c>
      <c r="C2161" s="1732" t="str">
        <f>"Capital expenditure purpose - WASTEWATER additional line 14 [Other categories] - "&amp;'4M'!$J$5</f>
        <v>Capital expenditure purpose - WASTEWATER additional line 14 [Other categories] - Sewage treatment and disposal</v>
      </c>
      <c r="D2161" s="1620" t="str">
        <f t="shared" si="38"/>
        <v>£m</v>
      </c>
      <c r="E2161" s="1636" t="s">
        <v>9</v>
      </c>
      <c r="F2161" s="2" t="str">
        <f t="shared" si="40"/>
        <v>##BLANK</v>
      </c>
      <c r="G2161" s="1635" t="str">
        <f>IF(ISBLANK('4M'!J49), "##BLANK", '4M'!J49)</f>
        <v>##BLANK</v>
      </c>
      <c r="H2161" s="1636"/>
    </row>
    <row r="2162" spans="1:8">
      <c r="A2162" s="1730" t="str">
        <f>INDEX(Lists!$C$4:$C$24,MATCH(Validation!$B$3,Lists!$B$4:$B$24,0))</f>
        <v>TMS</v>
      </c>
      <c r="B2162" s="1734" t="str">
        <f>'4M'!BL50</f>
        <v>S3A00015STD</v>
      </c>
      <c r="C2162" s="1734" t="str">
        <f>"Capital expenditure purpose - WASTEWATER additional line 15 [Other categories] - "&amp;'4M'!$J$5</f>
        <v>Capital expenditure purpose - WASTEWATER additional line 15 [Other categories] - Sewage treatment and disposal</v>
      </c>
      <c r="D2162" s="1730" t="str">
        <f t="shared" ref="D2162:D2225" si="41">D2119</f>
        <v>£m</v>
      </c>
      <c r="E2162" s="1652" t="s">
        <v>9</v>
      </c>
      <c r="F2162" s="1637" t="str">
        <f t="shared" si="40"/>
        <v>##BLANK</v>
      </c>
      <c r="G2162" s="1653" t="str">
        <f>IF(ISBLANK('4M'!J50), "##BLANK", '4M'!J50)</f>
        <v>##BLANK</v>
      </c>
      <c r="H2162" s="1652"/>
    </row>
    <row r="2163" spans="1:8">
      <c r="A2163" s="1620" t="str">
        <f>INDEX(Lists!$C$4:$C$24,MATCH(Validation!$B$3,Lists!$B$4:$B$24,0))</f>
        <v>TMS</v>
      </c>
      <c r="B2163" s="1732" t="str">
        <f>'4M'!BM8</f>
        <v>BC31379SLT</v>
      </c>
      <c r="C2163" t="str">
        <f>'4M'!$C8&amp;" - "&amp;'4M'!K$5</f>
        <v>First time sewerage (s101A) - Sludge liquor treatment</v>
      </c>
      <c r="D2163" s="1620" t="str">
        <f t="shared" si="41"/>
        <v>£m</v>
      </c>
      <c r="E2163" s="1636" t="s">
        <v>9</v>
      </c>
      <c r="G2163" s="1635">
        <f>'4M'!K8</f>
        <v>0</v>
      </c>
      <c r="H2163" s="1636"/>
    </row>
    <row r="2164" spans="1:8">
      <c r="A2164" s="1620" t="str">
        <f>INDEX(Lists!$C$4:$C$24,MATCH(Validation!$B$3,Lists!$B$4:$B$24,0))</f>
        <v>TMS</v>
      </c>
      <c r="B2164" s="1732" t="str">
        <f>'4M'!BM9</f>
        <v>S3035QSLT</v>
      </c>
      <c r="C2164" t="str">
        <f>'4M'!$C9&amp;" - "&amp;'4M'!K$5</f>
        <v>Sludge enhancement (quality) - Sludge liquor treatment</v>
      </c>
      <c r="D2164" s="1620" t="str">
        <f t="shared" si="41"/>
        <v>£m</v>
      </c>
      <c r="E2164" s="1636" t="s">
        <v>9</v>
      </c>
      <c r="G2164" s="1635">
        <f>'4M'!K9</f>
        <v>0</v>
      </c>
      <c r="H2164" s="1636"/>
    </row>
    <row r="2165" spans="1:8">
      <c r="A2165" s="1620" t="str">
        <f>INDEX(Lists!$C$4:$C$24,MATCH(Validation!$B$3,Lists!$B$4:$B$24,0))</f>
        <v>TMS</v>
      </c>
      <c r="B2165" s="1732" t="str">
        <f>'4M'!BM10</f>
        <v>S3036GSLT</v>
      </c>
      <c r="C2165" t="str">
        <f>'4M'!$C10&amp;" - "&amp;'4M'!K$5</f>
        <v>Sludge enhancement (growth) - Sludge liquor treatment</v>
      </c>
      <c r="D2165" s="1620" t="str">
        <f t="shared" si="41"/>
        <v>£m</v>
      </c>
      <c r="E2165" s="1636" t="s">
        <v>9</v>
      </c>
      <c r="G2165" s="1635">
        <f>'4M'!K10</f>
        <v>0</v>
      </c>
      <c r="H2165" s="1636"/>
    </row>
    <row r="2166" spans="1:8">
      <c r="A2166" s="1620" t="str">
        <f>INDEX(Lists!$C$4:$C$24,MATCH(Validation!$B$3,Lists!$B$4:$B$24,0))</f>
        <v>TMS</v>
      </c>
      <c r="B2166" s="1732" t="str">
        <f>'4M'!BM11</f>
        <v>S3004SLT</v>
      </c>
      <c r="C2166" t="str">
        <f>'4M'!$C11&amp;" - "&amp;'4M'!K$5</f>
        <v>NEP - Conservation drivers - Sludge liquor treatment</v>
      </c>
      <c r="D2166" s="1620" t="str">
        <f t="shared" si="41"/>
        <v>£m</v>
      </c>
      <c r="E2166" s="1636" t="s">
        <v>9</v>
      </c>
      <c r="G2166" s="1635">
        <f>'4M'!K11</f>
        <v>0</v>
      </c>
      <c r="H2166" s="1636"/>
    </row>
    <row r="2167" spans="1:8">
      <c r="A2167" s="1620" t="str">
        <f>INDEX(Lists!$C$4:$C$24,MATCH(Validation!$B$3,Lists!$B$4:$B$24,0))</f>
        <v>TMS</v>
      </c>
      <c r="B2167" s="1732" t="str">
        <f>'4M'!BM12</f>
        <v>WWS2001SLT</v>
      </c>
      <c r="C2167" t="str">
        <f>'4M'!$C12&amp;" - "&amp;'4M'!K$5</f>
        <v>NEP - Eels Regulations (measures at outfalls) - Sludge liquor treatment</v>
      </c>
      <c r="D2167" s="1620" t="str">
        <f t="shared" si="41"/>
        <v>£m</v>
      </c>
      <c r="E2167" s="1636" t="s">
        <v>9</v>
      </c>
      <c r="G2167" s="1635">
        <f>'4M'!K12</f>
        <v>0</v>
      </c>
      <c r="H2167" s="1636"/>
    </row>
    <row r="2168" spans="1:8">
      <c r="A2168" s="1620" t="str">
        <f>INDEX(Lists!$C$4:$C$24,MATCH(Validation!$B$3,Lists!$B$4:$B$24,0))</f>
        <v>TMS</v>
      </c>
      <c r="B2168" s="1732" t="str">
        <f>'4M'!BM13</f>
        <v>S3005SLT</v>
      </c>
      <c r="C2168" t="str">
        <f>'4M'!$C13&amp;" - "&amp;'4M'!K$5</f>
        <v>NEP - Event Duration Monitoring at intermittent discharges - Sludge liquor treatment</v>
      </c>
      <c r="D2168" s="1620" t="str">
        <f t="shared" si="41"/>
        <v>£m</v>
      </c>
      <c r="E2168" s="1636" t="s">
        <v>9</v>
      </c>
      <c r="G2168" s="1635">
        <f>'4M'!K13</f>
        <v>0</v>
      </c>
      <c r="H2168" s="1636"/>
    </row>
    <row r="2169" spans="1:8">
      <c r="A2169" s="1620" t="str">
        <f>INDEX(Lists!$C$4:$C$24,MATCH(Validation!$B$3,Lists!$B$4:$B$24,0))</f>
        <v>TMS</v>
      </c>
      <c r="B2169" s="1732" t="str">
        <f>'4M'!BM14</f>
        <v>S3006SLT</v>
      </c>
      <c r="C2169" t="str">
        <f>'4M'!$C14&amp;" - "&amp;'4M'!K$5</f>
        <v>NEP - Flow monitoring at sewage treatment works - Sludge liquor treatment</v>
      </c>
      <c r="D2169" s="1620" t="str">
        <f t="shared" si="41"/>
        <v>£m</v>
      </c>
      <c r="E2169" s="1636" t="s">
        <v>9</v>
      </c>
      <c r="G2169" s="1635">
        <f>'4M'!K14</f>
        <v>0</v>
      </c>
      <c r="H2169" s="1636"/>
    </row>
    <row r="2170" spans="1:8">
      <c r="A2170" s="1620" t="str">
        <f>INDEX(Lists!$C$4:$C$24,MATCH(Validation!$B$3,Lists!$B$4:$B$24,0))</f>
        <v>TMS</v>
      </c>
      <c r="B2170" s="1732" t="str">
        <f>'4M'!BM15</f>
        <v>S3007SLT</v>
      </c>
      <c r="C2170" t="str">
        <f>'4M'!$C15&amp;" - "&amp;'4M'!K$5</f>
        <v>NEP - Monitoring of pass forward flows at CSOs - Sludge liquor treatment</v>
      </c>
      <c r="D2170" s="1620" t="str">
        <f t="shared" si="41"/>
        <v>£m</v>
      </c>
      <c r="E2170" s="1636" t="s">
        <v>9</v>
      </c>
      <c r="G2170" s="1635">
        <f>'4M'!K15</f>
        <v>0</v>
      </c>
      <c r="H2170" s="1636"/>
    </row>
    <row r="2171" spans="1:8">
      <c r="A2171" s="1620" t="str">
        <f>INDEX(Lists!$C$4:$C$24,MATCH(Validation!$B$3,Lists!$B$4:$B$24,0))</f>
        <v>TMS</v>
      </c>
      <c r="B2171" s="1732" t="str">
        <f>'4M'!BM16</f>
        <v>WWS2002SLT</v>
      </c>
      <c r="C2171" t="str">
        <f>'4M'!$C16&amp;" - "&amp;'4M'!K$5</f>
        <v>NEP - Schemes to increase flow to full treatment - Sludge liquor treatment</v>
      </c>
      <c r="D2171" s="1620" t="str">
        <f t="shared" si="41"/>
        <v>£m</v>
      </c>
      <c r="E2171" s="1636" t="s">
        <v>9</v>
      </c>
      <c r="G2171" s="1635">
        <f>'4M'!K16</f>
        <v>0</v>
      </c>
      <c r="H2171" s="1636"/>
    </row>
    <row r="2172" spans="1:8">
      <c r="A2172" s="1620" t="str">
        <f>INDEX(Lists!$C$4:$C$24,MATCH(Validation!$B$3,Lists!$B$4:$B$24,0))</f>
        <v>TMS</v>
      </c>
      <c r="B2172" s="1732" t="str">
        <f>'4M'!BM17</f>
        <v>WWS2003SLT</v>
      </c>
      <c r="C2172" t="str">
        <f>'4M'!$C17&amp;" - "&amp;'4M'!K$5</f>
        <v>NEP - Schemes to increase storm tank capacity - Sludge liquor treatment</v>
      </c>
      <c r="D2172" s="1620" t="str">
        <f t="shared" si="41"/>
        <v>£m</v>
      </c>
      <c r="E2172" s="1636" t="s">
        <v>9</v>
      </c>
      <c r="G2172" s="1635">
        <f>'4M'!K17</f>
        <v>0</v>
      </c>
      <c r="H2172" s="1636"/>
    </row>
    <row r="2173" spans="1:8">
      <c r="A2173" s="1620" t="str">
        <f>INDEX(Lists!$C$4:$C$24,MATCH(Validation!$B$3,Lists!$B$4:$B$24,0))</f>
        <v>TMS</v>
      </c>
      <c r="B2173" s="1732" t="str">
        <f>'4M'!BM18</f>
        <v>S3008SLT</v>
      </c>
      <c r="C2173" t="str">
        <f>'4M'!$C18&amp;" - "&amp;'4M'!K$5</f>
        <v>NEP - Storage schemes to reduce spill frequency at CSOs, storm tanks, etc - Sludge liquor treatment</v>
      </c>
      <c r="D2173" s="1620" t="str">
        <f t="shared" si="41"/>
        <v>£m</v>
      </c>
      <c r="E2173" s="1636" t="s">
        <v>9</v>
      </c>
      <c r="G2173" s="1635">
        <f>'4M'!K18</f>
        <v>0</v>
      </c>
      <c r="H2173" s="1636"/>
    </row>
    <row r="2174" spans="1:8">
      <c r="A2174" s="1620" t="str">
        <f>INDEX(Lists!$C$4:$C$24,MATCH(Validation!$B$3,Lists!$B$4:$B$24,0))</f>
        <v>TMS</v>
      </c>
      <c r="B2174" s="1732" t="str">
        <f>'4M'!BM19</f>
        <v>S3009SLT</v>
      </c>
      <c r="C2174" t="str">
        <f>'4M'!$C19&amp;" - "&amp;'4M'!K$5</f>
        <v>NEP - Chemicals monitoring/ investigations/ options appraisals - Sludge liquor treatment</v>
      </c>
      <c r="D2174" s="1620" t="str">
        <f t="shared" si="41"/>
        <v>£m</v>
      </c>
      <c r="E2174" s="1636" t="s">
        <v>9</v>
      </c>
      <c r="G2174" s="1635">
        <f>'4M'!K19</f>
        <v>0</v>
      </c>
      <c r="H2174" s="1636"/>
    </row>
    <row r="2175" spans="1:8">
      <c r="A2175" s="1620" t="str">
        <f>INDEX(Lists!$C$4:$C$24,MATCH(Validation!$B$3,Lists!$B$4:$B$24,0))</f>
        <v>TMS</v>
      </c>
      <c r="B2175" s="1732" t="str">
        <f>'4M'!BM20</f>
        <v>WWS2007SLT</v>
      </c>
      <c r="C2175" t="str">
        <f>'4M'!$C20&amp;" - "&amp;'4M'!K$5</f>
        <v>NEP - National phosphorus removal technology investigations - Sludge liquor treatment</v>
      </c>
      <c r="D2175" s="1620" t="str">
        <f t="shared" si="41"/>
        <v>£m</v>
      </c>
      <c r="E2175" s="1636" t="s">
        <v>9</v>
      </c>
      <c r="G2175" s="1635">
        <f>'4M'!K20</f>
        <v>0</v>
      </c>
      <c r="H2175" s="1636"/>
    </row>
    <row r="2176" spans="1:8">
      <c r="A2176" s="1620" t="str">
        <f>INDEX(Lists!$C$4:$C$24,MATCH(Validation!$B$3,Lists!$B$4:$B$24,0))</f>
        <v>TMS</v>
      </c>
      <c r="B2176" s="1732" t="str">
        <f>'4M'!BM21</f>
        <v>S3010SLT</v>
      </c>
      <c r="C2176" t="str">
        <f>'4M'!$C21&amp;" - "&amp;'4M'!K$5</f>
        <v>NEP - Groundwater schemes - Sludge liquor treatment</v>
      </c>
      <c r="D2176" s="1620" t="str">
        <f t="shared" si="41"/>
        <v>£m</v>
      </c>
      <c r="E2176" s="1636" t="s">
        <v>9</v>
      </c>
      <c r="G2176" s="1635">
        <f>'4M'!K21</f>
        <v>0</v>
      </c>
      <c r="H2176" s="1636"/>
    </row>
    <row r="2177" spans="1:8">
      <c r="A2177" s="1620" t="str">
        <f>INDEX(Lists!$C$4:$C$24,MATCH(Validation!$B$3,Lists!$B$4:$B$24,0))</f>
        <v>TMS</v>
      </c>
      <c r="B2177" s="1732" t="str">
        <f>'4M'!BM22</f>
        <v>S3011SLT</v>
      </c>
      <c r="C2177" t="str">
        <f>'4M'!$C22&amp;" - "&amp;'4M'!K$5</f>
        <v>NEP - Investigations - Sludge liquor treatment</v>
      </c>
      <c r="D2177" s="1620" t="str">
        <f t="shared" si="41"/>
        <v>£m</v>
      </c>
      <c r="E2177" s="1636" t="s">
        <v>9</v>
      </c>
      <c r="G2177" s="1635">
        <f>'4M'!K22</f>
        <v>0</v>
      </c>
      <c r="H2177" s="1636"/>
    </row>
    <row r="2178" spans="1:8">
      <c r="A2178" s="1620" t="str">
        <f>INDEX(Lists!$C$4:$C$24,MATCH(Validation!$B$3,Lists!$B$4:$B$24,0))</f>
        <v>TMS</v>
      </c>
      <c r="B2178" s="1732" t="str">
        <f>'4M'!BM23</f>
        <v>S3012SLT</v>
      </c>
      <c r="C2178" t="str">
        <f>'4M'!$C23&amp;" - "&amp;'4M'!K$5</f>
        <v>NEP - Nutrients (N removal) - Sludge liquor treatment</v>
      </c>
      <c r="D2178" s="1620" t="str">
        <f t="shared" si="41"/>
        <v>£m</v>
      </c>
      <c r="E2178" s="1636" t="s">
        <v>9</v>
      </c>
      <c r="G2178" s="1635">
        <f>'4M'!K23</f>
        <v>0</v>
      </c>
      <c r="H2178" s="1636"/>
    </row>
    <row r="2179" spans="1:8">
      <c r="A2179" s="1620" t="str">
        <f>INDEX(Lists!$C$4:$C$24,MATCH(Validation!$B$3,Lists!$B$4:$B$24,0))</f>
        <v>TMS</v>
      </c>
      <c r="B2179" s="1732" t="str">
        <f>'4M'!BM24</f>
        <v>S3013SLT</v>
      </c>
      <c r="C2179" t="str">
        <f>'4M'!$C24&amp;" - "&amp;'4M'!K$5</f>
        <v>NEP - Nutrients (P removal at activated sludge STWs) - Sludge liquor treatment</v>
      </c>
      <c r="D2179" s="1620" t="str">
        <f t="shared" si="41"/>
        <v>£m</v>
      </c>
      <c r="E2179" s="1636" t="s">
        <v>9</v>
      </c>
      <c r="G2179" s="1635">
        <f>'4M'!K24</f>
        <v>0</v>
      </c>
      <c r="H2179" s="1636"/>
    </row>
    <row r="2180" spans="1:8">
      <c r="A2180" s="1620" t="str">
        <f>INDEX(Lists!$C$4:$C$24,MATCH(Validation!$B$3,Lists!$B$4:$B$24,0))</f>
        <v>TMS</v>
      </c>
      <c r="B2180" s="1732" t="str">
        <f>'4M'!BM25</f>
        <v>S3014SLT</v>
      </c>
      <c r="C2180" t="str">
        <f>'4M'!$C25&amp;" - "&amp;'4M'!K$5</f>
        <v>NEP - Nutrients (P removal at filter bed STWs) - Sludge liquor treatment</v>
      </c>
      <c r="D2180" s="1620" t="str">
        <f t="shared" si="41"/>
        <v>£m</v>
      </c>
      <c r="E2180" s="1636" t="s">
        <v>9</v>
      </c>
      <c r="G2180" s="1635">
        <f>'4M'!K25</f>
        <v>0</v>
      </c>
      <c r="H2180" s="1636"/>
    </row>
    <row r="2181" spans="1:8">
      <c r="A2181" s="1620" t="str">
        <f>INDEX(Lists!$C$4:$C$24,MATCH(Validation!$B$3,Lists!$B$4:$B$24,0))</f>
        <v>TMS</v>
      </c>
      <c r="B2181" s="1732" t="str">
        <f>'4M'!BM26</f>
        <v>S3015SLT</v>
      </c>
      <c r="C2181" t="str">
        <f>'4M'!$C26&amp;" - "&amp;'4M'!K$5</f>
        <v>NEP - Reduction of sanitary parameters - Sludge liquor treatment</v>
      </c>
      <c r="D2181" s="1620" t="str">
        <f t="shared" si="41"/>
        <v>£m</v>
      </c>
      <c r="E2181" s="1636" t="s">
        <v>9</v>
      </c>
      <c r="G2181" s="1635">
        <f>'4M'!K26</f>
        <v>0</v>
      </c>
      <c r="H2181" s="1636"/>
    </row>
    <row r="2182" spans="1:8">
      <c r="A2182" s="1620" t="str">
        <f>INDEX(Lists!$C$4:$C$24,MATCH(Validation!$B$3,Lists!$B$4:$B$24,0))</f>
        <v>TMS</v>
      </c>
      <c r="B2182" s="1732" t="str">
        <f>'4M'!BM27</f>
        <v>S3016SLT</v>
      </c>
      <c r="C2182" t="str">
        <f>'4M'!$C27&amp;" - "&amp;'4M'!K$5</f>
        <v>NEP - UV disinfection (or similar) - Sludge liquor treatment</v>
      </c>
      <c r="D2182" s="1620" t="str">
        <f t="shared" si="41"/>
        <v>£m</v>
      </c>
      <c r="E2182" s="1636" t="s">
        <v>9</v>
      </c>
      <c r="G2182" s="1635">
        <f>'4M'!K27</f>
        <v>0</v>
      </c>
      <c r="H2182" s="1636"/>
    </row>
    <row r="2183" spans="1:8">
      <c r="A2183" s="1620" t="str">
        <f>INDEX(Lists!$C$4:$C$24,MATCH(Validation!$B$3,Lists!$B$4:$B$24,0))</f>
        <v>TMS</v>
      </c>
      <c r="B2183" s="1732" t="str">
        <f>'4M'!BM28</f>
        <v>S3017SLT</v>
      </c>
      <c r="C2183" t="str">
        <f>'4M'!$C28&amp;" - "&amp;'4M'!K$5</f>
        <v>NEP - Discharge relocation - Sludge liquor treatment</v>
      </c>
      <c r="D2183" s="1620" t="str">
        <f t="shared" si="41"/>
        <v>£m</v>
      </c>
      <c r="E2183" s="1636" t="s">
        <v>9</v>
      </c>
      <c r="G2183" s="1635">
        <f>'4M'!K28</f>
        <v>0</v>
      </c>
      <c r="H2183" s="1636"/>
    </row>
    <row r="2184" spans="1:8">
      <c r="A2184" s="1620" t="str">
        <f>INDEX(Lists!$C$4:$C$24,MATCH(Validation!$B$3,Lists!$B$4:$B$24,0))</f>
        <v>TMS</v>
      </c>
      <c r="B2184" s="1732" t="str">
        <f>'4M'!BM29</f>
        <v>S3018SLT</v>
      </c>
      <c r="C2184" t="str">
        <f>'4M'!$C29&amp;" - "&amp;'4M'!K$5</f>
        <v>NEP - Flow 1 schemes - Sludge liquor treatment</v>
      </c>
      <c r="D2184" s="1620" t="str">
        <f t="shared" si="41"/>
        <v>£m</v>
      </c>
      <c r="E2184" s="1636" t="s">
        <v>9</v>
      </c>
      <c r="G2184" s="1635">
        <f>'4M'!K29</f>
        <v>0</v>
      </c>
      <c r="H2184" s="1636"/>
    </row>
    <row r="2185" spans="1:8">
      <c r="A2185" s="1620" t="str">
        <f>INDEX(Lists!$C$4:$C$24,MATCH(Validation!$B$3,Lists!$B$4:$B$24,0))</f>
        <v>TMS</v>
      </c>
      <c r="B2185" s="1732" t="str">
        <f>'4M'!BM30</f>
        <v>S3019SLT</v>
      </c>
      <c r="C2185" t="str">
        <f>'4M'!$C30&amp;" - "&amp;'4M'!K$5</f>
        <v>Odour - Sludge liquor treatment</v>
      </c>
      <c r="D2185" s="1620" t="str">
        <f t="shared" si="41"/>
        <v>£m</v>
      </c>
      <c r="E2185" s="1636" t="s">
        <v>9</v>
      </c>
      <c r="G2185" s="1635">
        <f>'4M'!K30</f>
        <v>0</v>
      </c>
      <c r="H2185" s="1636"/>
    </row>
    <row r="2186" spans="1:8">
      <c r="A2186" s="1620" t="str">
        <f>INDEX(Lists!$C$4:$C$24,MATCH(Validation!$B$3,Lists!$B$4:$B$24,0))</f>
        <v>TMS</v>
      </c>
      <c r="B2186" s="1732" t="str">
        <f>'4M'!BM31</f>
        <v>S3020SLT</v>
      </c>
      <c r="C2186" t="str">
        <f>'4M'!$C31&amp;" - "&amp;'4M'!K$5</f>
        <v>New development and growth - Sludge liquor treatment</v>
      </c>
      <c r="D2186" s="1620" t="str">
        <f t="shared" si="41"/>
        <v>£m</v>
      </c>
      <c r="E2186" s="1636" t="s">
        <v>9</v>
      </c>
      <c r="G2186" s="1635">
        <f>'4M'!K31</f>
        <v>0</v>
      </c>
      <c r="H2186" s="1636"/>
    </row>
    <row r="2187" spans="1:8">
      <c r="A2187" s="1620" t="str">
        <f>INDEX(Lists!$C$4:$C$24,MATCH(Validation!$B$3,Lists!$B$4:$B$24,0))</f>
        <v>TMS</v>
      </c>
      <c r="B2187" s="1732" t="str">
        <f>'4M'!BM32</f>
        <v>S3021SLT</v>
      </c>
      <c r="C2187" t="str">
        <f>'4M'!$C32&amp;" - "&amp;'4M'!K$5</f>
        <v>Growth at sewage treatment works (excluding sludge treatment) - Sludge liquor treatment</v>
      </c>
      <c r="D2187" s="1620" t="str">
        <f t="shared" si="41"/>
        <v>£m</v>
      </c>
      <c r="E2187" s="1636" t="s">
        <v>9</v>
      </c>
      <c r="G2187" s="1635">
        <f>'4M'!K32</f>
        <v>0</v>
      </c>
      <c r="H2187" s="1636"/>
    </row>
    <row r="2188" spans="1:8">
      <c r="A2188" s="1620" t="str">
        <f>INDEX(Lists!$C$4:$C$24,MATCH(Validation!$B$3,Lists!$B$4:$B$24,0))</f>
        <v>TMS</v>
      </c>
      <c r="B2188" s="1732" t="str">
        <f>'4M'!BM33</f>
        <v>S3022SLT</v>
      </c>
      <c r="C2188" t="str">
        <f>'4M'!$C33&amp;" - "&amp;'4M'!K$5</f>
        <v>Resilience - Sludge liquor treatment</v>
      </c>
      <c r="D2188" s="1620" t="str">
        <f t="shared" si="41"/>
        <v>£m</v>
      </c>
      <c r="E2188" s="1636" t="s">
        <v>9</v>
      </c>
      <c r="G2188" s="1635">
        <f>'4M'!K33</f>
        <v>0</v>
      </c>
      <c r="H2188" s="1636"/>
    </row>
    <row r="2189" spans="1:8">
      <c r="A2189" s="1620" t="str">
        <f>INDEX(Lists!$C$4:$C$24,MATCH(Validation!$B$3,Lists!$B$4:$B$24,0))</f>
        <v>TMS</v>
      </c>
      <c r="B2189" s="1732" t="str">
        <f>'4M'!BM34</f>
        <v>BC31785SLT</v>
      </c>
      <c r="C2189" t="str">
        <f>'4M'!$C34&amp;" - "&amp;'4M'!K$5</f>
        <v>SEMD - Sludge liquor treatment</v>
      </c>
      <c r="D2189" s="1620" t="str">
        <f t="shared" si="41"/>
        <v>£m</v>
      </c>
      <c r="E2189" s="1636" t="s">
        <v>9</v>
      </c>
      <c r="G2189" s="1635">
        <f>'4M'!K34</f>
        <v>0</v>
      </c>
      <c r="H2189" s="1636"/>
    </row>
    <row r="2190" spans="1:8">
      <c r="A2190" s="1620" t="str">
        <f>INDEX(Lists!$C$4:$C$24,MATCH(Validation!$B$3,Lists!$B$4:$B$24,0))</f>
        <v>TMS</v>
      </c>
      <c r="B2190" s="1732" t="str">
        <f>'4M'!BM35</f>
        <v>S3023SLT</v>
      </c>
      <c r="C2190" t="str">
        <f>'4M'!$C35&amp;" - "&amp;'4M'!K$5</f>
        <v>Reduce flooding risk for properties - Sludge liquor treatment</v>
      </c>
      <c r="D2190" s="1620" t="str">
        <f t="shared" si="41"/>
        <v>£m</v>
      </c>
      <c r="E2190" s="1636" t="s">
        <v>9</v>
      </c>
      <c r="G2190" s="1635">
        <f>'4M'!K35</f>
        <v>0</v>
      </c>
      <c r="H2190" s="1636"/>
    </row>
    <row r="2191" spans="1:8">
      <c r="A2191" s="1620" t="str">
        <f>INDEX(Lists!$C$4:$C$24,MATCH(Validation!$B$3,Lists!$B$4:$B$24,0))</f>
        <v>TMS</v>
      </c>
      <c r="B2191" s="1732" t="str">
        <f>'4M'!BM36</f>
        <v>S3A00001SLT</v>
      </c>
      <c r="C2191" s="1732" t="str">
        <f>"Capital expenditure purpose - WASTEWATER additional line 1 [Other categories] - "&amp;'4M'!$K$5</f>
        <v>Capital expenditure purpose - WASTEWATER additional line 1 [Other categories] - Sludge liquor treatment</v>
      </c>
      <c r="D2191" s="1620" t="str">
        <f t="shared" si="41"/>
        <v>£m</v>
      </c>
      <c r="E2191" s="1636" t="s">
        <v>9</v>
      </c>
      <c r="F2191" s="2" t="str">
        <f>F2019</f>
        <v>Quality spend at CSOs and quality allocation to Deephams inlet works</v>
      </c>
      <c r="G2191" s="1635">
        <f>IF(ISBLANK('4M'!K36), "##BLANK", '4M'!K36)</f>
        <v>0</v>
      </c>
      <c r="H2191" s="1636"/>
    </row>
    <row r="2192" spans="1:8">
      <c r="A2192" s="1620" t="str">
        <f>INDEX(Lists!$C$4:$C$24,MATCH(Validation!$B$3,Lists!$B$4:$B$24,0))</f>
        <v>TMS</v>
      </c>
      <c r="B2192" s="1732" t="str">
        <f>'4M'!BM37</f>
        <v>S3A00002SLT</v>
      </c>
      <c r="C2192" s="1732" t="str">
        <f>"Capital expenditure purpose - WASTEWATER additional line 2 [Other categories] - "&amp;'4M'!$K$5</f>
        <v>Capital expenditure purpose - WASTEWATER additional line 2 [Other categories] - Sludge liquor treatment</v>
      </c>
      <c r="D2192" s="1620" t="str">
        <f t="shared" si="41"/>
        <v>£m</v>
      </c>
      <c r="E2192" s="1636" t="s">
        <v>9</v>
      </c>
      <c r="F2192" s="2" t="str">
        <f t="shared" ref="F2192:F2205" si="42">F2020</f>
        <v>Tideway quality (NEP). Excludes Lee Tunnel and sludge.</v>
      </c>
      <c r="G2192" s="1635">
        <f>IF(ISBLANK('4M'!K37), "##BLANK", '4M'!K37)</f>
        <v>0</v>
      </c>
      <c r="H2192" s="1636"/>
    </row>
    <row r="2193" spans="1:8">
      <c r="A2193" s="1620" t="str">
        <f>INDEX(Lists!$C$4:$C$24,MATCH(Validation!$B$3,Lists!$B$4:$B$24,0))</f>
        <v>TMS</v>
      </c>
      <c r="B2193" s="1732" t="str">
        <f>'4M'!BM38</f>
        <v>S3A00003SLT</v>
      </c>
      <c r="C2193" s="1732" t="str">
        <f>"Capital expenditure purpose - WASTEWATER additional line 3 [Other categories] - "&amp;'4M'!$K$5</f>
        <v>Capital expenditure purpose - WASTEWATER additional line 3 [Other categories] - Sludge liquor treatment</v>
      </c>
      <c r="D2193" s="1620" t="str">
        <f t="shared" si="41"/>
        <v>£m</v>
      </c>
      <c r="E2193" s="1636" t="s">
        <v>9</v>
      </c>
      <c r="F2193" s="2" t="str">
        <f t="shared" si="42"/>
        <v>Lee Tunnel</v>
      </c>
      <c r="G2193" s="1635">
        <f>IF(ISBLANK('4M'!K38), "##BLANK", '4M'!K38)</f>
        <v>0</v>
      </c>
      <c r="H2193" s="1636"/>
    </row>
    <row r="2194" spans="1:8">
      <c r="A2194" s="1620" t="str">
        <f>INDEX(Lists!$C$4:$C$24,MATCH(Validation!$B$3,Lists!$B$4:$B$24,0))</f>
        <v>TMS</v>
      </c>
      <c r="B2194" s="1732" t="str">
        <f>'4M'!BM39</f>
        <v>S3A00004SLT</v>
      </c>
      <c r="C2194" s="1732" t="str">
        <f>"Capital expenditure purpose - WASTEWATER additional line 4 [Other categories] - "&amp;'4M'!$K$5</f>
        <v>Capital expenditure purpose - WASTEWATER additional line 4 [Other categories] - Sludge liquor treatment</v>
      </c>
      <c r="D2194" s="1620" t="str">
        <f t="shared" si="41"/>
        <v>£m</v>
      </c>
      <c r="E2194" s="1636" t="s">
        <v>9</v>
      </c>
      <c r="F2194" s="2" t="str">
        <f t="shared" si="42"/>
        <v>Non-SEMD related security enhancement (revised Ofwat guidance 6 July 2018)</v>
      </c>
      <c r="G2194" s="1635">
        <f>IF(ISBLANK('4M'!K39), "##BLANK", '4M'!K39)</f>
        <v>1.5735935090774205E-4</v>
      </c>
      <c r="H2194" s="1636"/>
    </row>
    <row r="2195" spans="1:8">
      <c r="A2195" s="1620" t="str">
        <f>INDEX(Lists!$C$4:$C$24,MATCH(Validation!$B$3,Lists!$B$4:$B$24,0))</f>
        <v>TMS</v>
      </c>
      <c r="B2195" s="1732" t="str">
        <f>'4M'!BM40</f>
        <v>S3A00005SLT</v>
      </c>
      <c r="C2195" s="1732" t="str">
        <f>"Capital expenditure purpose - WASTEWATER additional line 5 [Other categories] - "&amp;'4M'!$K$5</f>
        <v>Capital expenditure purpose - WASTEWATER additional line 5 [Other categories] - Sludge liquor treatment</v>
      </c>
      <c r="D2195" s="1620" t="str">
        <f t="shared" si="41"/>
        <v>£m</v>
      </c>
      <c r="E2195" s="1636" t="s">
        <v>9</v>
      </c>
      <c r="F2195" s="2" t="str">
        <f t="shared" si="42"/>
        <v>##BLANK</v>
      </c>
      <c r="G2195" s="1635" t="str">
        <f>IF(ISBLANK('4M'!K40), "##BLANK", '4M'!K40)</f>
        <v>##BLANK</v>
      </c>
      <c r="H2195" s="1636"/>
    </row>
    <row r="2196" spans="1:8">
      <c r="A2196" s="1620" t="str">
        <f>INDEX(Lists!$C$4:$C$24,MATCH(Validation!$B$3,Lists!$B$4:$B$24,0))</f>
        <v>TMS</v>
      </c>
      <c r="B2196" s="1732" t="str">
        <f>'4M'!BM41</f>
        <v>S3A00006SLT</v>
      </c>
      <c r="C2196" s="1732" t="str">
        <f>"Capital expenditure purpose - WASTEWATER additional line 6 [Other categories] - "&amp;'4M'!$K$5</f>
        <v>Capital expenditure purpose - WASTEWATER additional line 6 [Other categories] - Sludge liquor treatment</v>
      </c>
      <c r="D2196" s="1620" t="str">
        <f t="shared" si="41"/>
        <v>£m</v>
      </c>
      <c r="E2196" s="1636" t="s">
        <v>9</v>
      </c>
      <c r="F2196" s="2" t="str">
        <f t="shared" si="42"/>
        <v>##BLANK</v>
      </c>
      <c r="G2196" s="1635" t="str">
        <f>IF(ISBLANK('4M'!K41), "##BLANK", '4M'!K41)</f>
        <v>##BLANK</v>
      </c>
      <c r="H2196" s="1636"/>
    </row>
    <row r="2197" spans="1:8">
      <c r="A2197" s="1620" t="str">
        <f>INDEX(Lists!$C$4:$C$24,MATCH(Validation!$B$3,Lists!$B$4:$B$24,0))</f>
        <v>TMS</v>
      </c>
      <c r="B2197" s="1732" t="str">
        <f>'4M'!BM42</f>
        <v>S3A00007SLT</v>
      </c>
      <c r="C2197" s="1732" t="str">
        <f>"Capital expenditure purpose - WASTEWATER additional line 7 [Other categories] - "&amp;'4M'!$K$5</f>
        <v>Capital expenditure purpose - WASTEWATER additional line 7 [Other categories] - Sludge liquor treatment</v>
      </c>
      <c r="D2197" s="1620" t="str">
        <f t="shared" si="41"/>
        <v>£m</v>
      </c>
      <c r="E2197" s="1636" t="s">
        <v>9</v>
      </c>
      <c r="F2197" s="2" t="str">
        <f t="shared" si="42"/>
        <v>##BLANK</v>
      </c>
      <c r="G2197" s="1635" t="str">
        <f>IF(ISBLANK('4M'!K42), "##BLANK", '4M'!K42)</f>
        <v>##BLANK</v>
      </c>
      <c r="H2197" s="1636"/>
    </row>
    <row r="2198" spans="1:8">
      <c r="A2198" s="1620" t="str">
        <f>INDEX(Lists!$C$4:$C$24,MATCH(Validation!$B$3,Lists!$B$4:$B$24,0))</f>
        <v>TMS</v>
      </c>
      <c r="B2198" s="1732" t="str">
        <f>'4M'!BM43</f>
        <v>S3A00008SLT</v>
      </c>
      <c r="C2198" s="1732" t="str">
        <f>"Capital expenditure purpose - WASTEWATER additional line 8 [Other categories] - "&amp;'4M'!$K$5</f>
        <v>Capital expenditure purpose - WASTEWATER additional line 8 [Other categories] - Sludge liquor treatment</v>
      </c>
      <c r="D2198" s="1620" t="str">
        <f t="shared" si="41"/>
        <v>£m</v>
      </c>
      <c r="E2198" s="1636" t="s">
        <v>9</v>
      </c>
      <c r="F2198" s="2" t="str">
        <f t="shared" si="42"/>
        <v>##BLANK</v>
      </c>
      <c r="G2198" s="1635" t="str">
        <f>IF(ISBLANK('4M'!K43), "##BLANK", '4M'!K43)</f>
        <v>##BLANK</v>
      </c>
      <c r="H2198" s="1636"/>
    </row>
    <row r="2199" spans="1:8">
      <c r="A2199" s="1620" t="str">
        <f>INDEX(Lists!$C$4:$C$24,MATCH(Validation!$B$3,Lists!$B$4:$B$24,0))</f>
        <v>TMS</v>
      </c>
      <c r="B2199" s="1732" t="str">
        <f>'4M'!BM44</f>
        <v>S3A00009SLT</v>
      </c>
      <c r="C2199" s="1732" t="str">
        <f>"Capital expenditure purpose - WASTEWATER additional line 9 [Other categories] - "&amp;'4M'!$K$5</f>
        <v>Capital expenditure purpose - WASTEWATER additional line 9 [Other categories] - Sludge liquor treatment</v>
      </c>
      <c r="D2199" s="1620" t="str">
        <f t="shared" si="41"/>
        <v>£m</v>
      </c>
      <c r="E2199" s="1636" t="s">
        <v>9</v>
      </c>
      <c r="F2199" s="2" t="str">
        <f t="shared" si="42"/>
        <v>##BLANK</v>
      </c>
      <c r="G2199" s="1635" t="str">
        <f>IF(ISBLANK('4M'!K44), "##BLANK", '4M'!K44)</f>
        <v>##BLANK</v>
      </c>
      <c r="H2199" s="1636"/>
    </row>
    <row r="2200" spans="1:8">
      <c r="A2200" s="1620" t="str">
        <f>INDEX(Lists!$C$4:$C$24,MATCH(Validation!$B$3,Lists!$B$4:$B$24,0))</f>
        <v>TMS</v>
      </c>
      <c r="B2200" s="1732" t="str">
        <f>'4M'!BM45</f>
        <v>S3A00010SLT</v>
      </c>
      <c r="C2200" s="1732" t="str">
        <f>"Capital expenditure purpose - WASTEWATER additional line 10 [Other categories] - "&amp;'4M'!$K$5</f>
        <v>Capital expenditure purpose - WASTEWATER additional line 10 [Other categories] - Sludge liquor treatment</v>
      </c>
      <c r="D2200" s="1620" t="str">
        <f t="shared" si="41"/>
        <v>£m</v>
      </c>
      <c r="E2200" s="1636" t="s">
        <v>9</v>
      </c>
      <c r="F2200" s="2" t="str">
        <f t="shared" si="42"/>
        <v>##BLANK</v>
      </c>
      <c r="G2200" s="1635" t="str">
        <f>IF(ISBLANK('4M'!K45), "##BLANK", '4M'!K45)</f>
        <v>##BLANK</v>
      </c>
      <c r="H2200" s="1636"/>
    </row>
    <row r="2201" spans="1:8">
      <c r="A2201" s="1620" t="str">
        <f>INDEX(Lists!$C$4:$C$24,MATCH(Validation!$B$3,Lists!$B$4:$B$24,0))</f>
        <v>TMS</v>
      </c>
      <c r="B2201" s="1732" t="str">
        <f>'4M'!BM46</f>
        <v>S3A00011SLT</v>
      </c>
      <c r="C2201" s="1732" t="str">
        <f>"Capital expenditure purpose - WASTEWATER additional line 11 [Other categories] - "&amp;'4M'!$K$5</f>
        <v>Capital expenditure purpose - WASTEWATER additional line 11 [Other categories] - Sludge liquor treatment</v>
      </c>
      <c r="D2201" s="1620" t="str">
        <f t="shared" si="41"/>
        <v>£m</v>
      </c>
      <c r="E2201" s="1636" t="s">
        <v>9</v>
      </c>
      <c r="F2201" s="2" t="str">
        <f t="shared" si="42"/>
        <v>##BLANK</v>
      </c>
      <c r="G2201" s="1635" t="str">
        <f>IF(ISBLANK('4M'!K46), "##BLANK", '4M'!K46)</f>
        <v>##BLANK</v>
      </c>
      <c r="H2201" s="1636"/>
    </row>
    <row r="2202" spans="1:8">
      <c r="A2202" s="1620" t="str">
        <f>INDEX(Lists!$C$4:$C$24,MATCH(Validation!$B$3,Lists!$B$4:$B$24,0))</f>
        <v>TMS</v>
      </c>
      <c r="B2202" s="1732" t="str">
        <f>'4M'!BM47</f>
        <v>S3A00012SLT</v>
      </c>
      <c r="C2202" s="1732" t="str">
        <f>"Capital expenditure purpose - WASTEWATER additional line 12 [Other categories] - "&amp;'4M'!$K$5</f>
        <v>Capital expenditure purpose - WASTEWATER additional line 12 [Other categories] - Sludge liquor treatment</v>
      </c>
      <c r="D2202" s="1620" t="str">
        <f t="shared" si="41"/>
        <v>£m</v>
      </c>
      <c r="E2202" s="1636" t="s">
        <v>9</v>
      </c>
      <c r="F2202" s="2" t="str">
        <f t="shared" si="42"/>
        <v>##BLANK</v>
      </c>
      <c r="G2202" s="1635" t="str">
        <f>IF(ISBLANK('4M'!K47), "##BLANK", '4M'!K47)</f>
        <v>##BLANK</v>
      </c>
      <c r="H2202" s="1636"/>
    </row>
    <row r="2203" spans="1:8">
      <c r="A2203" s="1620" t="str">
        <f>INDEX(Lists!$C$4:$C$24,MATCH(Validation!$B$3,Lists!$B$4:$B$24,0))</f>
        <v>TMS</v>
      </c>
      <c r="B2203" s="1732" t="str">
        <f>'4M'!BM48</f>
        <v>S3A00013SLT</v>
      </c>
      <c r="C2203" s="1732" t="str">
        <f>"Capital expenditure purpose - WASTEWATER additional line 13 [Other categories] - "&amp;'4M'!$K$5</f>
        <v>Capital expenditure purpose - WASTEWATER additional line 13 [Other categories] - Sludge liquor treatment</v>
      </c>
      <c r="D2203" s="1620" t="str">
        <f t="shared" si="41"/>
        <v>£m</v>
      </c>
      <c r="E2203" s="1636" t="s">
        <v>9</v>
      </c>
      <c r="F2203" s="2" t="str">
        <f t="shared" si="42"/>
        <v>##BLANK</v>
      </c>
      <c r="G2203" s="1635" t="str">
        <f>IF(ISBLANK('4M'!K48), "##BLANK", '4M'!K48)</f>
        <v>##BLANK</v>
      </c>
      <c r="H2203" s="1636"/>
    </row>
    <row r="2204" spans="1:8">
      <c r="A2204" s="1620" t="str">
        <f>INDEX(Lists!$C$4:$C$24,MATCH(Validation!$B$3,Lists!$B$4:$B$24,0))</f>
        <v>TMS</v>
      </c>
      <c r="B2204" s="1732" t="str">
        <f>'4M'!BM49</f>
        <v>S3A00014SLT</v>
      </c>
      <c r="C2204" s="1732" t="str">
        <f>"Capital expenditure purpose - WASTEWATER additional line 14 [Other categories] - "&amp;'4M'!$K$5</f>
        <v>Capital expenditure purpose - WASTEWATER additional line 14 [Other categories] - Sludge liquor treatment</v>
      </c>
      <c r="D2204" s="1620" t="str">
        <f t="shared" si="41"/>
        <v>£m</v>
      </c>
      <c r="E2204" s="1636" t="s">
        <v>9</v>
      </c>
      <c r="F2204" s="2" t="str">
        <f t="shared" si="42"/>
        <v>##BLANK</v>
      </c>
      <c r="G2204" s="1635" t="str">
        <f>IF(ISBLANK('4M'!K49), "##BLANK", '4M'!K49)</f>
        <v>##BLANK</v>
      </c>
      <c r="H2204" s="1636"/>
    </row>
    <row r="2205" spans="1:8">
      <c r="A2205" s="1730" t="str">
        <f>INDEX(Lists!$C$4:$C$24,MATCH(Validation!$B$3,Lists!$B$4:$B$24,0))</f>
        <v>TMS</v>
      </c>
      <c r="B2205" s="1734" t="str">
        <f>'4M'!BM50</f>
        <v>S3A00015SLT</v>
      </c>
      <c r="C2205" s="1734" t="str">
        <f>"Capital expenditure purpose - WASTEWATER additional line 15 [Other categories] - "&amp;'4M'!$K$5</f>
        <v>Capital expenditure purpose - WASTEWATER additional line 15 [Other categories] - Sludge liquor treatment</v>
      </c>
      <c r="D2205" s="1730" t="str">
        <f t="shared" si="41"/>
        <v>£m</v>
      </c>
      <c r="E2205" s="1652" t="s">
        <v>9</v>
      </c>
      <c r="F2205" s="1637" t="str">
        <f t="shared" si="42"/>
        <v>##BLANK</v>
      </c>
      <c r="G2205" s="1653" t="str">
        <f>IF(ISBLANK('4M'!K50), "##BLANK", '4M'!K50)</f>
        <v>##BLANK</v>
      </c>
      <c r="H2205" s="1652"/>
    </row>
    <row r="2206" spans="1:8">
      <c r="A2206" s="1620" t="str">
        <f>INDEX(Lists!$C$4:$C$24,MATCH(Validation!$B$3,Lists!$B$4:$B$24,0))</f>
        <v>TMS</v>
      </c>
      <c r="B2206" s="1732" t="str">
        <f>'4M'!BN8</f>
        <v>BC31379STP</v>
      </c>
      <c r="C2206" t="str">
        <f>'4M'!$C8&amp;" - "&amp;'4M'!L$5</f>
        <v>First time sewerage (s101A) - Sludge transport</v>
      </c>
      <c r="D2206" s="1620" t="str">
        <f t="shared" si="41"/>
        <v>£m</v>
      </c>
      <c r="E2206" s="1636" t="s">
        <v>9</v>
      </c>
      <c r="G2206" s="1635">
        <f>'4M'!L8</f>
        <v>0</v>
      </c>
      <c r="H2206" s="1636"/>
    </row>
    <row r="2207" spans="1:8">
      <c r="A2207" s="1620" t="str">
        <f>INDEX(Lists!$C$4:$C$24,MATCH(Validation!$B$3,Lists!$B$4:$B$24,0))</f>
        <v>TMS</v>
      </c>
      <c r="B2207" s="1732" t="str">
        <f>'4M'!BN9</f>
        <v>S3035QSTP</v>
      </c>
      <c r="C2207" t="str">
        <f>'4M'!$C9&amp;" - "&amp;'4M'!L$5</f>
        <v>Sludge enhancement (quality) - Sludge transport</v>
      </c>
      <c r="D2207" s="1620" t="str">
        <f t="shared" si="41"/>
        <v>£m</v>
      </c>
      <c r="E2207" s="1636" t="s">
        <v>9</v>
      </c>
      <c r="G2207" s="1635">
        <f>'4M'!L9</f>
        <v>0</v>
      </c>
      <c r="H2207" s="1636"/>
    </row>
    <row r="2208" spans="1:8">
      <c r="A2208" s="1620" t="str">
        <f>INDEX(Lists!$C$4:$C$24,MATCH(Validation!$B$3,Lists!$B$4:$B$24,0))</f>
        <v>TMS</v>
      </c>
      <c r="B2208" s="1732" t="str">
        <f>'4M'!BN10</f>
        <v>S3036GSTP</v>
      </c>
      <c r="C2208" t="str">
        <f>'4M'!$C10&amp;" - "&amp;'4M'!L$5</f>
        <v>Sludge enhancement (growth) - Sludge transport</v>
      </c>
      <c r="D2208" s="1620" t="str">
        <f t="shared" si="41"/>
        <v>£m</v>
      </c>
      <c r="E2208" s="1636" t="s">
        <v>9</v>
      </c>
      <c r="G2208" s="1635">
        <f>'4M'!L10</f>
        <v>-4.2173345268960948E-5</v>
      </c>
      <c r="H2208" s="1636"/>
    </row>
    <row r="2209" spans="1:8">
      <c r="A2209" s="1620" t="str">
        <f>INDEX(Lists!$C$4:$C$24,MATCH(Validation!$B$3,Lists!$B$4:$B$24,0))</f>
        <v>TMS</v>
      </c>
      <c r="B2209" s="1732" t="str">
        <f>'4M'!BN11</f>
        <v>S3004STP</v>
      </c>
      <c r="C2209" t="str">
        <f>'4M'!$C11&amp;" - "&amp;'4M'!L$5</f>
        <v>NEP - Conservation drivers - Sludge transport</v>
      </c>
      <c r="D2209" s="1620" t="str">
        <f t="shared" si="41"/>
        <v>£m</v>
      </c>
      <c r="E2209" s="1636" t="s">
        <v>9</v>
      </c>
      <c r="G2209" s="1635">
        <f>'4M'!L11</f>
        <v>0</v>
      </c>
      <c r="H2209" s="1636"/>
    </row>
    <row r="2210" spans="1:8">
      <c r="A2210" s="1620" t="str">
        <f>INDEX(Lists!$C$4:$C$24,MATCH(Validation!$B$3,Lists!$B$4:$B$24,0))</f>
        <v>TMS</v>
      </c>
      <c r="B2210" s="1732" t="str">
        <f>'4M'!BN12</f>
        <v>WWS2001STP</v>
      </c>
      <c r="C2210" t="str">
        <f>'4M'!$C12&amp;" - "&amp;'4M'!L$5</f>
        <v>NEP - Eels Regulations (measures at outfalls) - Sludge transport</v>
      </c>
      <c r="D2210" s="1620" t="str">
        <f t="shared" si="41"/>
        <v>£m</v>
      </c>
      <c r="E2210" s="1636" t="s">
        <v>9</v>
      </c>
      <c r="G2210" s="1635">
        <f>'4M'!L12</f>
        <v>0</v>
      </c>
      <c r="H2210" s="1636"/>
    </row>
    <row r="2211" spans="1:8">
      <c r="A2211" s="1620" t="str">
        <f>INDEX(Lists!$C$4:$C$24,MATCH(Validation!$B$3,Lists!$B$4:$B$24,0))</f>
        <v>TMS</v>
      </c>
      <c r="B2211" s="1732" t="str">
        <f>'4M'!BN13</f>
        <v>S3005STP</v>
      </c>
      <c r="C2211" t="str">
        <f>'4M'!$C13&amp;" - "&amp;'4M'!L$5</f>
        <v>NEP - Event Duration Monitoring at intermittent discharges - Sludge transport</v>
      </c>
      <c r="D2211" s="1620" t="str">
        <f t="shared" si="41"/>
        <v>£m</v>
      </c>
      <c r="E2211" s="1636" t="s">
        <v>9</v>
      </c>
      <c r="G2211" s="1635">
        <f>'4M'!L13</f>
        <v>0</v>
      </c>
      <c r="H2211" s="1636"/>
    </row>
    <row r="2212" spans="1:8">
      <c r="A2212" s="1620" t="str">
        <f>INDEX(Lists!$C$4:$C$24,MATCH(Validation!$B$3,Lists!$B$4:$B$24,0))</f>
        <v>TMS</v>
      </c>
      <c r="B2212" s="1732" t="str">
        <f>'4M'!BN14</f>
        <v>S3006STP</v>
      </c>
      <c r="C2212" t="str">
        <f>'4M'!$C14&amp;" - "&amp;'4M'!L$5</f>
        <v>NEP - Flow monitoring at sewage treatment works - Sludge transport</v>
      </c>
      <c r="D2212" s="1620" t="str">
        <f t="shared" si="41"/>
        <v>£m</v>
      </c>
      <c r="E2212" s="1636" t="s">
        <v>9</v>
      </c>
      <c r="G2212" s="1635">
        <f>'4M'!L14</f>
        <v>0</v>
      </c>
      <c r="H2212" s="1636"/>
    </row>
    <row r="2213" spans="1:8">
      <c r="A2213" s="1620" t="str">
        <f>INDEX(Lists!$C$4:$C$24,MATCH(Validation!$B$3,Lists!$B$4:$B$24,0))</f>
        <v>TMS</v>
      </c>
      <c r="B2213" s="1732" t="str">
        <f>'4M'!BN15</f>
        <v>S3007STP</v>
      </c>
      <c r="C2213" t="str">
        <f>'4M'!$C15&amp;" - "&amp;'4M'!L$5</f>
        <v>NEP - Monitoring of pass forward flows at CSOs - Sludge transport</v>
      </c>
      <c r="D2213" s="1620" t="str">
        <f t="shared" si="41"/>
        <v>£m</v>
      </c>
      <c r="E2213" s="1636" t="s">
        <v>9</v>
      </c>
      <c r="G2213" s="1635">
        <f>'4M'!L15</f>
        <v>0</v>
      </c>
      <c r="H2213" s="1636"/>
    </row>
    <row r="2214" spans="1:8">
      <c r="A2214" s="1620" t="str">
        <f>INDEX(Lists!$C$4:$C$24,MATCH(Validation!$B$3,Lists!$B$4:$B$24,0))</f>
        <v>TMS</v>
      </c>
      <c r="B2214" s="1732" t="str">
        <f>'4M'!BN16</f>
        <v>WWS2002STP</v>
      </c>
      <c r="C2214" t="str">
        <f>'4M'!$C16&amp;" - "&amp;'4M'!L$5</f>
        <v>NEP - Schemes to increase flow to full treatment - Sludge transport</v>
      </c>
      <c r="D2214" s="1620" t="str">
        <f t="shared" si="41"/>
        <v>£m</v>
      </c>
      <c r="E2214" s="1636" t="s">
        <v>9</v>
      </c>
      <c r="G2214" s="1635">
        <f>'4M'!L16</f>
        <v>0</v>
      </c>
      <c r="H2214" s="1636"/>
    </row>
    <row r="2215" spans="1:8">
      <c r="A2215" s="1620" t="str">
        <f>INDEX(Lists!$C$4:$C$24,MATCH(Validation!$B$3,Lists!$B$4:$B$24,0))</f>
        <v>TMS</v>
      </c>
      <c r="B2215" s="1732" t="str">
        <f>'4M'!BN17</f>
        <v>WWS2003STP</v>
      </c>
      <c r="C2215" t="str">
        <f>'4M'!$C17&amp;" - "&amp;'4M'!L$5</f>
        <v>NEP - Schemes to increase storm tank capacity - Sludge transport</v>
      </c>
      <c r="D2215" s="1620" t="str">
        <f t="shared" si="41"/>
        <v>£m</v>
      </c>
      <c r="E2215" s="1636" t="s">
        <v>9</v>
      </c>
      <c r="G2215" s="1635">
        <f>'4M'!L17</f>
        <v>0</v>
      </c>
      <c r="H2215" s="1636"/>
    </row>
    <row r="2216" spans="1:8">
      <c r="A2216" s="1620" t="str">
        <f>INDEX(Lists!$C$4:$C$24,MATCH(Validation!$B$3,Lists!$B$4:$B$24,0))</f>
        <v>TMS</v>
      </c>
      <c r="B2216" s="1732" t="str">
        <f>'4M'!BN18</f>
        <v>S3008STP</v>
      </c>
      <c r="C2216" t="str">
        <f>'4M'!$C18&amp;" - "&amp;'4M'!L$5</f>
        <v>NEP - Storage schemes to reduce spill frequency at CSOs, storm tanks, etc - Sludge transport</v>
      </c>
      <c r="D2216" s="1620" t="str">
        <f t="shared" si="41"/>
        <v>£m</v>
      </c>
      <c r="E2216" s="1636" t="s">
        <v>9</v>
      </c>
      <c r="G2216" s="1635">
        <f>'4M'!L18</f>
        <v>0</v>
      </c>
      <c r="H2216" s="1636"/>
    </row>
    <row r="2217" spans="1:8">
      <c r="A2217" s="1620" t="str">
        <f>INDEX(Lists!$C$4:$C$24,MATCH(Validation!$B$3,Lists!$B$4:$B$24,0))</f>
        <v>TMS</v>
      </c>
      <c r="B2217" s="1732" t="str">
        <f>'4M'!BN19</f>
        <v>S3009STP</v>
      </c>
      <c r="C2217" t="str">
        <f>'4M'!$C19&amp;" - "&amp;'4M'!L$5</f>
        <v>NEP - Chemicals monitoring/ investigations/ options appraisals - Sludge transport</v>
      </c>
      <c r="D2217" s="1620" t="str">
        <f t="shared" si="41"/>
        <v>£m</v>
      </c>
      <c r="E2217" s="1636" t="s">
        <v>9</v>
      </c>
      <c r="G2217" s="1635">
        <f>'4M'!L19</f>
        <v>0</v>
      </c>
      <c r="H2217" s="1636"/>
    </row>
    <row r="2218" spans="1:8">
      <c r="A2218" s="1620" t="str">
        <f>INDEX(Lists!$C$4:$C$24,MATCH(Validation!$B$3,Lists!$B$4:$B$24,0))</f>
        <v>TMS</v>
      </c>
      <c r="B2218" s="1732" t="str">
        <f>'4M'!BN20</f>
        <v>WWS2007STP</v>
      </c>
      <c r="C2218" t="str">
        <f>'4M'!$C20&amp;" - "&amp;'4M'!L$5</f>
        <v>NEP - National phosphorus removal technology investigations - Sludge transport</v>
      </c>
      <c r="D2218" s="1620" t="str">
        <f t="shared" si="41"/>
        <v>£m</v>
      </c>
      <c r="E2218" s="1636" t="s">
        <v>9</v>
      </c>
      <c r="G2218" s="1635">
        <f>'4M'!L20</f>
        <v>0</v>
      </c>
      <c r="H2218" s="1636"/>
    </row>
    <row r="2219" spans="1:8">
      <c r="A2219" s="1620" t="str">
        <f>INDEX(Lists!$C$4:$C$24,MATCH(Validation!$B$3,Lists!$B$4:$B$24,0))</f>
        <v>TMS</v>
      </c>
      <c r="B2219" s="1732" t="str">
        <f>'4M'!BN21</f>
        <v>S3010STP</v>
      </c>
      <c r="C2219" t="str">
        <f>'4M'!$C21&amp;" - "&amp;'4M'!L$5</f>
        <v>NEP - Groundwater schemes - Sludge transport</v>
      </c>
      <c r="D2219" s="1620" t="str">
        <f t="shared" si="41"/>
        <v>£m</v>
      </c>
      <c r="E2219" s="1636" t="s">
        <v>9</v>
      </c>
      <c r="G2219" s="1635">
        <f>'4M'!L21</f>
        <v>0</v>
      </c>
      <c r="H2219" s="1636"/>
    </row>
    <row r="2220" spans="1:8">
      <c r="A2220" s="1620" t="str">
        <f>INDEX(Lists!$C$4:$C$24,MATCH(Validation!$B$3,Lists!$B$4:$B$24,0))</f>
        <v>TMS</v>
      </c>
      <c r="B2220" s="1732" t="str">
        <f>'4M'!BN22</f>
        <v>S3011STP</v>
      </c>
      <c r="C2220" t="str">
        <f>'4M'!$C22&amp;" - "&amp;'4M'!L$5</f>
        <v>NEP - Investigations - Sludge transport</v>
      </c>
      <c r="D2220" s="1620" t="str">
        <f t="shared" si="41"/>
        <v>£m</v>
      </c>
      <c r="E2220" s="1636" t="s">
        <v>9</v>
      </c>
      <c r="G2220" s="1635">
        <f>'4M'!L22</f>
        <v>0</v>
      </c>
      <c r="H2220" s="1636"/>
    </row>
    <row r="2221" spans="1:8">
      <c r="A2221" s="1620" t="str">
        <f>INDEX(Lists!$C$4:$C$24,MATCH(Validation!$B$3,Lists!$B$4:$B$24,0))</f>
        <v>TMS</v>
      </c>
      <c r="B2221" s="1732" t="str">
        <f>'4M'!BN23</f>
        <v>S3012STP</v>
      </c>
      <c r="C2221" t="str">
        <f>'4M'!$C23&amp;" - "&amp;'4M'!L$5</f>
        <v>NEP - Nutrients (N removal) - Sludge transport</v>
      </c>
      <c r="D2221" s="1620" t="str">
        <f t="shared" si="41"/>
        <v>£m</v>
      </c>
      <c r="E2221" s="1636" t="s">
        <v>9</v>
      </c>
      <c r="G2221" s="1635">
        <f>'4M'!L23</f>
        <v>0</v>
      </c>
      <c r="H2221" s="1636"/>
    </row>
    <row r="2222" spans="1:8">
      <c r="A2222" s="1620" t="str">
        <f>INDEX(Lists!$C$4:$C$24,MATCH(Validation!$B$3,Lists!$B$4:$B$24,0))</f>
        <v>TMS</v>
      </c>
      <c r="B2222" s="1732" t="str">
        <f>'4M'!BN24</f>
        <v>S3013STP</v>
      </c>
      <c r="C2222" t="str">
        <f>'4M'!$C24&amp;" - "&amp;'4M'!L$5</f>
        <v>NEP - Nutrients (P removal at activated sludge STWs) - Sludge transport</v>
      </c>
      <c r="D2222" s="1620" t="str">
        <f t="shared" si="41"/>
        <v>£m</v>
      </c>
      <c r="E2222" s="1636" t="s">
        <v>9</v>
      </c>
      <c r="G2222" s="1635">
        <f>'4M'!L24</f>
        <v>0</v>
      </c>
      <c r="H2222" s="1636"/>
    </row>
    <row r="2223" spans="1:8">
      <c r="A2223" s="1620" t="str">
        <f>INDEX(Lists!$C$4:$C$24,MATCH(Validation!$B$3,Lists!$B$4:$B$24,0))</f>
        <v>TMS</v>
      </c>
      <c r="B2223" s="1732" t="str">
        <f>'4M'!BN25</f>
        <v>S3014STP</v>
      </c>
      <c r="C2223" t="str">
        <f>'4M'!$C25&amp;" - "&amp;'4M'!L$5</f>
        <v>NEP - Nutrients (P removal at filter bed STWs) - Sludge transport</v>
      </c>
      <c r="D2223" s="1620" t="str">
        <f t="shared" si="41"/>
        <v>£m</v>
      </c>
      <c r="E2223" s="1636" t="s">
        <v>9</v>
      </c>
      <c r="G2223" s="1635">
        <f>'4M'!L25</f>
        <v>0</v>
      </c>
      <c r="H2223" s="1636"/>
    </row>
    <row r="2224" spans="1:8">
      <c r="A2224" s="1620" t="str">
        <f>INDEX(Lists!$C$4:$C$24,MATCH(Validation!$B$3,Lists!$B$4:$B$24,0))</f>
        <v>TMS</v>
      </c>
      <c r="B2224" s="1732" t="str">
        <f>'4M'!BN26</f>
        <v>S3015STP</v>
      </c>
      <c r="C2224" t="str">
        <f>'4M'!$C26&amp;" - "&amp;'4M'!L$5</f>
        <v>NEP - Reduction of sanitary parameters - Sludge transport</v>
      </c>
      <c r="D2224" s="1620" t="str">
        <f t="shared" si="41"/>
        <v>£m</v>
      </c>
      <c r="E2224" s="1636" t="s">
        <v>9</v>
      </c>
      <c r="G2224" s="1635">
        <f>'4M'!L26</f>
        <v>0</v>
      </c>
      <c r="H2224" s="1636"/>
    </row>
    <row r="2225" spans="1:8">
      <c r="A2225" s="1620" t="str">
        <f>INDEX(Lists!$C$4:$C$24,MATCH(Validation!$B$3,Lists!$B$4:$B$24,0))</f>
        <v>TMS</v>
      </c>
      <c r="B2225" s="1732" t="str">
        <f>'4M'!BN27</f>
        <v>S3016STP</v>
      </c>
      <c r="C2225" t="str">
        <f>'4M'!$C27&amp;" - "&amp;'4M'!L$5</f>
        <v>NEP - UV disinfection (or similar) - Sludge transport</v>
      </c>
      <c r="D2225" s="1620" t="str">
        <f t="shared" si="41"/>
        <v>£m</v>
      </c>
      <c r="E2225" s="1636" t="s">
        <v>9</v>
      </c>
      <c r="G2225" s="1635">
        <f>'4M'!L27</f>
        <v>0</v>
      </c>
      <c r="H2225" s="1636"/>
    </row>
    <row r="2226" spans="1:8">
      <c r="A2226" s="1620" t="str">
        <f>INDEX(Lists!$C$4:$C$24,MATCH(Validation!$B$3,Lists!$B$4:$B$24,0))</f>
        <v>TMS</v>
      </c>
      <c r="B2226" s="1732" t="str">
        <f>'4M'!BN28</f>
        <v>S3017STP</v>
      </c>
      <c r="C2226" t="str">
        <f>'4M'!$C28&amp;" - "&amp;'4M'!L$5</f>
        <v>NEP - Discharge relocation - Sludge transport</v>
      </c>
      <c r="D2226" s="1620" t="str">
        <f t="shared" ref="D2226:D2289" si="43">D2183</f>
        <v>£m</v>
      </c>
      <c r="E2226" s="1636" t="s">
        <v>9</v>
      </c>
      <c r="G2226" s="1635">
        <f>'4M'!L28</f>
        <v>0</v>
      </c>
      <c r="H2226" s="1636"/>
    </row>
    <row r="2227" spans="1:8">
      <c r="A2227" s="1620" t="str">
        <f>INDEX(Lists!$C$4:$C$24,MATCH(Validation!$B$3,Lists!$B$4:$B$24,0))</f>
        <v>TMS</v>
      </c>
      <c r="B2227" s="1732" t="str">
        <f>'4M'!BN29</f>
        <v>S3018STP</v>
      </c>
      <c r="C2227" t="str">
        <f>'4M'!$C29&amp;" - "&amp;'4M'!L$5</f>
        <v>NEP - Flow 1 schemes - Sludge transport</v>
      </c>
      <c r="D2227" s="1620" t="str">
        <f t="shared" si="43"/>
        <v>£m</v>
      </c>
      <c r="E2227" s="1636" t="s">
        <v>9</v>
      </c>
      <c r="G2227" s="1635">
        <f>'4M'!L29</f>
        <v>0</v>
      </c>
      <c r="H2227" s="1636"/>
    </row>
    <row r="2228" spans="1:8">
      <c r="A2228" s="1620" t="str">
        <f>INDEX(Lists!$C$4:$C$24,MATCH(Validation!$B$3,Lists!$B$4:$B$24,0))</f>
        <v>TMS</v>
      </c>
      <c r="B2228" s="1732" t="str">
        <f>'4M'!BN30</f>
        <v>S3019STP</v>
      </c>
      <c r="C2228" t="str">
        <f>'4M'!$C30&amp;" - "&amp;'4M'!L$5</f>
        <v>Odour - Sludge transport</v>
      </c>
      <c r="D2228" s="1620" t="str">
        <f t="shared" si="43"/>
        <v>£m</v>
      </c>
      <c r="E2228" s="1636" t="s">
        <v>9</v>
      </c>
      <c r="G2228" s="1635">
        <f>'4M'!L30</f>
        <v>0</v>
      </c>
      <c r="H2228" s="1636"/>
    </row>
    <row r="2229" spans="1:8">
      <c r="A2229" s="1620" t="str">
        <f>INDEX(Lists!$C$4:$C$24,MATCH(Validation!$B$3,Lists!$B$4:$B$24,0))</f>
        <v>TMS</v>
      </c>
      <c r="B2229" s="1732" t="str">
        <f>'4M'!BN31</f>
        <v>S3020STP</v>
      </c>
      <c r="C2229" t="str">
        <f>'4M'!$C31&amp;" - "&amp;'4M'!L$5</f>
        <v>New development and growth - Sludge transport</v>
      </c>
      <c r="D2229" s="1620" t="str">
        <f t="shared" si="43"/>
        <v>£m</v>
      </c>
      <c r="E2229" s="1636" t="s">
        <v>9</v>
      </c>
      <c r="G2229" s="1635">
        <f>'4M'!L31</f>
        <v>0</v>
      </c>
      <c r="H2229" s="1636"/>
    </row>
    <row r="2230" spans="1:8">
      <c r="A2230" s="1620" t="str">
        <f>INDEX(Lists!$C$4:$C$24,MATCH(Validation!$B$3,Lists!$B$4:$B$24,0))</f>
        <v>TMS</v>
      </c>
      <c r="B2230" s="1732" t="str">
        <f>'4M'!BN32</f>
        <v>S3021STP</v>
      </c>
      <c r="C2230" t="str">
        <f>'4M'!$C32&amp;" - "&amp;'4M'!L$5</f>
        <v>Growth at sewage treatment works (excluding sludge treatment) - Sludge transport</v>
      </c>
      <c r="D2230" s="1620" t="str">
        <f t="shared" si="43"/>
        <v>£m</v>
      </c>
      <c r="E2230" s="1636" t="s">
        <v>9</v>
      </c>
      <c r="G2230" s="1635">
        <f>'4M'!L32</f>
        <v>0</v>
      </c>
      <c r="H2230" s="1636"/>
    </row>
    <row r="2231" spans="1:8">
      <c r="A2231" s="1620" t="str">
        <f>INDEX(Lists!$C$4:$C$24,MATCH(Validation!$B$3,Lists!$B$4:$B$24,0))</f>
        <v>TMS</v>
      </c>
      <c r="B2231" s="1732" t="str">
        <f>'4M'!BN33</f>
        <v>S3022STP</v>
      </c>
      <c r="C2231" t="str">
        <f>'4M'!$C33&amp;" - "&amp;'4M'!L$5</f>
        <v>Resilience - Sludge transport</v>
      </c>
      <c r="D2231" s="1620" t="str">
        <f t="shared" si="43"/>
        <v>£m</v>
      </c>
      <c r="E2231" s="1636" t="s">
        <v>9</v>
      </c>
      <c r="G2231" s="1635">
        <f>'4M'!L33</f>
        <v>0</v>
      </c>
      <c r="H2231" s="1636"/>
    </row>
    <row r="2232" spans="1:8">
      <c r="A2232" s="1620" t="str">
        <f>INDEX(Lists!$C$4:$C$24,MATCH(Validation!$B$3,Lists!$B$4:$B$24,0))</f>
        <v>TMS</v>
      </c>
      <c r="B2232" s="1732" t="str">
        <f>'4M'!BN34</f>
        <v>BC31785STP</v>
      </c>
      <c r="C2232" t="str">
        <f>'4M'!$C34&amp;" - "&amp;'4M'!L$5</f>
        <v>SEMD - Sludge transport</v>
      </c>
      <c r="D2232" s="1620" t="str">
        <f t="shared" si="43"/>
        <v>£m</v>
      </c>
      <c r="E2232" s="1636" t="s">
        <v>9</v>
      </c>
      <c r="G2232" s="1635">
        <f>'4M'!L34</f>
        <v>-2.0092113039047618E-8</v>
      </c>
      <c r="H2232" s="1636"/>
    </row>
    <row r="2233" spans="1:8">
      <c r="A2233" s="1620" t="str">
        <f>INDEX(Lists!$C$4:$C$24,MATCH(Validation!$B$3,Lists!$B$4:$B$24,0))</f>
        <v>TMS</v>
      </c>
      <c r="B2233" s="1732" t="str">
        <f>'4M'!BN35</f>
        <v>S3023STP</v>
      </c>
      <c r="C2233" t="str">
        <f>'4M'!$C35&amp;" - "&amp;'4M'!L$5</f>
        <v>Reduce flooding risk for properties - Sludge transport</v>
      </c>
      <c r="D2233" s="1620" t="str">
        <f t="shared" si="43"/>
        <v>£m</v>
      </c>
      <c r="E2233" s="1636" t="s">
        <v>9</v>
      </c>
      <c r="G2233" s="1635">
        <f>'4M'!L35</f>
        <v>0</v>
      </c>
      <c r="H2233" s="1636"/>
    </row>
    <row r="2234" spans="1:8">
      <c r="A2234" s="1620" t="str">
        <f>INDEX(Lists!$C$4:$C$24,MATCH(Validation!$B$3,Lists!$B$4:$B$24,0))</f>
        <v>TMS</v>
      </c>
      <c r="B2234" s="1732" t="str">
        <f>'4M'!BN36</f>
        <v>S3A00001STP</v>
      </c>
      <c r="C2234" s="1732" t="str">
        <f>"Capital expenditure purpose - WASTEWATER additional line 1 [Other categories] - "&amp;'4M'!$L$5</f>
        <v>Capital expenditure purpose - WASTEWATER additional line 1 [Other categories] - Sludge transport</v>
      </c>
      <c r="D2234" s="1620" t="str">
        <f t="shared" si="43"/>
        <v>£m</v>
      </c>
      <c r="E2234" s="1636" t="s">
        <v>9</v>
      </c>
      <c r="F2234" s="2" t="str">
        <f>F2019</f>
        <v>Quality spend at CSOs and quality allocation to Deephams inlet works</v>
      </c>
      <c r="G2234" s="1635">
        <f>IF(ISBLANK('4M'!L36), "##BLANK", '4M'!L36)</f>
        <v>0</v>
      </c>
      <c r="H2234" s="1636"/>
    </row>
    <row r="2235" spans="1:8">
      <c r="A2235" s="1620" t="str">
        <f>INDEX(Lists!$C$4:$C$24,MATCH(Validation!$B$3,Lists!$B$4:$B$24,0))</f>
        <v>TMS</v>
      </c>
      <c r="B2235" s="1732" t="str">
        <f>'4M'!BN37</f>
        <v>S3A00002STP</v>
      </c>
      <c r="C2235" s="1732" t="str">
        <f>"Capital expenditure purpose - WASTEWATER additional line 2 [Other categories] - "&amp;'4M'!$L$5</f>
        <v>Capital expenditure purpose - WASTEWATER additional line 2 [Other categories] - Sludge transport</v>
      </c>
      <c r="D2235" s="1620" t="str">
        <f t="shared" si="43"/>
        <v>£m</v>
      </c>
      <c r="E2235" s="1636" t="s">
        <v>9</v>
      </c>
      <c r="F2235" s="2" t="str">
        <f t="shared" ref="F2235:F2248" si="44">F2020</f>
        <v>Tideway quality (NEP). Excludes Lee Tunnel and sludge.</v>
      </c>
      <c r="G2235" s="1635">
        <f>IF(ISBLANK('4M'!L37), "##BLANK", '4M'!L37)</f>
        <v>1.0749280475890475E-6</v>
      </c>
      <c r="H2235" s="1636"/>
    </row>
    <row r="2236" spans="1:8">
      <c r="A2236" s="1620" t="str">
        <f>INDEX(Lists!$C$4:$C$24,MATCH(Validation!$B$3,Lists!$B$4:$B$24,0))</f>
        <v>TMS</v>
      </c>
      <c r="B2236" s="1732" t="str">
        <f>'4M'!BN38</f>
        <v>S3A00003STP</v>
      </c>
      <c r="C2236" s="1732" t="str">
        <f>"Capital expenditure purpose - WASTEWATER additional line 3 [Other categories] - "&amp;'4M'!$L$5</f>
        <v>Capital expenditure purpose - WASTEWATER additional line 3 [Other categories] - Sludge transport</v>
      </c>
      <c r="D2236" s="1620" t="str">
        <f t="shared" si="43"/>
        <v>£m</v>
      </c>
      <c r="E2236" s="1636" t="s">
        <v>9</v>
      </c>
      <c r="F2236" s="2" t="str">
        <f t="shared" si="44"/>
        <v>Lee Tunnel</v>
      </c>
      <c r="G2236" s="1635">
        <f>IF(ISBLANK('4M'!L38), "##BLANK", '4M'!L38)</f>
        <v>0</v>
      </c>
      <c r="H2236" s="1636"/>
    </row>
    <row r="2237" spans="1:8">
      <c r="A2237" s="1620" t="str">
        <f>INDEX(Lists!$C$4:$C$24,MATCH(Validation!$B$3,Lists!$B$4:$B$24,0))</f>
        <v>TMS</v>
      </c>
      <c r="B2237" s="1732" t="str">
        <f>'4M'!BN39</f>
        <v>S3A00004STP</v>
      </c>
      <c r="C2237" s="1732" t="str">
        <f>"Capital expenditure purpose - WASTEWATER additional line 4 [Other categories] - "&amp;'4M'!$L$5</f>
        <v>Capital expenditure purpose - WASTEWATER additional line 4 [Other categories] - Sludge transport</v>
      </c>
      <c r="D2237" s="1620" t="str">
        <f t="shared" si="43"/>
        <v>£m</v>
      </c>
      <c r="E2237" s="1636" t="s">
        <v>9</v>
      </c>
      <c r="F2237" s="2" t="str">
        <f t="shared" si="44"/>
        <v>Non-SEMD related security enhancement (revised Ofwat guidance 6 July 2018)</v>
      </c>
      <c r="G2237" s="1635">
        <f>IF(ISBLANK('4M'!L39), "##BLANK", '4M'!L39)</f>
        <v>1.1187812291257303E-2</v>
      </c>
      <c r="H2237" s="1636"/>
    </row>
    <row r="2238" spans="1:8">
      <c r="A2238" s="1620" t="str">
        <f>INDEX(Lists!$C$4:$C$24,MATCH(Validation!$B$3,Lists!$B$4:$B$24,0))</f>
        <v>TMS</v>
      </c>
      <c r="B2238" s="1732" t="str">
        <f>'4M'!BN40</f>
        <v>S3A00005STP</v>
      </c>
      <c r="C2238" s="1732" t="str">
        <f>"Capital expenditure purpose - WASTEWATER additional line 5 [Other categories] - "&amp;'4M'!$L$5</f>
        <v>Capital expenditure purpose - WASTEWATER additional line 5 [Other categories] - Sludge transport</v>
      </c>
      <c r="D2238" s="1620" t="str">
        <f t="shared" si="43"/>
        <v>£m</v>
      </c>
      <c r="E2238" s="1636" t="s">
        <v>9</v>
      </c>
      <c r="F2238" s="2" t="str">
        <f t="shared" si="44"/>
        <v>##BLANK</v>
      </c>
      <c r="G2238" s="1635" t="str">
        <f>IF(ISBLANK('4M'!L40), "##BLANK", '4M'!L40)</f>
        <v>##BLANK</v>
      </c>
      <c r="H2238" s="1636"/>
    </row>
    <row r="2239" spans="1:8">
      <c r="A2239" s="1620" t="str">
        <f>INDEX(Lists!$C$4:$C$24,MATCH(Validation!$B$3,Lists!$B$4:$B$24,0))</f>
        <v>TMS</v>
      </c>
      <c r="B2239" s="1732" t="str">
        <f>'4M'!BN41</f>
        <v>S3A00006STP</v>
      </c>
      <c r="C2239" s="1732" t="str">
        <f>"Capital expenditure purpose - WASTEWATER additional line 6 [Other categories] - "&amp;'4M'!$L$5</f>
        <v>Capital expenditure purpose - WASTEWATER additional line 6 [Other categories] - Sludge transport</v>
      </c>
      <c r="D2239" s="1620" t="str">
        <f t="shared" si="43"/>
        <v>£m</v>
      </c>
      <c r="E2239" s="1636" t="s">
        <v>9</v>
      </c>
      <c r="F2239" s="2" t="str">
        <f t="shared" si="44"/>
        <v>##BLANK</v>
      </c>
      <c r="G2239" s="1635" t="str">
        <f>IF(ISBLANK('4M'!L41), "##BLANK", '4M'!L41)</f>
        <v>##BLANK</v>
      </c>
      <c r="H2239" s="1636"/>
    </row>
    <row r="2240" spans="1:8">
      <c r="A2240" s="1620" t="str">
        <f>INDEX(Lists!$C$4:$C$24,MATCH(Validation!$B$3,Lists!$B$4:$B$24,0))</f>
        <v>TMS</v>
      </c>
      <c r="B2240" s="1732" t="str">
        <f>'4M'!BN42</f>
        <v>S3A00007STP</v>
      </c>
      <c r="C2240" s="1732" t="str">
        <f>"Capital expenditure purpose - WASTEWATER additional line 7 [Other categories] - "&amp;'4M'!$L$5</f>
        <v>Capital expenditure purpose - WASTEWATER additional line 7 [Other categories] - Sludge transport</v>
      </c>
      <c r="D2240" s="1620" t="str">
        <f t="shared" si="43"/>
        <v>£m</v>
      </c>
      <c r="E2240" s="1636" t="s">
        <v>9</v>
      </c>
      <c r="F2240" s="2" t="str">
        <f t="shared" si="44"/>
        <v>##BLANK</v>
      </c>
      <c r="G2240" s="1635" t="str">
        <f>IF(ISBLANK('4M'!L42), "##BLANK", '4M'!L42)</f>
        <v>##BLANK</v>
      </c>
      <c r="H2240" s="1636"/>
    </row>
    <row r="2241" spans="1:8">
      <c r="A2241" s="1620" t="str">
        <f>INDEX(Lists!$C$4:$C$24,MATCH(Validation!$B$3,Lists!$B$4:$B$24,0))</f>
        <v>TMS</v>
      </c>
      <c r="B2241" s="1732" t="str">
        <f>'4M'!BN43</f>
        <v>S3A00008STP</v>
      </c>
      <c r="C2241" s="1732" t="str">
        <f>"Capital expenditure purpose - WASTEWATER additional line 8 [Other categories] - "&amp;'4M'!$L$5</f>
        <v>Capital expenditure purpose - WASTEWATER additional line 8 [Other categories] - Sludge transport</v>
      </c>
      <c r="D2241" s="1620" t="str">
        <f t="shared" si="43"/>
        <v>£m</v>
      </c>
      <c r="E2241" s="1636" t="s">
        <v>9</v>
      </c>
      <c r="F2241" s="2" t="str">
        <f t="shared" si="44"/>
        <v>##BLANK</v>
      </c>
      <c r="G2241" s="1635" t="str">
        <f>IF(ISBLANK('4M'!L43), "##BLANK", '4M'!L43)</f>
        <v>##BLANK</v>
      </c>
      <c r="H2241" s="1636"/>
    </row>
    <row r="2242" spans="1:8">
      <c r="A2242" s="1620" t="str">
        <f>INDEX(Lists!$C$4:$C$24,MATCH(Validation!$B$3,Lists!$B$4:$B$24,0))</f>
        <v>TMS</v>
      </c>
      <c r="B2242" s="1732" t="str">
        <f>'4M'!BN44</f>
        <v>S3A00009STP</v>
      </c>
      <c r="C2242" s="1732" t="str">
        <f>"Capital expenditure purpose - WASTEWATER additional line 9 [Other categories] - "&amp;'4M'!$L$5</f>
        <v>Capital expenditure purpose - WASTEWATER additional line 9 [Other categories] - Sludge transport</v>
      </c>
      <c r="D2242" s="1620" t="str">
        <f t="shared" si="43"/>
        <v>£m</v>
      </c>
      <c r="E2242" s="1636" t="s">
        <v>9</v>
      </c>
      <c r="F2242" s="2" t="str">
        <f t="shared" si="44"/>
        <v>##BLANK</v>
      </c>
      <c r="G2242" s="1635" t="str">
        <f>IF(ISBLANK('4M'!L44), "##BLANK", '4M'!L44)</f>
        <v>##BLANK</v>
      </c>
      <c r="H2242" s="1636"/>
    </row>
    <row r="2243" spans="1:8">
      <c r="A2243" s="1620" t="str">
        <f>INDEX(Lists!$C$4:$C$24,MATCH(Validation!$B$3,Lists!$B$4:$B$24,0))</f>
        <v>TMS</v>
      </c>
      <c r="B2243" s="1732" t="str">
        <f>'4M'!BN45</f>
        <v>S3A00010STP</v>
      </c>
      <c r="C2243" s="1732" t="str">
        <f>"Capital expenditure purpose - WASTEWATER additional line 10 [Other categories] - "&amp;'4M'!$L$5</f>
        <v>Capital expenditure purpose - WASTEWATER additional line 10 [Other categories] - Sludge transport</v>
      </c>
      <c r="D2243" s="1620" t="str">
        <f t="shared" si="43"/>
        <v>£m</v>
      </c>
      <c r="E2243" s="1636" t="s">
        <v>9</v>
      </c>
      <c r="F2243" s="2" t="str">
        <f t="shared" si="44"/>
        <v>##BLANK</v>
      </c>
      <c r="G2243" s="1635" t="str">
        <f>IF(ISBLANK('4M'!L45), "##BLANK", '4M'!L45)</f>
        <v>##BLANK</v>
      </c>
      <c r="H2243" s="1636"/>
    </row>
    <row r="2244" spans="1:8">
      <c r="A2244" s="1620" t="str">
        <f>INDEX(Lists!$C$4:$C$24,MATCH(Validation!$B$3,Lists!$B$4:$B$24,0))</f>
        <v>TMS</v>
      </c>
      <c r="B2244" s="1732" t="str">
        <f>'4M'!BN46</f>
        <v>S3A00011STP</v>
      </c>
      <c r="C2244" s="1732" t="str">
        <f>"Capital expenditure purpose - WASTEWATER additional line 11 [Other categories] - "&amp;'4M'!$L$5</f>
        <v>Capital expenditure purpose - WASTEWATER additional line 11 [Other categories] - Sludge transport</v>
      </c>
      <c r="D2244" s="1620" t="str">
        <f t="shared" si="43"/>
        <v>£m</v>
      </c>
      <c r="E2244" s="1636" t="s">
        <v>9</v>
      </c>
      <c r="F2244" s="2" t="str">
        <f t="shared" si="44"/>
        <v>##BLANK</v>
      </c>
      <c r="G2244" s="1635" t="str">
        <f>IF(ISBLANK('4M'!L46), "##BLANK", '4M'!L46)</f>
        <v>##BLANK</v>
      </c>
      <c r="H2244" s="1636"/>
    </row>
    <row r="2245" spans="1:8">
      <c r="A2245" s="1620" t="str">
        <f>INDEX(Lists!$C$4:$C$24,MATCH(Validation!$B$3,Lists!$B$4:$B$24,0))</f>
        <v>TMS</v>
      </c>
      <c r="B2245" s="1732" t="str">
        <f>'4M'!BN47</f>
        <v>S3A00012STP</v>
      </c>
      <c r="C2245" s="1732" t="str">
        <f>"Capital expenditure purpose - WASTEWATER additional line 12 [Other categories] - "&amp;'4M'!$L$5</f>
        <v>Capital expenditure purpose - WASTEWATER additional line 12 [Other categories] - Sludge transport</v>
      </c>
      <c r="D2245" s="1620" t="str">
        <f t="shared" si="43"/>
        <v>£m</v>
      </c>
      <c r="E2245" s="1636" t="s">
        <v>9</v>
      </c>
      <c r="F2245" s="2" t="str">
        <f t="shared" si="44"/>
        <v>##BLANK</v>
      </c>
      <c r="G2245" s="1635" t="str">
        <f>IF(ISBLANK('4M'!L47), "##BLANK", '4M'!L47)</f>
        <v>##BLANK</v>
      </c>
      <c r="H2245" s="1636"/>
    </row>
    <row r="2246" spans="1:8">
      <c r="A2246" s="1620" t="str">
        <f>INDEX(Lists!$C$4:$C$24,MATCH(Validation!$B$3,Lists!$B$4:$B$24,0))</f>
        <v>TMS</v>
      </c>
      <c r="B2246" s="1732" t="str">
        <f>'4M'!BN48</f>
        <v>S3A00013STP</v>
      </c>
      <c r="C2246" s="1732" t="str">
        <f>"Capital expenditure purpose - WASTEWATER additional line 13 [Other categories] - "&amp;'4M'!$L$5</f>
        <v>Capital expenditure purpose - WASTEWATER additional line 13 [Other categories] - Sludge transport</v>
      </c>
      <c r="D2246" s="1620" t="str">
        <f t="shared" si="43"/>
        <v>£m</v>
      </c>
      <c r="E2246" s="1636" t="s">
        <v>9</v>
      </c>
      <c r="F2246" s="2" t="str">
        <f t="shared" si="44"/>
        <v>##BLANK</v>
      </c>
      <c r="G2246" s="1635" t="str">
        <f>IF(ISBLANK('4M'!L48), "##BLANK", '4M'!L48)</f>
        <v>##BLANK</v>
      </c>
      <c r="H2246" s="1636"/>
    </row>
    <row r="2247" spans="1:8">
      <c r="A2247" s="1620" t="str">
        <f>INDEX(Lists!$C$4:$C$24,MATCH(Validation!$B$3,Lists!$B$4:$B$24,0))</f>
        <v>TMS</v>
      </c>
      <c r="B2247" s="1732" t="str">
        <f>'4M'!BN49</f>
        <v>S3A00014STP</v>
      </c>
      <c r="C2247" s="1732" t="str">
        <f>"Capital expenditure purpose - WASTEWATER additional line 14 [Other categories] - "&amp;'4M'!$L$5</f>
        <v>Capital expenditure purpose - WASTEWATER additional line 14 [Other categories] - Sludge transport</v>
      </c>
      <c r="D2247" s="1620" t="str">
        <f t="shared" si="43"/>
        <v>£m</v>
      </c>
      <c r="E2247" s="1636" t="s">
        <v>9</v>
      </c>
      <c r="F2247" s="2" t="str">
        <f t="shared" si="44"/>
        <v>##BLANK</v>
      </c>
      <c r="G2247" s="1635" t="str">
        <f>IF(ISBLANK('4M'!L49), "##BLANK", '4M'!L49)</f>
        <v>##BLANK</v>
      </c>
      <c r="H2247" s="1636"/>
    </row>
    <row r="2248" spans="1:8">
      <c r="A2248" s="1730" t="str">
        <f>INDEX(Lists!$C$4:$C$24,MATCH(Validation!$B$3,Lists!$B$4:$B$24,0))</f>
        <v>TMS</v>
      </c>
      <c r="B2248" s="1734" t="str">
        <f>'4M'!BN50</f>
        <v>S3A00015STP</v>
      </c>
      <c r="C2248" s="1734" t="str">
        <f>"Capital expenditure purpose - WASTEWATER additional line 15 [Other categories] - "&amp;'4M'!$L$5</f>
        <v>Capital expenditure purpose - WASTEWATER additional line 15 [Other categories] - Sludge transport</v>
      </c>
      <c r="D2248" s="1730" t="str">
        <f t="shared" si="43"/>
        <v>£m</v>
      </c>
      <c r="E2248" s="1652" t="s">
        <v>9</v>
      </c>
      <c r="F2248" s="1637" t="str">
        <f t="shared" si="44"/>
        <v>##BLANK</v>
      </c>
      <c r="G2248" s="1653" t="str">
        <f>IF(ISBLANK('4M'!L50), "##BLANK", '4M'!L50)</f>
        <v>##BLANK</v>
      </c>
      <c r="H2248" s="1652"/>
    </row>
    <row r="2249" spans="1:8">
      <c r="A2249" s="1620" t="str">
        <f>INDEX(Lists!$C$4:$C$24,MATCH(Validation!$B$3,Lists!$B$4:$B$24,0))</f>
        <v>TMS</v>
      </c>
      <c r="B2249" s="1732" t="str">
        <f>'4M'!BO8</f>
        <v>BC31379SDT</v>
      </c>
      <c r="C2249" t="str">
        <f>'4M'!$C8&amp;" - "&amp;'4M'!M$5</f>
        <v>First time sewerage (s101A) - Sludge treatment</v>
      </c>
      <c r="D2249" s="1620" t="str">
        <f t="shared" si="43"/>
        <v>£m</v>
      </c>
      <c r="E2249" s="1636" t="s">
        <v>9</v>
      </c>
      <c r="G2249" s="1635">
        <f>'4M'!M8</f>
        <v>0</v>
      </c>
      <c r="H2249" s="1636"/>
    </row>
    <row r="2250" spans="1:8">
      <c r="A2250" s="1620" t="str">
        <f>INDEX(Lists!$C$4:$C$24,MATCH(Validation!$B$3,Lists!$B$4:$B$24,0))</f>
        <v>TMS</v>
      </c>
      <c r="B2250" s="1732" t="str">
        <f>'4M'!BO9</f>
        <v>S3035QSDT</v>
      </c>
      <c r="C2250" t="str">
        <f>'4M'!$C9&amp;" - "&amp;'4M'!M$5</f>
        <v>Sludge enhancement (quality) - Sludge treatment</v>
      </c>
      <c r="D2250" s="1620" t="str">
        <f t="shared" si="43"/>
        <v>£m</v>
      </c>
      <c r="E2250" s="1636" t="s">
        <v>9</v>
      </c>
      <c r="G2250" s="1635">
        <f>'4M'!M9</f>
        <v>-8.2829974750324616E-3</v>
      </c>
      <c r="H2250" s="1636"/>
    </row>
    <row r="2251" spans="1:8">
      <c r="A2251" s="1620" t="str">
        <f>INDEX(Lists!$C$4:$C$24,MATCH(Validation!$B$3,Lists!$B$4:$B$24,0))</f>
        <v>TMS</v>
      </c>
      <c r="B2251" s="1732" t="str">
        <f>'4M'!BO10</f>
        <v>S3036GSDT</v>
      </c>
      <c r="C2251" t="str">
        <f>'4M'!$C10&amp;" - "&amp;'4M'!M$5</f>
        <v>Sludge enhancement (growth) - Sludge treatment</v>
      </c>
      <c r="D2251" s="1620" t="str">
        <f t="shared" si="43"/>
        <v>£m</v>
      </c>
      <c r="E2251" s="1636" t="s">
        <v>9</v>
      </c>
      <c r="G2251" s="1635">
        <f>'4M'!M10</f>
        <v>-1.495808784917237</v>
      </c>
      <c r="H2251" s="1636"/>
    </row>
    <row r="2252" spans="1:8">
      <c r="A2252" s="1620" t="str">
        <f>INDEX(Lists!$C$4:$C$24,MATCH(Validation!$B$3,Lists!$B$4:$B$24,0))</f>
        <v>TMS</v>
      </c>
      <c r="B2252" s="1732" t="str">
        <f>'4M'!BO11</f>
        <v>S3004SDT</v>
      </c>
      <c r="C2252" t="str">
        <f>'4M'!$C11&amp;" - "&amp;'4M'!M$5</f>
        <v>NEP - Conservation drivers - Sludge treatment</v>
      </c>
      <c r="D2252" s="1620" t="str">
        <f t="shared" si="43"/>
        <v>£m</v>
      </c>
      <c r="E2252" s="1636" t="s">
        <v>9</v>
      </c>
      <c r="G2252" s="1635">
        <f>'4M'!M11</f>
        <v>0</v>
      </c>
      <c r="H2252" s="1636"/>
    </row>
    <row r="2253" spans="1:8">
      <c r="A2253" s="1620" t="str">
        <f>INDEX(Lists!$C$4:$C$24,MATCH(Validation!$B$3,Lists!$B$4:$B$24,0))</f>
        <v>TMS</v>
      </c>
      <c r="B2253" s="1732" t="str">
        <f>'4M'!BO12</f>
        <v>WWS2001SDT</v>
      </c>
      <c r="C2253" t="str">
        <f>'4M'!$C12&amp;" - "&amp;'4M'!M$5</f>
        <v>NEP - Eels Regulations (measures at outfalls) - Sludge treatment</v>
      </c>
      <c r="D2253" s="1620" t="str">
        <f t="shared" si="43"/>
        <v>£m</v>
      </c>
      <c r="E2253" s="1636" t="s">
        <v>9</v>
      </c>
      <c r="G2253" s="1635">
        <f>'4M'!M12</f>
        <v>0</v>
      </c>
      <c r="H2253" s="1636"/>
    </row>
    <row r="2254" spans="1:8">
      <c r="A2254" s="1620" t="str">
        <f>INDEX(Lists!$C$4:$C$24,MATCH(Validation!$B$3,Lists!$B$4:$B$24,0))</f>
        <v>TMS</v>
      </c>
      <c r="B2254" s="1732" t="str">
        <f>'4M'!BO13</f>
        <v>S3005SDT</v>
      </c>
      <c r="C2254" t="str">
        <f>'4M'!$C13&amp;" - "&amp;'4M'!M$5</f>
        <v>NEP - Event Duration Monitoring at intermittent discharges - Sludge treatment</v>
      </c>
      <c r="D2254" s="1620" t="str">
        <f t="shared" si="43"/>
        <v>£m</v>
      </c>
      <c r="E2254" s="1636" t="s">
        <v>9</v>
      </c>
      <c r="G2254" s="1635">
        <f>'4M'!M13</f>
        <v>0</v>
      </c>
      <c r="H2254" s="1636"/>
    </row>
    <row r="2255" spans="1:8">
      <c r="A2255" s="1620" t="str">
        <f>INDEX(Lists!$C$4:$C$24,MATCH(Validation!$B$3,Lists!$B$4:$B$24,0))</f>
        <v>TMS</v>
      </c>
      <c r="B2255" s="1732" t="str">
        <f>'4M'!BO14</f>
        <v>S3006SDT</v>
      </c>
      <c r="C2255" t="str">
        <f>'4M'!$C14&amp;" - "&amp;'4M'!M$5</f>
        <v>NEP - Flow monitoring at sewage treatment works - Sludge treatment</v>
      </c>
      <c r="D2255" s="1620" t="str">
        <f t="shared" si="43"/>
        <v>£m</v>
      </c>
      <c r="E2255" s="1636" t="s">
        <v>9</v>
      </c>
      <c r="G2255" s="1635">
        <f>'4M'!M14</f>
        <v>0</v>
      </c>
      <c r="H2255" s="1636"/>
    </row>
    <row r="2256" spans="1:8">
      <c r="A2256" s="1620" t="str">
        <f>INDEX(Lists!$C$4:$C$24,MATCH(Validation!$B$3,Lists!$B$4:$B$24,0))</f>
        <v>TMS</v>
      </c>
      <c r="B2256" s="1732" t="str">
        <f>'4M'!BO15</f>
        <v>S3007SDT</v>
      </c>
      <c r="C2256" t="str">
        <f>'4M'!$C15&amp;" - "&amp;'4M'!M$5</f>
        <v>NEP - Monitoring of pass forward flows at CSOs - Sludge treatment</v>
      </c>
      <c r="D2256" s="1620" t="str">
        <f t="shared" si="43"/>
        <v>£m</v>
      </c>
      <c r="E2256" s="1636" t="s">
        <v>9</v>
      </c>
      <c r="G2256" s="1635">
        <f>'4M'!M15</f>
        <v>0</v>
      </c>
      <c r="H2256" s="1636"/>
    </row>
    <row r="2257" spans="1:8">
      <c r="A2257" s="1620" t="str">
        <f>INDEX(Lists!$C$4:$C$24,MATCH(Validation!$B$3,Lists!$B$4:$B$24,0))</f>
        <v>TMS</v>
      </c>
      <c r="B2257" s="1732" t="str">
        <f>'4M'!BO16</f>
        <v>WWS2002SDT</v>
      </c>
      <c r="C2257" t="str">
        <f>'4M'!$C16&amp;" - "&amp;'4M'!M$5</f>
        <v>NEP - Schemes to increase flow to full treatment - Sludge treatment</v>
      </c>
      <c r="D2257" s="1620" t="str">
        <f t="shared" si="43"/>
        <v>£m</v>
      </c>
      <c r="E2257" s="1636" t="s">
        <v>9</v>
      </c>
      <c r="G2257" s="1635">
        <f>'4M'!M16</f>
        <v>0</v>
      </c>
      <c r="H2257" s="1636"/>
    </row>
    <row r="2258" spans="1:8">
      <c r="A2258" s="1620" t="str">
        <f>INDEX(Lists!$C$4:$C$24,MATCH(Validation!$B$3,Lists!$B$4:$B$24,0))</f>
        <v>TMS</v>
      </c>
      <c r="B2258" s="1732" t="str">
        <f>'4M'!BO17</f>
        <v>WWS2003SDT</v>
      </c>
      <c r="C2258" t="str">
        <f>'4M'!$C17&amp;" - "&amp;'4M'!M$5</f>
        <v>NEP - Schemes to increase storm tank capacity - Sludge treatment</v>
      </c>
      <c r="D2258" s="1620" t="str">
        <f t="shared" si="43"/>
        <v>£m</v>
      </c>
      <c r="E2258" s="1636" t="s">
        <v>9</v>
      </c>
      <c r="G2258" s="1635">
        <f>'4M'!M17</f>
        <v>0</v>
      </c>
      <c r="H2258" s="1636"/>
    </row>
    <row r="2259" spans="1:8">
      <c r="A2259" s="1620" t="str">
        <f>INDEX(Lists!$C$4:$C$24,MATCH(Validation!$B$3,Lists!$B$4:$B$24,0))</f>
        <v>TMS</v>
      </c>
      <c r="B2259" s="1732" t="str">
        <f>'4M'!BO18</f>
        <v>S3008SDT</v>
      </c>
      <c r="C2259" t="str">
        <f>'4M'!$C18&amp;" - "&amp;'4M'!M$5</f>
        <v>NEP - Storage schemes to reduce spill frequency at CSOs, storm tanks, etc - Sludge treatment</v>
      </c>
      <c r="D2259" s="1620" t="str">
        <f t="shared" si="43"/>
        <v>£m</v>
      </c>
      <c r="E2259" s="1636" t="s">
        <v>9</v>
      </c>
      <c r="G2259" s="1635">
        <f>'4M'!M18</f>
        <v>0</v>
      </c>
      <c r="H2259" s="1636"/>
    </row>
    <row r="2260" spans="1:8">
      <c r="A2260" s="1620" t="str">
        <f>INDEX(Lists!$C$4:$C$24,MATCH(Validation!$B$3,Lists!$B$4:$B$24,0))</f>
        <v>TMS</v>
      </c>
      <c r="B2260" s="1732" t="str">
        <f>'4M'!BO19</f>
        <v>S3009SDT</v>
      </c>
      <c r="C2260" t="str">
        <f>'4M'!$C19&amp;" - "&amp;'4M'!M$5</f>
        <v>NEP - Chemicals monitoring/ investigations/ options appraisals - Sludge treatment</v>
      </c>
      <c r="D2260" s="1620" t="str">
        <f t="shared" si="43"/>
        <v>£m</v>
      </c>
      <c r="E2260" s="1636" t="s">
        <v>9</v>
      </c>
      <c r="G2260" s="1635">
        <f>'4M'!M19</f>
        <v>0</v>
      </c>
      <c r="H2260" s="1636"/>
    </row>
    <row r="2261" spans="1:8">
      <c r="A2261" s="1620" t="str">
        <f>INDEX(Lists!$C$4:$C$24,MATCH(Validation!$B$3,Lists!$B$4:$B$24,0))</f>
        <v>TMS</v>
      </c>
      <c r="B2261" s="1732" t="str">
        <f>'4M'!BO20</f>
        <v>WWS2007SDT</v>
      </c>
      <c r="C2261" t="str">
        <f>'4M'!$C20&amp;" - "&amp;'4M'!M$5</f>
        <v>NEP - National phosphorus removal technology investigations - Sludge treatment</v>
      </c>
      <c r="D2261" s="1620" t="str">
        <f t="shared" si="43"/>
        <v>£m</v>
      </c>
      <c r="E2261" s="1636" t="s">
        <v>9</v>
      </c>
      <c r="G2261" s="1635">
        <f>'4M'!M20</f>
        <v>0</v>
      </c>
      <c r="H2261" s="1636"/>
    </row>
    <row r="2262" spans="1:8">
      <c r="A2262" s="1620" t="str">
        <f>INDEX(Lists!$C$4:$C$24,MATCH(Validation!$B$3,Lists!$B$4:$B$24,0))</f>
        <v>TMS</v>
      </c>
      <c r="B2262" s="1732" t="str">
        <f>'4M'!BO21</f>
        <v>S3010SDT</v>
      </c>
      <c r="C2262" t="str">
        <f>'4M'!$C21&amp;" - "&amp;'4M'!M$5</f>
        <v>NEP - Groundwater schemes - Sludge treatment</v>
      </c>
      <c r="D2262" s="1620" t="str">
        <f t="shared" si="43"/>
        <v>£m</v>
      </c>
      <c r="E2262" s="1636" t="s">
        <v>9</v>
      </c>
      <c r="G2262" s="1635">
        <f>'4M'!M21</f>
        <v>0</v>
      </c>
      <c r="H2262" s="1636"/>
    </row>
    <row r="2263" spans="1:8">
      <c r="A2263" s="1620" t="str">
        <f>INDEX(Lists!$C$4:$C$24,MATCH(Validation!$B$3,Lists!$B$4:$B$24,0))</f>
        <v>TMS</v>
      </c>
      <c r="B2263" s="1732" t="str">
        <f>'4M'!BO22</f>
        <v>S3011SDT</v>
      </c>
      <c r="C2263" t="str">
        <f>'4M'!$C22&amp;" - "&amp;'4M'!M$5</f>
        <v>NEP - Investigations - Sludge treatment</v>
      </c>
      <c r="D2263" s="1620" t="str">
        <f t="shared" si="43"/>
        <v>£m</v>
      </c>
      <c r="E2263" s="1636" t="s">
        <v>9</v>
      </c>
      <c r="G2263" s="1635">
        <f>'4M'!M22</f>
        <v>0</v>
      </c>
      <c r="H2263" s="1636"/>
    </row>
    <row r="2264" spans="1:8">
      <c r="A2264" s="1620" t="str">
        <f>INDEX(Lists!$C$4:$C$24,MATCH(Validation!$B$3,Lists!$B$4:$B$24,0))</f>
        <v>TMS</v>
      </c>
      <c r="B2264" s="1732" t="str">
        <f>'4M'!BO23</f>
        <v>S3012SDT</v>
      </c>
      <c r="C2264" t="str">
        <f>'4M'!$C23&amp;" - "&amp;'4M'!M$5</f>
        <v>NEP - Nutrients (N removal) - Sludge treatment</v>
      </c>
      <c r="D2264" s="1620" t="str">
        <f t="shared" si="43"/>
        <v>£m</v>
      </c>
      <c r="E2264" s="1636" t="s">
        <v>9</v>
      </c>
      <c r="G2264" s="1635">
        <f>'4M'!M23</f>
        <v>0</v>
      </c>
      <c r="H2264" s="1636"/>
    </row>
    <row r="2265" spans="1:8">
      <c r="A2265" s="1620" t="str">
        <f>INDEX(Lists!$C$4:$C$24,MATCH(Validation!$B$3,Lists!$B$4:$B$24,0))</f>
        <v>TMS</v>
      </c>
      <c r="B2265" s="1732" t="str">
        <f>'4M'!BO24</f>
        <v>S3013SDT</v>
      </c>
      <c r="C2265" t="str">
        <f>'4M'!$C24&amp;" - "&amp;'4M'!M$5</f>
        <v>NEP - Nutrients (P removal at activated sludge STWs) - Sludge treatment</v>
      </c>
      <c r="D2265" s="1620" t="str">
        <f t="shared" si="43"/>
        <v>£m</v>
      </c>
      <c r="E2265" s="1636" t="s">
        <v>9</v>
      </c>
      <c r="G2265" s="1635">
        <f>'4M'!M24</f>
        <v>0</v>
      </c>
      <c r="H2265" s="1636"/>
    </row>
    <row r="2266" spans="1:8">
      <c r="A2266" s="1620" t="str">
        <f>INDEX(Lists!$C$4:$C$24,MATCH(Validation!$B$3,Lists!$B$4:$B$24,0))</f>
        <v>TMS</v>
      </c>
      <c r="B2266" s="1732" t="str">
        <f>'4M'!BO25</f>
        <v>S3014SDT</v>
      </c>
      <c r="C2266" t="str">
        <f>'4M'!$C25&amp;" - "&amp;'4M'!M$5</f>
        <v>NEP - Nutrients (P removal at filter bed STWs) - Sludge treatment</v>
      </c>
      <c r="D2266" s="1620" t="str">
        <f t="shared" si="43"/>
        <v>£m</v>
      </c>
      <c r="E2266" s="1636" t="s">
        <v>9</v>
      </c>
      <c r="G2266" s="1635">
        <f>'4M'!M25</f>
        <v>0</v>
      </c>
      <c r="H2266" s="1636"/>
    </row>
    <row r="2267" spans="1:8">
      <c r="A2267" s="1620" t="str">
        <f>INDEX(Lists!$C$4:$C$24,MATCH(Validation!$B$3,Lists!$B$4:$B$24,0))</f>
        <v>TMS</v>
      </c>
      <c r="B2267" s="1732" t="str">
        <f>'4M'!BO26</f>
        <v>S3015SDT</v>
      </c>
      <c r="C2267" t="str">
        <f>'4M'!$C26&amp;" - "&amp;'4M'!M$5</f>
        <v>NEP - Reduction of sanitary parameters - Sludge treatment</v>
      </c>
      <c r="D2267" s="1620" t="str">
        <f t="shared" si="43"/>
        <v>£m</v>
      </c>
      <c r="E2267" s="1636" t="s">
        <v>9</v>
      </c>
      <c r="G2267" s="1635">
        <f>'4M'!M26</f>
        <v>0</v>
      </c>
      <c r="H2267" s="1636"/>
    </row>
    <row r="2268" spans="1:8">
      <c r="A2268" s="1620" t="str">
        <f>INDEX(Lists!$C$4:$C$24,MATCH(Validation!$B$3,Lists!$B$4:$B$24,0))</f>
        <v>TMS</v>
      </c>
      <c r="B2268" s="1732" t="str">
        <f>'4M'!BO27</f>
        <v>S3016SDT</v>
      </c>
      <c r="C2268" t="str">
        <f>'4M'!$C27&amp;" - "&amp;'4M'!M$5</f>
        <v>NEP - UV disinfection (or similar) - Sludge treatment</v>
      </c>
      <c r="D2268" s="1620" t="str">
        <f t="shared" si="43"/>
        <v>£m</v>
      </c>
      <c r="E2268" s="1636" t="s">
        <v>9</v>
      </c>
      <c r="G2268" s="1635">
        <f>'4M'!M27</f>
        <v>0</v>
      </c>
      <c r="H2268" s="1636"/>
    </row>
    <row r="2269" spans="1:8">
      <c r="A2269" s="1620" t="str">
        <f>INDEX(Lists!$C$4:$C$24,MATCH(Validation!$B$3,Lists!$B$4:$B$24,0))</f>
        <v>TMS</v>
      </c>
      <c r="B2269" s="1732" t="str">
        <f>'4M'!BO28</f>
        <v>S3017SDT</v>
      </c>
      <c r="C2269" t="str">
        <f>'4M'!$C28&amp;" - "&amp;'4M'!M$5</f>
        <v>NEP - Discharge relocation - Sludge treatment</v>
      </c>
      <c r="D2269" s="1620" t="str">
        <f t="shared" si="43"/>
        <v>£m</v>
      </c>
      <c r="E2269" s="1636" t="s">
        <v>9</v>
      </c>
      <c r="G2269" s="1635">
        <f>'4M'!M28</f>
        <v>0</v>
      </c>
      <c r="H2269" s="1636"/>
    </row>
    <row r="2270" spans="1:8">
      <c r="A2270" s="1620" t="str">
        <f>INDEX(Lists!$C$4:$C$24,MATCH(Validation!$B$3,Lists!$B$4:$B$24,0))</f>
        <v>TMS</v>
      </c>
      <c r="B2270" s="1732" t="str">
        <f>'4M'!BO29</f>
        <v>S3018SDT</v>
      </c>
      <c r="C2270" t="str">
        <f>'4M'!$C29&amp;" - "&amp;'4M'!M$5</f>
        <v>NEP - Flow 1 schemes - Sludge treatment</v>
      </c>
      <c r="D2270" s="1620" t="str">
        <f t="shared" si="43"/>
        <v>£m</v>
      </c>
      <c r="E2270" s="1636" t="s">
        <v>9</v>
      </c>
      <c r="G2270" s="1635">
        <f>'4M'!M29</f>
        <v>0</v>
      </c>
      <c r="H2270" s="1636"/>
    </row>
    <row r="2271" spans="1:8">
      <c r="A2271" s="1620" t="str">
        <f>INDEX(Lists!$C$4:$C$24,MATCH(Validation!$B$3,Lists!$B$4:$B$24,0))</f>
        <v>TMS</v>
      </c>
      <c r="B2271" s="1732" t="str">
        <f>'4M'!BO30</f>
        <v>S3019SDT</v>
      </c>
      <c r="C2271" t="str">
        <f>'4M'!$C30&amp;" - "&amp;'4M'!M$5</f>
        <v>Odour - Sludge treatment</v>
      </c>
      <c r="D2271" s="1620" t="str">
        <f t="shared" si="43"/>
        <v>£m</v>
      </c>
      <c r="E2271" s="1636" t="s">
        <v>9</v>
      </c>
      <c r="G2271" s="1635">
        <f>'4M'!M30</f>
        <v>1.2104608316525598E-3</v>
      </c>
      <c r="H2271" s="1636"/>
    </row>
    <row r="2272" spans="1:8">
      <c r="A2272" s="1620" t="str">
        <f>INDEX(Lists!$C$4:$C$24,MATCH(Validation!$B$3,Lists!$B$4:$B$24,0))</f>
        <v>TMS</v>
      </c>
      <c r="B2272" s="1732" t="str">
        <f>'4M'!BO31</f>
        <v>S3020SDT</v>
      </c>
      <c r="C2272" t="str">
        <f>'4M'!$C31&amp;" - "&amp;'4M'!M$5</f>
        <v>New development and growth - Sludge treatment</v>
      </c>
      <c r="D2272" s="1620" t="str">
        <f t="shared" si="43"/>
        <v>£m</v>
      </c>
      <c r="E2272" s="1636" t="s">
        <v>9</v>
      </c>
      <c r="G2272" s="1635">
        <f>'4M'!M31</f>
        <v>0</v>
      </c>
      <c r="H2272" s="1636"/>
    </row>
    <row r="2273" spans="1:8">
      <c r="A2273" s="1620" t="str">
        <f>INDEX(Lists!$C$4:$C$24,MATCH(Validation!$B$3,Lists!$B$4:$B$24,0))</f>
        <v>TMS</v>
      </c>
      <c r="B2273" s="1732" t="str">
        <f>'4M'!BO32</f>
        <v>S3021SDT</v>
      </c>
      <c r="C2273" t="str">
        <f>'4M'!$C32&amp;" - "&amp;'4M'!M$5</f>
        <v>Growth at sewage treatment works (excluding sludge treatment) - Sludge treatment</v>
      </c>
      <c r="D2273" s="1620" t="str">
        <f t="shared" si="43"/>
        <v>£m</v>
      </c>
      <c r="E2273" s="1636" t="s">
        <v>9</v>
      </c>
      <c r="G2273" s="1635">
        <f>'4M'!M32</f>
        <v>0</v>
      </c>
      <c r="H2273" s="1636"/>
    </row>
    <row r="2274" spans="1:8">
      <c r="A2274" s="1620" t="str">
        <f>INDEX(Lists!$C$4:$C$24,MATCH(Validation!$B$3,Lists!$B$4:$B$24,0))</f>
        <v>TMS</v>
      </c>
      <c r="B2274" s="1732" t="str">
        <f>'4M'!BO33</f>
        <v>S3022SDT</v>
      </c>
      <c r="C2274" t="str">
        <f>'4M'!$C33&amp;" - "&amp;'4M'!M$5</f>
        <v>Resilience - Sludge treatment</v>
      </c>
      <c r="D2274" s="1620" t="str">
        <f t="shared" si="43"/>
        <v>£m</v>
      </c>
      <c r="E2274" s="1636" t="s">
        <v>9</v>
      </c>
      <c r="G2274" s="1635">
        <f>'4M'!M33</f>
        <v>0</v>
      </c>
      <c r="H2274" s="1636"/>
    </row>
    <row r="2275" spans="1:8">
      <c r="A2275" s="1620" t="str">
        <f>INDEX(Lists!$C$4:$C$24,MATCH(Validation!$B$3,Lists!$B$4:$B$24,0))</f>
        <v>TMS</v>
      </c>
      <c r="B2275" s="1732" t="str">
        <f>'4M'!BO34</f>
        <v>BC31785SDT</v>
      </c>
      <c r="C2275" t="str">
        <f>'4M'!$C34&amp;" - "&amp;'4M'!M$5</f>
        <v>SEMD - Sludge treatment</v>
      </c>
      <c r="D2275" s="1620" t="str">
        <f t="shared" si="43"/>
        <v>£m</v>
      </c>
      <c r="E2275" s="1636" t="s">
        <v>9</v>
      </c>
      <c r="G2275" s="1635">
        <f>'4M'!M34</f>
        <v>0</v>
      </c>
      <c r="H2275" s="1636"/>
    </row>
    <row r="2276" spans="1:8">
      <c r="A2276" s="1620" t="str">
        <f>INDEX(Lists!$C$4:$C$24,MATCH(Validation!$B$3,Lists!$B$4:$B$24,0))</f>
        <v>TMS</v>
      </c>
      <c r="B2276" s="1732" t="str">
        <f>'4M'!BO35</f>
        <v>S3023SDT</v>
      </c>
      <c r="C2276" t="str">
        <f>'4M'!$C35&amp;" - "&amp;'4M'!M$5</f>
        <v>Reduce flooding risk for properties - Sludge treatment</v>
      </c>
      <c r="D2276" s="1620" t="str">
        <f t="shared" si="43"/>
        <v>£m</v>
      </c>
      <c r="E2276" s="1636" t="s">
        <v>9</v>
      </c>
      <c r="G2276" s="1635">
        <f>'4M'!M35</f>
        <v>0</v>
      </c>
      <c r="H2276" s="1636"/>
    </row>
    <row r="2277" spans="1:8">
      <c r="A2277" s="1620" t="str">
        <f>INDEX(Lists!$C$4:$C$24,MATCH(Validation!$B$3,Lists!$B$4:$B$24,0))</f>
        <v>TMS</v>
      </c>
      <c r="B2277" s="1732" t="str">
        <f>'4M'!BO36</f>
        <v>S3A00001SDT</v>
      </c>
      <c r="C2277" s="1732" t="str">
        <f>"Capital expenditure purpose - WASTEWATER additional line 1 [Other categories] - "&amp;'4M'!$M$5</f>
        <v>Capital expenditure purpose - WASTEWATER additional line 1 [Other categories] - Sludge treatment</v>
      </c>
      <c r="D2277" s="1620" t="str">
        <f t="shared" si="43"/>
        <v>£m</v>
      </c>
      <c r="E2277" s="1636" t="s">
        <v>9</v>
      </c>
      <c r="F2277" s="2" t="str">
        <f>F2019</f>
        <v>Quality spend at CSOs and quality allocation to Deephams inlet works</v>
      </c>
      <c r="G2277" s="1635">
        <f>IF(ISBLANK('4M'!M36), "##BLANK", '4M'!M36)</f>
        <v>0</v>
      </c>
      <c r="H2277" s="1636"/>
    </row>
    <row r="2278" spans="1:8">
      <c r="A2278" s="1620" t="str">
        <f>INDEX(Lists!$C$4:$C$24,MATCH(Validation!$B$3,Lists!$B$4:$B$24,0))</f>
        <v>TMS</v>
      </c>
      <c r="B2278" s="1732" t="str">
        <f>'4M'!BO37</f>
        <v>S3A00002SDT</v>
      </c>
      <c r="C2278" s="1732" t="str">
        <f>"Capital expenditure purpose - WASTEWATER additional line 2 [Other categories] - "&amp;'4M'!$M$5</f>
        <v>Capital expenditure purpose - WASTEWATER additional line 2 [Other categories] - Sludge treatment</v>
      </c>
      <c r="D2278" s="1620" t="str">
        <f t="shared" si="43"/>
        <v>£m</v>
      </c>
      <c r="E2278" s="1636" t="s">
        <v>9</v>
      </c>
      <c r="F2278" s="2" t="str">
        <f t="shared" ref="F2278:F2291" si="45">F2020</f>
        <v>Tideway quality (NEP). Excludes Lee Tunnel and sludge.</v>
      </c>
      <c r="G2278" s="1635">
        <f>IF(ISBLANK('4M'!M37), "##BLANK", '4M'!M37)</f>
        <v>0</v>
      </c>
      <c r="H2278" s="1636"/>
    </row>
    <row r="2279" spans="1:8">
      <c r="A2279" s="1620" t="str">
        <f>INDEX(Lists!$C$4:$C$24,MATCH(Validation!$B$3,Lists!$B$4:$B$24,0))</f>
        <v>TMS</v>
      </c>
      <c r="B2279" s="1732" t="str">
        <f>'4M'!BO38</f>
        <v>S3A00003SDT</v>
      </c>
      <c r="C2279" s="1732" t="str">
        <f>"Capital expenditure purpose - WASTEWATER additional line 3 [Other categories] - "&amp;'4M'!$M$5</f>
        <v>Capital expenditure purpose - WASTEWATER additional line 3 [Other categories] - Sludge treatment</v>
      </c>
      <c r="D2279" s="1620" t="str">
        <f t="shared" si="43"/>
        <v>£m</v>
      </c>
      <c r="E2279" s="1636" t="s">
        <v>9</v>
      </c>
      <c r="F2279" s="2" t="str">
        <f t="shared" si="45"/>
        <v>Lee Tunnel</v>
      </c>
      <c r="G2279" s="1635">
        <f>IF(ISBLANK('4M'!M38), "##BLANK", '4M'!M38)</f>
        <v>0</v>
      </c>
      <c r="H2279" s="1636"/>
    </row>
    <row r="2280" spans="1:8">
      <c r="A2280" s="1620" t="str">
        <f>INDEX(Lists!$C$4:$C$24,MATCH(Validation!$B$3,Lists!$B$4:$B$24,0))</f>
        <v>TMS</v>
      </c>
      <c r="B2280" s="1732" t="str">
        <f>'4M'!BO39</f>
        <v>S3A00004SDT</v>
      </c>
      <c r="C2280" s="1732" t="str">
        <f>"Capital expenditure purpose - WASTEWATER additional line 4 [Other categories] - "&amp;'4M'!$M$5</f>
        <v>Capital expenditure purpose - WASTEWATER additional line 4 [Other categories] - Sludge treatment</v>
      </c>
      <c r="D2280" s="1620" t="str">
        <f t="shared" si="43"/>
        <v>£m</v>
      </c>
      <c r="E2280" s="1636" t="s">
        <v>9</v>
      </c>
      <c r="F2280" s="2" t="str">
        <f t="shared" si="45"/>
        <v>Non-SEMD related security enhancement (revised Ofwat guidance 6 July 2018)</v>
      </c>
      <c r="G2280" s="1635">
        <f>IF(ISBLANK('4M'!M39), "##BLANK", '4M'!M39)</f>
        <v>0.2214433079514182</v>
      </c>
      <c r="H2280" s="1636"/>
    </row>
    <row r="2281" spans="1:8">
      <c r="A2281" s="1620" t="str">
        <f>INDEX(Lists!$C$4:$C$24,MATCH(Validation!$B$3,Lists!$B$4:$B$24,0))</f>
        <v>TMS</v>
      </c>
      <c r="B2281" s="1732" t="str">
        <f>'4M'!BO40</f>
        <v>S3A00005SDT</v>
      </c>
      <c r="C2281" s="1732" t="str">
        <f>"Capital expenditure purpose - WASTEWATER additional line 5 [Other categories] - "&amp;'4M'!$M$5</f>
        <v>Capital expenditure purpose - WASTEWATER additional line 5 [Other categories] - Sludge treatment</v>
      </c>
      <c r="D2281" s="1620" t="str">
        <f t="shared" si="43"/>
        <v>£m</v>
      </c>
      <c r="E2281" s="1636" t="s">
        <v>9</v>
      </c>
      <c r="F2281" s="2" t="str">
        <f t="shared" si="45"/>
        <v>##BLANK</v>
      </c>
      <c r="G2281" s="1635" t="str">
        <f>IF(ISBLANK('4M'!M40), "##BLANK", '4M'!M40)</f>
        <v>##BLANK</v>
      </c>
      <c r="H2281" s="1636"/>
    </row>
    <row r="2282" spans="1:8">
      <c r="A2282" s="1620" t="str">
        <f>INDEX(Lists!$C$4:$C$24,MATCH(Validation!$B$3,Lists!$B$4:$B$24,0))</f>
        <v>TMS</v>
      </c>
      <c r="B2282" s="1732" t="str">
        <f>'4M'!BO41</f>
        <v>S3A00006SDT</v>
      </c>
      <c r="C2282" s="1732" t="str">
        <f>"Capital expenditure purpose - WASTEWATER additional line 6 [Other categories] - "&amp;'4M'!$M$5</f>
        <v>Capital expenditure purpose - WASTEWATER additional line 6 [Other categories] - Sludge treatment</v>
      </c>
      <c r="D2282" s="1620" t="str">
        <f t="shared" si="43"/>
        <v>£m</v>
      </c>
      <c r="E2282" s="1636" t="s">
        <v>9</v>
      </c>
      <c r="F2282" s="2" t="str">
        <f t="shared" si="45"/>
        <v>##BLANK</v>
      </c>
      <c r="G2282" s="1635" t="str">
        <f>IF(ISBLANK('4M'!M41), "##BLANK", '4M'!M41)</f>
        <v>##BLANK</v>
      </c>
      <c r="H2282" s="1636"/>
    </row>
    <row r="2283" spans="1:8">
      <c r="A2283" s="1620" t="str">
        <f>INDEX(Lists!$C$4:$C$24,MATCH(Validation!$B$3,Lists!$B$4:$B$24,0))</f>
        <v>TMS</v>
      </c>
      <c r="B2283" s="1732" t="str">
        <f>'4M'!BO42</f>
        <v>S3A00007SDT</v>
      </c>
      <c r="C2283" s="1732" t="str">
        <f>"Capital expenditure purpose - WASTEWATER additional line 7 [Other categories] - "&amp;'4M'!$M$5</f>
        <v>Capital expenditure purpose - WASTEWATER additional line 7 [Other categories] - Sludge treatment</v>
      </c>
      <c r="D2283" s="1620" t="str">
        <f t="shared" si="43"/>
        <v>£m</v>
      </c>
      <c r="E2283" s="1636" t="s">
        <v>9</v>
      </c>
      <c r="F2283" s="2" t="str">
        <f t="shared" si="45"/>
        <v>##BLANK</v>
      </c>
      <c r="G2283" s="1635" t="str">
        <f>IF(ISBLANK('4M'!M42), "##BLANK", '4M'!M42)</f>
        <v>##BLANK</v>
      </c>
      <c r="H2283" s="1636"/>
    </row>
    <row r="2284" spans="1:8">
      <c r="A2284" s="1620" t="str">
        <f>INDEX(Lists!$C$4:$C$24,MATCH(Validation!$B$3,Lists!$B$4:$B$24,0))</f>
        <v>TMS</v>
      </c>
      <c r="B2284" s="1732" t="str">
        <f>'4M'!BO43</f>
        <v>S3A00008SDT</v>
      </c>
      <c r="C2284" s="1732" t="str">
        <f>"Capital expenditure purpose - WASTEWATER additional line 8 [Other categories] - "&amp;'4M'!$M$5</f>
        <v>Capital expenditure purpose - WASTEWATER additional line 8 [Other categories] - Sludge treatment</v>
      </c>
      <c r="D2284" s="1620" t="str">
        <f t="shared" si="43"/>
        <v>£m</v>
      </c>
      <c r="E2284" s="1636" t="s">
        <v>9</v>
      </c>
      <c r="F2284" s="2" t="str">
        <f t="shared" si="45"/>
        <v>##BLANK</v>
      </c>
      <c r="G2284" s="1635" t="str">
        <f>IF(ISBLANK('4M'!M43), "##BLANK", '4M'!M43)</f>
        <v>##BLANK</v>
      </c>
      <c r="H2284" s="1636"/>
    </row>
    <row r="2285" spans="1:8">
      <c r="A2285" s="1620" t="str">
        <f>INDEX(Lists!$C$4:$C$24,MATCH(Validation!$B$3,Lists!$B$4:$B$24,0))</f>
        <v>TMS</v>
      </c>
      <c r="B2285" s="1732" t="str">
        <f>'4M'!BO44</f>
        <v>S3A00009SDT</v>
      </c>
      <c r="C2285" s="1732" t="str">
        <f>"Capital expenditure purpose - WASTEWATER additional line 9 [Other categories] - "&amp;'4M'!$M$5</f>
        <v>Capital expenditure purpose - WASTEWATER additional line 9 [Other categories] - Sludge treatment</v>
      </c>
      <c r="D2285" s="1620" t="str">
        <f t="shared" si="43"/>
        <v>£m</v>
      </c>
      <c r="E2285" s="1636" t="s">
        <v>9</v>
      </c>
      <c r="F2285" s="2" t="str">
        <f t="shared" si="45"/>
        <v>##BLANK</v>
      </c>
      <c r="G2285" s="1635" t="str">
        <f>IF(ISBLANK('4M'!M44), "##BLANK", '4M'!M44)</f>
        <v>##BLANK</v>
      </c>
      <c r="H2285" s="1636"/>
    </row>
    <row r="2286" spans="1:8">
      <c r="A2286" s="1620" t="str">
        <f>INDEX(Lists!$C$4:$C$24,MATCH(Validation!$B$3,Lists!$B$4:$B$24,0))</f>
        <v>TMS</v>
      </c>
      <c r="B2286" s="1732" t="str">
        <f>'4M'!BO45</f>
        <v>S3A00010SDT</v>
      </c>
      <c r="C2286" s="1732" t="str">
        <f>"Capital expenditure purpose - WASTEWATER additional line 10 [Other categories] - "&amp;'4M'!$M$5</f>
        <v>Capital expenditure purpose - WASTEWATER additional line 10 [Other categories] - Sludge treatment</v>
      </c>
      <c r="D2286" s="1620" t="str">
        <f t="shared" si="43"/>
        <v>£m</v>
      </c>
      <c r="E2286" s="1636" t="s">
        <v>9</v>
      </c>
      <c r="F2286" s="2" t="str">
        <f t="shared" si="45"/>
        <v>##BLANK</v>
      </c>
      <c r="G2286" s="1635" t="str">
        <f>IF(ISBLANK('4M'!M45), "##BLANK", '4M'!M45)</f>
        <v>##BLANK</v>
      </c>
      <c r="H2286" s="1636"/>
    </row>
    <row r="2287" spans="1:8">
      <c r="A2287" s="1620" t="str">
        <f>INDEX(Lists!$C$4:$C$24,MATCH(Validation!$B$3,Lists!$B$4:$B$24,0))</f>
        <v>TMS</v>
      </c>
      <c r="B2287" s="1732" t="str">
        <f>'4M'!BO46</f>
        <v>S3A00011SDT</v>
      </c>
      <c r="C2287" s="1732" t="str">
        <f>"Capital expenditure purpose - WASTEWATER additional line 11 [Other categories] - "&amp;'4M'!$M$5</f>
        <v>Capital expenditure purpose - WASTEWATER additional line 11 [Other categories] - Sludge treatment</v>
      </c>
      <c r="D2287" s="1620" t="str">
        <f t="shared" si="43"/>
        <v>£m</v>
      </c>
      <c r="E2287" s="1636" t="s">
        <v>9</v>
      </c>
      <c r="F2287" s="2" t="str">
        <f t="shared" si="45"/>
        <v>##BLANK</v>
      </c>
      <c r="G2287" s="1635" t="str">
        <f>IF(ISBLANK('4M'!M46), "##BLANK", '4M'!M46)</f>
        <v>##BLANK</v>
      </c>
      <c r="H2287" s="1636"/>
    </row>
    <row r="2288" spans="1:8">
      <c r="A2288" s="1620" t="str">
        <f>INDEX(Lists!$C$4:$C$24,MATCH(Validation!$B$3,Lists!$B$4:$B$24,0))</f>
        <v>TMS</v>
      </c>
      <c r="B2288" s="1732" t="str">
        <f>'4M'!BO47</f>
        <v>S3A00012SDT</v>
      </c>
      <c r="C2288" s="1732" t="str">
        <f>"Capital expenditure purpose - WASTEWATER additional line 12 [Other categories] - "&amp;'4M'!$M$5</f>
        <v>Capital expenditure purpose - WASTEWATER additional line 12 [Other categories] - Sludge treatment</v>
      </c>
      <c r="D2288" s="1620" t="str">
        <f t="shared" si="43"/>
        <v>£m</v>
      </c>
      <c r="E2288" s="1636" t="s">
        <v>9</v>
      </c>
      <c r="F2288" s="2" t="str">
        <f t="shared" si="45"/>
        <v>##BLANK</v>
      </c>
      <c r="G2288" s="1635" t="str">
        <f>IF(ISBLANK('4M'!M47), "##BLANK", '4M'!M47)</f>
        <v>##BLANK</v>
      </c>
      <c r="H2288" s="1636"/>
    </row>
    <row r="2289" spans="1:8">
      <c r="A2289" s="1620" t="str">
        <f>INDEX(Lists!$C$4:$C$24,MATCH(Validation!$B$3,Lists!$B$4:$B$24,0))</f>
        <v>TMS</v>
      </c>
      <c r="B2289" s="1732" t="str">
        <f>'4M'!BO48</f>
        <v>S3A00013SDT</v>
      </c>
      <c r="C2289" s="1732" t="str">
        <f>"Capital expenditure purpose - WASTEWATER additional line 13 [Other categories] - "&amp;'4M'!$M$5</f>
        <v>Capital expenditure purpose - WASTEWATER additional line 13 [Other categories] - Sludge treatment</v>
      </c>
      <c r="D2289" s="1620" t="str">
        <f t="shared" si="43"/>
        <v>£m</v>
      </c>
      <c r="E2289" s="1636" t="s">
        <v>9</v>
      </c>
      <c r="F2289" s="2" t="str">
        <f t="shared" si="45"/>
        <v>##BLANK</v>
      </c>
      <c r="G2289" s="1635" t="str">
        <f>IF(ISBLANK('4M'!M48), "##BLANK", '4M'!M48)</f>
        <v>##BLANK</v>
      </c>
      <c r="H2289" s="1636"/>
    </row>
    <row r="2290" spans="1:8">
      <c r="A2290" s="1620" t="str">
        <f>INDEX(Lists!$C$4:$C$24,MATCH(Validation!$B$3,Lists!$B$4:$B$24,0))</f>
        <v>TMS</v>
      </c>
      <c r="B2290" s="1732" t="str">
        <f>'4M'!BO49</f>
        <v>S3A00014SDT</v>
      </c>
      <c r="C2290" s="1732" t="str">
        <f>"Capital expenditure purpose - WASTEWATER additional line 14 [Other categories] - "&amp;'4M'!$M$5</f>
        <v>Capital expenditure purpose - WASTEWATER additional line 14 [Other categories] - Sludge treatment</v>
      </c>
      <c r="D2290" s="1620" t="str">
        <f t="shared" ref="D2290:D2353" si="46">D2247</f>
        <v>£m</v>
      </c>
      <c r="E2290" s="1636" t="s">
        <v>9</v>
      </c>
      <c r="F2290" s="2" t="str">
        <f t="shared" si="45"/>
        <v>##BLANK</v>
      </c>
      <c r="G2290" s="1635" t="str">
        <f>IF(ISBLANK('4M'!M49), "##BLANK", '4M'!M49)</f>
        <v>##BLANK</v>
      </c>
      <c r="H2290" s="1636"/>
    </row>
    <row r="2291" spans="1:8">
      <c r="A2291" s="1730" t="str">
        <f>INDEX(Lists!$C$4:$C$24,MATCH(Validation!$B$3,Lists!$B$4:$B$24,0))</f>
        <v>TMS</v>
      </c>
      <c r="B2291" s="1734" t="str">
        <f>'4M'!BO50</f>
        <v>S3A00015SDT</v>
      </c>
      <c r="C2291" s="1734" t="str">
        <f>"Capital expenditure purpose - WASTEWATER additional line 15 [Other categories] - "&amp;'4M'!$M$5</f>
        <v>Capital expenditure purpose - WASTEWATER additional line 15 [Other categories] - Sludge treatment</v>
      </c>
      <c r="D2291" s="1730" t="str">
        <f t="shared" si="46"/>
        <v>£m</v>
      </c>
      <c r="E2291" s="1652" t="s">
        <v>9</v>
      </c>
      <c r="F2291" s="1637" t="str">
        <f t="shared" si="45"/>
        <v>##BLANK</v>
      </c>
      <c r="G2291" s="1653" t="str">
        <f>IF(ISBLANK('4M'!M50), "##BLANK", '4M'!M50)</f>
        <v>##BLANK</v>
      </c>
      <c r="H2291" s="1652"/>
    </row>
    <row r="2292" spans="1:8">
      <c r="A2292" s="1620" t="str">
        <f>INDEX(Lists!$C$4:$C$24,MATCH(Validation!$B$3,Lists!$B$4:$B$24,0))</f>
        <v>TMS</v>
      </c>
      <c r="B2292" s="1732" t="str">
        <f>'4M'!BP8</f>
        <v>BC31379SDD</v>
      </c>
      <c r="C2292" t="str">
        <f>'4M'!$C8&amp;" - "&amp;'4M'!N$5</f>
        <v>First time sewerage (s101A) - Sludge disposal</v>
      </c>
      <c r="D2292" s="1620" t="str">
        <f t="shared" si="46"/>
        <v>£m</v>
      </c>
      <c r="E2292" s="1636" t="s">
        <v>9</v>
      </c>
      <c r="G2292" s="1635">
        <f>'4M'!N8</f>
        <v>0</v>
      </c>
      <c r="H2292" s="1636"/>
    </row>
    <row r="2293" spans="1:8">
      <c r="A2293" s="1620" t="str">
        <f>INDEX(Lists!$C$4:$C$24,MATCH(Validation!$B$3,Lists!$B$4:$B$24,0))</f>
        <v>TMS</v>
      </c>
      <c r="B2293" s="1732" t="str">
        <f>'4M'!BP9</f>
        <v>S3035QSDD</v>
      </c>
      <c r="C2293" t="str">
        <f>'4M'!$C9&amp;" - "&amp;'4M'!N$5</f>
        <v>Sludge enhancement (quality) - Sludge disposal</v>
      </c>
      <c r="D2293" s="1620" t="str">
        <f t="shared" si="46"/>
        <v>£m</v>
      </c>
      <c r="E2293" s="1636" t="s">
        <v>9</v>
      </c>
      <c r="G2293" s="1635">
        <f>'4M'!N9</f>
        <v>0</v>
      </c>
      <c r="H2293" s="1636"/>
    </row>
    <row r="2294" spans="1:8">
      <c r="A2294" s="1620" t="str">
        <f>INDEX(Lists!$C$4:$C$24,MATCH(Validation!$B$3,Lists!$B$4:$B$24,0))</f>
        <v>TMS</v>
      </c>
      <c r="B2294" s="1732" t="str">
        <f>'4M'!BP10</f>
        <v>S3036GSDD</v>
      </c>
      <c r="C2294" t="str">
        <f>'4M'!$C10&amp;" - "&amp;'4M'!N$5</f>
        <v>Sludge enhancement (growth) - Sludge disposal</v>
      </c>
      <c r="D2294" s="1620" t="str">
        <f t="shared" si="46"/>
        <v>£m</v>
      </c>
      <c r="E2294" s="1636" t="s">
        <v>9</v>
      </c>
      <c r="G2294" s="1635">
        <f>'4M'!N10</f>
        <v>0</v>
      </c>
      <c r="H2294" s="1636"/>
    </row>
    <row r="2295" spans="1:8">
      <c r="A2295" s="1620" t="str">
        <f>INDEX(Lists!$C$4:$C$24,MATCH(Validation!$B$3,Lists!$B$4:$B$24,0))</f>
        <v>TMS</v>
      </c>
      <c r="B2295" s="1732" t="str">
        <f>'4M'!BP11</f>
        <v>S3004SDD</v>
      </c>
      <c r="C2295" t="str">
        <f>'4M'!$C11&amp;" - "&amp;'4M'!N$5</f>
        <v>NEP - Conservation drivers - Sludge disposal</v>
      </c>
      <c r="D2295" s="1620" t="str">
        <f t="shared" si="46"/>
        <v>£m</v>
      </c>
      <c r="E2295" s="1636" t="s">
        <v>9</v>
      </c>
      <c r="G2295" s="1635">
        <f>'4M'!N11</f>
        <v>0</v>
      </c>
      <c r="H2295" s="1636"/>
    </row>
    <row r="2296" spans="1:8">
      <c r="A2296" s="1620" t="str">
        <f>INDEX(Lists!$C$4:$C$24,MATCH(Validation!$B$3,Lists!$B$4:$B$24,0))</f>
        <v>TMS</v>
      </c>
      <c r="B2296" s="1732" t="str">
        <f>'4M'!BP12</f>
        <v>WWS2001SDD</v>
      </c>
      <c r="C2296" t="str">
        <f>'4M'!$C12&amp;" - "&amp;'4M'!N$5</f>
        <v>NEP - Eels Regulations (measures at outfalls) - Sludge disposal</v>
      </c>
      <c r="D2296" s="1620" t="str">
        <f t="shared" si="46"/>
        <v>£m</v>
      </c>
      <c r="E2296" s="1636" t="s">
        <v>9</v>
      </c>
      <c r="G2296" s="1635">
        <f>'4M'!N12</f>
        <v>0</v>
      </c>
      <c r="H2296" s="1636"/>
    </row>
    <row r="2297" spans="1:8">
      <c r="A2297" s="1620" t="str">
        <f>INDEX(Lists!$C$4:$C$24,MATCH(Validation!$B$3,Lists!$B$4:$B$24,0))</f>
        <v>TMS</v>
      </c>
      <c r="B2297" s="1732" t="str">
        <f>'4M'!BP13</f>
        <v>S3005SDD</v>
      </c>
      <c r="C2297" t="str">
        <f>'4M'!$C13&amp;" - "&amp;'4M'!N$5</f>
        <v>NEP - Event Duration Monitoring at intermittent discharges - Sludge disposal</v>
      </c>
      <c r="D2297" s="1620" t="str">
        <f t="shared" si="46"/>
        <v>£m</v>
      </c>
      <c r="E2297" s="1636" t="s">
        <v>9</v>
      </c>
      <c r="G2297" s="1635">
        <f>'4M'!N13</f>
        <v>0</v>
      </c>
      <c r="H2297" s="1636"/>
    </row>
    <row r="2298" spans="1:8">
      <c r="A2298" s="1620" t="str">
        <f>INDEX(Lists!$C$4:$C$24,MATCH(Validation!$B$3,Lists!$B$4:$B$24,0))</f>
        <v>TMS</v>
      </c>
      <c r="B2298" s="1732" t="str">
        <f>'4M'!BP14</f>
        <v>S3006SDD</v>
      </c>
      <c r="C2298" t="str">
        <f>'4M'!$C14&amp;" - "&amp;'4M'!N$5</f>
        <v>NEP - Flow monitoring at sewage treatment works - Sludge disposal</v>
      </c>
      <c r="D2298" s="1620" t="str">
        <f t="shared" si="46"/>
        <v>£m</v>
      </c>
      <c r="E2298" s="1636" t="s">
        <v>9</v>
      </c>
      <c r="G2298" s="1635">
        <f>'4M'!N14</f>
        <v>0</v>
      </c>
      <c r="H2298" s="1636"/>
    </row>
    <row r="2299" spans="1:8">
      <c r="A2299" s="1620" t="str">
        <f>INDEX(Lists!$C$4:$C$24,MATCH(Validation!$B$3,Lists!$B$4:$B$24,0))</f>
        <v>TMS</v>
      </c>
      <c r="B2299" s="1732" t="str">
        <f>'4M'!BP15</f>
        <v>S3007SDD</v>
      </c>
      <c r="C2299" t="str">
        <f>'4M'!$C15&amp;" - "&amp;'4M'!N$5</f>
        <v>NEP - Monitoring of pass forward flows at CSOs - Sludge disposal</v>
      </c>
      <c r="D2299" s="1620" t="str">
        <f t="shared" si="46"/>
        <v>£m</v>
      </c>
      <c r="E2299" s="1636" t="s">
        <v>9</v>
      </c>
      <c r="G2299" s="1635">
        <f>'4M'!N15</f>
        <v>0</v>
      </c>
      <c r="H2299" s="1636"/>
    </row>
    <row r="2300" spans="1:8">
      <c r="A2300" s="1620" t="str">
        <f>INDEX(Lists!$C$4:$C$24,MATCH(Validation!$B$3,Lists!$B$4:$B$24,0))</f>
        <v>TMS</v>
      </c>
      <c r="B2300" s="1732" t="str">
        <f>'4M'!BP16</f>
        <v>WWS2002SDD</v>
      </c>
      <c r="C2300" t="str">
        <f>'4M'!$C16&amp;" - "&amp;'4M'!N$5</f>
        <v>NEP - Schemes to increase flow to full treatment - Sludge disposal</v>
      </c>
      <c r="D2300" s="1620" t="str">
        <f t="shared" si="46"/>
        <v>£m</v>
      </c>
      <c r="E2300" s="1636" t="s">
        <v>9</v>
      </c>
      <c r="G2300" s="1635">
        <f>'4M'!N16</f>
        <v>0</v>
      </c>
      <c r="H2300" s="1636"/>
    </row>
    <row r="2301" spans="1:8">
      <c r="A2301" s="1620" t="str">
        <f>INDEX(Lists!$C$4:$C$24,MATCH(Validation!$B$3,Lists!$B$4:$B$24,0))</f>
        <v>TMS</v>
      </c>
      <c r="B2301" s="1732" t="str">
        <f>'4M'!BP17</f>
        <v>WWS2003SDD</v>
      </c>
      <c r="C2301" t="str">
        <f>'4M'!$C17&amp;" - "&amp;'4M'!N$5</f>
        <v>NEP - Schemes to increase storm tank capacity - Sludge disposal</v>
      </c>
      <c r="D2301" s="1620" t="str">
        <f t="shared" si="46"/>
        <v>£m</v>
      </c>
      <c r="E2301" s="1636" t="s">
        <v>9</v>
      </c>
      <c r="G2301" s="1635">
        <f>'4M'!N17</f>
        <v>0</v>
      </c>
      <c r="H2301" s="1636"/>
    </row>
    <row r="2302" spans="1:8">
      <c r="A2302" s="1620" t="str">
        <f>INDEX(Lists!$C$4:$C$24,MATCH(Validation!$B$3,Lists!$B$4:$B$24,0))</f>
        <v>TMS</v>
      </c>
      <c r="B2302" s="1732" t="str">
        <f>'4M'!BP18</f>
        <v>S3008SDD</v>
      </c>
      <c r="C2302" t="str">
        <f>'4M'!$C18&amp;" - "&amp;'4M'!N$5</f>
        <v>NEP - Storage schemes to reduce spill frequency at CSOs, storm tanks, etc - Sludge disposal</v>
      </c>
      <c r="D2302" s="1620" t="str">
        <f t="shared" si="46"/>
        <v>£m</v>
      </c>
      <c r="E2302" s="1636" t="s">
        <v>9</v>
      </c>
      <c r="G2302" s="1635">
        <f>'4M'!N18</f>
        <v>0</v>
      </c>
      <c r="H2302" s="1636"/>
    </row>
    <row r="2303" spans="1:8">
      <c r="A2303" s="1620" t="str">
        <f>INDEX(Lists!$C$4:$C$24,MATCH(Validation!$B$3,Lists!$B$4:$B$24,0))</f>
        <v>TMS</v>
      </c>
      <c r="B2303" s="1732" t="str">
        <f>'4M'!BP19</f>
        <v>S3009SDD</v>
      </c>
      <c r="C2303" t="str">
        <f>'4M'!$C19&amp;" - "&amp;'4M'!N$5</f>
        <v>NEP - Chemicals monitoring/ investigations/ options appraisals - Sludge disposal</v>
      </c>
      <c r="D2303" s="1620" t="str">
        <f t="shared" si="46"/>
        <v>£m</v>
      </c>
      <c r="E2303" s="1636" t="s">
        <v>9</v>
      </c>
      <c r="G2303" s="1635">
        <f>'4M'!N19</f>
        <v>0</v>
      </c>
      <c r="H2303" s="1636"/>
    </row>
    <row r="2304" spans="1:8">
      <c r="A2304" s="1620" t="str">
        <f>INDEX(Lists!$C$4:$C$24,MATCH(Validation!$B$3,Lists!$B$4:$B$24,0))</f>
        <v>TMS</v>
      </c>
      <c r="B2304" s="1732" t="str">
        <f>'4M'!BP20</f>
        <v>WWS2007SDD</v>
      </c>
      <c r="C2304" t="str">
        <f>'4M'!$C20&amp;" - "&amp;'4M'!N$5</f>
        <v>NEP - National phosphorus removal technology investigations - Sludge disposal</v>
      </c>
      <c r="D2304" s="1620" t="str">
        <f t="shared" si="46"/>
        <v>£m</v>
      </c>
      <c r="E2304" s="1636" t="s">
        <v>9</v>
      </c>
      <c r="G2304" s="1635">
        <f>'4M'!N20</f>
        <v>0</v>
      </c>
      <c r="H2304" s="1636"/>
    </row>
    <row r="2305" spans="1:8">
      <c r="A2305" s="1620" t="str">
        <f>INDEX(Lists!$C$4:$C$24,MATCH(Validation!$B$3,Lists!$B$4:$B$24,0))</f>
        <v>TMS</v>
      </c>
      <c r="B2305" s="1732" t="str">
        <f>'4M'!BP21</f>
        <v>S3010SDD</v>
      </c>
      <c r="C2305" t="str">
        <f>'4M'!$C21&amp;" - "&amp;'4M'!N$5</f>
        <v>NEP - Groundwater schemes - Sludge disposal</v>
      </c>
      <c r="D2305" s="1620" t="str">
        <f t="shared" si="46"/>
        <v>£m</v>
      </c>
      <c r="E2305" s="1636" t="s">
        <v>9</v>
      </c>
      <c r="G2305" s="1635">
        <f>'4M'!N21</f>
        <v>0</v>
      </c>
      <c r="H2305" s="1636"/>
    </row>
    <row r="2306" spans="1:8">
      <c r="A2306" s="1620" t="str">
        <f>INDEX(Lists!$C$4:$C$24,MATCH(Validation!$B$3,Lists!$B$4:$B$24,0))</f>
        <v>TMS</v>
      </c>
      <c r="B2306" s="1732" t="str">
        <f>'4M'!BP22</f>
        <v>S3011SDD</v>
      </c>
      <c r="C2306" t="str">
        <f>'4M'!$C22&amp;" - "&amp;'4M'!N$5</f>
        <v>NEP - Investigations - Sludge disposal</v>
      </c>
      <c r="D2306" s="1620" t="str">
        <f t="shared" si="46"/>
        <v>£m</v>
      </c>
      <c r="E2306" s="1636" t="s">
        <v>9</v>
      </c>
      <c r="G2306" s="1635">
        <f>'4M'!N22</f>
        <v>0</v>
      </c>
      <c r="H2306" s="1636"/>
    </row>
    <row r="2307" spans="1:8">
      <c r="A2307" s="1620" t="str">
        <f>INDEX(Lists!$C$4:$C$24,MATCH(Validation!$B$3,Lists!$B$4:$B$24,0))</f>
        <v>TMS</v>
      </c>
      <c r="B2307" s="1732" t="str">
        <f>'4M'!BP23</f>
        <v>S3012SDD</v>
      </c>
      <c r="C2307" t="str">
        <f>'4M'!$C23&amp;" - "&amp;'4M'!N$5</f>
        <v>NEP - Nutrients (N removal) - Sludge disposal</v>
      </c>
      <c r="D2307" s="1620" t="str">
        <f t="shared" si="46"/>
        <v>£m</v>
      </c>
      <c r="E2307" s="1636" t="s">
        <v>9</v>
      </c>
      <c r="G2307" s="1635">
        <f>'4M'!N23</f>
        <v>0</v>
      </c>
      <c r="H2307" s="1636"/>
    </row>
    <row r="2308" spans="1:8">
      <c r="A2308" s="1620" t="str">
        <f>INDEX(Lists!$C$4:$C$24,MATCH(Validation!$B$3,Lists!$B$4:$B$24,0))</f>
        <v>TMS</v>
      </c>
      <c r="B2308" s="1732" t="str">
        <f>'4M'!BP24</f>
        <v>S3013SDD</v>
      </c>
      <c r="C2308" t="str">
        <f>'4M'!$C24&amp;" - "&amp;'4M'!N$5</f>
        <v>NEP - Nutrients (P removal at activated sludge STWs) - Sludge disposal</v>
      </c>
      <c r="D2308" s="1620" t="str">
        <f t="shared" si="46"/>
        <v>£m</v>
      </c>
      <c r="E2308" s="1636" t="s">
        <v>9</v>
      </c>
      <c r="G2308" s="1635">
        <f>'4M'!N24</f>
        <v>0</v>
      </c>
      <c r="H2308" s="1636"/>
    </row>
    <row r="2309" spans="1:8">
      <c r="A2309" s="1620" t="str">
        <f>INDEX(Lists!$C$4:$C$24,MATCH(Validation!$B$3,Lists!$B$4:$B$24,0))</f>
        <v>TMS</v>
      </c>
      <c r="B2309" s="1732" t="str">
        <f>'4M'!BP25</f>
        <v>S3014SDD</v>
      </c>
      <c r="C2309" t="str">
        <f>'4M'!$C25&amp;" - "&amp;'4M'!N$5</f>
        <v>NEP - Nutrients (P removal at filter bed STWs) - Sludge disposal</v>
      </c>
      <c r="D2309" s="1620" t="str">
        <f t="shared" si="46"/>
        <v>£m</v>
      </c>
      <c r="E2309" s="1636" t="s">
        <v>9</v>
      </c>
      <c r="G2309" s="1635">
        <f>'4M'!N25</f>
        <v>0</v>
      </c>
      <c r="H2309" s="1636"/>
    </row>
    <row r="2310" spans="1:8">
      <c r="A2310" s="1620" t="str">
        <f>INDEX(Lists!$C$4:$C$24,MATCH(Validation!$B$3,Lists!$B$4:$B$24,0))</f>
        <v>TMS</v>
      </c>
      <c r="B2310" s="1732" t="str">
        <f>'4M'!BP26</f>
        <v>S3015SDD</v>
      </c>
      <c r="C2310" t="str">
        <f>'4M'!$C26&amp;" - "&amp;'4M'!N$5</f>
        <v>NEP - Reduction of sanitary parameters - Sludge disposal</v>
      </c>
      <c r="D2310" s="1620" t="str">
        <f t="shared" si="46"/>
        <v>£m</v>
      </c>
      <c r="E2310" s="1636" t="s">
        <v>9</v>
      </c>
      <c r="G2310" s="1635">
        <f>'4M'!N26</f>
        <v>0</v>
      </c>
      <c r="H2310" s="1636"/>
    </row>
    <row r="2311" spans="1:8">
      <c r="A2311" s="1620" t="str">
        <f>INDEX(Lists!$C$4:$C$24,MATCH(Validation!$B$3,Lists!$B$4:$B$24,0))</f>
        <v>TMS</v>
      </c>
      <c r="B2311" s="1732" t="str">
        <f>'4M'!BP27</f>
        <v>S3016SDD</v>
      </c>
      <c r="C2311" t="str">
        <f>'4M'!$C27&amp;" - "&amp;'4M'!N$5</f>
        <v>NEP - UV disinfection (or similar) - Sludge disposal</v>
      </c>
      <c r="D2311" s="1620" t="str">
        <f t="shared" si="46"/>
        <v>£m</v>
      </c>
      <c r="E2311" s="1636" t="s">
        <v>9</v>
      </c>
      <c r="G2311" s="1635">
        <f>'4M'!N27</f>
        <v>0</v>
      </c>
      <c r="H2311" s="1636"/>
    </row>
    <row r="2312" spans="1:8">
      <c r="A2312" s="1620" t="str">
        <f>INDEX(Lists!$C$4:$C$24,MATCH(Validation!$B$3,Lists!$B$4:$B$24,0))</f>
        <v>TMS</v>
      </c>
      <c r="B2312" s="1732" t="str">
        <f>'4M'!BP28</f>
        <v>S3017SDD</v>
      </c>
      <c r="C2312" t="str">
        <f>'4M'!$C28&amp;" - "&amp;'4M'!N$5</f>
        <v>NEP - Discharge relocation - Sludge disposal</v>
      </c>
      <c r="D2312" s="1620" t="str">
        <f t="shared" si="46"/>
        <v>£m</v>
      </c>
      <c r="E2312" s="1636" t="s">
        <v>9</v>
      </c>
      <c r="G2312" s="1635">
        <f>'4M'!N28</f>
        <v>0</v>
      </c>
      <c r="H2312" s="1636"/>
    </row>
    <row r="2313" spans="1:8">
      <c r="A2313" s="1620" t="str">
        <f>INDEX(Lists!$C$4:$C$24,MATCH(Validation!$B$3,Lists!$B$4:$B$24,0))</f>
        <v>TMS</v>
      </c>
      <c r="B2313" s="1732" t="str">
        <f>'4M'!BP29</f>
        <v>S3018SDD</v>
      </c>
      <c r="C2313" t="str">
        <f>'4M'!$C29&amp;" - "&amp;'4M'!N$5</f>
        <v>NEP - Flow 1 schemes - Sludge disposal</v>
      </c>
      <c r="D2313" s="1620" t="str">
        <f t="shared" si="46"/>
        <v>£m</v>
      </c>
      <c r="E2313" s="1636" t="s">
        <v>9</v>
      </c>
      <c r="G2313" s="1635">
        <f>'4M'!N29</f>
        <v>0</v>
      </c>
      <c r="H2313" s="1636"/>
    </row>
    <row r="2314" spans="1:8">
      <c r="A2314" s="1620" t="str">
        <f>INDEX(Lists!$C$4:$C$24,MATCH(Validation!$B$3,Lists!$B$4:$B$24,0))</f>
        <v>TMS</v>
      </c>
      <c r="B2314" s="1732" t="str">
        <f>'4M'!BP30</f>
        <v>S3019SDD</v>
      </c>
      <c r="C2314" t="str">
        <f>'4M'!$C30&amp;" - "&amp;'4M'!N$5</f>
        <v>Odour - Sludge disposal</v>
      </c>
      <c r="D2314" s="1620" t="str">
        <f t="shared" si="46"/>
        <v>£m</v>
      </c>
      <c r="E2314" s="1636" t="s">
        <v>9</v>
      </c>
      <c r="G2314" s="1635">
        <f>'4M'!N30</f>
        <v>-2.1261474017920186E-4</v>
      </c>
      <c r="H2314" s="1636"/>
    </row>
    <row r="2315" spans="1:8">
      <c r="A2315" s="1620" t="str">
        <f>INDEX(Lists!$C$4:$C$24,MATCH(Validation!$B$3,Lists!$B$4:$B$24,0))</f>
        <v>TMS</v>
      </c>
      <c r="B2315" s="1732" t="str">
        <f>'4M'!BP31</f>
        <v>S3020SDD</v>
      </c>
      <c r="C2315" t="str">
        <f>'4M'!$C31&amp;" - "&amp;'4M'!N$5</f>
        <v>New development and growth - Sludge disposal</v>
      </c>
      <c r="D2315" s="1620" t="str">
        <f t="shared" si="46"/>
        <v>£m</v>
      </c>
      <c r="E2315" s="1636" t="s">
        <v>9</v>
      </c>
      <c r="G2315" s="1635">
        <f>'4M'!N31</f>
        <v>0</v>
      </c>
      <c r="H2315" s="1636"/>
    </row>
    <row r="2316" spans="1:8">
      <c r="A2316" s="1620" t="str">
        <f>INDEX(Lists!$C$4:$C$24,MATCH(Validation!$B$3,Lists!$B$4:$B$24,0))</f>
        <v>TMS</v>
      </c>
      <c r="B2316" s="1732" t="str">
        <f>'4M'!BP32</f>
        <v>S3021SDD</v>
      </c>
      <c r="C2316" t="str">
        <f>'4M'!$C32&amp;" - "&amp;'4M'!N$5</f>
        <v>Growth at sewage treatment works (excluding sludge treatment) - Sludge disposal</v>
      </c>
      <c r="D2316" s="1620" t="str">
        <f t="shared" si="46"/>
        <v>£m</v>
      </c>
      <c r="E2316" s="1636" t="s">
        <v>9</v>
      </c>
      <c r="G2316" s="1635">
        <f>'4M'!N32</f>
        <v>0</v>
      </c>
      <c r="H2316" s="1636"/>
    </row>
    <row r="2317" spans="1:8">
      <c r="A2317" s="1620" t="str">
        <f>INDEX(Lists!$C$4:$C$24,MATCH(Validation!$B$3,Lists!$B$4:$B$24,0))</f>
        <v>TMS</v>
      </c>
      <c r="B2317" s="1732" t="str">
        <f>'4M'!BP33</f>
        <v>S3022SDD</v>
      </c>
      <c r="C2317" t="str">
        <f>'4M'!$C33&amp;" - "&amp;'4M'!N$5</f>
        <v>Resilience - Sludge disposal</v>
      </c>
      <c r="D2317" s="1620" t="str">
        <f t="shared" si="46"/>
        <v>£m</v>
      </c>
      <c r="E2317" s="1636" t="s">
        <v>9</v>
      </c>
      <c r="G2317" s="1635">
        <f>'4M'!N33</f>
        <v>0</v>
      </c>
      <c r="H2317" s="1636"/>
    </row>
    <row r="2318" spans="1:8">
      <c r="A2318" s="1620" t="str">
        <f>INDEX(Lists!$C$4:$C$24,MATCH(Validation!$B$3,Lists!$B$4:$B$24,0))</f>
        <v>TMS</v>
      </c>
      <c r="B2318" s="1732" t="str">
        <f>'4M'!BP34</f>
        <v>BC31785SDD</v>
      </c>
      <c r="C2318" t="str">
        <f>'4M'!$C34&amp;" - "&amp;'4M'!N$5</f>
        <v>SEMD - Sludge disposal</v>
      </c>
      <c r="D2318" s="1620" t="str">
        <f t="shared" si="46"/>
        <v>£m</v>
      </c>
      <c r="E2318" s="1636" t="s">
        <v>9</v>
      </c>
      <c r="G2318" s="1635">
        <f>'4M'!N34</f>
        <v>-2.6401036533308564E-5</v>
      </c>
      <c r="H2318" s="1636"/>
    </row>
    <row r="2319" spans="1:8">
      <c r="A2319" s="1620" t="str">
        <f>INDEX(Lists!$C$4:$C$24,MATCH(Validation!$B$3,Lists!$B$4:$B$24,0))</f>
        <v>TMS</v>
      </c>
      <c r="B2319" s="1732" t="str">
        <f>'4M'!BP35</f>
        <v>S3023SDD</v>
      </c>
      <c r="C2319" t="str">
        <f>'4M'!$C35&amp;" - "&amp;'4M'!N$5</f>
        <v>Reduce flooding risk for properties - Sludge disposal</v>
      </c>
      <c r="D2319" s="1620" t="str">
        <f t="shared" si="46"/>
        <v>£m</v>
      </c>
      <c r="E2319" s="1636" t="s">
        <v>9</v>
      </c>
      <c r="G2319" s="1635">
        <f>'4M'!N35</f>
        <v>0</v>
      </c>
      <c r="H2319" s="1636"/>
    </row>
    <row r="2320" spans="1:8">
      <c r="A2320" s="1620" t="str">
        <f>INDEX(Lists!$C$4:$C$24,MATCH(Validation!$B$3,Lists!$B$4:$B$24,0))</f>
        <v>TMS</v>
      </c>
      <c r="B2320" s="1732" t="str">
        <f>'4M'!BP36</f>
        <v>S3A00001SDD</v>
      </c>
      <c r="C2320" s="1732" t="str">
        <f>"Capital expenditure purpose - WASTEWATER additional line 1 [Other categories] - "&amp;'4M'!$N$5</f>
        <v>Capital expenditure purpose - WASTEWATER additional line 1 [Other categories] - Sludge disposal</v>
      </c>
      <c r="D2320" s="1620" t="str">
        <f t="shared" si="46"/>
        <v>£m</v>
      </c>
      <c r="E2320" s="1636" t="s">
        <v>9</v>
      </c>
      <c r="F2320" s="2" t="str">
        <f>F2019</f>
        <v>Quality spend at CSOs and quality allocation to Deephams inlet works</v>
      </c>
      <c r="G2320" s="1635">
        <f>IF(ISBLANK('4M'!N36), "##BLANK", '4M'!N36)</f>
        <v>0</v>
      </c>
      <c r="H2320" s="1636"/>
    </row>
    <row r="2321" spans="1:8">
      <c r="A2321" s="1620" t="str">
        <f>INDEX(Lists!$C$4:$C$24,MATCH(Validation!$B$3,Lists!$B$4:$B$24,0))</f>
        <v>TMS</v>
      </c>
      <c r="B2321" s="1732" t="str">
        <f>'4M'!BP37</f>
        <v>S3A00002SDD</v>
      </c>
      <c r="C2321" s="1732" t="str">
        <f>"Capital expenditure purpose - WASTEWATER additional line 2 [Other categories] - "&amp;'4M'!$N$5</f>
        <v>Capital expenditure purpose - WASTEWATER additional line 2 [Other categories] - Sludge disposal</v>
      </c>
      <c r="D2321" s="1620" t="str">
        <f t="shared" si="46"/>
        <v>£m</v>
      </c>
      <c r="E2321" s="1636" t="s">
        <v>9</v>
      </c>
      <c r="F2321" s="2" t="str">
        <f t="shared" ref="F2321:F2334" si="47">F2020</f>
        <v>Tideway quality (NEP). Excludes Lee Tunnel and sludge.</v>
      </c>
      <c r="G2321" s="1635">
        <f>IF(ISBLANK('4M'!N37), "##BLANK", '4M'!N37)</f>
        <v>0</v>
      </c>
      <c r="H2321" s="1636"/>
    </row>
    <row r="2322" spans="1:8">
      <c r="A2322" s="1620" t="str">
        <f>INDEX(Lists!$C$4:$C$24,MATCH(Validation!$B$3,Lists!$B$4:$B$24,0))</f>
        <v>TMS</v>
      </c>
      <c r="B2322" s="1732" t="str">
        <f>'4M'!BP38</f>
        <v>S3A00003SDD</v>
      </c>
      <c r="C2322" s="1732" t="str">
        <f>"Capital expenditure purpose - WASTEWATER additional line 3 [Other categories] - "&amp;'4M'!$N$5</f>
        <v>Capital expenditure purpose - WASTEWATER additional line 3 [Other categories] - Sludge disposal</v>
      </c>
      <c r="D2322" s="1620" t="str">
        <f t="shared" si="46"/>
        <v>£m</v>
      </c>
      <c r="E2322" s="1636" t="s">
        <v>9</v>
      </c>
      <c r="F2322" s="2" t="str">
        <f t="shared" si="47"/>
        <v>Lee Tunnel</v>
      </c>
      <c r="G2322" s="1635">
        <f>IF(ISBLANK('4M'!N38), "##BLANK", '4M'!N38)</f>
        <v>0</v>
      </c>
      <c r="H2322" s="1636"/>
    </row>
    <row r="2323" spans="1:8">
      <c r="A2323" s="1620" t="str">
        <f>INDEX(Lists!$C$4:$C$24,MATCH(Validation!$B$3,Lists!$B$4:$B$24,0))</f>
        <v>TMS</v>
      </c>
      <c r="B2323" s="1732" t="str">
        <f>'4M'!BP39</f>
        <v>S3A00004SDD</v>
      </c>
      <c r="C2323" s="1732" t="str">
        <f>"Capital expenditure purpose - WASTEWATER additional line 4 [Other categories] - "&amp;'4M'!$N$5</f>
        <v>Capital expenditure purpose - WASTEWATER additional line 4 [Other categories] - Sludge disposal</v>
      </c>
      <c r="D2323" s="1620" t="str">
        <f t="shared" si="46"/>
        <v>£m</v>
      </c>
      <c r="E2323" s="1636" t="s">
        <v>9</v>
      </c>
      <c r="F2323" s="2" t="str">
        <f t="shared" si="47"/>
        <v>Non-SEMD related security enhancement (revised Ofwat guidance 6 July 2018)</v>
      </c>
      <c r="G2323" s="1635">
        <f>IF(ISBLANK('4M'!N39), "##BLANK", '4M'!N39)</f>
        <v>2.1375299385796233E-3</v>
      </c>
      <c r="H2323" s="1636"/>
    </row>
    <row r="2324" spans="1:8">
      <c r="A2324" s="1620" t="str">
        <f>INDEX(Lists!$C$4:$C$24,MATCH(Validation!$B$3,Lists!$B$4:$B$24,0))</f>
        <v>TMS</v>
      </c>
      <c r="B2324" s="1732" t="str">
        <f>'4M'!BP40</f>
        <v>S3A00005SDD</v>
      </c>
      <c r="C2324" s="1732" t="str">
        <f>"Capital expenditure purpose - WASTEWATER additional line 5 [Other categories] - "&amp;'4M'!$N$5</f>
        <v>Capital expenditure purpose - WASTEWATER additional line 5 [Other categories] - Sludge disposal</v>
      </c>
      <c r="D2324" s="1620" t="str">
        <f t="shared" si="46"/>
        <v>£m</v>
      </c>
      <c r="E2324" s="1636" t="s">
        <v>9</v>
      </c>
      <c r="F2324" s="2" t="str">
        <f t="shared" si="47"/>
        <v>##BLANK</v>
      </c>
      <c r="G2324" s="1635" t="str">
        <f>IF(ISBLANK('4M'!N40), "##BLANK", '4M'!N40)</f>
        <v>##BLANK</v>
      </c>
      <c r="H2324" s="1636"/>
    </row>
    <row r="2325" spans="1:8">
      <c r="A2325" s="1620" t="str">
        <f>INDEX(Lists!$C$4:$C$24,MATCH(Validation!$B$3,Lists!$B$4:$B$24,0))</f>
        <v>TMS</v>
      </c>
      <c r="B2325" s="1732" t="str">
        <f>'4M'!BP41</f>
        <v>S3A00006SDD</v>
      </c>
      <c r="C2325" s="1732" t="str">
        <f>"Capital expenditure purpose - WASTEWATER additional line 6 [Other categories] - "&amp;'4M'!$N$5</f>
        <v>Capital expenditure purpose - WASTEWATER additional line 6 [Other categories] - Sludge disposal</v>
      </c>
      <c r="D2325" s="1620" t="str">
        <f t="shared" si="46"/>
        <v>£m</v>
      </c>
      <c r="E2325" s="1636" t="s">
        <v>9</v>
      </c>
      <c r="F2325" s="2" t="str">
        <f t="shared" si="47"/>
        <v>##BLANK</v>
      </c>
      <c r="G2325" s="1635" t="str">
        <f>IF(ISBLANK('4M'!N41), "##BLANK", '4M'!N41)</f>
        <v>##BLANK</v>
      </c>
      <c r="H2325" s="1636"/>
    </row>
    <row r="2326" spans="1:8">
      <c r="A2326" s="1620" t="str">
        <f>INDEX(Lists!$C$4:$C$24,MATCH(Validation!$B$3,Lists!$B$4:$B$24,0))</f>
        <v>TMS</v>
      </c>
      <c r="B2326" s="1732" t="str">
        <f>'4M'!BP42</f>
        <v>S3A00007SDD</v>
      </c>
      <c r="C2326" s="1732" t="str">
        <f>"Capital expenditure purpose - WASTEWATER additional line 7 [Other categories] - "&amp;'4M'!$N$5</f>
        <v>Capital expenditure purpose - WASTEWATER additional line 7 [Other categories] - Sludge disposal</v>
      </c>
      <c r="D2326" s="1620" t="str">
        <f t="shared" si="46"/>
        <v>£m</v>
      </c>
      <c r="E2326" s="1636" t="s">
        <v>9</v>
      </c>
      <c r="F2326" s="2" t="str">
        <f t="shared" si="47"/>
        <v>##BLANK</v>
      </c>
      <c r="G2326" s="1635" t="str">
        <f>IF(ISBLANK('4M'!N42), "##BLANK", '4M'!N42)</f>
        <v>##BLANK</v>
      </c>
      <c r="H2326" s="1636"/>
    </row>
    <row r="2327" spans="1:8">
      <c r="A2327" s="1620" t="str">
        <f>INDEX(Lists!$C$4:$C$24,MATCH(Validation!$B$3,Lists!$B$4:$B$24,0))</f>
        <v>TMS</v>
      </c>
      <c r="B2327" s="1732" t="str">
        <f>'4M'!BP43</f>
        <v>S3A00008SDD</v>
      </c>
      <c r="C2327" s="1732" t="str">
        <f>"Capital expenditure purpose - WASTEWATER additional line 8 [Other categories] - "&amp;'4M'!$N$5</f>
        <v>Capital expenditure purpose - WASTEWATER additional line 8 [Other categories] - Sludge disposal</v>
      </c>
      <c r="D2327" s="1620" t="str">
        <f t="shared" si="46"/>
        <v>£m</v>
      </c>
      <c r="E2327" s="1636" t="s">
        <v>9</v>
      </c>
      <c r="F2327" s="2" t="str">
        <f t="shared" si="47"/>
        <v>##BLANK</v>
      </c>
      <c r="G2327" s="1635" t="str">
        <f>IF(ISBLANK('4M'!N43), "##BLANK", '4M'!N43)</f>
        <v>##BLANK</v>
      </c>
      <c r="H2327" s="1636"/>
    </row>
    <row r="2328" spans="1:8">
      <c r="A2328" s="1620" t="str">
        <f>INDEX(Lists!$C$4:$C$24,MATCH(Validation!$B$3,Lists!$B$4:$B$24,0))</f>
        <v>TMS</v>
      </c>
      <c r="B2328" s="1732" t="str">
        <f>'4M'!BP44</f>
        <v>S3A00009SDD</v>
      </c>
      <c r="C2328" s="1732" t="str">
        <f>"Capital expenditure purpose - WASTEWATER additional line 9 [Other categories] - "&amp;'4M'!$N$5</f>
        <v>Capital expenditure purpose - WASTEWATER additional line 9 [Other categories] - Sludge disposal</v>
      </c>
      <c r="D2328" s="1620" t="str">
        <f t="shared" si="46"/>
        <v>£m</v>
      </c>
      <c r="E2328" s="1636" t="s">
        <v>9</v>
      </c>
      <c r="F2328" s="2" t="str">
        <f t="shared" si="47"/>
        <v>##BLANK</v>
      </c>
      <c r="G2328" s="1635" t="str">
        <f>IF(ISBLANK('4M'!N44), "##BLANK", '4M'!N44)</f>
        <v>##BLANK</v>
      </c>
      <c r="H2328" s="1636"/>
    </row>
    <row r="2329" spans="1:8">
      <c r="A2329" s="1620" t="str">
        <f>INDEX(Lists!$C$4:$C$24,MATCH(Validation!$B$3,Lists!$B$4:$B$24,0))</f>
        <v>TMS</v>
      </c>
      <c r="B2329" s="1732" t="str">
        <f>'4M'!BP45</f>
        <v>S3A00010SDD</v>
      </c>
      <c r="C2329" s="1732" t="str">
        <f>"Capital expenditure purpose - WASTEWATER additional line 10 [Other categories] - "&amp;'4M'!$N$5</f>
        <v>Capital expenditure purpose - WASTEWATER additional line 10 [Other categories] - Sludge disposal</v>
      </c>
      <c r="D2329" s="1620" t="str">
        <f t="shared" si="46"/>
        <v>£m</v>
      </c>
      <c r="E2329" s="1636" t="s">
        <v>9</v>
      </c>
      <c r="F2329" s="2" t="str">
        <f t="shared" si="47"/>
        <v>##BLANK</v>
      </c>
      <c r="G2329" s="1635" t="str">
        <f>IF(ISBLANK('4M'!N45), "##BLANK", '4M'!N45)</f>
        <v>##BLANK</v>
      </c>
      <c r="H2329" s="1636"/>
    </row>
    <row r="2330" spans="1:8">
      <c r="A2330" s="1620" t="str">
        <f>INDEX(Lists!$C$4:$C$24,MATCH(Validation!$B$3,Lists!$B$4:$B$24,0))</f>
        <v>TMS</v>
      </c>
      <c r="B2330" s="1732" t="str">
        <f>'4M'!BP46</f>
        <v>S3A00011SDD</v>
      </c>
      <c r="C2330" s="1732" t="str">
        <f>"Capital expenditure purpose - WASTEWATER additional line 11 [Other categories] - "&amp;'4M'!$N$5</f>
        <v>Capital expenditure purpose - WASTEWATER additional line 11 [Other categories] - Sludge disposal</v>
      </c>
      <c r="D2330" s="1620" t="str">
        <f t="shared" si="46"/>
        <v>£m</v>
      </c>
      <c r="E2330" s="1636" t="s">
        <v>9</v>
      </c>
      <c r="F2330" s="2" t="str">
        <f t="shared" si="47"/>
        <v>##BLANK</v>
      </c>
      <c r="G2330" s="1635" t="str">
        <f>IF(ISBLANK('4M'!N46), "##BLANK", '4M'!N46)</f>
        <v>##BLANK</v>
      </c>
      <c r="H2330" s="1636"/>
    </row>
    <row r="2331" spans="1:8">
      <c r="A2331" s="1620" t="str">
        <f>INDEX(Lists!$C$4:$C$24,MATCH(Validation!$B$3,Lists!$B$4:$B$24,0))</f>
        <v>TMS</v>
      </c>
      <c r="B2331" s="1732" t="str">
        <f>'4M'!BP47</f>
        <v>S3A00012SDD</v>
      </c>
      <c r="C2331" s="1732" t="str">
        <f>"Capital expenditure purpose - WASTEWATER additional line 12 [Other categories] - "&amp;'4M'!$N$5</f>
        <v>Capital expenditure purpose - WASTEWATER additional line 12 [Other categories] - Sludge disposal</v>
      </c>
      <c r="D2331" s="1620" t="str">
        <f t="shared" si="46"/>
        <v>£m</v>
      </c>
      <c r="E2331" s="1636" t="s">
        <v>9</v>
      </c>
      <c r="F2331" s="2" t="str">
        <f t="shared" si="47"/>
        <v>##BLANK</v>
      </c>
      <c r="G2331" s="1635" t="str">
        <f>IF(ISBLANK('4M'!N47), "##BLANK", '4M'!N47)</f>
        <v>##BLANK</v>
      </c>
      <c r="H2331" s="1636"/>
    </row>
    <row r="2332" spans="1:8">
      <c r="A2332" s="1620" t="str">
        <f>INDEX(Lists!$C$4:$C$24,MATCH(Validation!$B$3,Lists!$B$4:$B$24,0))</f>
        <v>TMS</v>
      </c>
      <c r="B2332" s="1732" t="str">
        <f>'4M'!BP48</f>
        <v>S3A00013SDD</v>
      </c>
      <c r="C2332" s="1732" t="str">
        <f>"Capital expenditure purpose - WASTEWATER additional line 13 [Other categories] - "&amp;'4M'!$N$5</f>
        <v>Capital expenditure purpose - WASTEWATER additional line 13 [Other categories] - Sludge disposal</v>
      </c>
      <c r="D2332" s="1620" t="str">
        <f t="shared" si="46"/>
        <v>£m</v>
      </c>
      <c r="E2332" s="1636" t="s">
        <v>9</v>
      </c>
      <c r="F2332" s="2" t="str">
        <f t="shared" si="47"/>
        <v>##BLANK</v>
      </c>
      <c r="G2332" s="1635" t="str">
        <f>IF(ISBLANK('4M'!N48), "##BLANK", '4M'!N48)</f>
        <v>##BLANK</v>
      </c>
      <c r="H2332" s="1636"/>
    </row>
    <row r="2333" spans="1:8">
      <c r="A2333" s="1620" t="str">
        <f>INDEX(Lists!$C$4:$C$24,MATCH(Validation!$B$3,Lists!$B$4:$B$24,0))</f>
        <v>TMS</v>
      </c>
      <c r="B2333" s="1732" t="str">
        <f>'4M'!BP49</f>
        <v>S3A00014SDD</v>
      </c>
      <c r="C2333" s="1732" t="str">
        <f>"Capital expenditure purpose - WASTEWATER additional line 14 [Other categories] - "&amp;'4M'!$N$5</f>
        <v>Capital expenditure purpose - WASTEWATER additional line 14 [Other categories] - Sludge disposal</v>
      </c>
      <c r="D2333" s="1620" t="str">
        <f t="shared" si="46"/>
        <v>£m</v>
      </c>
      <c r="E2333" s="1636" t="s">
        <v>9</v>
      </c>
      <c r="F2333" s="2" t="str">
        <f t="shared" si="47"/>
        <v>##BLANK</v>
      </c>
      <c r="G2333" s="1635" t="str">
        <f>IF(ISBLANK('4M'!N49), "##BLANK", '4M'!N49)</f>
        <v>##BLANK</v>
      </c>
      <c r="H2333" s="1636"/>
    </row>
    <row r="2334" spans="1:8">
      <c r="A2334" s="1730" t="str">
        <f>INDEX(Lists!$C$4:$C$24,MATCH(Validation!$B$3,Lists!$B$4:$B$24,0))</f>
        <v>TMS</v>
      </c>
      <c r="B2334" s="1734" t="str">
        <f>'4M'!BP50</f>
        <v>S3A00015SDD</v>
      </c>
      <c r="C2334" s="1734" t="str">
        <f>"Capital expenditure purpose - WASTEWATER additional line 15 [Other categories] - "&amp;'4M'!$N$5</f>
        <v>Capital expenditure purpose - WASTEWATER additional line 15 [Other categories] - Sludge disposal</v>
      </c>
      <c r="D2334" s="1730" t="str">
        <f t="shared" si="46"/>
        <v>£m</v>
      </c>
      <c r="E2334" s="1652" t="s">
        <v>9</v>
      </c>
      <c r="F2334" s="1637" t="str">
        <f t="shared" si="47"/>
        <v>##BLANK</v>
      </c>
      <c r="G2334" s="1653" t="str">
        <f>IF(ISBLANK('4M'!N50), "##BLANK", '4M'!N50)</f>
        <v>##BLANK</v>
      </c>
      <c r="H2334" s="1652"/>
    </row>
    <row r="2335" spans="1:8">
      <c r="A2335" s="1620" t="str">
        <f>INDEX(Lists!$C$4:$C$24,MATCH(Validation!$B$3,Lists!$B$4:$B$24,0))</f>
        <v>TMS</v>
      </c>
      <c r="B2335" s="1732" t="str">
        <f>'4M'!BR8</f>
        <v>BC31379FLCUM</v>
      </c>
      <c r="C2335" t="str">
        <f>'4M'!$C8&amp;" - "&amp;'4M'!P$5</f>
        <v>First time sewerage (s101A) - Foul</v>
      </c>
      <c r="D2335" s="1620" t="str">
        <f t="shared" si="46"/>
        <v>£m</v>
      </c>
      <c r="E2335" s="1636" t="s">
        <v>9</v>
      </c>
      <c r="G2335" s="1635">
        <f>'4M'!P8</f>
        <v>0</v>
      </c>
      <c r="H2335" s="1636"/>
    </row>
    <row r="2336" spans="1:8">
      <c r="A2336" s="1620" t="str">
        <f>INDEX(Lists!$C$4:$C$24,MATCH(Validation!$B$3,Lists!$B$4:$B$24,0))</f>
        <v>TMS</v>
      </c>
      <c r="B2336" s="1732" t="str">
        <f>'4M'!BR9</f>
        <v>S3035QFLCUM</v>
      </c>
      <c r="C2336" t="str">
        <f>'4M'!$C9&amp;" - "&amp;'4M'!P$5</f>
        <v>Sludge enhancement (quality) - Foul</v>
      </c>
      <c r="D2336" s="1620" t="str">
        <f t="shared" si="46"/>
        <v>£m</v>
      </c>
      <c r="E2336" s="1636" t="s">
        <v>9</v>
      </c>
      <c r="G2336" s="1635">
        <f>'4M'!P9</f>
        <v>0</v>
      </c>
      <c r="H2336" s="1636"/>
    </row>
    <row r="2337" spans="1:8">
      <c r="A2337" s="1620" t="str">
        <f>INDEX(Lists!$C$4:$C$24,MATCH(Validation!$B$3,Lists!$B$4:$B$24,0))</f>
        <v>TMS</v>
      </c>
      <c r="B2337" s="1732" t="str">
        <f>'4M'!BR10</f>
        <v>S3036GFLCUM</v>
      </c>
      <c r="C2337" t="str">
        <f>'4M'!$C10&amp;" - "&amp;'4M'!P$5</f>
        <v>Sludge enhancement (growth) - Foul</v>
      </c>
      <c r="D2337" s="1620" t="str">
        <f t="shared" si="46"/>
        <v>£m</v>
      </c>
      <c r="E2337" s="1636" t="s">
        <v>9</v>
      </c>
      <c r="G2337" s="1635">
        <f>'4M'!P10</f>
        <v>0</v>
      </c>
      <c r="H2337" s="1636"/>
    </row>
    <row r="2338" spans="1:8">
      <c r="A2338" s="1620" t="str">
        <f>INDEX(Lists!$C$4:$C$24,MATCH(Validation!$B$3,Lists!$B$4:$B$24,0))</f>
        <v>TMS</v>
      </c>
      <c r="B2338" s="1732" t="str">
        <f>'4M'!BR11</f>
        <v>S3004FLCUM</v>
      </c>
      <c r="C2338" t="str">
        <f>'4M'!$C11&amp;" - "&amp;'4M'!P$5</f>
        <v>NEP - Conservation drivers - Foul</v>
      </c>
      <c r="D2338" s="1620" t="str">
        <f t="shared" si="46"/>
        <v>£m</v>
      </c>
      <c r="E2338" s="1636" t="s">
        <v>9</v>
      </c>
      <c r="G2338" s="1635">
        <f>'4M'!P11</f>
        <v>0</v>
      </c>
      <c r="H2338" s="1636"/>
    </row>
    <row r="2339" spans="1:8">
      <c r="A2339" s="1620" t="str">
        <f>INDEX(Lists!$C$4:$C$24,MATCH(Validation!$B$3,Lists!$B$4:$B$24,0))</f>
        <v>TMS</v>
      </c>
      <c r="B2339" s="1732" t="str">
        <f>'4M'!BR12</f>
        <v>WWS2001FLCUM</v>
      </c>
      <c r="C2339" t="str">
        <f>'4M'!$C12&amp;" - "&amp;'4M'!P$5</f>
        <v>NEP - Eels Regulations (measures at outfalls) - Foul</v>
      </c>
      <c r="D2339" s="1620" t="str">
        <f t="shared" si="46"/>
        <v>£m</v>
      </c>
      <c r="E2339" s="1636" t="s">
        <v>9</v>
      </c>
      <c r="G2339" s="1635">
        <f>'4M'!P12</f>
        <v>0</v>
      </c>
      <c r="H2339" s="1636"/>
    </row>
    <row r="2340" spans="1:8">
      <c r="A2340" s="1620" t="str">
        <f>INDEX(Lists!$C$4:$C$24,MATCH(Validation!$B$3,Lists!$B$4:$B$24,0))</f>
        <v>TMS</v>
      </c>
      <c r="B2340" s="1732" t="str">
        <f>'4M'!BR13</f>
        <v>S3005FLCUM</v>
      </c>
      <c r="C2340" t="str">
        <f>'4M'!$C13&amp;" - "&amp;'4M'!P$5</f>
        <v>NEP - Event Duration Monitoring at intermittent discharges - Foul</v>
      </c>
      <c r="D2340" s="1620" t="str">
        <f t="shared" si="46"/>
        <v>£m</v>
      </c>
      <c r="E2340" s="1636" t="s">
        <v>9</v>
      </c>
      <c r="G2340" s="1635">
        <f>'4M'!P13</f>
        <v>0.74721217505869142</v>
      </c>
      <c r="H2340" s="1636"/>
    </row>
    <row r="2341" spans="1:8">
      <c r="A2341" s="1620" t="str">
        <f>INDEX(Lists!$C$4:$C$24,MATCH(Validation!$B$3,Lists!$B$4:$B$24,0))</f>
        <v>TMS</v>
      </c>
      <c r="B2341" s="1732" t="str">
        <f>'4M'!BR14</f>
        <v>S3006FLCUM</v>
      </c>
      <c r="C2341" t="str">
        <f>'4M'!$C14&amp;" - "&amp;'4M'!P$5</f>
        <v>NEP - Flow monitoring at sewage treatment works - Foul</v>
      </c>
      <c r="D2341" s="1620" t="str">
        <f t="shared" si="46"/>
        <v>£m</v>
      </c>
      <c r="E2341" s="1636" t="s">
        <v>9</v>
      </c>
      <c r="G2341" s="1635">
        <f>'4M'!P14</f>
        <v>0</v>
      </c>
      <c r="H2341" s="1636"/>
    </row>
    <row r="2342" spans="1:8">
      <c r="A2342" s="1620" t="str">
        <f>INDEX(Lists!$C$4:$C$24,MATCH(Validation!$B$3,Lists!$B$4:$B$24,0))</f>
        <v>TMS</v>
      </c>
      <c r="B2342" s="1732" t="str">
        <f>'4M'!BR15</f>
        <v>S3007FLCUM</v>
      </c>
      <c r="C2342" t="str">
        <f>'4M'!$C15&amp;" - "&amp;'4M'!P$5</f>
        <v>NEP - Monitoring of pass forward flows at CSOs - Foul</v>
      </c>
      <c r="D2342" s="1620" t="str">
        <f t="shared" si="46"/>
        <v>£m</v>
      </c>
      <c r="E2342" s="1636" t="s">
        <v>9</v>
      </c>
      <c r="G2342" s="1635">
        <f>'4M'!P15</f>
        <v>0</v>
      </c>
      <c r="H2342" s="1636"/>
    </row>
    <row r="2343" spans="1:8">
      <c r="A2343" s="1620" t="str">
        <f>INDEX(Lists!$C$4:$C$24,MATCH(Validation!$B$3,Lists!$B$4:$B$24,0))</f>
        <v>TMS</v>
      </c>
      <c r="B2343" s="1732" t="str">
        <f>'4M'!BR16</f>
        <v>WWS2002FLCUM</v>
      </c>
      <c r="C2343" t="str">
        <f>'4M'!$C16&amp;" - "&amp;'4M'!P$5</f>
        <v>NEP - Schemes to increase flow to full treatment - Foul</v>
      </c>
      <c r="D2343" s="1620" t="str">
        <f t="shared" si="46"/>
        <v>£m</v>
      </c>
      <c r="E2343" s="1636" t="s">
        <v>9</v>
      </c>
      <c r="G2343" s="1635">
        <f>'4M'!P16</f>
        <v>0</v>
      </c>
      <c r="H2343" s="1636"/>
    </row>
    <row r="2344" spans="1:8">
      <c r="A2344" s="1620" t="str">
        <f>INDEX(Lists!$C$4:$C$24,MATCH(Validation!$B$3,Lists!$B$4:$B$24,0))</f>
        <v>TMS</v>
      </c>
      <c r="B2344" s="1732" t="str">
        <f>'4M'!BR17</f>
        <v>WWS2003FLCUM</v>
      </c>
      <c r="C2344" t="str">
        <f>'4M'!$C17&amp;" - "&amp;'4M'!P$5</f>
        <v>NEP - Schemes to increase storm tank capacity - Foul</v>
      </c>
      <c r="D2344" s="1620" t="str">
        <f t="shared" si="46"/>
        <v>£m</v>
      </c>
      <c r="E2344" s="1636" t="s">
        <v>9</v>
      </c>
      <c r="G2344" s="1635">
        <f>'4M'!P17</f>
        <v>0</v>
      </c>
      <c r="H2344" s="1636"/>
    </row>
    <row r="2345" spans="1:8">
      <c r="A2345" s="1620" t="str">
        <f>INDEX(Lists!$C$4:$C$24,MATCH(Validation!$B$3,Lists!$B$4:$B$24,0))</f>
        <v>TMS</v>
      </c>
      <c r="B2345" s="1732" t="str">
        <f>'4M'!BR18</f>
        <v>S3008FLCUM</v>
      </c>
      <c r="C2345" t="str">
        <f>'4M'!$C18&amp;" - "&amp;'4M'!P$5</f>
        <v>NEP - Storage schemes to reduce spill frequency at CSOs, storm tanks, etc - Foul</v>
      </c>
      <c r="D2345" s="1620" t="str">
        <f t="shared" si="46"/>
        <v>£m</v>
      </c>
      <c r="E2345" s="1636" t="s">
        <v>9</v>
      </c>
      <c r="G2345" s="1635">
        <f>'4M'!P18</f>
        <v>0</v>
      </c>
      <c r="H2345" s="1636"/>
    </row>
    <row r="2346" spans="1:8">
      <c r="A2346" s="1620" t="str">
        <f>INDEX(Lists!$C$4:$C$24,MATCH(Validation!$B$3,Lists!$B$4:$B$24,0))</f>
        <v>TMS</v>
      </c>
      <c r="B2346" s="1732" t="str">
        <f>'4M'!BR19</f>
        <v>S3009FLCUM</v>
      </c>
      <c r="C2346" t="str">
        <f>'4M'!$C19&amp;" - "&amp;'4M'!P$5</f>
        <v>NEP - Chemicals monitoring/ investigations/ options appraisals - Foul</v>
      </c>
      <c r="D2346" s="1620" t="str">
        <f t="shared" si="46"/>
        <v>£m</v>
      </c>
      <c r="E2346" s="1636" t="s">
        <v>9</v>
      </c>
      <c r="G2346" s="1635">
        <f>'4M'!P19</f>
        <v>0</v>
      </c>
      <c r="H2346" s="1636"/>
    </row>
    <row r="2347" spans="1:8">
      <c r="A2347" s="1620" t="str">
        <f>INDEX(Lists!$C$4:$C$24,MATCH(Validation!$B$3,Lists!$B$4:$B$24,0))</f>
        <v>TMS</v>
      </c>
      <c r="B2347" s="1732" t="str">
        <f>'4M'!BR20</f>
        <v>WWS2007FLCUM</v>
      </c>
      <c r="C2347" t="str">
        <f>'4M'!$C20&amp;" - "&amp;'4M'!P$5</f>
        <v>NEP - National phosphorus removal technology investigations - Foul</v>
      </c>
      <c r="D2347" s="1620" t="str">
        <f t="shared" si="46"/>
        <v>£m</v>
      </c>
      <c r="E2347" s="1636" t="s">
        <v>9</v>
      </c>
      <c r="G2347" s="1635">
        <f>'4M'!P20</f>
        <v>0</v>
      </c>
      <c r="H2347" s="1636"/>
    </row>
    <row r="2348" spans="1:8">
      <c r="A2348" s="1620" t="str">
        <f>INDEX(Lists!$C$4:$C$24,MATCH(Validation!$B$3,Lists!$B$4:$B$24,0))</f>
        <v>TMS</v>
      </c>
      <c r="B2348" s="1732" t="str">
        <f>'4M'!BR21</f>
        <v>S3010FLCUM</v>
      </c>
      <c r="C2348" t="str">
        <f>'4M'!$C21&amp;" - "&amp;'4M'!P$5</f>
        <v>NEP - Groundwater schemes - Foul</v>
      </c>
      <c r="D2348" s="1620" t="str">
        <f t="shared" si="46"/>
        <v>£m</v>
      </c>
      <c r="E2348" s="1636" t="s">
        <v>9</v>
      </c>
      <c r="G2348" s="1635">
        <f>'4M'!P21</f>
        <v>0</v>
      </c>
      <c r="H2348" s="1636"/>
    </row>
    <row r="2349" spans="1:8">
      <c r="A2349" s="1620" t="str">
        <f>INDEX(Lists!$C$4:$C$24,MATCH(Validation!$B$3,Lists!$B$4:$B$24,0))</f>
        <v>TMS</v>
      </c>
      <c r="B2349" s="1732" t="str">
        <f>'4M'!BR22</f>
        <v>S3011FLCUM</v>
      </c>
      <c r="C2349" t="str">
        <f>'4M'!$C22&amp;" - "&amp;'4M'!P$5</f>
        <v>NEP - Investigations - Foul</v>
      </c>
      <c r="D2349" s="1620" t="str">
        <f t="shared" si="46"/>
        <v>£m</v>
      </c>
      <c r="E2349" s="1636" t="s">
        <v>9</v>
      </c>
      <c r="G2349" s="1635">
        <f>'4M'!P22</f>
        <v>0</v>
      </c>
      <c r="H2349" s="1636"/>
    </row>
    <row r="2350" spans="1:8">
      <c r="A2350" s="1620" t="str">
        <f>INDEX(Lists!$C$4:$C$24,MATCH(Validation!$B$3,Lists!$B$4:$B$24,0))</f>
        <v>TMS</v>
      </c>
      <c r="B2350" s="1732" t="str">
        <f>'4M'!BR23</f>
        <v>S3012FLCUM</v>
      </c>
      <c r="C2350" t="str">
        <f>'4M'!$C23&amp;" - "&amp;'4M'!P$5</f>
        <v>NEP - Nutrients (N removal) - Foul</v>
      </c>
      <c r="D2350" s="1620" t="str">
        <f t="shared" si="46"/>
        <v>£m</v>
      </c>
      <c r="E2350" s="1636" t="s">
        <v>9</v>
      </c>
      <c r="G2350" s="1635">
        <f>'4M'!P23</f>
        <v>0</v>
      </c>
      <c r="H2350" s="1636"/>
    </row>
    <row r="2351" spans="1:8">
      <c r="A2351" s="1620" t="str">
        <f>INDEX(Lists!$C$4:$C$24,MATCH(Validation!$B$3,Lists!$B$4:$B$24,0))</f>
        <v>TMS</v>
      </c>
      <c r="B2351" s="1732" t="str">
        <f>'4M'!BR24</f>
        <v>S3013FLCUM</v>
      </c>
      <c r="C2351" t="str">
        <f>'4M'!$C24&amp;" - "&amp;'4M'!P$5</f>
        <v>NEP - Nutrients (P removal at activated sludge STWs) - Foul</v>
      </c>
      <c r="D2351" s="1620" t="str">
        <f t="shared" si="46"/>
        <v>£m</v>
      </c>
      <c r="E2351" s="1636" t="s">
        <v>9</v>
      </c>
      <c r="G2351" s="1635">
        <f>'4M'!P24</f>
        <v>0</v>
      </c>
      <c r="H2351" s="1636"/>
    </row>
    <row r="2352" spans="1:8">
      <c r="A2352" s="1620" t="str">
        <f>INDEX(Lists!$C$4:$C$24,MATCH(Validation!$B$3,Lists!$B$4:$B$24,0))</f>
        <v>TMS</v>
      </c>
      <c r="B2352" s="1732" t="str">
        <f>'4M'!BR25</f>
        <v>S3014FLCUM</v>
      </c>
      <c r="C2352" t="str">
        <f>'4M'!$C25&amp;" - "&amp;'4M'!P$5</f>
        <v>NEP - Nutrients (P removal at filter bed STWs) - Foul</v>
      </c>
      <c r="D2352" s="1620" t="str">
        <f t="shared" si="46"/>
        <v>£m</v>
      </c>
      <c r="E2352" s="1636" t="s">
        <v>9</v>
      </c>
      <c r="G2352" s="1635">
        <f>'4M'!P25</f>
        <v>0</v>
      </c>
      <c r="H2352" s="1636"/>
    </row>
    <row r="2353" spans="1:8">
      <c r="A2353" s="1620" t="str">
        <f>INDEX(Lists!$C$4:$C$24,MATCH(Validation!$B$3,Lists!$B$4:$B$24,0))</f>
        <v>TMS</v>
      </c>
      <c r="B2353" s="1732" t="str">
        <f>'4M'!BR26</f>
        <v>S3015FLCUM</v>
      </c>
      <c r="C2353" t="str">
        <f>'4M'!$C26&amp;" - "&amp;'4M'!P$5</f>
        <v>NEP - Reduction of sanitary parameters - Foul</v>
      </c>
      <c r="D2353" s="1620" t="str">
        <f t="shared" si="46"/>
        <v>£m</v>
      </c>
      <c r="E2353" s="1636" t="s">
        <v>9</v>
      </c>
      <c r="G2353" s="1635">
        <f>'4M'!P26</f>
        <v>0</v>
      </c>
      <c r="H2353" s="1636"/>
    </row>
    <row r="2354" spans="1:8">
      <c r="A2354" s="1620" t="str">
        <f>INDEX(Lists!$C$4:$C$24,MATCH(Validation!$B$3,Lists!$B$4:$B$24,0))</f>
        <v>TMS</v>
      </c>
      <c r="B2354" s="1732" t="str">
        <f>'4M'!BR27</f>
        <v>S3016FLCUM</v>
      </c>
      <c r="C2354" t="str">
        <f>'4M'!$C27&amp;" - "&amp;'4M'!P$5</f>
        <v>NEP - UV disinfection (or similar) - Foul</v>
      </c>
      <c r="D2354" s="1620" t="str">
        <f t="shared" ref="D2354:D2417" si="48">D2311</f>
        <v>£m</v>
      </c>
      <c r="E2354" s="1636" t="s">
        <v>9</v>
      </c>
      <c r="G2354" s="1635">
        <f>'4M'!P27</f>
        <v>0</v>
      </c>
      <c r="H2354" s="1636"/>
    </row>
    <row r="2355" spans="1:8">
      <c r="A2355" s="1620" t="str">
        <f>INDEX(Lists!$C$4:$C$24,MATCH(Validation!$B$3,Lists!$B$4:$B$24,0))</f>
        <v>TMS</v>
      </c>
      <c r="B2355" s="1732" t="str">
        <f>'4M'!BR28</f>
        <v>S3017FLCUM</v>
      </c>
      <c r="C2355" t="str">
        <f>'4M'!$C28&amp;" - "&amp;'4M'!P$5</f>
        <v>NEP - Discharge relocation - Foul</v>
      </c>
      <c r="D2355" s="1620" t="str">
        <f t="shared" si="48"/>
        <v>£m</v>
      </c>
      <c r="E2355" s="1636" t="s">
        <v>9</v>
      </c>
      <c r="G2355" s="1635">
        <f>'4M'!P28</f>
        <v>0</v>
      </c>
      <c r="H2355" s="1636"/>
    </row>
    <row r="2356" spans="1:8">
      <c r="A2356" s="1620" t="str">
        <f>INDEX(Lists!$C$4:$C$24,MATCH(Validation!$B$3,Lists!$B$4:$B$24,0))</f>
        <v>TMS</v>
      </c>
      <c r="B2356" s="1732" t="str">
        <f>'4M'!BR29</f>
        <v>S3018FLCUM</v>
      </c>
      <c r="C2356" t="str">
        <f>'4M'!$C29&amp;" - "&amp;'4M'!P$5</f>
        <v>NEP - Flow 1 schemes - Foul</v>
      </c>
      <c r="D2356" s="1620" t="str">
        <f t="shared" si="48"/>
        <v>£m</v>
      </c>
      <c r="E2356" s="1636" t="s">
        <v>9</v>
      </c>
      <c r="G2356" s="1635">
        <f>'4M'!P29</f>
        <v>0</v>
      </c>
      <c r="H2356" s="1636"/>
    </row>
    <row r="2357" spans="1:8">
      <c r="A2357" s="1620" t="str">
        <f>INDEX(Lists!$C$4:$C$24,MATCH(Validation!$B$3,Lists!$B$4:$B$24,0))</f>
        <v>TMS</v>
      </c>
      <c r="B2357" s="1732" t="str">
        <f>'4M'!BR30</f>
        <v>S3019FLCUM</v>
      </c>
      <c r="C2357" t="str">
        <f>'4M'!$C30&amp;" - "&amp;'4M'!P$5</f>
        <v>Odour - Foul</v>
      </c>
      <c r="D2357" s="1620" t="str">
        <f t="shared" si="48"/>
        <v>£m</v>
      </c>
      <c r="E2357" s="1636" t="s">
        <v>9</v>
      </c>
      <c r="G2357" s="1635">
        <f>'4M'!P30</f>
        <v>0</v>
      </c>
      <c r="H2357" s="1636"/>
    </row>
    <row r="2358" spans="1:8">
      <c r="A2358" s="1620" t="str">
        <f>INDEX(Lists!$C$4:$C$24,MATCH(Validation!$B$3,Lists!$B$4:$B$24,0))</f>
        <v>TMS</v>
      </c>
      <c r="B2358" s="1732" t="str">
        <f>'4M'!BR31</f>
        <v>S3020FLCUM</v>
      </c>
      <c r="C2358" t="str">
        <f>'4M'!$C31&amp;" - "&amp;'4M'!P$5</f>
        <v>New development and growth - Foul</v>
      </c>
      <c r="D2358" s="1620" t="str">
        <f t="shared" si="48"/>
        <v>£m</v>
      </c>
      <c r="E2358" s="1636" t="s">
        <v>9</v>
      </c>
      <c r="G2358" s="1635">
        <f>'4M'!P31</f>
        <v>9.9119099987856494</v>
      </c>
      <c r="H2358" s="1636"/>
    </row>
    <row r="2359" spans="1:8">
      <c r="A2359" s="1620" t="str">
        <f>INDEX(Lists!$C$4:$C$24,MATCH(Validation!$B$3,Lists!$B$4:$B$24,0))</f>
        <v>TMS</v>
      </c>
      <c r="B2359" s="1732" t="str">
        <f>'4M'!BR32</f>
        <v>S3021FLCUM</v>
      </c>
      <c r="C2359" t="str">
        <f>'4M'!$C32&amp;" - "&amp;'4M'!P$5</f>
        <v>Growth at sewage treatment works (excluding sludge treatment) - Foul</v>
      </c>
      <c r="D2359" s="1620" t="str">
        <f t="shared" si="48"/>
        <v>£m</v>
      </c>
      <c r="E2359" s="1636" t="s">
        <v>9</v>
      </c>
      <c r="G2359" s="1635">
        <f>'4M'!P32</f>
        <v>0</v>
      </c>
      <c r="H2359" s="1636"/>
    </row>
    <row r="2360" spans="1:8">
      <c r="A2360" s="1620" t="str">
        <f>INDEX(Lists!$C$4:$C$24,MATCH(Validation!$B$3,Lists!$B$4:$B$24,0))</f>
        <v>TMS</v>
      </c>
      <c r="B2360" s="1732" t="str">
        <f>'4M'!BR33</f>
        <v>S3022FLCUM</v>
      </c>
      <c r="C2360" t="str">
        <f>'4M'!$C33&amp;" - "&amp;'4M'!P$5</f>
        <v>Resilience - Foul</v>
      </c>
      <c r="D2360" s="1620" t="str">
        <f t="shared" si="48"/>
        <v>£m</v>
      </c>
      <c r="E2360" s="1636" t="s">
        <v>9</v>
      </c>
      <c r="G2360" s="1635">
        <f>'4M'!P33</f>
        <v>0</v>
      </c>
      <c r="H2360" s="1636"/>
    </row>
    <row r="2361" spans="1:8">
      <c r="A2361" s="1620" t="str">
        <f>INDEX(Lists!$C$4:$C$24,MATCH(Validation!$B$3,Lists!$B$4:$B$24,0))</f>
        <v>TMS</v>
      </c>
      <c r="B2361" s="1732" t="str">
        <f>'4M'!BR34</f>
        <v>BC31785FLCUM</v>
      </c>
      <c r="C2361" t="str">
        <f>'4M'!$C34&amp;" - "&amp;'4M'!P$5</f>
        <v>SEMD - Foul</v>
      </c>
      <c r="D2361" s="1620" t="str">
        <f t="shared" si="48"/>
        <v>£m</v>
      </c>
      <c r="E2361" s="1636" t="s">
        <v>9</v>
      </c>
      <c r="G2361" s="1635">
        <f>'4M'!P34</f>
        <v>0</v>
      </c>
      <c r="H2361" s="1636"/>
    </row>
    <row r="2362" spans="1:8">
      <c r="A2362" s="1620" t="str">
        <f>INDEX(Lists!$C$4:$C$24,MATCH(Validation!$B$3,Lists!$B$4:$B$24,0))</f>
        <v>TMS</v>
      </c>
      <c r="B2362" s="1732" t="str">
        <f>'4M'!BR35</f>
        <v>S3023FLCUM</v>
      </c>
      <c r="C2362" t="str">
        <f>'4M'!$C35&amp;" - "&amp;'4M'!P$5</f>
        <v>Reduce flooding risk for properties - Foul</v>
      </c>
      <c r="D2362" s="1620" t="str">
        <f t="shared" si="48"/>
        <v>£m</v>
      </c>
      <c r="E2362" s="1636" t="s">
        <v>9</v>
      </c>
      <c r="G2362" s="1635">
        <f>'4M'!P35</f>
        <v>6.656712127993492</v>
      </c>
      <c r="H2362" s="1636"/>
    </row>
    <row r="2363" spans="1:8">
      <c r="A2363" s="1620" t="str">
        <f>INDEX(Lists!$C$4:$C$24,MATCH(Validation!$B$3,Lists!$B$4:$B$24,0))</f>
        <v>TMS</v>
      </c>
      <c r="B2363" s="1732" t="str">
        <f>'4M'!BR36</f>
        <v>S3A00001FLCUM</v>
      </c>
      <c r="C2363" s="1732" t="str">
        <f>"Capital expenditure purpose - WASTEWATER additional line 1 [Other categories] - "&amp;'4M'!$P$5</f>
        <v>Capital expenditure purpose - WASTEWATER additional line 1 [Other categories] - Foul</v>
      </c>
      <c r="D2363" s="1620" t="str">
        <f t="shared" si="48"/>
        <v>£m</v>
      </c>
      <c r="E2363" s="1636" t="s">
        <v>9</v>
      </c>
      <c r="F2363" s="2" t="str">
        <f>F2019</f>
        <v>Quality spend at CSOs and quality allocation to Deephams inlet works</v>
      </c>
      <c r="G2363" s="1635">
        <f>IF(ISBLANK('4M'!P36), "##BLANK", '4M'!P36)</f>
        <v>0</v>
      </c>
      <c r="H2363" s="1636"/>
    </row>
    <row r="2364" spans="1:8">
      <c r="A2364" s="1620" t="str">
        <f>INDEX(Lists!$C$4:$C$24,MATCH(Validation!$B$3,Lists!$B$4:$B$24,0))</f>
        <v>TMS</v>
      </c>
      <c r="B2364" s="1732" t="str">
        <f>'4M'!BR37</f>
        <v>S3A00002FLCUM</v>
      </c>
      <c r="C2364" s="1732" t="str">
        <f>"Capital expenditure purpose - WASTEWATER additional line 2 [Other categories] - "&amp;'4M'!$P$5</f>
        <v>Capital expenditure purpose - WASTEWATER additional line 2 [Other categories] - Foul</v>
      </c>
      <c r="D2364" s="1620" t="str">
        <f t="shared" si="48"/>
        <v>£m</v>
      </c>
      <c r="E2364" s="1636" t="s">
        <v>9</v>
      </c>
      <c r="F2364" s="2" t="str">
        <f t="shared" ref="F2364:F2377" si="49">F2020</f>
        <v>Tideway quality (NEP). Excludes Lee Tunnel and sludge.</v>
      </c>
      <c r="G2364" s="1635">
        <f>IF(ISBLANK('4M'!P37), "##BLANK", '4M'!P37)</f>
        <v>0</v>
      </c>
      <c r="H2364" s="1636"/>
    </row>
    <row r="2365" spans="1:8">
      <c r="A2365" s="1620" t="str">
        <f>INDEX(Lists!$C$4:$C$24,MATCH(Validation!$B$3,Lists!$B$4:$B$24,0))</f>
        <v>TMS</v>
      </c>
      <c r="B2365" s="1732" t="str">
        <f>'4M'!BR38</f>
        <v>S3A00003FLCUM</v>
      </c>
      <c r="C2365" s="1732" t="str">
        <f>"Capital expenditure purpose - WASTEWATER additional line 3 [Other categories] - "&amp;'4M'!$P$5</f>
        <v>Capital expenditure purpose - WASTEWATER additional line 3 [Other categories] - Foul</v>
      </c>
      <c r="D2365" s="1620" t="str">
        <f t="shared" si="48"/>
        <v>£m</v>
      </c>
      <c r="E2365" s="1636" t="s">
        <v>9</v>
      </c>
      <c r="F2365" s="2" t="str">
        <f t="shared" si="49"/>
        <v>Lee Tunnel</v>
      </c>
      <c r="G2365" s="1635">
        <f>IF(ISBLANK('4M'!P38), "##BLANK", '4M'!P38)</f>
        <v>0</v>
      </c>
      <c r="H2365" s="1636"/>
    </row>
    <row r="2366" spans="1:8">
      <c r="A2366" s="1620" t="str">
        <f>INDEX(Lists!$C$4:$C$24,MATCH(Validation!$B$3,Lists!$B$4:$B$24,0))</f>
        <v>TMS</v>
      </c>
      <c r="B2366" s="1732" t="str">
        <f>'4M'!BR39</f>
        <v>S3A00004FLCUM</v>
      </c>
      <c r="C2366" s="1732" t="str">
        <f>"Capital expenditure purpose - WASTEWATER additional line 4 [Other categories] - "&amp;'4M'!$P$5</f>
        <v>Capital expenditure purpose - WASTEWATER additional line 4 [Other categories] - Foul</v>
      </c>
      <c r="D2366" s="1620" t="str">
        <f t="shared" si="48"/>
        <v>£m</v>
      </c>
      <c r="E2366" s="1636" t="s">
        <v>9</v>
      </c>
      <c r="F2366" s="2" t="str">
        <f t="shared" si="49"/>
        <v>Non-SEMD related security enhancement (revised Ofwat guidance 6 July 2018)</v>
      </c>
      <c r="G2366" s="1635">
        <f>IF(ISBLANK('4M'!P39), "##BLANK", '4M'!P39)</f>
        <v>0.31112623239455073</v>
      </c>
      <c r="H2366" s="1636"/>
    </row>
    <row r="2367" spans="1:8">
      <c r="A2367" s="1620" t="str">
        <f>INDEX(Lists!$C$4:$C$24,MATCH(Validation!$B$3,Lists!$B$4:$B$24,0))</f>
        <v>TMS</v>
      </c>
      <c r="B2367" s="1732" t="str">
        <f>'4M'!BR40</f>
        <v>S3A00005FLCUM</v>
      </c>
      <c r="C2367" s="1732" t="str">
        <f>"Capital expenditure purpose - WASTEWATER additional line 5 [Other categories] - "&amp;'4M'!$P$5</f>
        <v>Capital expenditure purpose - WASTEWATER additional line 5 [Other categories] - Foul</v>
      </c>
      <c r="D2367" s="1620" t="str">
        <f t="shared" si="48"/>
        <v>£m</v>
      </c>
      <c r="E2367" s="1636" t="s">
        <v>9</v>
      </c>
      <c r="F2367" s="2" t="str">
        <f t="shared" si="49"/>
        <v>##BLANK</v>
      </c>
      <c r="G2367" s="1635" t="str">
        <f>IF(ISBLANK('4M'!P40), "##BLANK", '4M'!P40)</f>
        <v>##BLANK</v>
      </c>
      <c r="H2367" s="1636"/>
    </row>
    <row r="2368" spans="1:8">
      <c r="A2368" s="1620" t="str">
        <f>INDEX(Lists!$C$4:$C$24,MATCH(Validation!$B$3,Lists!$B$4:$B$24,0))</f>
        <v>TMS</v>
      </c>
      <c r="B2368" s="1732" t="str">
        <f>'4M'!BR41</f>
        <v>S3A00006FLCUM</v>
      </c>
      <c r="C2368" s="1732" t="str">
        <f>"Capital expenditure purpose - WASTEWATER additional line 6 [Other categories] - "&amp;'4M'!$P$5</f>
        <v>Capital expenditure purpose - WASTEWATER additional line 6 [Other categories] - Foul</v>
      </c>
      <c r="D2368" s="1620" t="str">
        <f t="shared" si="48"/>
        <v>£m</v>
      </c>
      <c r="E2368" s="1636" t="s">
        <v>9</v>
      </c>
      <c r="F2368" s="2" t="str">
        <f t="shared" si="49"/>
        <v>##BLANK</v>
      </c>
      <c r="G2368" s="1635" t="str">
        <f>IF(ISBLANK('4M'!P41), "##BLANK", '4M'!P41)</f>
        <v>##BLANK</v>
      </c>
      <c r="H2368" s="1636"/>
    </row>
    <row r="2369" spans="1:8">
      <c r="A2369" s="1620" t="str">
        <f>INDEX(Lists!$C$4:$C$24,MATCH(Validation!$B$3,Lists!$B$4:$B$24,0))</f>
        <v>TMS</v>
      </c>
      <c r="B2369" s="1732" t="str">
        <f>'4M'!BR42</f>
        <v>S3A00007FLCUM</v>
      </c>
      <c r="C2369" s="1732" t="str">
        <f>"Capital expenditure purpose - WASTEWATER additional line 7 [Other categories] - "&amp;'4M'!$P$5</f>
        <v>Capital expenditure purpose - WASTEWATER additional line 7 [Other categories] - Foul</v>
      </c>
      <c r="D2369" s="1620" t="str">
        <f t="shared" si="48"/>
        <v>£m</v>
      </c>
      <c r="E2369" s="1636" t="s">
        <v>9</v>
      </c>
      <c r="F2369" s="2" t="str">
        <f t="shared" si="49"/>
        <v>##BLANK</v>
      </c>
      <c r="G2369" s="1635" t="str">
        <f>IF(ISBLANK('4M'!P42), "##BLANK", '4M'!P42)</f>
        <v>##BLANK</v>
      </c>
      <c r="H2369" s="1636"/>
    </row>
    <row r="2370" spans="1:8">
      <c r="A2370" s="1620" t="str">
        <f>INDEX(Lists!$C$4:$C$24,MATCH(Validation!$B$3,Lists!$B$4:$B$24,0))</f>
        <v>TMS</v>
      </c>
      <c r="B2370" s="1732" t="str">
        <f>'4M'!BR43</f>
        <v>S3A00008FLCUM</v>
      </c>
      <c r="C2370" s="1732" t="str">
        <f>"Capital expenditure purpose - WASTEWATER additional line 8 [Other categories] - "&amp;'4M'!$P$5</f>
        <v>Capital expenditure purpose - WASTEWATER additional line 8 [Other categories] - Foul</v>
      </c>
      <c r="D2370" s="1620" t="str">
        <f t="shared" si="48"/>
        <v>£m</v>
      </c>
      <c r="E2370" s="1636" t="s">
        <v>9</v>
      </c>
      <c r="F2370" s="2" t="str">
        <f t="shared" si="49"/>
        <v>##BLANK</v>
      </c>
      <c r="G2370" s="1635" t="str">
        <f>IF(ISBLANK('4M'!P43), "##BLANK", '4M'!P43)</f>
        <v>##BLANK</v>
      </c>
      <c r="H2370" s="1636"/>
    </row>
    <row r="2371" spans="1:8">
      <c r="A2371" s="1620" t="str">
        <f>INDEX(Lists!$C$4:$C$24,MATCH(Validation!$B$3,Lists!$B$4:$B$24,0))</f>
        <v>TMS</v>
      </c>
      <c r="B2371" s="1732" t="str">
        <f>'4M'!BR44</f>
        <v>S3A00009FLCUM</v>
      </c>
      <c r="C2371" s="1732" t="str">
        <f>"Capital expenditure purpose - WASTEWATER additional line 9 [Other categories] - "&amp;'4M'!$P$5</f>
        <v>Capital expenditure purpose - WASTEWATER additional line 9 [Other categories] - Foul</v>
      </c>
      <c r="D2371" s="1620" t="str">
        <f t="shared" si="48"/>
        <v>£m</v>
      </c>
      <c r="E2371" s="1636" t="s">
        <v>9</v>
      </c>
      <c r="F2371" s="2" t="str">
        <f t="shared" si="49"/>
        <v>##BLANK</v>
      </c>
      <c r="G2371" s="1635" t="str">
        <f>IF(ISBLANK('4M'!P44), "##BLANK", '4M'!P44)</f>
        <v>##BLANK</v>
      </c>
      <c r="H2371" s="1636"/>
    </row>
    <row r="2372" spans="1:8">
      <c r="A2372" s="1620" t="str">
        <f>INDEX(Lists!$C$4:$C$24,MATCH(Validation!$B$3,Lists!$B$4:$B$24,0))</f>
        <v>TMS</v>
      </c>
      <c r="B2372" s="1732" t="str">
        <f>'4M'!BR45</f>
        <v>S3A00010FLCUM</v>
      </c>
      <c r="C2372" s="1732" t="str">
        <f>"Capital expenditure purpose - WASTEWATER additional line 10 [Other categories] - "&amp;'4M'!$P$5</f>
        <v>Capital expenditure purpose - WASTEWATER additional line 10 [Other categories] - Foul</v>
      </c>
      <c r="D2372" s="1620" t="str">
        <f t="shared" si="48"/>
        <v>£m</v>
      </c>
      <c r="E2372" s="1636" t="s">
        <v>9</v>
      </c>
      <c r="F2372" s="2" t="str">
        <f t="shared" si="49"/>
        <v>##BLANK</v>
      </c>
      <c r="G2372" s="1635" t="str">
        <f>IF(ISBLANK('4M'!P45), "##BLANK", '4M'!P45)</f>
        <v>##BLANK</v>
      </c>
      <c r="H2372" s="1636"/>
    </row>
    <row r="2373" spans="1:8">
      <c r="A2373" s="1620" t="str">
        <f>INDEX(Lists!$C$4:$C$24,MATCH(Validation!$B$3,Lists!$B$4:$B$24,0))</f>
        <v>TMS</v>
      </c>
      <c r="B2373" s="1732" t="str">
        <f>'4M'!BR46</f>
        <v>S3A00011FLCUM</v>
      </c>
      <c r="C2373" s="1732" t="str">
        <f>"Capital expenditure purpose - WASTEWATER additional line 11 [Other categories] - "&amp;'4M'!$P$5</f>
        <v>Capital expenditure purpose - WASTEWATER additional line 11 [Other categories] - Foul</v>
      </c>
      <c r="D2373" s="1620" t="str">
        <f t="shared" si="48"/>
        <v>£m</v>
      </c>
      <c r="E2373" s="1636" t="s">
        <v>9</v>
      </c>
      <c r="F2373" s="2" t="str">
        <f t="shared" si="49"/>
        <v>##BLANK</v>
      </c>
      <c r="G2373" s="1635" t="str">
        <f>IF(ISBLANK('4M'!P46), "##BLANK", '4M'!P46)</f>
        <v>##BLANK</v>
      </c>
      <c r="H2373" s="1636"/>
    </row>
    <row r="2374" spans="1:8">
      <c r="A2374" s="1620" t="str">
        <f>INDEX(Lists!$C$4:$C$24,MATCH(Validation!$B$3,Lists!$B$4:$B$24,0))</f>
        <v>TMS</v>
      </c>
      <c r="B2374" s="1732" t="str">
        <f>'4M'!BR47</f>
        <v>S3A00012FLCUM</v>
      </c>
      <c r="C2374" s="1732" t="str">
        <f>"Capital expenditure purpose - WASTEWATER additional line 12 [Other categories] - "&amp;'4M'!$P$5</f>
        <v>Capital expenditure purpose - WASTEWATER additional line 12 [Other categories] - Foul</v>
      </c>
      <c r="D2374" s="1620" t="str">
        <f t="shared" si="48"/>
        <v>£m</v>
      </c>
      <c r="E2374" s="1636" t="s">
        <v>9</v>
      </c>
      <c r="F2374" s="2" t="str">
        <f t="shared" si="49"/>
        <v>##BLANK</v>
      </c>
      <c r="G2374" s="1635" t="str">
        <f>IF(ISBLANK('4M'!P47), "##BLANK", '4M'!P47)</f>
        <v>##BLANK</v>
      </c>
      <c r="H2374" s="1636"/>
    </row>
    <row r="2375" spans="1:8">
      <c r="A2375" s="1620" t="str">
        <f>INDEX(Lists!$C$4:$C$24,MATCH(Validation!$B$3,Lists!$B$4:$B$24,0))</f>
        <v>TMS</v>
      </c>
      <c r="B2375" s="1732" t="str">
        <f>'4M'!BR48</f>
        <v>S3A00013FLCUM</v>
      </c>
      <c r="C2375" s="1732" t="str">
        <f>"Capital expenditure purpose - WASTEWATER additional line 13 [Other categories] - "&amp;'4M'!$P$5</f>
        <v>Capital expenditure purpose - WASTEWATER additional line 13 [Other categories] - Foul</v>
      </c>
      <c r="D2375" s="1620" t="str">
        <f t="shared" si="48"/>
        <v>£m</v>
      </c>
      <c r="E2375" s="1636" t="s">
        <v>9</v>
      </c>
      <c r="F2375" s="2" t="str">
        <f t="shared" si="49"/>
        <v>##BLANK</v>
      </c>
      <c r="G2375" s="1635" t="str">
        <f>IF(ISBLANK('4M'!P48), "##BLANK", '4M'!P48)</f>
        <v>##BLANK</v>
      </c>
      <c r="H2375" s="1636"/>
    </row>
    <row r="2376" spans="1:8">
      <c r="A2376" s="1620" t="str">
        <f>INDEX(Lists!$C$4:$C$24,MATCH(Validation!$B$3,Lists!$B$4:$B$24,0))</f>
        <v>TMS</v>
      </c>
      <c r="B2376" s="1732" t="str">
        <f>'4M'!BR49</f>
        <v>S3A00014FLCUM</v>
      </c>
      <c r="C2376" s="1732" t="str">
        <f>"Capital expenditure purpose - WASTEWATER additional line 14 [Other categories] - "&amp;'4M'!$P$5</f>
        <v>Capital expenditure purpose - WASTEWATER additional line 14 [Other categories] - Foul</v>
      </c>
      <c r="D2376" s="1620" t="str">
        <f t="shared" si="48"/>
        <v>£m</v>
      </c>
      <c r="E2376" s="1636" t="s">
        <v>9</v>
      </c>
      <c r="F2376" s="2" t="str">
        <f t="shared" si="49"/>
        <v>##BLANK</v>
      </c>
      <c r="G2376" s="1635" t="str">
        <f>IF(ISBLANK('4M'!P49), "##BLANK", '4M'!P49)</f>
        <v>##BLANK</v>
      </c>
      <c r="H2376" s="1636"/>
    </row>
    <row r="2377" spans="1:8">
      <c r="A2377" s="1730" t="str">
        <f>INDEX(Lists!$C$4:$C$24,MATCH(Validation!$B$3,Lists!$B$4:$B$24,0))</f>
        <v>TMS</v>
      </c>
      <c r="B2377" s="1734" t="str">
        <f>'4M'!BR50</f>
        <v>S3A00015FLCUM</v>
      </c>
      <c r="C2377" s="1734" t="str">
        <f>"Capital expenditure purpose - WASTEWATER additional line 15 [Other categories] - "&amp;'4M'!$P$5</f>
        <v>Capital expenditure purpose - WASTEWATER additional line 15 [Other categories] - Foul</v>
      </c>
      <c r="D2377" s="1730" t="str">
        <f t="shared" si="48"/>
        <v>£m</v>
      </c>
      <c r="E2377" s="1652" t="s">
        <v>9</v>
      </c>
      <c r="F2377" s="1637" t="str">
        <f t="shared" si="49"/>
        <v>##BLANK</v>
      </c>
      <c r="G2377" s="1653" t="str">
        <f>IF(ISBLANK('4M'!P50), "##BLANK", '4M'!P50)</f>
        <v>##BLANK</v>
      </c>
      <c r="H2377" s="1652"/>
    </row>
    <row r="2378" spans="1:8">
      <c r="A2378" s="1620" t="str">
        <f>INDEX(Lists!$C$4:$C$24,MATCH(Validation!$B$3,Lists!$B$4:$B$24,0))</f>
        <v>TMS</v>
      </c>
      <c r="B2378" s="1732" t="str">
        <f>'4M'!BS8</f>
        <v>BC31379SWDCUM</v>
      </c>
      <c r="C2378" t="str">
        <f>'4M'!$C8&amp;" - "&amp;'4M'!Q$5</f>
        <v>First time sewerage (s101A) - Surface water drainage</v>
      </c>
      <c r="D2378" s="1620" t="str">
        <f t="shared" si="48"/>
        <v>£m</v>
      </c>
      <c r="E2378" s="1636" t="s">
        <v>9</v>
      </c>
      <c r="G2378" s="1635">
        <f>'4M'!Q8</f>
        <v>0</v>
      </c>
      <c r="H2378" s="1636"/>
    </row>
    <row r="2379" spans="1:8">
      <c r="A2379" s="1620" t="str">
        <f>INDEX(Lists!$C$4:$C$24,MATCH(Validation!$B$3,Lists!$B$4:$B$24,0))</f>
        <v>TMS</v>
      </c>
      <c r="B2379" s="1732" t="str">
        <f>'4M'!BS9</f>
        <v>S3035QSWDCUM</v>
      </c>
      <c r="C2379" t="str">
        <f>'4M'!$C9&amp;" - "&amp;'4M'!Q$5</f>
        <v>Sludge enhancement (quality) - Surface water drainage</v>
      </c>
      <c r="D2379" s="1620" t="str">
        <f t="shared" si="48"/>
        <v>£m</v>
      </c>
      <c r="E2379" s="1636" t="s">
        <v>9</v>
      </c>
      <c r="G2379" s="1635">
        <f>'4M'!Q9</f>
        <v>0</v>
      </c>
      <c r="H2379" s="1636"/>
    </row>
    <row r="2380" spans="1:8">
      <c r="A2380" s="1620" t="str">
        <f>INDEX(Lists!$C$4:$C$24,MATCH(Validation!$B$3,Lists!$B$4:$B$24,0))</f>
        <v>TMS</v>
      </c>
      <c r="B2380" s="1732" t="str">
        <f>'4M'!BS10</f>
        <v>S3036GSWDCUM</v>
      </c>
      <c r="C2380" t="str">
        <f>'4M'!$C10&amp;" - "&amp;'4M'!Q$5</f>
        <v>Sludge enhancement (growth) - Surface water drainage</v>
      </c>
      <c r="D2380" s="1620" t="str">
        <f t="shared" si="48"/>
        <v>£m</v>
      </c>
      <c r="E2380" s="1636" t="s">
        <v>9</v>
      </c>
      <c r="G2380" s="1635">
        <f>'4M'!Q10</f>
        <v>0</v>
      </c>
      <c r="H2380" s="1636"/>
    </row>
    <row r="2381" spans="1:8">
      <c r="A2381" s="1620" t="str">
        <f>INDEX(Lists!$C$4:$C$24,MATCH(Validation!$B$3,Lists!$B$4:$B$24,0))</f>
        <v>TMS</v>
      </c>
      <c r="B2381" s="1732" t="str">
        <f>'4M'!BS11</f>
        <v>S3004SWDCUM</v>
      </c>
      <c r="C2381" t="str">
        <f>'4M'!$C11&amp;" - "&amp;'4M'!Q$5</f>
        <v>NEP - Conservation drivers - Surface water drainage</v>
      </c>
      <c r="D2381" s="1620" t="str">
        <f t="shared" si="48"/>
        <v>£m</v>
      </c>
      <c r="E2381" s="1636" t="s">
        <v>9</v>
      </c>
      <c r="G2381" s="1635">
        <f>'4M'!Q11</f>
        <v>0</v>
      </c>
      <c r="H2381" s="1636"/>
    </row>
    <row r="2382" spans="1:8">
      <c r="A2382" s="1620" t="str">
        <f>INDEX(Lists!$C$4:$C$24,MATCH(Validation!$B$3,Lists!$B$4:$B$24,0))</f>
        <v>TMS</v>
      </c>
      <c r="B2382" s="1732" t="str">
        <f>'4M'!BS12</f>
        <v>WWS2001SWDCUM</v>
      </c>
      <c r="C2382" t="str">
        <f>'4M'!$C12&amp;" - "&amp;'4M'!Q$5</f>
        <v>NEP - Eels Regulations (measures at outfalls) - Surface water drainage</v>
      </c>
      <c r="D2382" s="1620" t="str">
        <f t="shared" si="48"/>
        <v>£m</v>
      </c>
      <c r="E2382" s="1636" t="s">
        <v>9</v>
      </c>
      <c r="G2382" s="1635">
        <f>'4M'!Q12</f>
        <v>0</v>
      </c>
      <c r="H2382" s="1636"/>
    </row>
    <row r="2383" spans="1:8">
      <c r="A2383" s="1620" t="str">
        <f>INDEX(Lists!$C$4:$C$24,MATCH(Validation!$B$3,Lists!$B$4:$B$24,0))</f>
        <v>TMS</v>
      </c>
      <c r="B2383" s="1732" t="str">
        <f>'4M'!BS13</f>
        <v>S3005SWDCUM</v>
      </c>
      <c r="C2383" t="str">
        <f>'4M'!$C13&amp;" - "&amp;'4M'!Q$5</f>
        <v>NEP - Event Duration Monitoring at intermittent discharges - Surface water drainage</v>
      </c>
      <c r="D2383" s="1620" t="str">
        <f t="shared" si="48"/>
        <v>£m</v>
      </c>
      <c r="E2383" s="1636" t="s">
        <v>9</v>
      </c>
      <c r="G2383" s="1635">
        <f>'4M'!Q13</f>
        <v>0</v>
      </c>
      <c r="H2383" s="1636"/>
    </row>
    <row r="2384" spans="1:8">
      <c r="A2384" s="1620" t="str">
        <f>INDEX(Lists!$C$4:$C$24,MATCH(Validation!$B$3,Lists!$B$4:$B$24,0))</f>
        <v>TMS</v>
      </c>
      <c r="B2384" s="1732" t="str">
        <f>'4M'!BS14</f>
        <v>S3006SWDCUM</v>
      </c>
      <c r="C2384" t="str">
        <f>'4M'!$C14&amp;" - "&amp;'4M'!Q$5</f>
        <v>NEP - Flow monitoring at sewage treatment works - Surface water drainage</v>
      </c>
      <c r="D2384" s="1620" t="str">
        <f t="shared" si="48"/>
        <v>£m</v>
      </c>
      <c r="E2384" s="1636" t="s">
        <v>9</v>
      </c>
      <c r="G2384" s="1635">
        <f>'4M'!Q14</f>
        <v>0</v>
      </c>
      <c r="H2384" s="1636"/>
    </row>
    <row r="2385" spans="1:8">
      <c r="A2385" s="1620" t="str">
        <f>INDEX(Lists!$C$4:$C$24,MATCH(Validation!$B$3,Lists!$B$4:$B$24,0))</f>
        <v>TMS</v>
      </c>
      <c r="B2385" s="1732" t="str">
        <f>'4M'!BS15</f>
        <v>S3007SWDCUM</v>
      </c>
      <c r="C2385" t="str">
        <f>'4M'!$C15&amp;" - "&amp;'4M'!Q$5</f>
        <v>NEP - Monitoring of pass forward flows at CSOs - Surface water drainage</v>
      </c>
      <c r="D2385" s="1620" t="str">
        <f t="shared" si="48"/>
        <v>£m</v>
      </c>
      <c r="E2385" s="1636" t="s">
        <v>9</v>
      </c>
      <c r="G2385" s="1635">
        <f>'4M'!Q15</f>
        <v>0</v>
      </c>
      <c r="H2385" s="1636"/>
    </row>
    <row r="2386" spans="1:8">
      <c r="A2386" s="1620" t="str">
        <f>INDEX(Lists!$C$4:$C$24,MATCH(Validation!$B$3,Lists!$B$4:$B$24,0))</f>
        <v>TMS</v>
      </c>
      <c r="B2386" s="1732" t="str">
        <f>'4M'!BS16</f>
        <v>WWS2002SWDCUM</v>
      </c>
      <c r="C2386" t="str">
        <f>'4M'!$C16&amp;" - "&amp;'4M'!Q$5</f>
        <v>NEP - Schemes to increase flow to full treatment - Surface water drainage</v>
      </c>
      <c r="D2386" s="1620" t="str">
        <f t="shared" si="48"/>
        <v>£m</v>
      </c>
      <c r="E2386" s="1636" t="s">
        <v>9</v>
      </c>
      <c r="G2386" s="1635">
        <f>'4M'!Q16</f>
        <v>0</v>
      </c>
      <c r="H2386" s="1636"/>
    </row>
    <row r="2387" spans="1:8">
      <c r="A2387" s="1620" t="str">
        <f>INDEX(Lists!$C$4:$C$24,MATCH(Validation!$B$3,Lists!$B$4:$B$24,0))</f>
        <v>TMS</v>
      </c>
      <c r="B2387" s="1732" t="str">
        <f>'4M'!BS17</f>
        <v>WWS2003SWDCUM</v>
      </c>
      <c r="C2387" t="str">
        <f>'4M'!$C17&amp;" - "&amp;'4M'!Q$5</f>
        <v>NEP - Schemes to increase storm tank capacity - Surface water drainage</v>
      </c>
      <c r="D2387" s="1620" t="str">
        <f t="shared" si="48"/>
        <v>£m</v>
      </c>
      <c r="E2387" s="1636" t="s">
        <v>9</v>
      </c>
      <c r="G2387" s="1635">
        <f>'4M'!Q17</f>
        <v>0</v>
      </c>
      <c r="H2387" s="1636"/>
    </row>
    <row r="2388" spans="1:8">
      <c r="A2388" s="1620" t="str">
        <f>INDEX(Lists!$C$4:$C$24,MATCH(Validation!$B$3,Lists!$B$4:$B$24,0))</f>
        <v>TMS</v>
      </c>
      <c r="B2388" s="1732" t="str">
        <f>'4M'!BS18</f>
        <v>S3008SWDCUM</v>
      </c>
      <c r="C2388" t="str">
        <f>'4M'!$C18&amp;" - "&amp;'4M'!Q$5</f>
        <v>NEP - Storage schemes to reduce spill frequency at CSOs, storm tanks, etc - Surface water drainage</v>
      </c>
      <c r="D2388" s="1620" t="str">
        <f t="shared" si="48"/>
        <v>£m</v>
      </c>
      <c r="E2388" s="1636" t="s">
        <v>9</v>
      </c>
      <c r="G2388" s="1635">
        <f>'4M'!Q18</f>
        <v>0</v>
      </c>
      <c r="H2388" s="1636"/>
    </row>
    <row r="2389" spans="1:8">
      <c r="A2389" s="1620" t="str">
        <f>INDEX(Lists!$C$4:$C$24,MATCH(Validation!$B$3,Lists!$B$4:$B$24,0))</f>
        <v>TMS</v>
      </c>
      <c r="B2389" s="1732" t="str">
        <f>'4M'!BS19</f>
        <v>S3009SWDCUM</v>
      </c>
      <c r="C2389" t="str">
        <f>'4M'!$C19&amp;" - "&amp;'4M'!Q$5</f>
        <v>NEP - Chemicals monitoring/ investigations/ options appraisals - Surface water drainage</v>
      </c>
      <c r="D2389" s="1620" t="str">
        <f t="shared" si="48"/>
        <v>£m</v>
      </c>
      <c r="E2389" s="1636" t="s">
        <v>9</v>
      </c>
      <c r="G2389" s="1635">
        <f>'4M'!Q19</f>
        <v>0</v>
      </c>
      <c r="H2389" s="1636"/>
    </row>
    <row r="2390" spans="1:8">
      <c r="A2390" s="1620" t="str">
        <f>INDEX(Lists!$C$4:$C$24,MATCH(Validation!$B$3,Lists!$B$4:$B$24,0))</f>
        <v>TMS</v>
      </c>
      <c r="B2390" s="1732" t="str">
        <f>'4M'!BS20</f>
        <v>WWS2007SWDCUM</v>
      </c>
      <c r="C2390" t="str">
        <f>'4M'!$C20&amp;" - "&amp;'4M'!Q$5</f>
        <v>NEP - National phosphorus removal technology investigations - Surface water drainage</v>
      </c>
      <c r="D2390" s="1620" t="str">
        <f t="shared" si="48"/>
        <v>£m</v>
      </c>
      <c r="E2390" s="1636" t="s">
        <v>9</v>
      </c>
      <c r="G2390" s="1635">
        <f>'4M'!Q20</f>
        <v>0</v>
      </c>
      <c r="H2390" s="1636"/>
    </row>
    <row r="2391" spans="1:8">
      <c r="A2391" s="1620" t="str">
        <f>INDEX(Lists!$C$4:$C$24,MATCH(Validation!$B$3,Lists!$B$4:$B$24,0))</f>
        <v>TMS</v>
      </c>
      <c r="B2391" s="1732" t="str">
        <f>'4M'!BS21</f>
        <v>S3010SWDCUM</v>
      </c>
      <c r="C2391" t="str">
        <f>'4M'!$C21&amp;" - "&amp;'4M'!Q$5</f>
        <v>NEP - Groundwater schemes - Surface water drainage</v>
      </c>
      <c r="D2391" s="1620" t="str">
        <f t="shared" si="48"/>
        <v>£m</v>
      </c>
      <c r="E2391" s="1636" t="s">
        <v>9</v>
      </c>
      <c r="G2391" s="1635">
        <f>'4M'!Q21</f>
        <v>0</v>
      </c>
      <c r="H2391" s="1636"/>
    </row>
    <row r="2392" spans="1:8">
      <c r="A2392" s="1620" t="str">
        <f>INDEX(Lists!$C$4:$C$24,MATCH(Validation!$B$3,Lists!$B$4:$B$24,0))</f>
        <v>TMS</v>
      </c>
      <c r="B2392" s="1732" t="str">
        <f>'4M'!BS22</f>
        <v>S3011SWDCUM</v>
      </c>
      <c r="C2392" t="str">
        <f>'4M'!$C22&amp;" - "&amp;'4M'!Q$5</f>
        <v>NEP - Investigations - Surface water drainage</v>
      </c>
      <c r="D2392" s="1620" t="str">
        <f t="shared" si="48"/>
        <v>£m</v>
      </c>
      <c r="E2392" s="1636" t="s">
        <v>9</v>
      </c>
      <c r="G2392" s="1635">
        <f>'4M'!Q22</f>
        <v>0</v>
      </c>
      <c r="H2392" s="1636"/>
    </row>
    <row r="2393" spans="1:8">
      <c r="A2393" s="1620" t="str">
        <f>INDEX(Lists!$C$4:$C$24,MATCH(Validation!$B$3,Lists!$B$4:$B$24,0))</f>
        <v>TMS</v>
      </c>
      <c r="B2393" s="1732" t="str">
        <f>'4M'!BS23</f>
        <v>S3012SWDCUM</v>
      </c>
      <c r="C2393" t="str">
        <f>'4M'!$C23&amp;" - "&amp;'4M'!Q$5</f>
        <v>NEP - Nutrients (N removal) - Surface water drainage</v>
      </c>
      <c r="D2393" s="1620" t="str">
        <f t="shared" si="48"/>
        <v>£m</v>
      </c>
      <c r="E2393" s="1636" t="s">
        <v>9</v>
      </c>
      <c r="G2393" s="1635">
        <f>'4M'!Q23</f>
        <v>0</v>
      </c>
      <c r="H2393" s="1636"/>
    </row>
    <row r="2394" spans="1:8">
      <c r="A2394" s="1620" t="str">
        <f>INDEX(Lists!$C$4:$C$24,MATCH(Validation!$B$3,Lists!$B$4:$B$24,0))</f>
        <v>TMS</v>
      </c>
      <c r="B2394" s="1732" t="str">
        <f>'4M'!BS24</f>
        <v>S3013SWDCUM</v>
      </c>
      <c r="C2394" t="str">
        <f>'4M'!$C24&amp;" - "&amp;'4M'!Q$5</f>
        <v>NEP - Nutrients (P removal at activated sludge STWs) - Surface water drainage</v>
      </c>
      <c r="D2394" s="1620" t="str">
        <f t="shared" si="48"/>
        <v>£m</v>
      </c>
      <c r="E2394" s="1636" t="s">
        <v>9</v>
      </c>
      <c r="G2394" s="1635">
        <f>'4M'!Q24</f>
        <v>0</v>
      </c>
      <c r="H2394" s="1636"/>
    </row>
    <row r="2395" spans="1:8">
      <c r="A2395" s="1620" t="str">
        <f>INDEX(Lists!$C$4:$C$24,MATCH(Validation!$B$3,Lists!$B$4:$B$24,0))</f>
        <v>TMS</v>
      </c>
      <c r="B2395" s="1732" t="str">
        <f>'4M'!BS25</f>
        <v>S3014SWDCUM</v>
      </c>
      <c r="C2395" t="str">
        <f>'4M'!$C25&amp;" - "&amp;'4M'!Q$5</f>
        <v>NEP - Nutrients (P removal at filter bed STWs) - Surface water drainage</v>
      </c>
      <c r="D2395" s="1620" t="str">
        <f t="shared" si="48"/>
        <v>£m</v>
      </c>
      <c r="E2395" s="1636" t="s">
        <v>9</v>
      </c>
      <c r="G2395" s="1635">
        <f>'4M'!Q25</f>
        <v>0</v>
      </c>
      <c r="H2395" s="1636"/>
    </row>
    <row r="2396" spans="1:8">
      <c r="A2396" s="1620" t="str">
        <f>INDEX(Lists!$C$4:$C$24,MATCH(Validation!$B$3,Lists!$B$4:$B$24,0))</f>
        <v>TMS</v>
      </c>
      <c r="B2396" s="1732" t="str">
        <f>'4M'!BS26</f>
        <v>S3015SWDCUM</v>
      </c>
      <c r="C2396" t="str">
        <f>'4M'!$C26&amp;" - "&amp;'4M'!Q$5</f>
        <v>NEP - Reduction of sanitary parameters - Surface water drainage</v>
      </c>
      <c r="D2396" s="1620" t="str">
        <f t="shared" si="48"/>
        <v>£m</v>
      </c>
      <c r="E2396" s="1636" t="s">
        <v>9</v>
      </c>
      <c r="G2396" s="1635">
        <f>'4M'!Q26</f>
        <v>0</v>
      </c>
      <c r="H2396" s="1636"/>
    </row>
    <row r="2397" spans="1:8">
      <c r="A2397" s="1620" t="str">
        <f>INDEX(Lists!$C$4:$C$24,MATCH(Validation!$B$3,Lists!$B$4:$B$24,0))</f>
        <v>TMS</v>
      </c>
      <c r="B2397" s="1732" t="str">
        <f>'4M'!BS27</f>
        <v>S3016SWDCUM</v>
      </c>
      <c r="C2397" t="str">
        <f>'4M'!$C27&amp;" - "&amp;'4M'!Q$5</f>
        <v>NEP - UV disinfection (or similar) - Surface water drainage</v>
      </c>
      <c r="D2397" s="1620" t="str">
        <f t="shared" si="48"/>
        <v>£m</v>
      </c>
      <c r="E2397" s="1636" t="s">
        <v>9</v>
      </c>
      <c r="G2397" s="1635">
        <f>'4M'!Q27</f>
        <v>0</v>
      </c>
      <c r="H2397" s="1636"/>
    </row>
    <row r="2398" spans="1:8">
      <c r="A2398" s="1620" t="str">
        <f>INDEX(Lists!$C$4:$C$24,MATCH(Validation!$B$3,Lists!$B$4:$B$24,0))</f>
        <v>TMS</v>
      </c>
      <c r="B2398" s="1732" t="str">
        <f>'4M'!BS28</f>
        <v>S3017SWDCUM</v>
      </c>
      <c r="C2398" t="str">
        <f>'4M'!$C28&amp;" - "&amp;'4M'!Q$5</f>
        <v>NEP - Discharge relocation - Surface water drainage</v>
      </c>
      <c r="D2398" s="1620" t="str">
        <f t="shared" si="48"/>
        <v>£m</v>
      </c>
      <c r="E2398" s="1636" t="s">
        <v>9</v>
      </c>
      <c r="G2398" s="1635">
        <f>'4M'!Q28</f>
        <v>0</v>
      </c>
      <c r="H2398" s="1636"/>
    </row>
    <row r="2399" spans="1:8">
      <c r="A2399" s="1620" t="str">
        <f>INDEX(Lists!$C$4:$C$24,MATCH(Validation!$B$3,Lists!$B$4:$B$24,0))</f>
        <v>TMS</v>
      </c>
      <c r="B2399" s="1732" t="str">
        <f>'4M'!BS29</f>
        <v>S3018SWDCUM</v>
      </c>
      <c r="C2399" t="str">
        <f>'4M'!$C29&amp;" - "&amp;'4M'!Q$5</f>
        <v>NEP - Flow 1 schemes - Surface water drainage</v>
      </c>
      <c r="D2399" s="1620" t="str">
        <f t="shared" si="48"/>
        <v>£m</v>
      </c>
      <c r="E2399" s="1636" t="s">
        <v>9</v>
      </c>
      <c r="G2399" s="1635">
        <f>'4M'!Q29</f>
        <v>0</v>
      </c>
      <c r="H2399" s="1636"/>
    </row>
    <row r="2400" spans="1:8">
      <c r="A2400" s="1620" t="str">
        <f>INDEX(Lists!$C$4:$C$24,MATCH(Validation!$B$3,Lists!$B$4:$B$24,0))</f>
        <v>TMS</v>
      </c>
      <c r="B2400" s="1732" t="str">
        <f>'4M'!BS30</f>
        <v>S3019SWDCUM</v>
      </c>
      <c r="C2400" t="str">
        <f>'4M'!$C30&amp;" - "&amp;'4M'!Q$5</f>
        <v>Odour - Surface water drainage</v>
      </c>
      <c r="D2400" s="1620" t="str">
        <f t="shared" si="48"/>
        <v>£m</v>
      </c>
      <c r="E2400" s="1636" t="s">
        <v>9</v>
      </c>
      <c r="G2400" s="1635">
        <f>'4M'!Q30</f>
        <v>0</v>
      </c>
      <c r="H2400" s="1636"/>
    </row>
    <row r="2401" spans="1:8">
      <c r="A2401" s="1620" t="str">
        <f>INDEX(Lists!$C$4:$C$24,MATCH(Validation!$B$3,Lists!$B$4:$B$24,0))</f>
        <v>TMS</v>
      </c>
      <c r="B2401" s="1732" t="str">
        <f>'4M'!BS31</f>
        <v>S3020SWDCUM</v>
      </c>
      <c r="C2401" t="str">
        <f>'4M'!$C31&amp;" - "&amp;'4M'!Q$5</f>
        <v>New development and growth - Surface water drainage</v>
      </c>
      <c r="D2401" s="1620" t="str">
        <f t="shared" si="48"/>
        <v>£m</v>
      </c>
      <c r="E2401" s="1636" t="s">
        <v>9</v>
      </c>
      <c r="G2401" s="1635">
        <f>'4M'!Q31</f>
        <v>1.0952888794407201</v>
      </c>
      <c r="H2401" s="1636"/>
    </row>
    <row r="2402" spans="1:8">
      <c r="A2402" s="1620" t="str">
        <f>INDEX(Lists!$C$4:$C$24,MATCH(Validation!$B$3,Lists!$B$4:$B$24,0))</f>
        <v>TMS</v>
      </c>
      <c r="B2402" s="1732" t="str">
        <f>'4M'!BS32</f>
        <v>S3021SWDCUM</v>
      </c>
      <c r="C2402" t="str">
        <f>'4M'!$C32&amp;" - "&amp;'4M'!Q$5</f>
        <v>Growth at sewage treatment works (excluding sludge treatment) - Surface water drainage</v>
      </c>
      <c r="D2402" s="1620" t="str">
        <f t="shared" si="48"/>
        <v>£m</v>
      </c>
      <c r="E2402" s="1636" t="s">
        <v>9</v>
      </c>
      <c r="G2402" s="1635">
        <f>'4M'!Q32</f>
        <v>0</v>
      </c>
      <c r="H2402" s="1636"/>
    </row>
    <row r="2403" spans="1:8">
      <c r="A2403" s="1620" t="str">
        <f>INDEX(Lists!$C$4:$C$24,MATCH(Validation!$B$3,Lists!$B$4:$B$24,0))</f>
        <v>TMS</v>
      </c>
      <c r="B2403" s="1732" t="str">
        <f>'4M'!BS33</f>
        <v>S3022SWDCUM</v>
      </c>
      <c r="C2403" t="str">
        <f>'4M'!$C33&amp;" - "&amp;'4M'!Q$5</f>
        <v>Resilience - Surface water drainage</v>
      </c>
      <c r="D2403" s="1620" t="str">
        <f t="shared" si="48"/>
        <v>£m</v>
      </c>
      <c r="E2403" s="1636" t="s">
        <v>9</v>
      </c>
      <c r="G2403" s="1635">
        <f>'4M'!Q33</f>
        <v>0</v>
      </c>
      <c r="H2403" s="1636"/>
    </row>
    <row r="2404" spans="1:8">
      <c r="A2404" s="1620" t="str">
        <f>INDEX(Lists!$C$4:$C$24,MATCH(Validation!$B$3,Lists!$B$4:$B$24,0))</f>
        <v>TMS</v>
      </c>
      <c r="B2404" s="1732" t="str">
        <f>'4M'!BS34</f>
        <v>BC31785SWDCUM</v>
      </c>
      <c r="C2404" t="str">
        <f>'4M'!$C34&amp;" - "&amp;'4M'!Q$5</f>
        <v>SEMD - Surface water drainage</v>
      </c>
      <c r="D2404" s="1620" t="str">
        <f t="shared" si="48"/>
        <v>£m</v>
      </c>
      <c r="E2404" s="1636" t="s">
        <v>9</v>
      </c>
      <c r="G2404" s="1635">
        <f>'4M'!Q34</f>
        <v>0</v>
      </c>
      <c r="H2404" s="1636"/>
    </row>
    <row r="2405" spans="1:8">
      <c r="A2405" s="1620" t="str">
        <f>INDEX(Lists!$C$4:$C$24,MATCH(Validation!$B$3,Lists!$B$4:$B$24,0))</f>
        <v>TMS</v>
      </c>
      <c r="B2405" s="1732" t="str">
        <f>'4M'!BS35</f>
        <v>S3023SWDCUM</v>
      </c>
      <c r="C2405" t="str">
        <f>'4M'!$C35&amp;" - "&amp;'4M'!Q$5</f>
        <v>Reduce flooding risk for properties - Surface water drainage</v>
      </c>
      <c r="D2405" s="1620" t="str">
        <f t="shared" si="48"/>
        <v>£m</v>
      </c>
      <c r="E2405" s="1636" t="s">
        <v>9</v>
      </c>
      <c r="G2405" s="1635">
        <f>'4M'!Q35</f>
        <v>6.6502710798059375E-2</v>
      </c>
      <c r="H2405" s="1636"/>
    </row>
    <row r="2406" spans="1:8">
      <c r="A2406" s="1620" t="str">
        <f>INDEX(Lists!$C$4:$C$24,MATCH(Validation!$B$3,Lists!$B$4:$B$24,0))</f>
        <v>TMS</v>
      </c>
      <c r="B2406" s="1732" t="str">
        <f>'4M'!BS36</f>
        <v>S3A00001SWDCUM</v>
      </c>
      <c r="C2406" s="1732" t="str">
        <f>"Capital expenditure purpose - WASTEWATER additional line 1 [Other categories] - "&amp;'4M'!$Q$5</f>
        <v>Capital expenditure purpose - WASTEWATER additional line 1 [Other categories] - Surface water drainage</v>
      </c>
      <c r="D2406" s="1620" t="str">
        <f t="shared" si="48"/>
        <v>£m</v>
      </c>
      <c r="E2406" s="1636" t="s">
        <v>9</v>
      </c>
      <c r="F2406" s="2" t="str">
        <f>F2019</f>
        <v>Quality spend at CSOs and quality allocation to Deephams inlet works</v>
      </c>
      <c r="G2406" s="1635">
        <f>IF(ISBLANK('4M'!Q36), "##BLANK", '4M'!Q36)</f>
        <v>0</v>
      </c>
      <c r="H2406" s="1636"/>
    </row>
    <row r="2407" spans="1:8">
      <c r="A2407" s="1620" t="str">
        <f>INDEX(Lists!$C$4:$C$24,MATCH(Validation!$B$3,Lists!$B$4:$B$24,0))</f>
        <v>TMS</v>
      </c>
      <c r="B2407" s="1732" t="str">
        <f>'4M'!BS37</f>
        <v>S3A00002SWDCUM</v>
      </c>
      <c r="C2407" s="1732" t="str">
        <f>"Capital expenditure purpose - WASTEWATER additional line 2 [Other categories] - "&amp;'4M'!$Q$5</f>
        <v>Capital expenditure purpose - WASTEWATER additional line 2 [Other categories] - Surface water drainage</v>
      </c>
      <c r="D2407" s="1620" t="str">
        <f t="shared" si="48"/>
        <v>£m</v>
      </c>
      <c r="E2407" s="1636" t="s">
        <v>9</v>
      </c>
      <c r="F2407" s="2" t="str">
        <f t="shared" ref="F2407:F2420" si="50">F2020</f>
        <v>Tideway quality (NEP). Excludes Lee Tunnel and sludge.</v>
      </c>
      <c r="G2407" s="1635">
        <f>IF(ISBLANK('4M'!Q37), "##BLANK", '4M'!Q37)</f>
        <v>0</v>
      </c>
      <c r="H2407" s="1636"/>
    </row>
    <row r="2408" spans="1:8">
      <c r="A2408" s="1620" t="str">
        <f>INDEX(Lists!$C$4:$C$24,MATCH(Validation!$B$3,Lists!$B$4:$B$24,0))</f>
        <v>TMS</v>
      </c>
      <c r="B2408" s="1732" t="str">
        <f>'4M'!BS38</f>
        <v>S3A00003SWDCUM</v>
      </c>
      <c r="C2408" s="1732" t="str">
        <f>"Capital expenditure purpose - WASTEWATER additional line 3 [Other categories] - "&amp;'4M'!$Q$5</f>
        <v>Capital expenditure purpose - WASTEWATER additional line 3 [Other categories] - Surface water drainage</v>
      </c>
      <c r="D2408" s="1620" t="str">
        <f t="shared" si="48"/>
        <v>£m</v>
      </c>
      <c r="E2408" s="1636" t="s">
        <v>9</v>
      </c>
      <c r="F2408" s="2" t="str">
        <f t="shared" si="50"/>
        <v>Lee Tunnel</v>
      </c>
      <c r="G2408" s="1635">
        <f>IF(ISBLANK('4M'!Q38), "##BLANK", '4M'!Q38)</f>
        <v>0</v>
      </c>
      <c r="H2408" s="1636"/>
    </row>
    <row r="2409" spans="1:8">
      <c r="A2409" s="1620" t="str">
        <f>INDEX(Lists!$C$4:$C$24,MATCH(Validation!$B$3,Lists!$B$4:$B$24,0))</f>
        <v>TMS</v>
      </c>
      <c r="B2409" s="1732" t="str">
        <f>'4M'!BS39</f>
        <v>S3A00004SWDCUM</v>
      </c>
      <c r="C2409" s="1732" t="str">
        <f>"Capital expenditure purpose - WASTEWATER additional line 4 [Other categories] - "&amp;'4M'!$Q$5</f>
        <v>Capital expenditure purpose - WASTEWATER additional line 4 [Other categories] - Surface water drainage</v>
      </c>
      <c r="D2409" s="1620" t="str">
        <f t="shared" si="48"/>
        <v>£m</v>
      </c>
      <c r="E2409" s="1636" t="s">
        <v>9</v>
      </c>
      <c r="F2409" s="2" t="str">
        <f t="shared" si="50"/>
        <v>Non-SEMD related security enhancement (revised Ofwat guidance 6 July 2018)</v>
      </c>
      <c r="G2409" s="1635">
        <f>IF(ISBLANK('4M'!Q39), "##BLANK", '4M'!Q39)</f>
        <v>0.11120820463373179</v>
      </c>
      <c r="H2409" s="1636"/>
    </row>
    <row r="2410" spans="1:8">
      <c r="A2410" s="1620" t="str">
        <f>INDEX(Lists!$C$4:$C$24,MATCH(Validation!$B$3,Lists!$B$4:$B$24,0))</f>
        <v>TMS</v>
      </c>
      <c r="B2410" s="1732" t="str">
        <f>'4M'!BS40</f>
        <v>S3A00005SWDCUM</v>
      </c>
      <c r="C2410" s="1732" t="str">
        <f>"Capital expenditure purpose - WASTEWATER additional line 5 [Other categories] - "&amp;'4M'!$Q$5</f>
        <v>Capital expenditure purpose - WASTEWATER additional line 5 [Other categories] - Surface water drainage</v>
      </c>
      <c r="D2410" s="1620" t="str">
        <f t="shared" si="48"/>
        <v>£m</v>
      </c>
      <c r="E2410" s="1636" t="s">
        <v>9</v>
      </c>
      <c r="F2410" s="2" t="str">
        <f t="shared" si="50"/>
        <v>##BLANK</v>
      </c>
      <c r="G2410" s="1635" t="str">
        <f>IF(ISBLANK('4M'!Q40), "##BLANK", '4M'!Q40)</f>
        <v>##BLANK</v>
      </c>
      <c r="H2410" s="1636"/>
    </row>
    <row r="2411" spans="1:8">
      <c r="A2411" s="1620" t="str">
        <f>INDEX(Lists!$C$4:$C$24,MATCH(Validation!$B$3,Lists!$B$4:$B$24,0))</f>
        <v>TMS</v>
      </c>
      <c r="B2411" s="1732" t="str">
        <f>'4M'!BS41</f>
        <v>S3A00006SWDCUM</v>
      </c>
      <c r="C2411" s="1732" t="str">
        <f>"Capital expenditure purpose - WASTEWATER additional line 6 [Other categories] - "&amp;'4M'!$Q$5</f>
        <v>Capital expenditure purpose - WASTEWATER additional line 6 [Other categories] - Surface water drainage</v>
      </c>
      <c r="D2411" s="1620" t="str">
        <f t="shared" si="48"/>
        <v>£m</v>
      </c>
      <c r="E2411" s="1636" t="s">
        <v>9</v>
      </c>
      <c r="F2411" s="2" t="str">
        <f t="shared" si="50"/>
        <v>##BLANK</v>
      </c>
      <c r="G2411" s="1635" t="str">
        <f>IF(ISBLANK('4M'!Q41), "##BLANK", '4M'!Q41)</f>
        <v>##BLANK</v>
      </c>
      <c r="H2411" s="1636"/>
    </row>
    <row r="2412" spans="1:8">
      <c r="A2412" s="1620" t="str">
        <f>INDEX(Lists!$C$4:$C$24,MATCH(Validation!$B$3,Lists!$B$4:$B$24,0))</f>
        <v>TMS</v>
      </c>
      <c r="B2412" s="1732" t="str">
        <f>'4M'!BS42</f>
        <v>S3A00007SWDCUM</v>
      </c>
      <c r="C2412" s="1732" t="str">
        <f>"Capital expenditure purpose - WASTEWATER additional line 7 [Other categories] - "&amp;'4M'!$Q$5</f>
        <v>Capital expenditure purpose - WASTEWATER additional line 7 [Other categories] - Surface water drainage</v>
      </c>
      <c r="D2412" s="1620" t="str">
        <f t="shared" si="48"/>
        <v>£m</v>
      </c>
      <c r="E2412" s="1636" t="s">
        <v>9</v>
      </c>
      <c r="F2412" s="2" t="str">
        <f t="shared" si="50"/>
        <v>##BLANK</v>
      </c>
      <c r="G2412" s="1635" t="str">
        <f>IF(ISBLANK('4M'!Q42), "##BLANK", '4M'!Q42)</f>
        <v>##BLANK</v>
      </c>
      <c r="H2412" s="1636"/>
    </row>
    <row r="2413" spans="1:8">
      <c r="A2413" s="1620" t="str">
        <f>INDEX(Lists!$C$4:$C$24,MATCH(Validation!$B$3,Lists!$B$4:$B$24,0))</f>
        <v>TMS</v>
      </c>
      <c r="B2413" s="1732" t="str">
        <f>'4M'!BS43</f>
        <v>S3A00008SWDCUM</v>
      </c>
      <c r="C2413" s="1732" t="str">
        <f>"Capital expenditure purpose - WASTEWATER additional line 8 [Other categories] - "&amp;'4M'!$Q$5</f>
        <v>Capital expenditure purpose - WASTEWATER additional line 8 [Other categories] - Surface water drainage</v>
      </c>
      <c r="D2413" s="1620" t="str">
        <f t="shared" si="48"/>
        <v>£m</v>
      </c>
      <c r="E2413" s="1636" t="s">
        <v>9</v>
      </c>
      <c r="F2413" s="2" t="str">
        <f t="shared" si="50"/>
        <v>##BLANK</v>
      </c>
      <c r="G2413" s="1635" t="str">
        <f>IF(ISBLANK('4M'!Q43), "##BLANK", '4M'!Q43)</f>
        <v>##BLANK</v>
      </c>
      <c r="H2413" s="1636"/>
    </row>
    <row r="2414" spans="1:8">
      <c r="A2414" s="1620" t="str">
        <f>INDEX(Lists!$C$4:$C$24,MATCH(Validation!$B$3,Lists!$B$4:$B$24,0))</f>
        <v>TMS</v>
      </c>
      <c r="B2414" s="1732" t="str">
        <f>'4M'!BS44</f>
        <v>S3A00009SWDCUM</v>
      </c>
      <c r="C2414" s="1732" t="str">
        <f>"Capital expenditure purpose - WASTEWATER additional line 9 [Other categories] - "&amp;'4M'!$Q$5</f>
        <v>Capital expenditure purpose - WASTEWATER additional line 9 [Other categories] - Surface water drainage</v>
      </c>
      <c r="D2414" s="1620" t="str">
        <f t="shared" si="48"/>
        <v>£m</v>
      </c>
      <c r="E2414" s="1636" t="s">
        <v>9</v>
      </c>
      <c r="F2414" s="2" t="str">
        <f t="shared" si="50"/>
        <v>##BLANK</v>
      </c>
      <c r="G2414" s="1635" t="str">
        <f>IF(ISBLANK('4M'!Q44), "##BLANK", '4M'!Q44)</f>
        <v>##BLANK</v>
      </c>
      <c r="H2414" s="1636"/>
    </row>
    <row r="2415" spans="1:8">
      <c r="A2415" s="1620" t="str">
        <f>INDEX(Lists!$C$4:$C$24,MATCH(Validation!$B$3,Lists!$B$4:$B$24,0))</f>
        <v>TMS</v>
      </c>
      <c r="B2415" s="1732" t="str">
        <f>'4M'!BS45</f>
        <v>S3A00010SWDCUM</v>
      </c>
      <c r="C2415" s="1732" t="str">
        <f>"Capital expenditure purpose - WASTEWATER additional line 10 [Other categories] - "&amp;'4M'!$Q$5</f>
        <v>Capital expenditure purpose - WASTEWATER additional line 10 [Other categories] - Surface water drainage</v>
      </c>
      <c r="D2415" s="1620" t="str">
        <f t="shared" si="48"/>
        <v>£m</v>
      </c>
      <c r="E2415" s="1636" t="s">
        <v>9</v>
      </c>
      <c r="F2415" s="2" t="str">
        <f t="shared" si="50"/>
        <v>##BLANK</v>
      </c>
      <c r="G2415" s="1635" t="str">
        <f>IF(ISBLANK('4M'!Q45), "##BLANK", '4M'!Q45)</f>
        <v>##BLANK</v>
      </c>
      <c r="H2415" s="1636"/>
    </row>
    <row r="2416" spans="1:8">
      <c r="A2416" s="1620" t="str">
        <f>INDEX(Lists!$C$4:$C$24,MATCH(Validation!$B$3,Lists!$B$4:$B$24,0))</f>
        <v>TMS</v>
      </c>
      <c r="B2416" s="1732" t="str">
        <f>'4M'!BS46</f>
        <v>S3A00011SWDCUM</v>
      </c>
      <c r="C2416" s="1732" t="str">
        <f>"Capital expenditure purpose - WASTEWATER additional line 11 [Other categories] - "&amp;'4M'!$Q$5</f>
        <v>Capital expenditure purpose - WASTEWATER additional line 11 [Other categories] - Surface water drainage</v>
      </c>
      <c r="D2416" s="1620" t="str">
        <f t="shared" si="48"/>
        <v>£m</v>
      </c>
      <c r="E2416" s="1636" t="s">
        <v>9</v>
      </c>
      <c r="F2416" s="2" t="str">
        <f t="shared" si="50"/>
        <v>##BLANK</v>
      </c>
      <c r="G2416" s="1635" t="str">
        <f>IF(ISBLANK('4M'!Q46), "##BLANK", '4M'!Q46)</f>
        <v>##BLANK</v>
      </c>
      <c r="H2416" s="1636"/>
    </row>
    <row r="2417" spans="1:8">
      <c r="A2417" s="1620" t="str">
        <f>INDEX(Lists!$C$4:$C$24,MATCH(Validation!$B$3,Lists!$B$4:$B$24,0))</f>
        <v>TMS</v>
      </c>
      <c r="B2417" s="1732" t="str">
        <f>'4M'!BS47</f>
        <v>S3A00012SWDCUM</v>
      </c>
      <c r="C2417" s="1732" t="str">
        <f>"Capital expenditure purpose - WASTEWATER additional line 12 [Other categories] - "&amp;'4M'!$Q$5</f>
        <v>Capital expenditure purpose - WASTEWATER additional line 12 [Other categories] - Surface water drainage</v>
      </c>
      <c r="D2417" s="1620" t="str">
        <f t="shared" si="48"/>
        <v>£m</v>
      </c>
      <c r="E2417" s="1636" t="s">
        <v>9</v>
      </c>
      <c r="F2417" s="2" t="str">
        <f t="shared" si="50"/>
        <v>##BLANK</v>
      </c>
      <c r="G2417" s="1635" t="str">
        <f>IF(ISBLANK('4M'!Q47), "##BLANK", '4M'!Q47)</f>
        <v>##BLANK</v>
      </c>
      <c r="H2417" s="1636"/>
    </row>
    <row r="2418" spans="1:8">
      <c r="A2418" s="1620" t="str">
        <f>INDEX(Lists!$C$4:$C$24,MATCH(Validation!$B$3,Lists!$B$4:$B$24,0))</f>
        <v>TMS</v>
      </c>
      <c r="B2418" s="1732" t="str">
        <f>'4M'!BS48</f>
        <v>S3A00013SWDCUM</v>
      </c>
      <c r="C2418" s="1732" t="str">
        <f>"Capital expenditure purpose - WASTEWATER additional line 13 [Other categories] - "&amp;'4M'!$Q$5</f>
        <v>Capital expenditure purpose - WASTEWATER additional line 13 [Other categories] - Surface water drainage</v>
      </c>
      <c r="D2418" s="1620" t="str">
        <f t="shared" ref="D2418:D2481" si="51">D2375</f>
        <v>£m</v>
      </c>
      <c r="E2418" s="1636" t="s">
        <v>9</v>
      </c>
      <c r="F2418" s="2" t="str">
        <f t="shared" si="50"/>
        <v>##BLANK</v>
      </c>
      <c r="G2418" s="1635" t="str">
        <f>IF(ISBLANK('4M'!Q48), "##BLANK", '4M'!Q48)</f>
        <v>##BLANK</v>
      </c>
      <c r="H2418" s="1636"/>
    </row>
    <row r="2419" spans="1:8">
      <c r="A2419" s="1620" t="str">
        <f>INDEX(Lists!$C$4:$C$24,MATCH(Validation!$B$3,Lists!$B$4:$B$24,0))</f>
        <v>TMS</v>
      </c>
      <c r="B2419" s="1732" t="str">
        <f>'4M'!BS49</f>
        <v>S3A00014SWDCUM</v>
      </c>
      <c r="C2419" s="1732" t="str">
        <f>"Capital expenditure purpose - WASTEWATER additional line 14 [Other categories] - "&amp;'4M'!$Q$5</f>
        <v>Capital expenditure purpose - WASTEWATER additional line 14 [Other categories] - Surface water drainage</v>
      </c>
      <c r="D2419" s="1620" t="str">
        <f t="shared" si="51"/>
        <v>£m</v>
      </c>
      <c r="E2419" s="1636" t="s">
        <v>9</v>
      </c>
      <c r="F2419" s="2" t="str">
        <f t="shared" si="50"/>
        <v>##BLANK</v>
      </c>
      <c r="G2419" s="1635" t="str">
        <f>IF(ISBLANK('4M'!Q49), "##BLANK", '4M'!Q49)</f>
        <v>##BLANK</v>
      </c>
      <c r="H2419" s="1636"/>
    </row>
    <row r="2420" spans="1:8">
      <c r="A2420" s="1730" t="str">
        <f>INDEX(Lists!$C$4:$C$24,MATCH(Validation!$B$3,Lists!$B$4:$B$24,0))</f>
        <v>TMS</v>
      </c>
      <c r="B2420" s="1734" t="str">
        <f>'4M'!BS50</f>
        <v>S3A00015SWDCUM</v>
      </c>
      <c r="C2420" s="1734" t="str">
        <f>"Capital expenditure purpose - WASTEWATER additional line 15 [Other categories] - "&amp;'4M'!$Q$5</f>
        <v>Capital expenditure purpose - WASTEWATER additional line 15 [Other categories] - Surface water drainage</v>
      </c>
      <c r="D2420" s="1730" t="str">
        <f t="shared" si="51"/>
        <v>£m</v>
      </c>
      <c r="E2420" s="1652" t="s">
        <v>9</v>
      </c>
      <c r="F2420" s="1637" t="str">
        <f t="shared" si="50"/>
        <v>##BLANK</v>
      </c>
      <c r="G2420" s="1653" t="str">
        <f>IF(ISBLANK('4M'!Q50), "##BLANK", '4M'!Q50)</f>
        <v>##BLANK</v>
      </c>
      <c r="H2420" s="1652"/>
    </row>
    <row r="2421" spans="1:8">
      <c r="A2421" s="1620" t="str">
        <f>INDEX(Lists!$C$4:$C$24,MATCH(Validation!$B$3,Lists!$B$4:$B$24,0))</f>
        <v>TMS</v>
      </c>
      <c r="B2421" s="1732" t="str">
        <f>'4M'!BT8</f>
        <v>BC31379HDCUM</v>
      </c>
      <c r="C2421" t="str">
        <f>'4M'!$C8&amp;" - "&amp;'4M'!R$5</f>
        <v>First time sewerage (s101A) - Highway drainage</v>
      </c>
      <c r="D2421" s="1620" t="str">
        <f t="shared" si="51"/>
        <v>£m</v>
      </c>
      <c r="E2421" s="1636" t="s">
        <v>9</v>
      </c>
      <c r="G2421" s="1635">
        <f>'4M'!R8</f>
        <v>0</v>
      </c>
      <c r="H2421" s="1636"/>
    </row>
    <row r="2422" spans="1:8">
      <c r="A2422" s="1620" t="str">
        <f>INDEX(Lists!$C$4:$C$24,MATCH(Validation!$B$3,Lists!$B$4:$B$24,0))</f>
        <v>TMS</v>
      </c>
      <c r="B2422" s="1732" t="str">
        <f>'4M'!BT9</f>
        <v>S3035QHDCUM</v>
      </c>
      <c r="C2422" t="str">
        <f>'4M'!$C9&amp;" - "&amp;'4M'!R$5</f>
        <v>Sludge enhancement (quality) - Highway drainage</v>
      </c>
      <c r="D2422" s="1620" t="str">
        <f t="shared" si="51"/>
        <v>£m</v>
      </c>
      <c r="E2422" s="1636" t="s">
        <v>9</v>
      </c>
      <c r="G2422" s="1635">
        <f>'4M'!R9</f>
        <v>0</v>
      </c>
      <c r="H2422" s="1636"/>
    </row>
    <row r="2423" spans="1:8">
      <c r="A2423" s="1620" t="str">
        <f>INDEX(Lists!$C$4:$C$24,MATCH(Validation!$B$3,Lists!$B$4:$B$24,0))</f>
        <v>TMS</v>
      </c>
      <c r="B2423" s="1732" t="str">
        <f>'4M'!BT10</f>
        <v>S3036GHDCUM</v>
      </c>
      <c r="C2423" t="str">
        <f>'4M'!$C10&amp;" - "&amp;'4M'!R$5</f>
        <v>Sludge enhancement (growth) - Highway drainage</v>
      </c>
      <c r="D2423" s="1620" t="str">
        <f t="shared" si="51"/>
        <v>£m</v>
      </c>
      <c r="E2423" s="1636" t="s">
        <v>9</v>
      </c>
      <c r="G2423" s="1635">
        <f>'4M'!R10</f>
        <v>0</v>
      </c>
      <c r="H2423" s="1636"/>
    </row>
    <row r="2424" spans="1:8">
      <c r="A2424" s="1620" t="str">
        <f>INDEX(Lists!$C$4:$C$24,MATCH(Validation!$B$3,Lists!$B$4:$B$24,0))</f>
        <v>TMS</v>
      </c>
      <c r="B2424" s="1732" t="str">
        <f>'4M'!BT11</f>
        <v>S3004HDCUM</v>
      </c>
      <c r="C2424" t="str">
        <f>'4M'!$C11&amp;" - "&amp;'4M'!R$5</f>
        <v>NEP - Conservation drivers - Highway drainage</v>
      </c>
      <c r="D2424" s="1620" t="str">
        <f t="shared" si="51"/>
        <v>£m</v>
      </c>
      <c r="E2424" s="1636" t="s">
        <v>9</v>
      </c>
      <c r="G2424" s="1635">
        <f>'4M'!R11</f>
        <v>0</v>
      </c>
      <c r="H2424" s="1636"/>
    </row>
    <row r="2425" spans="1:8">
      <c r="A2425" s="1620" t="str">
        <f>INDEX(Lists!$C$4:$C$24,MATCH(Validation!$B$3,Lists!$B$4:$B$24,0))</f>
        <v>TMS</v>
      </c>
      <c r="B2425" s="1732" t="str">
        <f>'4M'!BT12</f>
        <v>WWS2001HDCUM</v>
      </c>
      <c r="C2425" t="str">
        <f>'4M'!$C12&amp;" - "&amp;'4M'!R$5</f>
        <v>NEP - Eels Regulations (measures at outfalls) - Highway drainage</v>
      </c>
      <c r="D2425" s="1620" t="str">
        <f t="shared" si="51"/>
        <v>£m</v>
      </c>
      <c r="E2425" s="1636" t="s">
        <v>9</v>
      </c>
      <c r="G2425" s="1635">
        <f>'4M'!R12</f>
        <v>0</v>
      </c>
      <c r="H2425" s="1636"/>
    </row>
    <row r="2426" spans="1:8">
      <c r="A2426" s="1620" t="str">
        <f>INDEX(Lists!$C$4:$C$24,MATCH(Validation!$B$3,Lists!$B$4:$B$24,0))</f>
        <v>TMS</v>
      </c>
      <c r="B2426" s="1732" t="str">
        <f>'4M'!BT13</f>
        <v>S3005HDCUM</v>
      </c>
      <c r="C2426" t="str">
        <f>'4M'!$C13&amp;" - "&amp;'4M'!R$5</f>
        <v>NEP - Event Duration Monitoring at intermittent discharges - Highway drainage</v>
      </c>
      <c r="D2426" s="1620" t="str">
        <f t="shared" si="51"/>
        <v>£m</v>
      </c>
      <c r="E2426" s="1636" t="s">
        <v>9</v>
      </c>
      <c r="G2426" s="1635">
        <f>'4M'!R13</f>
        <v>0</v>
      </c>
      <c r="H2426" s="1636"/>
    </row>
    <row r="2427" spans="1:8">
      <c r="A2427" s="1620" t="str">
        <f>INDEX(Lists!$C$4:$C$24,MATCH(Validation!$B$3,Lists!$B$4:$B$24,0))</f>
        <v>TMS</v>
      </c>
      <c r="B2427" s="1732" t="str">
        <f>'4M'!BT14</f>
        <v>S3006HDCUM</v>
      </c>
      <c r="C2427" t="str">
        <f>'4M'!$C14&amp;" - "&amp;'4M'!R$5</f>
        <v>NEP - Flow monitoring at sewage treatment works - Highway drainage</v>
      </c>
      <c r="D2427" s="1620" t="str">
        <f t="shared" si="51"/>
        <v>£m</v>
      </c>
      <c r="E2427" s="1636" t="s">
        <v>9</v>
      </c>
      <c r="G2427" s="1635">
        <f>'4M'!R14</f>
        <v>0</v>
      </c>
      <c r="H2427" s="1636"/>
    </row>
    <row r="2428" spans="1:8">
      <c r="A2428" s="1620" t="str">
        <f>INDEX(Lists!$C$4:$C$24,MATCH(Validation!$B$3,Lists!$B$4:$B$24,0))</f>
        <v>TMS</v>
      </c>
      <c r="B2428" s="1732" t="str">
        <f>'4M'!BT15</f>
        <v>S3007HDCUM</v>
      </c>
      <c r="C2428" t="str">
        <f>'4M'!$C15&amp;" - "&amp;'4M'!R$5</f>
        <v>NEP - Monitoring of pass forward flows at CSOs - Highway drainage</v>
      </c>
      <c r="D2428" s="1620" t="str">
        <f t="shared" si="51"/>
        <v>£m</v>
      </c>
      <c r="E2428" s="1636" t="s">
        <v>9</v>
      </c>
      <c r="G2428" s="1635">
        <f>'4M'!R15</f>
        <v>0</v>
      </c>
      <c r="H2428" s="1636"/>
    </row>
    <row r="2429" spans="1:8">
      <c r="A2429" s="1620" t="str">
        <f>INDEX(Lists!$C$4:$C$24,MATCH(Validation!$B$3,Lists!$B$4:$B$24,0))</f>
        <v>TMS</v>
      </c>
      <c r="B2429" s="1732" t="str">
        <f>'4M'!BT16</f>
        <v>WWS2002HDCUM</v>
      </c>
      <c r="C2429" t="str">
        <f>'4M'!$C16&amp;" - "&amp;'4M'!R$5</f>
        <v>NEP - Schemes to increase flow to full treatment - Highway drainage</v>
      </c>
      <c r="D2429" s="1620" t="str">
        <f t="shared" si="51"/>
        <v>£m</v>
      </c>
      <c r="E2429" s="1636" t="s">
        <v>9</v>
      </c>
      <c r="G2429" s="1635">
        <f>'4M'!R16</f>
        <v>0</v>
      </c>
      <c r="H2429" s="1636"/>
    </row>
    <row r="2430" spans="1:8">
      <c r="A2430" s="1620" t="str">
        <f>INDEX(Lists!$C$4:$C$24,MATCH(Validation!$B$3,Lists!$B$4:$B$24,0))</f>
        <v>TMS</v>
      </c>
      <c r="B2430" s="1732" t="str">
        <f>'4M'!BT17</f>
        <v>WWS2003HDCUM</v>
      </c>
      <c r="C2430" t="str">
        <f>'4M'!$C17&amp;" - "&amp;'4M'!R$5</f>
        <v>NEP - Schemes to increase storm tank capacity - Highway drainage</v>
      </c>
      <c r="D2430" s="1620" t="str">
        <f t="shared" si="51"/>
        <v>£m</v>
      </c>
      <c r="E2430" s="1636" t="s">
        <v>9</v>
      </c>
      <c r="G2430" s="1635">
        <f>'4M'!R17</f>
        <v>0</v>
      </c>
      <c r="H2430" s="1636"/>
    </row>
    <row r="2431" spans="1:8">
      <c r="A2431" s="1620" t="str">
        <f>INDEX(Lists!$C$4:$C$24,MATCH(Validation!$B$3,Lists!$B$4:$B$24,0))</f>
        <v>TMS</v>
      </c>
      <c r="B2431" s="1732" t="str">
        <f>'4M'!BT18</f>
        <v>S3008HDCUM</v>
      </c>
      <c r="C2431" t="str">
        <f>'4M'!$C18&amp;" - "&amp;'4M'!R$5</f>
        <v>NEP - Storage schemes to reduce spill frequency at CSOs, storm tanks, etc - Highway drainage</v>
      </c>
      <c r="D2431" s="1620" t="str">
        <f t="shared" si="51"/>
        <v>£m</v>
      </c>
      <c r="E2431" s="1636" t="s">
        <v>9</v>
      </c>
      <c r="G2431" s="1635">
        <f>'4M'!R18</f>
        <v>0</v>
      </c>
      <c r="H2431" s="1636"/>
    </row>
    <row r="2432" spans="1:8">
      <c r="A2432" s="1620" t="str">
        <f>INDEX(Lists!$C$4:$C$24,MATCH(Validation!$B$3,Lists!$B$4:$B$24,0))</f>
        <v>TMS</v>
      </c>
      <c r="B2432" s="1732" t="str">
        <f>'4M'!BT19</f>
        <v>S3009HDCUM</v>
      </c>
      <c r="C2432" t="str">
        <f>'4M'!$C19&amp;" - "&amp;'4M'!R$5</f>
        <v>NEP - Chemicals monitoring/ investigations/ options appraisals - Highway drainage</v>
      </c>
      <c r="D2432" s="1620" t="str">
        <f t="shared" si="51"/>
        <v>£m</v>
      </c>
      <c r="E2432" s="1636" t="s">
        <v>9</v>
      </c>
      <c r="G2432" s="1635">
        <f>'4M'!R19</f>
        <v>0</v>
      </c>
      <c r="H2432" s="1636"/>
    </row>
    <row r="2433" spans="1:8">
      <c r="A2433" s="1620" t="str">
        <f>INDEX(Lists!$C$4:$C$24,MATCH(Validation!$B$3,Lists!$B$4:$B$24,0))</f>
        <v>TMS</v>
      </c>
      <c r="B2433" s="1732" t="str">
        <f>'4M'!BT20</f>
        <v>WWS2007HDCUM</v>
      </c>
      <c r="C2433" t="str">
        <f>'4M'!$C20&amp;" - "&amp;'4M'!R$5</f>
        <v>NEP - National phosphorus removal technology investigations - Highway drainage</v>
      </c>
      <c r="D2433" s="1620" t="str">
        <f t="shared" si="51"/>
        <v>£m</v>
      </c>
      <c r="E2433" s="1636" t="s">
        <v>9</v>
      </c>
      <c r="G2433" s="1635">
        <f>'4M'!R20</f>
        <v>0</v>
      </c>
      <c r="H2433" s="1636"/>
    </row>
    <row r="2434" spans="1:8">
      <c r="A2434" s="1620" t="str">
        <f>INDEX(Lists!$C$4:$C$24,MATCH(Validation!$B$3,Lists!$B$4:$B$24,0))</f>
        <v>TMS</v>
      </c>
      <c r="B2434" s="1732" t="str">
        <f>'4M'!BT21</f>
        <v>S3010HDCUM</v>
      </c>
      <c r="C2434" t="str">
        <f>'4M'!$C21&amp;" - "&amp;'4M'!R$5</f>
        <v>NEP - Groundwater schemes - Highway drainage</v>
      </c>
      <c r="D2434" s="1620" t="str">
        <f t="shared" si="51"/>
        <v>£m</v>
      </c>
      <c r="E2434" s="1636" t="s">
        <v>9</v>
      </c>
      <c r="G2434" s="1635">
        <f>'4M'!R21</f>
        <v>0</v>
      </c>
      <c r="H2434" s="1636"/>
    </row>
    <row r="2435" spans="1:8">
      <c r="A2435" s="1620" t="str">
        <f>INDEX(Lists!$C$4:$C$24,MATCH(Validation!$B$3,Lists!$B$4:$B$24,0))</f>
        <v>TMS</v>
      </c>
      <c r="B2435" s="1732" t="str">
        <f>'4M'!BT22</f>
        <v>S3011HDCUM</v>
      </c>
      <c r="C2435" t="str">
        <f>'4M'!$C22&amp;" - "&amp;'4M'!R$5</f>
        <v>NEP - Investigations - Highway drainage</v>
      </c>
      <c r="D2435" s="1620" t="str">
        <f t="shared" si="51"/>
        <v>£m</v>
      </c>
      <c r="E2435" s="1636" t="s">
        <v>9</v>
      </c>
      <c r="G2435" s="1635">
        <f>'4M'!R22</f>
        <v>0</v>
      </c>
      <c r="H2435" s="1636"/>
    </row>
    <row r="2436" spans="1:8">
      <c r="A2436" s="1620" t="str">
        <f>INDEX(Lists!$C$4:$C$24,MATCH(Validation!$B$3,Lists!$B$4:$B$24,0))</f>
        <v>TMS</v>
      </c>
      <c r="B2436" s="1732" t="str">
        <f>'4M'!BT23</f>
        <v>S3012HDCUM</v>
      </c>
      <c r="C2436" t="str">
        <f>'4M'!$C23&amp;" - "&amp;'4M'!R$5</f>
        <v>NEP - Nutrients (N removal) - Highway drainage</v>
      </c>
      <c r="D2436" s="1620" t="str">
        <f t="shared" si="51"/>
        <v>£m</v>
      </c>
      <c r="E2436" s="1636" t="s">
        <v>9</v>
      </c>
      <c r="G2436" s="1635">
        <f>'4M'!R23</f>
        <v>0</v>
      </c>
      <c r="H2436" s="1636"/>
    </row>
    <row r="2437" spans="1:8">
      <c r="A2437" s="1620" t="str">
        <f>INDEX(Lists!$C$4:$C$24,MATCH(Validation!$B$3,Lists!$B$4:$B$24,0))</f>
        <v>TMS</v>
      </c>
      <c r="B2437" s="1732" t="str">
        <f>'4M'!BT24</f>
        <v>S3013HDCUM</v>
      </c>
      <c r="C2437" t="str">
        <f>'4M'!$C24&amp;" - "&amp;'4M'!R$5</f>
        <v>NEP - Nutrients (P removal at activated sludge STWs) - Highway drainage</v>
      </c>
      <c r="D2437" s="1620" t="str">
        <f t="shared" si="51"/>
        <v>£m</v>
      </c>
      <c r="E2437" s="1636" t="s">
        <v>9</v>
      </c>
      <c r="G2437" s="1635">
        <f>'4M'!R24</f>
        <v>0</v>
      </c>
      <c r="H2437" s="1636"/>
    </row>
    <row r="2438" spans="1:8">
      <c r="A2438" s="1620" t="str">
        <f>INDEX(Lists!$C$4:$C$24,MATCH(Validation!$B$3,Lists!$B$4:$B$24,0))</f>
        <v>TMS</v>
      </c>
      <c r="B2438" s="1732" t="str">
        <f>'4M'!BT25</f>
        <v>S3014HDCUM</v>
      </c>
      <c r="C2438" t="str">
        <f>'4M'!$C25&amp;" - "&amp;'4M'!R$5</f>
        <v>NEP - Nutrients (P removal at filter bed STWs) - Highway drainage</v>
      </c>
      <c r="D2438" s="1620" t="str">
        <f t="shared" si="51"/>
        <v>£m</v>
      </c>
      <c r="E2438" s="1636" t="s">
        <v>9</v>
      </c>
      <c r="G2438" s="1635">
        <f>'4M'!R25</f>
        <v>0</v>
      </c>
      <c r="H2438" s="1636"/>
    </row>
    <row r="2439" spans="1:8">
      <c r="A2439" s="1620" t="str">
        <f>INDEX(Lists!$C$4:$C$24,MATCH(Validation!$B$3,Lists!$B$4:$B$24,0))</f>
        <v>TMS</v>
      </c>
      <c r="B2439" s="1732" t="str">
        <f>'4M'!BT26</f>
        <v>S3015HDCUM</v>
      </c>
      <c r="C2439" t="str">
        <f>'4M'!$C26&amp;" - "&amp;'4M'!R$5</f>
        <v>NEP - Reduction of sanitary parameters - Highway drainage</v>
      </c>
      <c r="D2439" s="1620" t="str">
        <f t="shared" si="51"/>
        <v>£m</v>
      </c>
      <c r="E2439" s="1636" t="s">
        <v>9</v>
      </c>
      <c r="G2439" s="1635">
        <f>'4M'!R26</f>
        <v>0</v>
      </c>
      <c r="H2439" s="1636"/>
    </row>
    <row r="2440" spans="1:8">
      <c r="A2440" s="1620" t="str">
        <f>INDEX(Lists!$C$4:$C$24,MATCH(Validation!$B$3,Lists!$B$4:$B$24,0))</f>
        <v>TMS</v>
      </c>
      <c r="B2440" s="1732" t="str">
        <f>'4M'!BT27</f>
        <v>S3016HDCUM</v>
      </c>
      <c r="C2440" t="str">
        <f>'4M'!$C27&amp;" - "&amp;'4M'!R$5</f>
        <v>NEP - UV disinfection (or similar) - Highway drainage</v>
      </c>
      <c r="D2440" s="1620" t="str">
        <f t="shared" si="51"/>
        <v>£m</v>
      </c>
      <c r="E2440" s="1636" t="s">
        <v>9</v>
      </c>
      <c r="G2440" s="1635">
        <f>'4M'!R27</f>
        <v>0</v>
      </c>
      <c r="H2440" s="1636"/>
    </row>
    <row r="2441" spans="1:8">
      <c r="A2441" s="1620" t="str">
        <f>INDEX(Lists!$C$4:$C$24,MATCH(Validation!$B$3,Lists!$B$4:$B$24,0))</f>
        <v>TMS</v>
      </c>
      <c r="B2441" s="1732" t="str">
        <f>'4M'!BT28</f>
        <v>S3017HDCUM</v>
      </c>
      <c r="C2441" t="str">
        <f>'4M'!$C28&amp;" - "&amp;'4M'!R$5</f>
        <v>NEP - Discharge relocation - Highway drainage</v>
      </c>
      <c r="D2441" s="1620" t="str">
        <f t="shared" si="51"/>
        <v>£m</v>
      </c>
      <c r="E2441" s="1636" t="s">
        <v>9</v>
      </c>
      <c r="G2441" s="1635">
        <f>'4M'!R28</f>
        <v>0</v>
      </c>
      <c r="H2441" s="1636"/>
    </row>
    <row r="2442" spans="1:8">
      <c r="A2442" s="1620" t="str">
        <f>INDEX(Lists!$C$4:$C$24,MATCH(Validation!$B$3,Lists!$B$4:$B$24,0))</f>
        <v>TMS</v>
      </c>
      <c r="B2442" s="1732" t="str">
        <f>'4M'!BT29</f>
        <v>S3018HDCUM</v>
      </c>
      <c r="C2442" t="str">
        <f>'4M'!$C29&amp;" - "&amp;'4M'!R$5</f>
        <v>NEP - Flow 1 schemes - Highway drainage</v>
      </c>
      <c r="D2442" s="1620" t="str">
        <f t="shared" si="51"/>
        <v>£m</v>
      </c>
      <c r="E2442" s="1636" t="s">
        <v>9</v>
      </c>
      <c r="G2442" s="1635">
        <f>'4M'!R29</f>
        <v>0</v>
      </c>
      <c r="H2442" s="1636"/>
    </row>
    <row r="2443" spans="1:8">
      <c r="A2443" s="1620" t="str">
        <f>INDEX(Lists!$C$4:$C$24,MATCH(Validation!$B$3,Lists!$B$4:$B$24,0))</f>
        <v>TMS</v>
      </c>
      <c r="B2443" s="1732" t="str">
        <f>'4M'!BT30</f>
        <v>S3019HDCUM</v>
      </c>
      <c r="C2443" t="str">
        <f>'4M'!$C30&amp;" - "&amp;'4M'!R$5</f>
        <v>Odour - Highway drainage</v>
      </c>
      <c r="D2443" s="1620" t="str">
        <f t="shared" si="51"/>
        <v>£m</v>
      </c>
      <c r="E2443" s="1636" t="s">
        <v>9</v>
      </c>
      <c r="G2443" s="1635">
        <f>'4M'!R30</f>
        <v>0</v>
      </c>
      <c r="H2443" s="1636"/>
    </row>
    <row r="2444" spans="1:8">
      <c r="A2444" s="1620" t="str">
        <f>INDEX(Lists!$C$4:$C$24,MATCH(Validation!$B$3,Lists!$B$4:$B$24,0))</f>
        <v>TMS</v>
      </c>
      <c r="B2444" s="1732" t="str">
        <f>'4M'!BT31</f>
        <v>S3020HDCUM</v>
      </c>
      <c r="C2444" t="str">
        <f>'4M'!$C31&amp;" - "&amp;'4M'!R$5</f>
        <v>New development and growth - Highway drainage</v>
      </c>
      <c r="D2444" s="1620" t="str">
        <f t="shared" si="51"/>
        <v>£m</v>
      </c>
      <c r="E2444" s="1636" t="s">
        <v>9</v>
      </c>
      <c r="G2444" s="1635">
        <f>'4M'!R31</f>
        <v>0</v>
      </c>
      <c r="H2444" s="1636"/>
    </row>
    <row r="2445" spans="1:8">
      <c r="A2445" s="1620" t="str">
        <f>INDEX(Lists!$C$4:$C$24,MATCH(Validation!$B$3,Lists!$B$4:$B$24,0))</f>
        <v>TMS</v>
      </c>
      <c r="B2445" s="1732" t="str">
        <f>'4M'!BT32</f>
        <v>S3021HDCUM</v>
      </c>
      <c r="C2445" t="str">
        <f>'4M'!$C32&amp;" - "&amp;'4M'!R$5</f>
        <v>Growth at sewage treatment works (excluding sludge treatment) - Highway drainage</v>
      </c>
      <c r="D2445" s="1620" t="str">
        <f t="shared" si="51"/>
        <v>£m</v>
      </c>
      <c r="E2445" s="1636" t="s">
        <v>9</v>
      </c>
      <c r="G2445" s="1635">
        <f>'4M'!R32</f>
        <v>0</v>
      </c>
      <c r="H2445" s="1636"/>
    </row>
    <row r="2446" spans="1:8">
      <c r="A2446" s="1620" t="str">
        <f>INDEX(Lists!$C$4:$C$24,MATCH(Validation!$B$3,Lists!$B$4:$B$24,0))</f>
        <v>TMS</v>
      </c>
      <c r="B2446" s="1732" t="str">
        <f>'4M'!BT33</f>
        <v>S3022HDCUM</v>
      </c>
      <c r="C2446" t="str">
        <f>'4M'!$C33&amp;" - "&amp;'4M'!R$5</f>
        <v>Resilience - Highway drainage</v>
      </c>
      <c r="D2446" s="1620" t="str">
        <f t="shared" si="51"/>
        <v>£m</v>
      </c>
      <c r="E2446" s="1636" t="s">
        <v>9</v>
      </c>
      <c r="G2446" s="1635">
        <f>'4M'!R33</f>
        <v>0</v>
      </c>
      <c r="H2446" s="1636"/>
    </row>
    <row r="2447" spans="1:8">
      <c r="A2447" s="1620" t="str">
        <f>INDEX(Lists!$C$4:$C$24,MATCH(Validation!$B$3,Lists!$B$4:$B$24,0))</f>
        <v>TMS</v>
      </c>
      <c r="B2447" s="1732" t="str">
        <f>'4M'!BT34</f>
        <v>BC31785HDCUM</v>
      </c>
      <c r="C2447" t="str">
        <f>'4M'!$C34&amp;" - "&amp;'4M'!R$5</f>
        <v>SEMD - Highway drainage</v>
      </c>
      <c r="D2447" s="1620" t="str">
        <f t="shared" si="51"/>
        <v>£m</v>
      </c>
      <c r="E2447" s="1636" t="s">
        <v>9</v>
      </c>
      <c r="G2447" s="1635">
        <f>'4M'!R34</f>
        <v>0</v>
      </c>
      <c r="H2447" s="1636"/>
    </row>
    <row r="2448" spans="1:8">
      <c r="A2448" s="1620" t="str">
        <f>INDEX(Lists!$C$4:$C$24,MATCH(Validation!$B$3,Lists!$B$4:$B$24,0))</f>
        <v>TMS</v>
      </c>
      <c r="B2448" s="1732" t="str">
        <f>'4M'!BT35</f>
        <v>S3023HDCUM</v>
      </c>
      <c r="C2448" t="str">
        <f>'4M'!$C35&amp;" - "&amp;'4M'!R$5</f>
        <v>Reduce flooding risk for properties - Highway drainage</v>
      </c>
      <c r="D2448" s="1620" t="str">
        <f t="shared" si="51"/>
        <v>£m</v>
      </c>
      <c r="E2448" s="1636" t="s">
        <v>9</v>
      </c>
      <c r="G2448" s="1635">
        <f>'4M'!R35</f>
        <v>0</v>
      </c>
      <c r="H2448" s="1636"/>
    </row>
    <row r="2449" spans="1:8">
      <c r="A2449" s="1620" t="str">
        <f>INDEX(Lists!$C$4:$C$24,MATCH(Validation!$B$3,Lists!$B$4:$B$24,0))</f>
        <v>TMS</v>
      </c>
      <c r="B2449" s="1732" t="str">
        <f>'4M'!BT36</f>
        <v>S3A00001HDCUM</v>
      </c>
      <c r="C2449" s="1732" t="str">
        <f>"Capital expenditure purpose - WASTEWATER additional line 1 [Other categories] - "&amp;'4M'!$R$5</f>
        <v>Capital expenditure purpose - WASTEWATER additional line 1 [Other categories] - Highway drainage</v>
      </c>
      <c r="D2449" s="1620" t="str">
        <f t="shared" si="51"/>
        <v>£m</v>
      </c>
      <c r="E2449" s="1636" t="s">
        <v>9</v>
      </c>
      <c r="F2449" s="2" t="str">
        <f>F2019</f>
        <v>Quality spend at CSOs and quality allocation to Deephams inlet works</v>
      </c>
      <c r="G2449" s="1635">
        <f>IF(ISBLANK('4M'!R36), "##BLANK", '4M'!R36)</f>
        <v>0</v>
      </c>
      <c r="H2449" s="1636"/>
    </row>
    <row r="2450" spans="1:8">
      <c r="A2450" s="1620" t="str">
        <f>INDEX(Lists!$C$4:$C$24,MATCH(Validation!$B$3,Lists!$B$4:$B$24,0))</f>
        <v>TMS</v>
      </c>
      <c r="B2450" s="1732" t="str">
        <f>'4M'!BT37</f>
        <v>S3A00002HDCUM</v>
      </c>
      <c r="C2450" s="1732" t="str">
        <f>"Capital expenditure purpose - WASTEWATER additional line 2 [Other categories] - "&amp;'4M'!$R$5</f>
        <v>Capital expenditure purpose - WASTEWATER additional line 2 [Other categories] - Highway drainage</v>
      </c>
      <c r="D2450" s="1620" t="str">
        <f t="shared" si="51"/>
        <v>£m</v>
      </c>
      <c r="E2450" s="1636" t="s">
        <v>9</v>
      </c>
      <c r="F2450" s="2" t="str">
        <f t="shared" ref="F2450:F2463" si="52">F2020</f>
        <v>Tideway quality (NEP). Excludes Lee Tunnel and sludge.</v>
      </c>
      <c r="G2450" s="1635">
        <f>IF(ISBLANK('4M'!R37), "##BLANK", '4M'!R37)</f>
        <v>0</v>
      </c>
      <c r="H2450" s="1636"/>
    </row>
    <row r="2451" spans="1:8">
      <c r="A2451" s="1620" t="str">
        <f>INDEX(Lists!$C$4:$C$24,MATCH(Validation!$B$3,Lists!$B$4:$B$24,0))</f>
        <v>TMS</v>
      </c>
      <c r="B2451" s="1732" t="str">
        <f>'4M'!BT38</f>
        <v>S3A00003HDCUM</v>
      </c>
      <c r="C2451" s="1732" t="str">
        <f>"Capital expenditure purpose - WASTEWATER additional line 3 [Other categories] - "&amp;'4M'!$R$5</f>
        <v>Capital expenditure purpose - WASTEWATER additional line 3 [Other categories] - Highway drainage</v>
      </c>
      <c r="D2451" s="1620" t="str">
        <f t="shared" si="51"/>
        <v>£m</v>
      </c>
      <c r="E2451" s="1636" t="s">
        <v>9</v>
      </c>
      <c r="F2451" s="2" t="str">
        <f t="shared" si="52"/>
        <v>Lee Tunnel</v>
      </c>
      <c r="G2451" s="1635">
        <f>IF(ISBLANK('4M'!R38), "##BLANK", '4M'!R38)</f>
        <v>0</v>
      </c>
      <c r="H2451" s="1636"/>
    </row>
    <row r="2452" spans="1:8">
      <c r="A2452" s="1620" t="str">
        <f>INDEX(Lists!$C$4:$C$24,MATCH(Validation!$B$3,Lists!$B$4:$B$24,0))</f>
        <v>TMS</v>
      </c>
      <c r="B2452" s="1732" t="str">
        <f>'4M'!BT39</f>
        <v>S3A00004HDCUM</v>
      </c>
      <c r="C2452" s="1732" t="str">
        <f>"Capital expenditure purpose - WASTEWATER additional line 4 [Other categories] - "&amp;'4M'!$R$5</f>
        <v>Capital expenditure purpose - WASTEWATER additional line 4 [Other categories] - Highway drainage</v>
      </c>
      <c r="D2452" s="1620" t="str">
        <f t="shared" si="51"/>
        <v>£m</v>
      </c>
      <c r="E2452" s="1636" t="s">
        <v>9</v>
      </c>
      <c r="F2452" s="2" t="str">
        <f t="shared" si="52"/>
        <v>Non-SEMD related security enhancement (revised Ofwat guidance 6 July 2018)</v>
      </c>
      <c r="G2452" s="1635">
        <f>IF(ISBLANK('4M'!R39), "##BLANK", '4M'!R39)</f>
        <v>4.9055455734580353E-2</v>
      </c>
      <c r="H2452" s="1636"/>
    </row>
    <row r="2453" spans="1:8">
      <c r="A2453" s="1620" t="str">
        <f>INDEX(Lists!$C$4:$C$24,MATCH(Validation!$B$3,Lists!$B$4:$B$24,0))</f>
        <v>TMS</v>
      </c>
      <c r="B2453" s="1732" t="str">
        <f>'4M'!BT40</f>
        <v>S3A00005HDCUM</v>
      </c>
      <c r="C2453" s="1732" t="str">
        <f>"Capital expenditure purpose - WASTEWATER additional line 5 [Other categories] - "&amp;'4M'!$R$5</f>
        <v>Capital expenditure purpose - WASTEWATER additional line 5 [Other categories] - Highway drainage</v>
      </c>
      <c r="D2453" s="1620" t="str">
        <f t="shared" si="51"/>
        <v>£m</v>
      </c>
      <c r="E2453" s="1636" t="s">
        <v>9</v>
      </c>
      <c r="F2453" s="2" t="str">
        <f t="shared" si="52"/>
        <v>##BLANK</v>
      </c>
      <c r="G2453" s="1635" t="str">
        <f>IF(ISBLANK('4M'!R40), "##BLANK", '4M'!R40)</f>
        <v>##BLANK</v>
      </c>
      <c r="H2453" s="1636"/>
    </row>
    <row r="2454" spans="1:8">
      <c r="A2454" s="1620" t="str">
        <f>INDEX(Lists!$C$4:$C$24,MATCH(Validation!$B$3,Lists!$B$4:$B$24,0))</f>
        <v>TMS</v>
      </c>
      <c r="B2454" s="1732" t="str">
        <f>'4M'!BT41</f>
        <v>S3A00006HDCUM</v>
      </c>
      <c r="C2454" s="1732" t="str">
        <f>"Capital expenditure purpose - WASTEWATER additional line 6 [Other categories] - "&amp;'4M'!$R$5</f>
        <v>Capital expenditure purpose - WASTEWATER additional line 6 [Other categories] - Highway drainage</v>
      </c>
      <c r="D2454" s="1620" t="str">
        <f t="shared" si="51"/>
        <v>£m</v>
      </c>
      <c r="E2454" s="1636" t="s">
        <v>9</v>
      </c>
      <c r="F2454" s="2" t="str">
        <f t="shared" si="52"/>
        <v>##BLANK</v>
      </c>
      <c r="G2454" s="1635" t="str">
        <f>IF(ISBLANK('4M'!R41), "##BLANK", '4M'!R41)</f>
        <v>##BLANK</v>
      </c>
      <c r="H2454" s="1636"/>
    </row>
    <row r="2455" spans="1:8">
      <c r="A2455" s="1620" t="str">
        <f>INDEX(Lists!$C$4:$C$24,MATCH(Validation!$B$3,Lists!$B$4:$B$24,0))</f>
        <v>TMS</v>
      </c>
      <c r="B2455" s="1732" t="str">
        <f>'4M'!BT42</f>
        <v>S3A00007HDCUM</v>
      </c>
      <c r="C2455" s="1732" t="str">
        <f>"Capital expenditure purpose - WASTEWATER additional line 7 [Other categories] - "&amp;'4M'!$R$5</f>
        <v>Capital expenditure purpose - WASTEWATER additional line 7 [Other categories] - Highway drainage</v>
      </c>
      <c r="D2455" s="1620" t="str">
        <f t="shared" si="51"/>
        <v>£m</v>
      </c>
      <c r="E2455" s="1636" t="s">
        <v>9</v>
      </c>
      <c r="F2455" s="2" t="str">
        <f t="shared" si="52"/>
        <v>##BLANK</v>
      </c>
      <c r="G2455" s="1635" t="str">
        <f>IF(ISBLANK('4M'!R42), "##BLANK", '4M'!R42)</f>
        <v>##BLANK</v>
      </c>
      <c r="H2455" s="1636"/>
    </row>
    <row r="2456" spans="1:8">
      <c r="A2456" s="1620" t="str">
        <f>INDEX(Lists!$C$4:$C$24,MATCH(Validation!$B$3,Lists!$B$4:$B$24,0))</f>
        <v>TMS</v>
      </c>
      <c r="B2456" s="1732" t="str">
        <f>'4M'!BT43</f>
        <v>S3A00008HDCUM</v>
      </c>
      <c r="C2456" s="1732" t="str">
        <f>"Capital expenditure purpose - WASTEWATER additional line 8 [Other categories] - "&amp;'4M'!$R$5</f>
        <v>Capital expenditure purpose - WASTEWATER additional line 8 [Other categories] - Highway drainage</v>
      </c>
      <c r="D2456" s="1620" t="str">
        <f t="shared" si="51"/>
        <v>£m</v>
      </c>
      <c r="E2456" s="1636" t="s">
        <v>9</v>
      </c>
      <c r="F2456" s="2" t="str">
        <f t="shared" si="52"/>
        <v>##BLANK</v>
      </c>
      <c r="G2456" s="1635" t="str">
        <f>IF(ISBLANK('4M'!R43), "##BLANK", '4M'!R43)</f>
        <v>##BLANK</v>
      </c>
      <c r="H2456" s="1636"/>
    </row>
    <row r="2457" spans="1:8">
      <c r="A2457" s="1620" t="str">
        <f>INDEX(Lists!$C$4:$C$24,MATCH(Validation!$B$3,Lists!$B$4:$B$24,0))</f>
        <v>TMS</v>
      </c>
      <c r="B2457" s="1732" t="str">
        <f>'4M'!BT44</f>
        <v>S3A00009HDCUM</v>
      </c>
      <c r="C2457" s="1732" t="str">
        <f>"Capital expenditure purpose - WASTEWATER additional line 9 [Other categories] - "&amp;'4M'!$R$5</f>
        <v>Capital expenditure purpose - WASTEWATER additional line 9 [Other categories] - Highway drainage</v>
      </c>
      <c r="D2457" s="1620" t="str">
        <f t="shared" si="51"/>
        <v>£m</v>
      </c>
      <c r="E2457" s="1636" t="s">
        <v>9</v>
      </c>
      <c r="F2457" s="2" t="str">
        <f t="shared" si="52"/>
        <v>##BLANK</v>
      </c>
      <c r="G2457" s="1635" t="str">
        <f>IF(ISBLANK('4M'!R44), "##BLANK", '4M'!R44)</f>
        <v>##BLANK</v>
      </c>
      <c r="H2457" s="1636"/>
    </row>
    <row r="2458" spans="1:8">
      <c r="A2458" s="1620" t="str">
        <f>INDEX(Lists!$C$4:$C$24,MATCH(Validation!$B$3,Lists!$B$4:$B$24,0))</f>
        <v>TMS</v>
      </c>
      <c r="B2458" s="1732" t="str">
        <f>'4M'!BT45</f>
        <v>S3A00010HDCUM</v>
      </c>
      <c r="C2458" s="1732" t="str">
        <f>"Capital expenditure purpose - WASTEWATER additional line 10 [Other categories] - "&amp;'4M'!$R$5</f>
        <v>Capital expenditure purpose - WASTEWATER additional line 10 [Other categories] - Highway drainage</v>
      </c>
      <c r="D2458" s="1620" t="str">
        <f t="shared" si="51"/>
        <v>£m</v>
      </c>
      <c r="E2458" s="1636" t="s">
        <v>9</v>
      </c>
      <c r="F2458" s="2" t="str">
        <f t="shared" si="52"/>
        <v>##BLANK</v>
      </c>
      <c r="G2458" s="1635" t="str">
        <f>IF(ISBLANK('4M'!R45), "##BLANK", '4M'!R45)</f>
        <v>##BLANK</v>
      </c>
      <c r="H2458" s="1636"/>
    </row>
    <row r="2459" spans="1:8">
      <c r="A2459" s="1620" t="str">
        <f>INDEX(Lists!$C$4:$C$24,MATCH(Validation!$B$3,Lists!$B$4:$B$24,0))</f>
        <v>TMS</v>
      </c>
      <c r="B2459" s="1732" t="str">
        <f>'4M'!BT46</f>
        <v>S3A00011HDCUM</v>
      </c>
      <c r="C2459" s="1732" t="str">
        <f>"Capital expenditure purpose - WASTEWATER additional line 11 [Other categories] - "&amp;'4M'!$R$5</f>
        <v>Capital expenditure purpose - WASTEWATER additional line 11 [Other categories] - Highway drainage</v>
      </c>
      <c r="D2459" s="1620" t="str">
        <f t="shared" si="51"/>
        <v>£m</v>
      </c>
      <c r="E2459" s="1636" t="s">
        <v>9</v>
      </c>
      <c r="F2459" s="2" t="str">
        <f t="shared" si="52"/>
        <v>##BLANK</v>
      </c>
      <c r="G2459" s="1635" t="str">
        <f>IF(ISBLANK('4M'!R46), "##BLANK", '4M'!R46)</f>
        <v>##BLANK</v>
      </c>
      <c r="H2459" s="1636"/>
    </row>
    <row r="2460" spans="1:8">
      <c r="A2460" s="1620" t="str">
        <f>INDEX(Lists!$C$4:$C$24,MATCH(Validation!$B$3,Lists!$B$4:$B$24,0))</f>
        <v>TMS</v>
      </c>
      <c r="B2460" s="1732" t="str">
        <f>'4M'!BT47</f>
        <v>S3A00012HDCUM</v>
      </c>
      <c r="C2460" s="1732" t="str">
        <f>"Capital expenditure purpose - WASTEWATER additional line 12 [Other categories] - "&amp;'4M'!$R$5</f>
        <v>Capital expenditure purpose - WASTEWATER additional line 12 [Other categories] - Highway drainage</v>
      </c>
      <c r="D2460" s="1620" t="str">
        <f t="shared" si="51"/>
        <v>£m</v>
      </c>
      <c r="E2460" s="1636" t="s">
        <v>9</v>
      </c>
      <c r="F2460" s="2" t="str">
        <f t="shared" si="52"/>
        <v>##BLANK</v>
      </c>
      <c r="G2460" s="1635" t="str">
        <f>IF(ISBLANK('4M'!R47), "##BLANK", '4M'!R47)</f>
        <v>##BLANK</v>
      </c>
      <c r="H2460" s="1636"/>
    </row>
    <row r="2461" spans="1:8">
      <c r="A2461" s="1620" t="str">
        <f>INDEX(Lists!$C$4:$C$24,MATCH(Validation!$B$3,Lists!$B$4:$B$24,0))</f>
        <v>TMS</v>
      </c>
      <c r="B2461" s="1732" t="str">
        <f>'4M'!BT48</f>
        <v>S3A00013HDCUM</v>
      </c>
      <c r="C2461" s="1732" t="str">
        <f>"Capital expenditure purpose - WASTEWATER additional line 13 [Other categories] - "&amp;'4M'!$R$5</f>
        <v>Capital expenditure purpose - WASTEWATER additional line 13 [Other categories] - Highway drainage</v>
      </c>
      <c r="D2461" s="1620" t="str">
        <f t="shared" si="51"/>
        <v>£m</v>
      </c>
      <c r="E2461" s="1636" t="s">
        <v>9</v>
      </c>
      <c r="F2461" s="2" t="str">
        <f t="shared" si="52"/>
        <v>##BLANK</v>
      </c>
      <c r="G2461" s="1635" t="str">
        <f>IF(ISBLANK('4M'!R48), "##BLANK", '4M'!R48)</f>
        <v>##BLANK</v>
      </c>
      <c r="H2461" s="1636"/>
    </row>
    <row r="2462" spans="1:8">
      <c r="A2462" s="1620" t="str">
        <f>INDEX(Lists!$C$4:$C$24,MATCH(Validation!$B$3,Lists!$B$4:$B$24,0))</f>
        <v>TMS</v>
      </c>
      <c r="B2462" s="1732" t="str">
        <f>'4M'!BT49</f>
        <v>S3A00014HDCUM</v>
      </c>
      <c r="C2462" s="1732" t="str">
        <f>"Capital expenditure purpose - WASTEWATER additional line 14 [Other categories] - "&amp;'4M'!$R$5</f>
        <v>Capital expenditure purpose - WASTEWATER additional line 14 [Other categories] - Highway drainage</v>
      </c>
      <c r="D2462" s="1620" t="str">
        <f t="shared" si="51"/>
        <v>£m</v>
      </c>
      <c r="E2462" s="1636" t="s">
        <v>9</v>
      </c>
      <c r="F2462" s="2" t="str">
        <f t="shared" si="52"/>
        <v>##BLANK</v>
      </c>
      <c r="G2462" s="1635" t="str">
        <f>IF(ISBLANK('4M'!R49), "##BLANK", '4M'!R49)</f>
        <v>##BLANK</v>
      </c>
      <c r="H2462" s="1636"/>
    </row>
    <row r="2463" spans="1:8">
      <c r="A2463" s="1730" t="str">
        <f>INDEX(Lists!$C$4:$C$24,MATCH(Validation!$B$3,Lists!$B$4:$B$24,0))</f>
        <v>TMS</v>
      </c>
      <c r="B2463" s="1734" t="str">
        <f>'4M'!BT50</f>
        <v>S3A00015HDCUM</v>
      </c>
      <c r="C2463" s="1734" t="str">
        <f>"Capital expenditure purpose - WASTEWATER additional line 15 [Other categories] - "&amp;'4M'!$R$5</f>
        <v>Capital expenditure purpose - WASTEWATER additional line 15 [Other categories] - Highway drainage</v>
      </c>
      <c r="D2463" s="1730" t="str">
        <f t="shared" si="51"/>
        <v>£m</v>
      </c>
      <c r="E2463" s="1652" t="s">
        <v>9</v>
      </c>
      <c r="F2463" s="1637" t="str">
        <f t="shared" si="52"/>
        <v>##BLANK</v>
      </c>
      <c r="G2463" s="1653" t="str">
        <f>IF(ISBLANK('4M'!R50), "##BLANK", '4M'!R50)</f>
        <v>##BLANK</v>
      </c>
      <c r="H2463" s="1652"/>
    </row>
    <row r="2464" spans="1:8">
      <c r="A2464" s="1620" t="str">
        <f>INDEX(Lists!$C$4:$C$24,MATCH(Validation!$B$3,Lists!$B$4:$B$24,0))</f>
        <v>TMS</v>
      </c>
      <c r="B2464" s="1732" t="str">
        <f>'4M'!BU8</f>
        <v>BC31379STDCUM</v>
      </c>
      <c r="C2464" t="str">
        <f>'4M'!$C8&amp;" - "&amp;'4M'!S$5</f>
        <v>First time sewerage (s101A) - Sewage treatment and disposal</v>
      </c>
      <c r="D2464" s="1620" t="str">
        <f t="shared" si="51"/>
        <v>£m</v>
      </c>
      <c r="E2464" s="1636" t="s">
        <v>9</v>
      </c>
      <c r="G2464" s="1635">
        <f>'4M'!S8</f>
        <v>0</v>
      </c>
      <c r="H2464" s="1636"/>
    </row>
    <row r="2465" spans="1:8">
      <c r="A2465" s="1620" t="str">
        <f>INDEX(Lists!$C$4:$C$24,MATCH(Validation!$B$3,Lists!$B$4:$B$24,0))</f>
        <v>TMS</v>
      </c>
      <c r="B2465" s="1732" t="str">
        <f>'4M'!BU9</f>
        <v>S3035QSTDCUM</v>
      </c>
      <c r="C2465" t="str">
        <f>'4M'!$C9&amp;" - "&amp;'4M'!S$5</f>
        <v>Sludge enhancement (quality) - Sewage treatment and disposal</v>
      </c>
      <c r="D2465" s="1620" t="str">
        <f t="shared" si="51"/>
        <v>£m</v>
      </c>
      <c r="E2465" s="1636" t="s">
        <v>9</v>
      </c>
      <c r="G2465" s="1635">
        <f>'4M'!S9</f>
        <v>0</v>
      </c>
      <c r="H2465" s="1636"/>
    </row>
    <row r="2466" spans="1:8">
      <c r="A2466" s="1620" t="str">
        <f>INDEX(Lists!$C$4:$C$24,MATCH(Validation!$B$3,Lists!$B$4:$B$24,0))</f>
        <v>TMS</v>
      </c>
      <c r="B2466" s="1732" t="str">
        <f>'4M'!BU10</f>
        <v>S3036GSTDCUM</v>
      </c>
      <c r="C2466" t="str">
        <f>'4M'!$C10&amp;" - "&amp;'4M'!S$5</f>
        <v>Sludge enhancement (growth) - Sewage treatment and disposal</v>
      </c>
      <c r="D2466" s="1620" t="str">
        <f t="shared" si="51"/>
        <v>£m</v>
      </c>
      <c r="E2466" s="1636" t="s">
        <v>9</v>
      </c>
      <c r="G2466" s="1635">
        <f>'4M'!S10</f>
        <v>0</v>
      </c>
      <c r="H2466" s="1636"/>
    </row>
    <row r="2467" spans="1:8">
      <c r="A2467" s="1620" t="str">
        <f>INDEX(Lists!$C$4:$C$24,MATCH(Validation!$B$3,Lists!$B$4:$B$24,0))</f>
        <v>TMS</v>
      </c>
      <c r="B2467" s="1732" t="str">
        <f>'4M'!BU11</f>
        <v>S3004STDCUM</v>
      </c>
      <c r="C2467" t="str">
        <f>'4M'!$C11&amp;" - "&amp;'4M'!S$5</f>
        <v>NEP - Conservation drivers - Sewage treatment and disposal</v>
      </c>
      <c r="D2467" s="1620" t="str">
        <f t="shared" si="51"/>
        <v>£m</v>
      </c>
      <c r="E2467" s="1636" t="s">
        <v>9</v>
      </c>
      <c r="G2467" s="1635">
        <f>'4M'!S11</f>
        <v>0</v>
      </c>
      <c r="H2467" s="1636"/>
    </row>
    <row r="2468" spans="1:8">
      <c r="A2468" s="1620" t="str">
        <f>INDEX(Lists!$C$4:$C$24,MATCH(Validation!$B$3,Lists!$B$4:$B$24,0))</f>
        <v>TMS</v>
      </c>
      <c r="B2468" s="1732" t="str">
        <f>'4M'!BU12</f>
        <v>WWS2001STDCUM</v>
      </c>
      <c r="C2468" t="str">
        <f>'4M'!$C12&amp;" - "&amp;'4M'!S$5</f>
        <v>NEP - Eels Regulations (measures at outfalls) - Sewage treatment and disposal</v>
      </c>
      <c r="D2468" s="1620" t="str">
        <f t="shared" si="51"/>
        <v>£m</v>
      </c>
      <c r="E2468" s="1636" t="s">
        <v>9</v>
      </c>
      <c r="G2468" s="1635">
        <f>'4M'!S12</f>
        <v>0</v>
      </c>
      <c r="H2468" s="1636"/>
    </row>
    <row r="2469" spans="1:8">
      <c r="A2469" s="1620" t="str">
        <f>INDEX(Lists!$C$4:$C$24,MATCH(Validation!$B$3,Lists!$B$4:$B$24,0))</f>
        <v>TMS</v>
      </c>
      <c r="B2469" s="1732" t="str">
        <f>'4M'!BU13</f>
        <v>S3005STDCUM</v>
      </c>
      <c r="C2469" t="str">
        <f>'4M'!$C13&amp;" - "&amp;'4M'!S$5</f>
        <v>NEP - Event Duration Monitoring at intermittent discharges - Sewage treatment and disposal</v>
      </c>
      <c r="D2469" s="1620" t="str">
        <f t="shared" si="51"/>
        <v>£m</v>
      </c>
      <c r="E2469" s="1636" t="s">
        <v>9</v>
      </c>
      <c r="G2469" s="1635">
        <f>'4M'!S13</f>
        <v>0</v>
      </c>
      <c r="H2469" s="1636"/>
    </row>
    <row r="2470" spans="1:8">
      <c r="A2470" s="1620" t="str">
        <f>INDEX(Lists!$C$4:$C$24,MATCH(Validation!$B$3,Lists!$B$4:$B$24,0))</f>
        <v>TMS</v>
      </c>
      <c r="B2470" s="1732" t="str">
        <f>'4M'!BU14</f>
        <v>S3006STDCUM</v>
      </c>
      <c r="C2470" t="str">
        <f>'4M'!$C14&amp;" - "&amp;'4M'!S$5</f>
        <v>NEP - Flow monitoring at sewage treatment works - Sewage treatment and disposal</v>
      </c>
      <c r="D2470" s="1620" t="str">
        <f t="shared" si="51"/>
        <v>£m</v>
      </c>
      <c r="E2470" s="1636" t="s">
        <v>9</v>
      </c>
      <c r="G2470" s="1635">
        <f>'4M'!S14</f>
        <v>0</v>
      </c>
      <c r="H2470" s="1636"/>
    </row>
    <row r="2471" spans="1:8">
      <c r="A2471" s="1620" t="str">
        <f>INDEX(Lists!$C$4:$C$24,MATCH(Validation!$B$3,Lists!$B$4:$B$24,0))</f>
        <v>TMS</v>
      </c>
      <c r="B2471" s="1732" t="str">
        <f>'4M'!BU15</f>
        <v>S3007STDCUM</v>
      </c>
      <c r="C2471" t="str">
        <f>'4M'!$C15&amp;" - "&amp;'4M'!S$5</f>
        <v>NEP - Monitoring of pass forward flows at CSOs - Sewage treatment and disposal</v>
      </c>
      <c r="D2471" s="1620" t="str">
        <f t="shared" si="51"/>
        <v>£m</v>
      </c>
      <c r="E2471" s="1636" t="s">
        <v>9</v>
      </c>
      <c r="G2471" s="1635">
        <f>'4M'!S15</f>
        <v>0</v>
      </c>
      <c r="H2471" s="1636"/>
    </row>
    <row r="2472" spans="1:8">
      <c r="A2472" s="1620" t="str">
        <f>INDEX(Lists!$C$4:$C$24,MATCH(Validation!$B$3,Lists!$B$4:$B$24,0))</f>
        <v>TMS</v>
      </c>
      <c r="B2472" s="1732" t="str">
        <f>'4M'!BU16</f>
        <v>WWS2002STDCUM</v>
      </c>
      <c r="C2472" t="str">
        <f>'4M'!$C16&amp;" - "&amp;'4M'!S$5</f>
        <v>NEP - Schemes to increase flow to full treatment - Sewage treatment and disposal</v>
      </c>
      <c r="D2472" s="1620" t="str">
        <f t="shared" si="51"/>
        <v>£m</v>
      </c>
      <c r="E2472" s="1636" t="s">
        <v>9</v>
      </c>
      <c r="G2472" s="1635">
        <f>'4M'!S16</f>
        <v>0</v>
      </c>
      <c r="H2472" s="1636"/>
    </row>
    <row r="2473" spans="1:8">
      <c r="A2473" s="1620" t="str">
        <f>INDEX(Lists!$C$4:$C$24,MATCH(Validation!$B$3,Lists!$B$4:$B$24,0))</f>
        <v>TMS</v>
      </c>
      <c r="B2473" s="1732" t="str">
        <f>'4M'!BU17</f>
        <v>WWS2003STDCUM</v>
      </c>
      <c r="C2473" t="str">
        <f>'4M'!$C17&amp;" - "&amp;'4M'!S$5</f>
        <v>NEP - Schemes to increase storm tank capacity - Sewage treatment and disposal</v>
      </c>
      <c r="D2473" s="1620" t="str">
        <f t="shared" si="51"/>
        <v>£m</v>
      </c>
      <c r="E2473" s="1636" t="s">
        <v>9</v>
      </c>
      <c r="G2473" s="1635">
        <f>'4M'!S17</f>
        <v>0</v>
      </c>
      <c r="H2473" s="1636"/>
    </row>
    <row r="2474" spans="1:8">
      <c r="A2474" s="1620" t="str">
        <f>INDEX(Lists!$C$4:$C$24,MATCH(Validation!$B$3,Lists!$B$4:$B$24,0))</f>
        <v>TMS</v>
      </c>
      <c r="B2474" s="1732" t="str">
        <f>'4M'!BU18</f>
        <v>S3008STDCUM</v>
      </c>
      <c r="C2474" t="str">
        <f>'4M'!$C18&amp;" - "&amp;'4M'!S$5</f>
        <v>NEP - Storage schemes to reduce spill frequency at CSOs, storm tanks, etc - Sewage treatment and disposal</v>
      </c>
      <c r="D2474" s="1620" t="str">
        <f t="shared" si="51"/>
        <v>£m</v>
      </c>
      <c r="E2474" s="1636" t="s">
        <v>9</v>
      </c>
      <c r="G2474" s="1635">
        <f>'4M'!S18</f>
        <v>0</v>
      </c>
      <c r="H2474" s="1636"/>
    </row>
    <row r="2475" spans="1:8">
      <c r="A2475" s="1620" t="str">
        <f>INDEX(Lists!$C$4:$C$24,MATCH(Validation!$B$3,Lists!$B$4:$B$24,0))</f>
        <v>TMS</v>
      </c>
      <c r="B2475" s="1732" t="str">
        <f>'4M'!BU19</f>
        <v>S3009STDCUM</v>
      </c>
      <c r="C2475" t="str">
        <f>'4M'!$C19&amp;" - "&amp;'4M'!S$5</f>
        <v>NEP - Chemicals monitoring/ investigations/ options appraisals - Sewage treatment and disposal</v>
      </c>
      <c r="D2475" s="1620" t="str">
        <f t="shared" si="51"/>
        <v>£m</v>
      </c>
      <c r="E2475" s="1636" t="s">
        <v>9</v>
      </c>
      <c r="G2475" s="1635">
        <f>'4M'!S19</f>
        <v>3.2216985194861971</v>
      </c>
      <c r="H2475" s="1636"/>
    </row>
    <row r="2476" spans="1:8">
      <c r="A2476" s="1620" t="str">
        <f>INDEX(Lists!$C$4:$C$24,MATCH(Validation!$B$3,Lists!$B$4:$B$24,0))</f>
        <v>TMS</v>
      </c>
      <c r="B2476" s="1732" t="str">
        <f>'4M'!BU20</f>
        <v>WWS2007STDCUM</v>
      </c>
      <c r="C2476" t="str">
        <f>'4M'!$C20&amp;" - "&amp;'4M'!S$5</f>
        <v>NEP - National phosphorus removal technology investigations - Sewage treatment and disposal</v>
      </c>
      <c r="D2476" s="1620" t="str">
        <f t="shared" si="51"/>
        <v>£m</v>
      </c>
      <c r="E2476" s="1636" t="s">
        <v>9</v>
      </c>
      <c r="G2476" s="1635">
        <f>'4M'!S20</f>
        <v>0</v>
      </c>
      <c r="H2476" s="1636"/>
    </row>
    <row r="2477" spans="1:8">
      <c r="A2477" s="1620" t="str">
        <f>INDEX(Lists!$C$4:$C$24,MATCH(Validation!$B$3,Lists!$B$4:$B$24,0))</f>
        <v>TMS</v>
      </c>
      <c r="B2477" s="1732" t="str">
        <f>'4M'!BU21</f>
        <v>S3010STDCUM</v>
      </c>
      <c r="C2477" t="str">
        <f>'4M'!$C21&amp;" - "&amp;'4M'!S$5</f>
        <v>NEP - Groundwater schemes - Sewage treatment and disposal</v>
      </c>
      <c r="D2477" s="1620" t="str">
        <f t="shared" si="51"/>
        <v>£m</v>
      </c>
      <c r="E2477" s="1636" t="s">
        <v>9</v>
      </c>
      <c r="G2477" s="1635">
        <f>'4M'!S21</f>
        <v>0</v>
      </c>
      <c r="H2477" s="1636"/>
    </row>
    <row r="2478" spans="1:8">
      <c r="A2478" s="1620" t="str">
        <f>INDEX(Lists!$C$4:$C$24,MATCH(Validation!$B$3,Lists!$B$4:$B$24,0))</f>
        <v>TMS</v>
      </c>
      <c r="B2478" s="1732" t="str">
        <f>'4M'!BU22</f>
        <v>S3011STDCUM</v>
      </c>
      <c r="C2478" t="str">
        <f>'4M'!$C22&amp;" - "&amp;'4M'!S$5</f>
        <v>NEP - Investigations - Sewage treatment and disposal</v>
      </c>
      <c r="D2478" s="1620" t="str">
        <f t="shared" si="51"/>
        <v>£m</v>
      </c>
      <c r="E2478" s="1636" t="s">
        <v>9</v>
      </c>
      <c r="G2478" s="1635">
        <f>'4M'!S22</f>
        <v>3.0793610524869579</v>
      </c>
      <c r="H2478" s="1636"/>
    </row>
    <row r="2479" spans="1:8">
      <c r="A2479" s="1620" t="str">
        <f>INDEX(Lists!$C$4:$C$24,MATCH(Validation!$B$3,Lists!$B$4:$B$24,0))</f>
        <v>TMS</v>
      </c>
      <c r="B2479" s="1732" t="str">
        <f>'4M'!BU23</f>
        <v>S3012STDCUM</v>
      </c>
      <c r="C2479" t="str">
        <f>'4M'!$C23&amp;" - "&amp;'4M'!S$5</f>
        <v>NEP - Nutrients (N removal) - Sewage treatment and disposal</v>
      </c>
      <c r="D2479" s="1620" t="str">
        <f t="shared" si="51"/>
        <v>£m</v>
      </c>
      <c r="E2479" s="1636" t="s">
        <v>9</v>
      </c>
      <c r="G2479" s="1635">
        <f>'4M'!S23</f>
        <v>0</v>
      </c>
      <c r="H2479" s="1636"/>
    </row>
    <row r="2480" spans="1:8">
      <c r="A2480" s="1620" t="str">
        <f>INDEX(Lists!$C$4:$C$24,MATCH(Validation!$B$3,Lists!$B$4:$B$24,0))</f>
        <v>TMS</v>
      </c>
      <c r="B2480" s="1732" t="str">
        <f>'4M'!BU24</f>
        <v>S3013STDCUM</v>
      </c>
      <c r="C2480" t="str">
        <f>'4M'!$C24&amp;" - "&amp;'4M'!S$5</f>
        <v>NEP - Nutrients (P removal at activated sludge STWs) - Sewage treatment and disposal</v>
      </c>
      <c r="D2480" s="1620" t="str">
        <f t="shared" si="51"/>
        <v>£m</v>
      </c>
      <c r="E2480" s="1636" t="s">
        <v>9</v>
      </c>
      <c r="G2480" s="1635">
        <f>'4M'!S24</f>
        <v>12.823690882354517</v>
      </c>
      <c r="H2480" s="1636"/>
    </row>
    <row r="2481" spans="1:8">
      <c r="A2481" s="1620" t="str">
        <f>INDEX(Lists!$C$4:$C$24,MATCH(Validation!$B$3,Lists!$B$4:$B$24,0))</f>
        <v>TMS</v>
      </c>
      <c r="B2481" s="1732" t="str">
        <f>'4M'!BU25</f>
        <v>S3014STDCUM</v>
      </c>
      <c r="C2481" t="str">
        <f>'4M'!$C25&amp;" - "&amp;'4M'!S$5</f>
        <v>NEP - Nutrients (P removal at filter bed STWs) - Sewage treatment and disposal</v>
      </c>
      <c r="D2481" s="1620" t="str">
        <f t="shared" si="51"/>
        <v>£m</v>
      </c>
      <c r="E2481" s="1636" t="s">
        <v>9</v>
      </c>
      <c r="G2481" s="1635">
        <f>'4M'!S25</f>
        <v>10.31870797337932</v>
      </c>
      <c r="H2481" s="1636"/>
    </row>
    <row r="2482" spans="1:8">
      <c r="A2482" s="1620" t="str">
        <f>INDEX(Lists!$C$4:$C$24,MATCH(Validation!$B$3,Lists!$B$4:$B$24,0))</f>
        <v>TMS</v>
      </c>
      <c r="B2482" s="1732" t="str">
        <f>'4M'!BU26</f>
        <v>S3015STDCUM</v>
      </c>
      <c r="C2482" t="str">
        <f>'4M'!$C26&amp;" - "&amp;'4M'!S$5</f>
        <v>NEP - Reduction of sanitary parameters - Sewage treatment and disposal</v>
      </c>
      <c r="D2482" s="1620" t="str">
        <f t="shared" ref="D2482:D2545" si="53">D2439</f>
        <v>£m</v>
      </c>
      <c r="E2482" s="1636" t="s">
        <v>9</v>
      </c>
      <c r="G2482" s="1635">
        <f>'4M'!S26</f>
        <v>22.762401831129939</v>
      </c>
      <c r="H2482" s="1636"/>
    </row>
    <row r="2483" spans="1:8">
      <c r="A2483" s="1620" t="str">
        <f>INDEX(Lists!$C$4:$C$24,MATCH(Validation!$B$3,Lists!$B$4:$B$24,0))</f>
        <v>TMS</v>
      </c>
      <c r="B2483" s="1732" t="str">
        <f>'4M'!BU27</f>
        <v>S3016STDCUM</v>
      </c>
      <c r="C2483" t="str">
        <f>'4M'!$C27&amp;" - "&amp;'4M'!S$5</f>
        <v>NEP - UV disinfection (or similar) - Sewage treatment and disposal</v>
      </c>
      <c r="D2483" s="1620" t="str">
        <f t="shared" si="53"/>
        <v>£m</v>
      </c>
      <c r="E2483" s="1636" t="s">
        <v>9</v>
      </c>
      <c r="G2483" s="1635">
        <f>'4M'!S27</f>
        <v>0</v>
      </c>
      <c r="H2483" s="1636"/>
    </row>
    <row r="2484" spans="1:8">
      <c r="A2484" s="1620" t="str">
        <f>INDEX(Lists!$C$4:$C$24,MATCH(Validation!$B$3,Lists!$B$4:$B$24,0))</f>
        <v>TMS</v>
      </c>
      <c r="B2484" s="1732" t="str">
        <f>'4M'!BU28</f>
        <v>S3017STDCUM</v>
      </c>
      <c r="C2484" t="str">
        <f>'4M'!$C28&amp;" - "&amp;'4M'!S$5</f>
        <v>NEP - Discharge relocation - Sewage treatment and disposal</v>
      </c>
      <c r="D2484" s="1620" t="str">
        <f t="shared" si="53"/>
        <v>£m</v>
      </c>
      <c r="E2484" s="1636" t="s">
        <v>9</v>
      </c>
      <c r="G2484" s="1635">
        <f>'4M'!S28</f>
        <v>0</v>
      </c>
      <c r="H2484" s="1636"/>
    </row>
    <row r="2485" spans="1:8">
      <c r="A2485" s="1620" t="str">
        <f>INDEX(Lists!$C$4:$C$24,MATCH(Validation!$B$3,Lists!$B$4:$B$24,0))</f>
        <v>TMS</v>
      </c>
      <c r="B2485" s="1732" t="str">
        <f>'4M'!BU29</f>
        <v>S3018STDCUM</v>
      </c>
      <c r="C2485" t="str">
        <f>'4M'!$C29&amp;" - "&amp;'4M'!S$5</f>
        <v>NEP - Flow 1 schemes - Sewage treatment and disposal</v>
      </c>
      <c r="D2485" s="1620" t="str">
        <f t="shared" si="53"/>
        <v>£m</v>
      </c>
      <c r="E2485" s="1636" t="s">
        <v>9</v>
      </c>
      <c r="G2485" s="1635">
        <f>'4M'!S29</f>
        <v>0</v>
      </c>
      <c r="H2485" s="1636"/>
    </row>
    <row r="2486" spans="1:8">
      <c r="A2486" s="1620" t="str">
        <f>INDEX(Lists!$C$4:$C$24,MATCH(Validation!$B$3,Lists!$B$4:$B$24,0))</f>
        <v>TMS</v>
      </c>
      <c r="B2486" s="1732" t="str">
        <f>'4M'!BU30</f>
        <v>S3019STDCUM</v>
      </c>
      <c r="C2486" t="str">
        <f>'4M'!$C30&amp;" - "&amp;'4M'!S$5</f>
        <v>Odour - Sewage treatment and disposal</v>
      </c>
      <c r="D2486" s="1620" t="str">
        <f t="shared" si="53"/>
        <v>£m</v>
      </c>
      <c r="E2486" s="1636" t="s">
        <v>9</v>
      </c>
      <c r="G2486" s="1635">
        <f>'4M'!S30</f>
        <v>4.608706619471314</v>
      </c>
      <c r="H2486" s="1636"/>
    </row>
    <row r="2487" spans="1:8">
      <c r="A2487" s="1620" t="str">
        <f>INDEX(Lists!$C$4:$C$24,MATCH(Validation!$B$3,Lists!$B$4:$B$24,0))</f>
        <v>TMS</v>
      </c>
      <c r="B2487" s="1732" t="str">
        <f>'4M'!BU31</f>
        <v>S3020STDCUM</v>
      </c>
      <c r="C2487" t="str">
        <f>'4M'!$C31&amp;" - "&amp;'4M'!S$5</f>
        <v>New development and growth - Sewage treatment and disposal</v>
      </c>
      <c r="D2487" s="1620" t="str">
        <f t="shared" si="53"/>
        <v>£m</v>
      </c>
      <c r="E2487" s="1636" t="s">
        <v>9</v>
      </c>
      <c r="G2487" s="1635">
        <f>'4M'!S31</f>
        <v>0</v>
      </c>
      <c r="H2487" s="1636"/>
    </row>
    <row r="2488" spans="1:8">
      <c r="A2488" s="1620" t="str">
        <f>INDEX(Lists!$C$4:$C$24,MATCH(Validation!$B$3,Lists!$B$4:$B$24,0))</f>
        <v>TMS</v>
      </c>
      <c r="B2488" s="1732" t="str">
        <f>'4M'!BU32</f>
        <v>S3021STDCUM</v>
      </c>
      <c r="C2488" t="str">
        <f>'4M'!$C32&amp;" - "&amp;'4M'!S$5</f>
        <v>Growth at sewage treatment works (excluding sludge treatment) - Sewage treatment and disposal</v>
      </c>
      <c r="D2488" s="1620" t="str">
        <f t="shared" si="53"/>
        <v>£m</v>
      </c>
      <c r="E2488" s="1636" t="s">
        <v>9</v>
      </c>
      <c r="G2488" s="1635">
        <f>'4M'!S32</f>
        <v>1.1474241066930921</v>
      </c>
      <c r="H2488" s="1636"/>
    </row>
    <row r="2489" spans="1:8">
      <c r="A2489" s="1620" t="str">
        <f>INDEX(Lists!$C$4:$C$24,MATCH(Validation!$B$3,Lists!$B$4:$B$24,0))</f>
        <v>TMS</v>
      </c>
      <c r="B2489" s="1732" t="str">
        <f>'4M'!BU33</f>
        <v>S3022STDCUM</v>
      </c>
      <c r="C2489" t="str">
        <f>'4M'!$C33&amp;" - "&amp;'4M'!S$5</f>
        <v>Resilience - Sewage treatment and disposal</v>
      </c>
      <c r="D2489" s="1620" t="str">
        <f t="shared" si="53"/>
        <v>£m</v>
      </c>
      <c r="E2489" s="1636" t="s">
        <v>9</v>
      </c>
      <c r="G2489" s="1635">
        <f>'4M'!S33</f>
        <v>0.5485599260084556</v>
      </c>
      <c r="H2489" s="1636"/>
    </row>
    <row r="2490" spans="1:8">
      <c r="A2490" s="1620" t="str">
        <f>INDEX(Lists!$C$4:$C$24,MATCH(Validation!$B$3,Lists!$B$4:$B$24,0))</f>
        <v>TMS</v>
      </c>
      <c r="B2490" s="1732" t="str">
        <f>'4M'!BU34</f>
        <v>BC31785STDCUM</v>
      </c>
      <c r="C2490" t="str">
        <f>'4M'!$C34&amp;" - "&amp;'4M'!S$5</f>
        <v>SEMD - Sewage treatment and disposal</v>
      </c>
      <c r="D2490" s="1620" t="str">
        <f t="shared" si="53"/>
        <v>£m</v>
      </c>
      <c r="E2490" s="1636" t="s">
        <v>9</v>
      </c>
      <c r="G2490" s="1635">
        <f>'4M'!S34</f>
        <v>9.6926625608042887</v>
      </c>
      <c r="H2490" s="1636"/>
    </row>
    <row r="2491" spans="1:8">
      <c r="A2491" s="1620" t="str">
        <f>INDEX(Lists!$C$4:$C$24,MATCH(Validation!$B$3,Lists!$B$4:$B$24,0))</f>
        <v>TMS</v>
      </c>
      <c r="B2491" s="1732" t="str">
        <f>'4M'!BU35</f>
        <v>S3023STDCUM</v>
      </c>
      <c r="C2491" t="str">
        <f>'4M'!$C35&amp;" - "&amp;'4M'!S$5</f>
        <v>Reduce flooding risk for properties - Sewage treatment and disposal</v>
      </c>
      <c r="D2491" s="1620" t="str">
        <f t="shared" si="53"/>
        <v>£m</v>
      </c>
      <c r="E2491" s="1636" t="s">
        <v>9</v>
      </c>
      <c r="G2491" s="1635">
        <f>'4M'!S35</f>
        <v>1.9745102264516739E-4</v>
      </c>
      <c r="H2491" s="1636"/>
    </row>
    <row r="2492" spans="1:8">
      <c r="A2492" s="1620" t="str">
        <f>INDEX(Lists!$C$4:$C$24,MATCH(Validation!$B$3,Lists!$B$4:$B$24,0))</f>
        <v>TMS</v>
      </c>
      <c r="B2492" s="1732" t="str">
        <f>'4M'!BU36</f>
        <v>S3A00001STDCUM</v>
      </c>
      <c r="C2492" s="1732" t="str">
        <f>"Capital expenditure purpose - WASTEWATER additional line 1 [Other categories] - "&amp;'4M'!$S$5</f>
        <v>Capital expenditure purpose - WASTEWATER additional line 1 [Other categories] - Sewage treatment and disposal</v>
      </c>
      <c r="D2492" s="1620" t="str">
        <f t="shared" si="53"/>
        <v>£m</v>
      </c>
      <c r="E2492" s="1636" t="s">
        <v>9</v>
      </c>
      <c r="F2492" s="2" t="str">
        <f>F2019</f>
        <v>Quality spend at CSOs and quality allocation to Deephams inlet works</v>
      </c>
      <c r="G2492" s="1635">
        <f>IF(ISBLANK('4M'!S36), "##BLANK", '4M'!S36)</f>
        <v>0</v>
      </c>
      <c r="H2492" s="1636"/>
    </row>
    <row r="2493" spans="1:8">
      <c r="A2493" s="1620" t="str">
        <f>INDEX(Lists!$C$4:$C$24,MATCH(Validation!$B$3,Lists!$B$4:$B$24,0))</f>
        <v>TMS</v>
      </c>
      <c r="B2493" s="1732" t="str">
        <f>'4M'!BU37</f>
        <v>S3A00002STDCUM</v>
      </c>
      <c r="C2493" s="1732" t="str">
        <f>"Capital expenditure purpose - WASTEWATER additional line 2 [Other categories] - "&amp;'4M'!$S$5</f>
        <v>Capital expenditure purpose - WASTEWATER additional line 2 [Other categories] - Sewage treatment and disposal</v>
      </c>
      <c r="D2493" s="1620" t="str">
        <f t="shared" si="53"/>
        <v>£m</v>
      </c>
      <c r="E2493" s="1636" t="s">
        <v>9</v>
      </c>
      <c r="F2493" s="2" t="str">
        <f t="shared" ref="F2493:F2506" si="54">F2020</f>
        <v>Tideway quality (NEP). Excludes Lee Tunnel and sludge.</v>
      </c>
      <c r="G2493" s="1635">
        <f>IF(ISBLANK('4M'!S37), "##BLANK", '4M'!S37)</f>
        <v>0</v>
      </c>
      <c r="H2493" s="1636"/>
    </row>
    <row r="2494" spans="1:8">
      <c r="A2494" s="1620" t="str">
        <f>INDEX(Lists!$C$4:$C$24,MATCH(Validation!$B$3,Lists!$B$4:$B$24,0))</f>
        <v>TMS</v>
      </c>
      <c r="B2494" s="1732" t="str">
        <f>'4M'!BU38</f>
        <v>S3A00003STDCUM</v>
      </c>
      <c r="C2494" s="1732" t="str">
        <f>"Capital expenditure purpose - WASTEWATER additional line 3 [Other categories] - "&amp;'4M'!$S$5</f>
        <v>Capital expenditure purpose - WASTEWATER additional line 3 [Other categories] - Sewage treatment and disposal</v>
      </c>
      <c r="D2494" s="1620" t="str">
        <f t="shared" si="53"/>
        <v>£m</v>
      </c>
      <c r="E2494" s="1636" t="s">
        <v>9</v>
      </c>
      <c r="F2494" s="2" t="str">
        <f t="shared" si="54"/>
        <v>Lee Tunnel</v>
      </c>
      <c r="G2494" s="1635">
        <f>IF(ISBLANK('4M'!S38), "##BLANK", '4M'!S38)</f>
        <v>0</v>
      </c>
      <c r="H2494" s="1636"/>
    </row>
    <row r="2495" spans="1:8">
      <c r="A2495" s="1620" t="str">
        <f>INDEX(Lists!$C$4:$C$24,MATCH(Validation!$B$3,Lists!$B$4:$B$24,0))</f>
        <v>TMS</v>
      </c>
      <c r="B2495" s="1732" t="str">
        <f>'4M'!BU39</f>
        <v>S3A00004STDCUM</v>
      </c>
      <c r="C2495" s="1732" t="str">
        <f>"Capital expenditure purpose - WASTEWATER additional line 4 [Other categories] - "&amp;'4M'!$S$5</f>
        <v>Capital expenditure purpose - WASTEWATER additional line 4 [Other categories] - Sewage treatment and disposal</v>
      </c>
      <c r="D2495" s="1620" t="str">
        <f t="shared" si="53"/>
        <v>£m</v>
      </c>
      <c r="E2495" s="1636" t="s">
        <v>9</v>
      </c>
      <c r="F2495" s="2" t="str">
        <f t="shared" si="54"/>
        <v>Non-SEMD related security enhancement (revised Ofwat guidance 6 July 2018)</v>
      </c>
      <c r="G2495" s="1635">
        <f>IF(ISBLANK('4M'!S39), "##BLANK", '4M'!S39)</f>
        <v>0.57506449717822117</v>
      </c>
      <c r="H2495" s="1636"/>
    </row>
    <row r="2496" spans="1:8">
      <c r="A2496" s="1620" t="str">
        <f>INDEX(Lists!$C$4:$C$24,MATCH(Validation!$B$3,Lists!$B$4:$B$24,0))</f>
        <v>TMS</v>
      </c>
      <c r="B2496" s="1732" t="str">
        <f>'4M'!BU40</f>
        <v>S3A00005STDCUM</v>
      </c>
      <c r="C2496" s="1732" t="str">
        <f>"Capital expenditure purpose - WASTEWATER additional line 5 [Other categories] - "&amp;'4M'!$S$5</f>
        <v>Capital expenditure purpose - WASTEWATER additional line 5 [Other categories] - Sewage treatment and disposal</v>
      </c>
      <c r="D2496" s="1620" t="str">
        <f t="shared" si="53"/>
        <v>£m</v>
      </c>
      <c r="E2496" s="1636" t="s">
        <v>9</v>
      </c>
      <c r="F2496" s="2" t="str">
        <f t="shared" si="54"/>
        <v>##BLANK</v>
      </c>
      <c r="G2496" s="1635" t="str">
        <f>IF(ISBLANK('4M'!S40), "##BLANK", '4M'!S40)</f>
        <v>##BLANK</v>
      </c>
      <c r="H2496" s="1636"/>
    </row>
    <row r="2497" spans="1:8">
      <c r="A2497" s="1620" t="str">
        <f>INDEX(Lists!$C$4:$C$24,MATCH(Validation!$B$3,Lists!$B$4:$B$24,0))</f>
        <v>TMS</v>
      </c>
      <c r="B2497" s="1732" t="str">
        <f>'4M'!BU41</f>
        <v>S3A00006STDCUM</v>
      </c>
      <c r="C2497" s="1732" t="str">
        <f>"Capital expenditure purpose - WASTEWATER additional line 6 [Other categories] - "&amp;'4M'!$S$5</f>
        <v>Capital expenditure purpose - WASTEWATER additional line 6 [Other categories] - Sewage treatment and disposal</v>
      </c>
      <c r="D2497" s="1620" t="str">
        <f t="shared" si="53"/>
        <v>£m</v>
      </c>
      <c r="E2497" s="1636" t="s">
        <v>9</v>
      </c>
      <c r="F2497" s="2" t="str">
        <f t="shared" si="54"/>
        <v>##BLANK</v>
      </c>
      <c r="G2497" s="1635" t="str">
        <f>IF(ISBLANK('4M'!S41), "##BLANK", '4M'!S41)</f>
        <v>##BLANK</v>
      </c>
      <c r="H2497" s="1636"/>
    </row>
    <row r="2498" spans="1:8">
      <c r="A2498" s="1620" t="str">
        <f>INDEX(Lists!$C$4:$C$24,MATCH(Validation!$B$3,Lists!$B$4:$B$24,0))</f>
        <v>TMS</v>
      </c>
      <c r="B2498" s="1732" t="str">
        <f>'4M'!BU42</f>
        <v>S3A00007STDCUM</v>
      </c>
      <c r="C2498" s="1732" t="str">
        <f>"Capital expenditure purpose - WASTEWATER additional line 7 [Other categories] - "&amp;'4M'!$S$5</f>
        <v>Capital expenditure purpose - WASTEWATER additional line 7 [Other categories] - Sewage treatment and disposal</v>
      </c>
      <c r="D2498" s="1620" t="str">
        <f t="shared" si="53"/>
        <v>£m</v>
      </c>
      <c r="E2498" s="1636" t="s">
        <v>9</v>
      </c>
      <c r="F2498" s="2" t="str">
        <f t="shared" si="54"/>
        <v>##BLANK</v>
      </c>
      <c r="G2498" s="1635" t="str">
        <f>IF(ISBLANK('4M'!S42), "##BLANK", '4M'!S42)</f>
        <v>##BLANK</v>
      </c>
      <c r="H2498" s="1636"/>
    </row>
    <row r="2499" spans="1:8">
      <c r="A2499" s="1620" t="str">
        <f>INDEX(Lists!$C$4:$C$24,MATCH(Validation!$B$3,Lists!$B$4:$B$24,0))</f>
        <v>TMS</v>
      </c>
      <c r="B2499" s="1732" t="str">
        <f>'4M'!BU43</f>
        <v>S3A00008STDCUM</v>
      </c>
      <c r="C2499" s="1732" t="str">
        <f>"Capital expenditure purpose - WASTEWATER additional line 8 [Other categories] - "&amp;'4M'!$S$5</f>
        <v>Capital expenditure purpose - WASTEWATER additional line 8 [Other categories] - Sewage treatment and disposal</v>
      </c>
      <c r="D2499" s="1620" t="str">
        <f t="shared" si="53"/>
        <v>£m</v>
      </c>
      <c r="E2499" s="1636" t="s">
        <v>9</v>
      </c>
      <c r="F2499" s="2" t="str">
        <f t="shared" si="54"/>
        <v>##BLANK</v>
      </c>
      <c r="G2499" s="1635" t="str">
        <f>IF(ISBLANK('4M'!S43), "##BLANK", '4M'!S43)</f>
        <v>##BLANK</v>
      </c>
      <c r="H2499" s="1636"/>
    </row>
    <row r="2500" spans="1:8">
      <c r="A2500" s="1620" t="str">
        <f>INDEX(Lists!$C$4:$C$24,MATCH(Validation!$B$3,Lists!$B$4:$B$24,0))</f>
        <v>TMS</v>
      </c>
      <c r="B2500" s="1732" t="str">
        <f>'4M'!BU44</f>
        <v>S3A00009STDCUM</v>
      </c>
      <c r="C2500" s="1732" t="str">
        <f>"Capital expenditure purpose - WASTEWATER additional line 9 [Other categories] - "&amp;'4M'!$S$5</f>
        <v>Capital expenditure purpose - WASTEWATER additional line 9 [Other categories] - Sewage treatment and disposal</v>
      </c>
      <c r="D2500" s="1620" t="str">
        <f t="shared" si="53"/>
        <v>£m</v>
      </c>
      <c r="E2500" s="1636" t="s">
        <v>9</v>
      </c>
      <c r="F2500" s="2" t="str">
        <f t="shared" si="54"/>
        <v>##BLANK</v>
      </c>
      <c r="G2500" s="1635" t="str">
        <f>IF(ISBLANK('4M'!S44), "##BLANK", '4M'!S44)</f>
        <v>##BLANK</v>
      </c>
      <c r="H2500" s="1636"/>
    </row>
    <row r="2501" spans="1:8">
      <c r="A2501" s="1620" t="str">
        <f>INDEX(Lists!$C$4:$C$24,MATCH(Validation!$B$3,Lists!$B$4:$B$24,0))</f>
        <v>TMS</v>
      </c>
      <c r="B2501" s="1732" t="str">
        <f>'4M'!BU45</f>
        <v>S3A00010STDCUM</v>
      </c>
      <c r="C2501" s="1732" t="str">
        <f>"Capital expenditure purpose - WASTEWATER additional line 10 [Other categories] - "&amp;'4M'!$S$5</f>
        <v>Capital expenditure purpose - WASTEWATER additional line 10 [Other categories] - Sewage treatment and disposal</v>
      </c>
      <c r="D2501" s="1620" t="str">
        <f t="shared" si="53"/>
        <v>£m</v>
      </c>
      <c r="E2501" s="1636" t="s">
        <v>9</v>
      </c>
      <c r="F2501" s="2" t="str">
        <f t="shared" si="54"/>
        <v>##BLANK</v>
      </c>
      <c r="G2501" s="1635" t="str">
        <f>IF(ISBLANK('4M'!S45), "##BLANK", '4M'!S45)</f>
        <v>##BLANK</v>
      </c>
      <c r="H2501" s="1636"/>
    </row>
    <row r="2502" spans="1:8">
      <c r="A2502" s="1620" t="str">
        <f>INDEX(Lists!$C$4:$C$24,MATCH(Validation!$B$3,Lists!$B$4:$B$24,0))</f>
        <v>TMS</v>
      </c>
      <c r="B2502" s="1732" t="str">
        <f>'4M'!BU46</f>
        <v>S3A00011STDCUM</v>
      </c>
      <c r="C2502" s="1732" t="str">
        <f>"Capital expenditure purpose - WASTEWATER additional line 11 [Other categories] - "&amp;'4M'!$S$5</f>
        <v>Capital expenditure purpose - WASTEWATER additional line 11 [Other categories] - Sewage treatment and disposal</v>
      </c>
      <c r="D2502" s="1620" t="str">
        <f t="shared" si="53"/>
        <v>£m</v>
      </c>
      <c r="E2502" s="1636" t="s">
        <v>9</v>
      </c>
      <c r="F2502" s="2" t="str">
        <f t="shared" si="54"/>
        <v>##BLANK</v>
      </c>
      <c r="G2502" s="1635" t="str">
        <f>IF(ISBLANK('4M'!S46), "##BLANK", '4M'!S46)</f>
        <v>##BLANK</v>
      </c>
      <c r="H2502" s="1636"/>
    </row>
    <row r="2503" spans="1:8">
      <c r="A2503" s="1620" t="str">
        <f>INDEX(Lists!$C$4:$C$24,MATCH(Validation!$B$3,Lists!$B$4:$B$24,0))</f>
        <v>TMS</v>
      </c>
      <c r="B2503" s="1732" t="str">
        <f>'4M'!BU47</f>
        <v>S3A00012STDCUM</v>
      </c>
      <c r="C2503" s="1732" t="str">
        <f>"Capital expenditure purpose - WASTEWATER additional line 12 [Other categories] - "&amp;'4M'!$S$5</f>
        <v>Capital expenditure purpose - WASTEWATER additional line 12 [Other categories] - Sewage treatment and disposal</v>
      </c>
      <c r="D2503" s="1620" t="str">
        <f t="shared" si="53"/>
        <v>£m</v>
      </c>
      <c r="E2503" s="1636" t="s">
        <v>9</v>
      </c>
      <c r="F2503" s="2" t="str">
        <f t="shared" si="54"/>
        <v>##BLANK</v>
      </c>
      <c r="G2503" s="1635" t="str">
        <f>IF(ISBLANK('4M'!S47), "##BLANK", '4M'!S47)</f>
        <v>##BLANK</v>
      </c>
      <c r="H2503" s="1636"/>
    </row>
    <row r="2504" spans="1:8">
      <c r="A2504" s="1620" t="str">
        <f>INDEX(Lists!$C$4:$C$24,MATCH(Validation!$B$3,Lists!$B$4:$B$24,0))</f>
        <v>TMS</v>
      </c>
      <c r="B2504" s="1732" t="str">
        <f>'4M'!BU48</f>
        <v>S3A00013STDCUM</v>
      </c>
      <c r="C2504" s="1732" t="str">
        <f>"Capital expenditure purpose - WASTEWATER additional line 13 [Other categories] - "&amp;'4M'!$S$5</f>
        <v>Capital expenditure purpose - WASTEWATER additional line 13 [Other categories] - Sewage treatment and disposal</v>
      </c>
      <c r="D2504" s="1620" t="str">
        <f t="shared" si="53"/>
        <v>£m</v>
      </c>
      <c r="E2504" s="1636" t="s">
        <v>9</v>
      </c>
      <c r="F2504" s="2" t="str">
        <f t="shared" si="54"/>
        <v>##BLANK</v>
      </c>
      <c r="G2504" s="1635" t="str">
        <f>IF(ISBLANK('4M'!S48), "##BLANK", '4M'!S48)</f>
        <v>##BLANK</v>
      </c>
      <c r="H2504" s="1636"/>
    </row>
    <row r="2505" spans="1:8">
      <c r="A2505" s="1620" t="str">
        <f>INDEX(Lists!$C$4:$C$24,MATCH(Validation!$B$3,Lists!$B$4:$B$24,0))</f>
        <v>TMS</v>
      </c>
      <c r="B2505" s="1732" t="str">
        <f>'4M'!BU49</f>
        <v>S3A00014STDCUM</v>
      </c>
      <c r="C2505" s="1732" t="str">
        <f>"Capital expenditure purpose - WASTEWATER additional line 14 [Other categories] - "&amp;'4M'!$S$5</f>
        <v>Capital expenditure purpose - WASTEWATER additional line 14 [Other categories] - Sewage treatment and disposal</v>
      </c>
      <c r="D2505" s="1620" t="str">
        <f t="shared" si="53"/>
        <v>£m</v>
      </c>
      <c r="E2505" s="1636" t="s">
        <v>9</v>
      </c>
      <c r="F2505" s="2" t="str">
        <f t="shared" si="54"/>
        <v>##BLANK</v>
      </c>
      <c r="G2505" s="1635" t="str">
        <f>IF(ISBLANK('4M'!S49), "##BLANK", '4M'!S49)</f>
        <v>##BLANK</v>
      </c>
      <c r="H2505" s="1636"/>
    </row>
    <row r="2506" spans="1:8">
      <c r="A2506" s="1730" t="str">
        <f>INDEX(Lists!$C$4:$C$24,MATCH(Validation!$B$3,Lists!$B$4:$B$24,0))</f>
        <v>TMS</v>
      </c>
      <c r="B2506" s="1734" t="str">
        <f>'4M'!BU50</f>
        <v>S3A00015STDCUM</v>
      </c>
      <c r="C2506" s="1734" t="str">
        <f>"Capital expenditure purpose - WASTEWATER additional line 15 [Other categories] - "&amp;'4M'!$S$5</f>
        <v>Capital expenditure purpose - WASTEWATER additional line 15 [Other categories] - Sewage treatment and disposal</v>
      </c>
      <c r="D2506" s="1730" t="str">
        <f t="shared" si="53"/>
        <v>£m</v>
      </c>
      <c r="E2506" s="1652" t="s">
        <v>9</v>
      </c>
      <c r="F2506" s="1637" t="str">
        <f t="shared" si="54"/>
        <v>##BLANK</v>
      </c>
      <c r="G2506" s="1653" t="str">
        <f>IF(ISBLANK('4M'!S50), "##BLANK", '4M'!S50)</f>
        <v>##BLANK</v>
      </c>
      <c r="H2506" s="1652"/>
    </row>
    <row r="2507" spans="1:8">
      <c r="A2507" s="1620" t="str">
        <f>INDEX(Lists!$C$4:$C$24,MATCH(Validation!$B$3,Lists!$B$4:$B$24,0))</f>
        <v>TMS</v>
      </c>
      <c r="B2507" s="1732" t="str">
        <f>'4M'!BV8</f>
        <v>BC31379SLTCUM</v>
      </c>
      <c r="C2507" t="str">
        <f>'4M'!$C8&amp;" - "&amp;'4M'!T$5</f>
        <v>First time sewerage (s101A) - Sludge liquor treatment</v>
      </c>
      <c r="D2507" s="1620" t="str">
        <f t="shared" si="53"/>
        <v>£m</v>
      </c>
      <c r="E2507" s="1636" t="s">
        <v>9</v>
      </c>
      <c r="G2507" s="1635">
        <f>'4M'!T8</f>
        <v>0</v>
      </c>
      <c r="H2507" s="1636"/>
    </row>
    <row r="2508" spans="1:8">
      <c r="A2508" s="1620" t="str">
        <f>INDEX(Lists!$C$4:$C$24,MATCH(Validation!$B$3,Lists!$B$4:$B$24,0))</f>
        <v>TMS</v>
      </c>
      <c r="B2508" s="1732" t="str">
        <f>'4M'!BV9</f>
        <v>S3035QSLTCUM</v>
      </c>
      <c r="C2508" t="str">
        <f>'4M'!$C9&amp;" - "&amp;'4M'!T$5</f>
        <v>Sludge enhancement (quality) - Sludge liquor treatment</v>
      </c>
      <c r="D2508" s="1620" t="str">
        <f t="shared" si="53"/>
        <v>£m</v>
      </c>
      <c r="E2508" s="1636" t="s">
        <v>9</v>
      </c>
      <c r="G2508" s="1635">
        <f>'4M'!T9</f>
        <v>0</v>
      </c>
      <c r="H2508" s="1636"/>
    </row>
    <row r="2509" spans="1:8">
      <c r="A2509" s="1620" t="str">
        <f>INDEX(Lists!$C$4:$C$24,MATCH(Validation!$B$3,Lists!$B$4:$B$24,0))</f>
        <v>TMS</v>
      </c>
      <c r="B2509" s="1732" t="str">
        <f>'4M'!BV10</f>
        <v>S3036GSLTCUM</v>
      </c>
      <c r="C2509" t="str">
        <f>'4M'!$C10&amp;" - "&amp;'4M'!T$5</f>
        <v>Sludge enhancement (growth) - Sludge liquor treatment</v>
      </c>
      <c r="D2509" s="1620" t="str">
        <f t="shared" si="53"/>
        <v>£m</v>
      </c>
      <c r="E2509" s="1636" t="s">
        <v>9</v>
      </c>
      <c r="G2509" s="1635">
        <f>'4M'!T10</f>
        <v>0</v>
      </c>
      <c r="H2509" s="1636"/>
    </row>
    <row r="2510" spans="1:8">
      <c r="A2510" s="1620" t="str">
        <f>INDEX(Lists!$C$4:$C$24,MATCH(Validation!$B$3,Lists!$B$4:$B$24,0))</f>
        <v>TMS</v>
      </c>
      <c r="B2510" s="1732" t="str">
        <f>'4M'!BV11</f>
        <v>S3004SLTCUM</v>
      </c>
      <c r="C2510" t="str">
        <f>'4M'!$C11&amp;" - "&amp;'4M'!T$5</f>
        <v>NEP - Conservation drivers - Sludge liquor treatment</v>
      </c>
      <c r="D2510" s="1620" t="str">
        <f t="shared" si="53"/>
        <v>£m</v>
      </c>
      <c r="E2510" s="1636" t="s">
        <v>9</v>
      </c>
      <c r="G2510" s="1635">
        <f>'4M'!T11</f>
        <v>0</v>
      </c>
      <c r="H2510" s="1636"/>
    </row>
    <row r="2511" spans="1:8">
      <c r="A2511" s="1620" t="str">
        <f>INDEX(Lists!$C$4:$C$24,MATCH(Validation!$B$3,Lists!$B$4:$B$24,0))</f>
        <v>TMS</v>
      </c>
      <c r="B2511" s="1732" t="str">
        <f>'4M'!BV12</f>
        <v>WWS2001SLTCUM</v>
      </c>
      <c r="C2511" t="str">
        <f>'4M'!$C12&amp;" - "&amp;'4M'!T$5</f>
        <v>NEP - Eels Regulations (measures at outfalls) - Sludge liquor treatment</v>
      </c>
      <c r="D2511" s="1620" t="str">
        <f t="shared" si="53"/>
        <v>£m</v>
      </c>
      <c r="E2511" s="1636" t="s">
        <v>9</v>
      </c>
      <c r="G2511" s="1635">
        <f>'4M'!T12</f>
        <v>0</v>
      </c>
      <c r="H2511" s="1636"/>
    </row>
    <row r="2512" spans="1:8">
      <c r="A2512" s="1620" t="str">
        <f>INDEX(Lists!$C$4:$C$24,MATCH(Validation!$B$3,Lists!$B$4:$B$24,0))</f>
        <v>TMS</v>
      </c>
      <c r="B2512" s="1732" t="str">
        <f>'4M'!BV13</f>
        <v>S3005SLTCUM</v>
      </c>
      <c r="C2512" t="str">
        <f>'4M'!$C13&amp;" - "&amp;'4M'!T$5</f>
        <v>NEP - Event Duration Monitoring at intermittent discharges - Sludge liquor treatment</v>
      </c>
      <c r="D2512" s="1620" t="str">
        <f t="shared" si="53"/>
        <v>£m</v>
      </c>
      <c r="E2512" s="1636" t="s">
        <v>9</v>
      </c>
      <c r="G2512" s="1635">
        <f>'4M'!T13</f>
        <v>0</v>
      </c>
      <c r="H2512" s="1636"/>
    </row>
    <row r="2513" spans="1:8">
      <c r="A2513" s="1620" t="str">
        <f>INDEX(Lists!$C$4:$C$24,MATCH(Validation!$B$3,Lists!$B$4:$B$24,0))</f>
        <v>TMS</v>
      </c>
      <c r="B2513" s="1732" t="str">
        <f>'4M'!BV14</f>
        <v>S3006SLTCUM</v>
      </c>
      <c r="C2513" t="str">
        <f>'4M'!$C14&amp;" - "&amp;'4M'!T$5</f>
        <v>NEP - Flow monitoring at sewage treatment works - Sludge liquor treatment</v>
      </c>
      <c r="D2513" s="1620" t="str">
        <f t="shared" si="53"/>
        <v>£m</v>
      </c>
      <c r="E2513" s="1636" t="s">
        <v>9</v>
      </c>
      <c r="G2513" s="1635">
        <f>'4M'!T14</f>
        <v>0</v>
      </c>
      <c r="H2513" s="1636"/>
    </row>
    <row r="2514" spans="1:8">
      <c r="A2514" s="1620" t="str">
        <f>INDEX(Lists!$C$4:$C$24,MATCH(Validation!$B$3,Lists!$B$4:$B$24,0))</f>
        <v>TMS</v>
      </c>
      <c r="B2514" s="1732" t="str">
        <f>'4M'!BV15</f>
        <v>S3007SLTCUM</v>
      </c>
      <c r="C2514" t="str">
        <f>'4M'!$C15&amp;" - "&amp;'4M'!T$5</f>
        <v>NEP - Monitoring of pass forward flows at CSOs - Sludge liquor treatment</v>
      </c>
      <c r="D2514" s="1620" t="str">
        <f t="shared" si="53"/>
        <v>£m</v>
      </c>
      <c r="E2514" s="1636" t="s">
        <v>9</v>
      </c>
      <c r="G2514" s="1635">
        <f>'4M'!T15</f>
        <v>0</v>
      </c>
      <c r="H2514" s="1636"/>
    </row>
    <row r="2515" spans="1:8">
      <c r="A2515" s="1620" t="str">
        <f>INDEX(Lists!$C$4:$C$24,MATCH(Validation!$B$3,Lists!$B$4:$B$24,0))</f>
        <v>TMS</v>
      </c>
      <c r="B2515" s="1732" t="str">
        <f>'4M'!BV16</f>
        <v>WWS2002SLTCUM</v>
      </c>
      <c r="C2515" t="str">
        <f>'4M'!$C16&amp;" - "&amp;'4M'!T$5</f>
        <v>NEP - Schemes to increase flow to full treatment - Sludge liquor treatment</v>
      </c>
      <c r="D2515" s="1620" t="str">
        <f t="shared" si="53"/>
        <v>£m</v>
      </c>
      <c r="E2515" s="1636" t="s">
        <v>9</v>
      </c>
      <c r="G2515" s="1635">
        <f>'4M'!T16</f>
        <v>0</v>
      </c>
      <c r="H2515" s="1636"/>
    </row>
    <row r="2516" spans="1:8">
      <c r="A2516" s="1620" t="str">
        <f>INDEX(Lists!$C$4:$C$24,MATCH(Validation!$B$3,Lists!$B$4:$B$24,0))</f>
        <v>TMS</v>
      </c>
      <c r="B2516" s="1732" t="str">
        <f>'4M'!BV17</f>
        <v>WWS2003SLTCUM</v>
      </c>
      <c r="C2516" t="str">
        <f>'4M'!$C17&amp;" - "&amp;'4M'!T$5</f>
        <v>NEP - Schemes to increase storm tank capacity - Sludge liquor treatment</v>
      </c>
      <c r="D2516" s="1620" t="str">
        <f t="shared" si="53"/>
        <v>£m</v>
      </c>
      <c r="E2516" s="1636" t="s">
        <v>9</v>
      </c>
      <c r="G2516" s="1635">
        <f>'4M'!T17</f>
        <v>0</v>
      </c>
      <c r="H2516" s="1636"/>
    </row>
    <row r="2517" spans="1:8">
      <c r="A2517" s="1620" t="str">
        <f>INDEX(Lists!$C$4:$C$24,MATCH(Validation!$B$3,Lists!$B$4:$B$24,0))</f>
        <v>TMS</v>
      </c>
      <c r="B2517" s="1732" t="str">
        <f>'4M'!BV18</f>
        <v>S3008SLTCUM</v>
      </c>
      <c r="C2517" t="str">
        <f>'4M'!$C18&amp;" - "&amp;'4M'!T$5</f>
        <v>NEP - Storage schemes to reduce spill frequency at CSOs, storm tanks, etc - Sludge liquor treatment</v>
      </c>
      <c r="D2517" s="1620" t="str">
        <f t="shared" si="53"/>
        <v>£m</v>
      </c>
      <c r="E2517" s="1636" t="s">
        <v>9</v>
      </c>
      <c r="G2517" s="1635">
        <f>'4M'!T18</f>
        <v>0</v>
      </c>
      <c r="H2517" s="1636"/>
    </row>
    <row r="2518" spans="1:8">
      <c r="A2518" s="1620" t="str">
        <f>INDEX(Lists!$C$4:$C$24,MATCH(Validation!$B$3,Lists!$B$4:$B$24,0))</f>
        <v>TMS</v>
      </c>
      <c r="B2518" s="1732" t="str">
        <f>'4M'!BV19</f>
        <v>S3009SLTCUM</v>
      </c>
      <c r="C2518" t="str">
        <f>'4M'!$C19&amp;" - "&amp;'4M'!T$5</f>
        <v>NEP - Chemicals monitoring/ investigations/ options appraisals - Sludge liquor treatment</v>
      </c>
      <c r="D2518" s="1620" t="str">
        <f t="shared" si="53"/>
        <v>£m</v>
      </c>
      <c r="E2518" s="1636" t="s">
        <v>9</v>
      </c>
      <c r="G2518" s="1635">
        <f>'4M'!T19</f>
        <v>0</v>
      </c>
      <c r="H2518" s="1636"/>
    </row>
    <row r="2519" spans="1:8">
      <c r="A2519" s="1620" t="str">
        <f>INDEX(Lists!$C$4:$C$24,MATCH(Validation!$B$3,Lists!$B$4:$B$24,0))</f>
        <v>TMS</v>
      </c>
      <c r="B2519" s="1732" t="str">
        <f>'4M'!BV20</f>
        <v>WWS2007SLTCUM</v>
      </c>
      <c r="C2519" t="str">
        <f>'4M'!$C20&amp;" - "&amp;'4M'!T$5</f>
        <v>NEP - National phosphorus removal technology investigations - Sludge liquor treatment</v>
      </c>
      <c r="D2519" s="1620" t="str">
        <f t="shared" si="53"/>
        <v>£m</v>
      </c>
      <c r="E2519" s="1636" t="s">
        <v>9</v>
      </c>
      <c r="G2519" s="1635">
        <f>'4M'!T20</f>
        <v>0</v>
      </c>
      <c r="H2519" s="1636"/>
    </row>
    <row r="2520" spans="1:8">
      <c r="A2520" s="1620" t="str">
        <f>INDEX(Lists!$C$4:$C$24,MATCH(Validation!$B$3,Lists!$B$4:$B$24,0))</f>
        <v>TMS</v>
      </c>
      <c r="B2520" s="1732" t="str">
        <f>'4M'!BV21</f>
        <v>S3010SLTCUM</v>
      </c>
      <c r="C2520" t="str">
        <f>'4M'!$C21&amp;" - "&amp;'4M'!T$5</f>
        <v>NEP - Groundwater schemes - Sludge liquor treatment</v>
      </c>
      <c r="D2520" s="1620" t="str">
        <f t="shared" si="53"/>
        <v>£m</v>
      </c>
      <c r="E2520" s="1636" t="s">
        <v>9</v>
      </c>
      <c r="G2520" s="1635">
        <f>'4M'!T21</f>
        <v>0</v>
      </c>
      <c r="H2520" s="1636"/>
    </row>
    <row r="2521" spans="1:8">
      <c r="A2521" s="1620" t="str">
        <f>INDEX(Lists!$C$4:$C$24,MATCH(Validation!$B$3,Lists!$B$4:$B$24,0))</f>
        <v>TMS</v>
      </c>
      <c r="B2521" s="1732" t="str">
        <f>'4M'!BV22</f>
        <v>S3011SLTCUM</v>
      </c>
      <c r="C2521" t="str">
        <f>'4M'!$C22&amp;" - "&amp;'4M'!T$5</f>
        <v>NEP - Investigations - Sludge liquor treatment</v>
      </c>
      <c r="D2521" s="1620" t="str">
        <f t="shared" si="53"/>
        <v>£m</v>
      </c>
      <c r="E2521" s="1636" t="s">
        <v>9</v>
      </c>
      <c r="G2521" s="1635">
        <f>'4M'!T22</f>
        <v>0</v>
      </c>
      <c r="H2521" s="1636"/>
    </row>
    <row r="2522" spans="1:8">
      <c r="A2522" s="1620" t="str">
        <f>INDEX(Lists!$C$4:$C$24,MATCH(Validation!$B$3,Lists!$B$4:$B$24,0))</f>
        <v>TMS</v>
      </c>
      <c r="B2522" s="1732" t="str">
        <f>'4M'!BV23</f>
        <v>S3012SLTCUM</v>
      </c>
      <c r="C2522" t="str">
        <f>'4M'!$C23&amp;" - "&amp;'4M'!T$5</f>
        <v>NEP - Nutrients (N removal) - Sludge liquor treatment</v>
      </c>
      <c r="D2522" s="1620" t="str">
        <f t="shared" si="53"/>
        <v>£m</v>
      </c>
      <c r="E2522" s="1636" t="s">
        <v>9</v>
      </c>
      <c r="G2522" s="1635">
        <f>'4M'!T23</f>
        <v>0</v>
      </c>
      <c r="H2522" s="1636"/>
    </row>
    <row r="2523" spans="1:8">
      <c r="A2523" s="1620" t="str">
        <f>INDEX(Lists!$C$4:$C$24,MATCH(Validation!$B$3,Lists!$B$4:$B$24,0))</f>
        <v>TMS</v>
      </c>
      <c r="B2523" s="1732" t="str">
        <f>'4M'!BV24</f>
        <v>S3013SLTCUM</v>
      </c>
      <c r="C2523" t="str">
        <f>'4M'!$C24&amp;" - "&amp;'4M'!T$5</f>
        <v>NEP - Nutrients (P removal at activated sludge STWs) - Sludge liquor treatment</v>
      </c>
      <c r="D2523" s="1620" t="str">
        <f t="shared" si="53"/>
        <v>£m</v>
      </c>
      <c r="E2523" s="1636" t="s">
        <v>9</v>
      </c>
      <c r="G2523" s="1635">
        <f>'4M'!T24</f>
        <v>0</v>
      </c>
      <c r="H2523" s="1636"/>
    </row>
    <row r="2524" spans="1:8">
      <c r="A2524" s="1620" t="str">
        <f>INDEX(Lists!$C$4:$C$24,MATCH(Validation!$B$3,Lists!$B$4:$B$24,0))</f>
        <v>TMS</v>
      </c>
      <c r="B2524" s="1732" t="str">
        <f>'4M'!BV25</f>
        <v>S3014SLTCUM</v>
      </c>
      <c r="C2524" t="str">
        <f>'4M'!$C25&amp;" - "&amp;'4M'!T$5</f>
        <v>NEP - Nutrients (P removal at filter bed STWs) - Sludge liquor treatment</v>
      </c>
      <c r="D2524" s="1620" t="str">
        <f t="shared" si="53"/>
        <v>£m</v>
      </c>
      <c r="E2524" s="1636" t="s">
        <v>9</v>
      </c>
      <c r="G2524" s="1635">
        <f>'4M'!T25</f>
        <v>0</v>
      </c>
      <c r="H2524" s="1636"/>
    </row>
    <row r="2525" spans="1:8">
      <c r="A2525" s="1620" t="str">
        <f>INDEX(Lists!$C$4:$C$24,MATCH(Validation!$B$3,Lists!$B$4:$B$24,0))</f>
        <v>TMS</v>
      </c>
      <c r="B2525" s="1732" t="str">
        <f>'4M'!BV26</f>
        <v>S3015SLTCUM</v>
      </c>
      <c r="C2525" t="str">
        <f>'4M'!$C26&amp;" - "&amp;'4M'!T$5</f>
        <v>NEP - Reduction of sanitary parameters - Sludge liquor treatment</v>
      </c>
      <c r="D2525" s="1620" t="str">
        <f t="shared" si="53"/>
        <v>£m</v>
      </c>
      <c r="E2525" s="1636" t="s">
        <v>9</v>
      </c>
      <c r="G2525" s="1635">
        <f>'4M'!T26</f>
        <v>0</v>
      </c>
      <c r="H2525" s="1636"/>
    </row>
    <row r="2526" spans="1:8">
      <c r="A2526" s="1620" t="str">
        <f>INDEX(Lists!$C$4:$C$24,MATCH(Validation!$B$3,Lists!$B$4:$B$24,0))</f>
        <v>TMS</v>
      </c>
      <c r="B2526" s="1732" t="str">
        <f>'4M'!BV27</f>
        <v>S3016SLTCUM</v>
      </c>
      <c r="C2526" t="str">
        <f>'4M'!$C27&amp;" - "&amp;'4M'!T$5</f>
        <v>NEP - UV disinfection (or similar) - Sludge liquor treatment</v>
      </c>
      <c r="D2526" s="1620" t="str">
        <f t="shared" si="53"/>
        <v>£m</v>
      </c>
      <c r="E2526" s="1636" t="s">
        <v>9</v>
      </c>
      <c r="G2526" s="1635">
        <f>'4M'!T27</f>
        <v>0</v>
      </c>
      <c r="H2526" s="1636"/>
    </row>
    <row r="2527" spans="1:8">
      <c r="A2527" s="1620" t="str">
        <f>INDEX(Lists!$C$4:$C$24,MATCH(Validation!$B$3,Lists!$B$4:$B$24,0))</f>
        <v>TMS</v>
      </c>
      <c r="B2527" s="1732" t="str">
        <f>'4M'!BV28</f>
        <v>S3017SLTCUM</v>
      </c>
      <c r="C2527" t="str">
        <f>'4M'!$C28&amp;" - "&amp;'4M'!T$5</f>
        <v>NEP - Discharge relocation - Sludge liquor treatment</v>
      </c>
      <c r="D2527" s="1620" t="str">
        <f t="shared" si="53"/>
        <v>£m</v>
      </c>
      <c r="E2527" s="1636" t="s">
        <v>9</v>
      </c>
      <c r="G2527" s="1635">
        <f>'4M'!T28</f>
        <v>0</v>
      </c>
      <c r="H2527" s="1636"/>
    </row>
    <row r="2528" spans="1:8">
      <c r="A2528" s="1620" t="str">
        <f>INDEX(Lists!$C$4:$C$24,MATCH(Validation!$B$3,Lists!$B$4:$B$24,0))</f>
        <v>TMS</v>
      </c>
      <c r="B2528" s="1732" t="str">
        <f>'4M'!BV29</f>
        <v>S3018SLTCUM</v>
      </c>
      <c r="C2528" t="str">
        <f>'4M'!$C29&amp;" - "&amp;'4M'!T$5</f>
        <v>NEP - Flow 1 schemes - Sludge liquor treatment</v>
      </c>
      <c r="D2528" s="1620" t="str">
        <f t="shared" si="53"/>
        <v>£m</v>
      </c>
      <c r="E2528" s="1636" t="s">
        <v>9</v>
      </c>
      <c r="G2528" s="1635">
        <f>'4M'!T29</f>
        <v>0</v>
      </c>
      <c r="H2528" s="1636"/>
    </row>
    <row r="2529" spans="1:8">
      <c r="A2529" s="1620" t="str">
        <f>INDEX(Lists!$C$4:$C$24,MATCH(Validation!$B$3,Lists!$B$4:$B$24,0))</f>
        <v>TMS</v>
      </c>
      <c r="B2529" s="1732" t="str">
        <f>'4M'!BV30</f>
        <v>S3019SLTCUM</v>
      </c>
      <c r="C2529" t="str">
        <f>'4M'!$C30&amp;" - "&amp;'4M'!T$5</f>
        <v>Odour - Sludge liquor treatment</v>
      </c>
      <c r="D2529" s="1620" t="str">
        <f t="shared" si="53"/>
        <v>£m</v>
      </c>
      <c r="E2529" s="1636" t="s">
        <v>9</v>
      </c>
      <c r="G2529" s="1635">
        <f>'4M'!T30</f>
        <v>0</v>
      </c>
      <c r="H2529" s="1636"/>
    </row>
    <row r="2530" spans="1:8">
      <c r="A2530" s="1620" t="str">
        <f>INDEX(Lists!$C$4:$C$24,MATCH(Validation!$B$3,Lists!$B$4:$B$24,0))</f>
        <v>TMS</v>
      </c>
      <c r="B2530" s="1732" t="str">
        <f>'4M'!BV31</f>
        <v>S3020SLTCUM</v>
      </c>
      <c r="C2530" t="str">
        <f>'4M'!$C31&amp;" - "&amp;'4M'!T$5</f>
        <v>New development and growth - Sludge liquor treatment</v>
      </c>
      <c r="D2530" s="1620" t="str">
        <f t="shared" si="53"/>
        <v>£m</v>
      </c>
      <c r="E2530" s="1636" t="s">
        <v>9</v>
      </c>
      <c r="G2530" s="1635">
        <f>'4M'!T31</f>
        <v>0</v>
      </c>
      <c r="H2530" s="1636"/>
    </row>
    <row r="2531" spans="1:8">
      <c r="A2531" s="1620" t="str">
        <f>INDEX(Lists!$C$4:$C$24,MATCH(Validation!$B$3,Lists!$B$4:$B$24,0))</f>
        <v>TMS</v>
      </c>
      <c r="B2531" s="1732" t="str">
        <f>'4M'!BV32</f>
        <v>S3021SLTCUM</v>
      </c>
      <c r="C2531" t="str">
        <f>'4M'!$C32&amp;" - "&amp;'4M'!T$5</f>
        <v>Growth at sewage treatment works (excluding sludge treatment) - Sludge liquor treatment</v>
      </c>
      <c r="D2531" s="1620" t="str">
        <f t="shared" si="53"/>
        <v>£m</v>
      </c>
      <c r="E2531" s="1636" t="s">
        <v>9</v>
      </c>
      <c r="G2531" s="1635">
        <f>'4M'!T32</f>
        <v>0</v>
      </c>
      <c r="H2531" s="1636"/>
    </row>
    <row r="2532" spans="1:8">
      <c r="A2532" s="1620" t="str">
        <f>INDEX(Lists!$C$4:$C$24,MATCH(Validation!$B$3,Lists!$B$4:$B$24,0))</f>
        <v>TMS</v>
      </c>
      <c r="B2532" s="1732" t="str">
        <f>'4M'!BV33</f>
        <v>S3022SLTCUM</v>
      </c>
      <c r="C2532" t="str">
        <f>'4M'!$C33&amp;" - "&amp;'4M'!T$5</f>
        <v>Resilience - Sludge liquor treatment</v>
      </c>
      <c r="D2532" s="1620" t="str">
        <f t="shared" si="53"/>
        <v>£m</v>
      </c>
      <c r="E2532" s="1636" t="s">
        <v>9</v>
      </c>
      <c r="G2532" s="1635">
        <f>'4M'!T33</f>
        <v>0</v>
      </c>
      <c r="H2532" s="1636"/>
    </row>
    <row r="2533" spans="1:8">
      <c r="A2533" s="1620" t="str">
        <f>INDEX(Lists!$C$4:$C$24,MATCH(Validation!$B$3,Lists!$B$4:$B$24,0))</f>
        <v>TMS</v>
      </c>
      <c r="B2533" s="1732" t="str">
        <f>'4M'!BV34</f>
        <v>BC31785SLTCUM</v>
      </c>
      <c r="C2533" t="str">
        <f>'4M'!$C34&amp;" - "&amp;'4M'!T$5</f>
        <v>SEMD - Sludge liquor treatment</v>
      </c>
      <c r="D2533" s="1620" t="str">
        <f t="shared" si="53"/>
        <v>£m</v>
      </c>
      <c r="E2533" s="1636" t="s">
        <v>9</v>
      </c>
      <c r="G2533" s="1635">
        <f>'4M'!T34</f>
        <v>0</v>
      </c>
      <c r="H2533" s="1636"/>
    </row>
    <row r="2534" spans="1:8">
      <c r="A2534" s="1620" t="str">
        <f>INDEX(Lists!$C$4:$C$24,MATCH(Validation!$B$3,Lists!$B$4:$B$24,0))</f>
        <v>TMS</v>
      </c>
      <c r="B2534" s="1732" t="str">
        <f>'4M'!BV35</f>
        <v>S3023SLTCUM</v>
      </c>
      <c r="C2534" t="str">
        <f>'4M'!$C35&amp;" - "&amp;'4M'!T$5</f>
        <v>Reduce flooding risk for properties - Sludge liquor treatment</v>
      </c>
      <c r="D2534" s="1620" t="str">
        <f t="shared" si="53"/>
        <v>£m</v>
      </c>
      <c r="E2534" s="1636" t="s">
        <v>9</v>
      </c>
      <c r="G2534" s="1635">
        <f>'4M'!T35</f>
        <v>0</v>
      </c>
      <c r="H2534" s="1636"/>
    </row>
    <row r="2535" spans="1:8">
      <c r="A2535" s="1620" t="str">
        <f>INDEX(Lists!$C$4:$C$24,MATCH(Validation!$B$3,Lists!$B$4:$B$24,0))</f>
        <v>TMS</v>
      </c>
      <c r="B2535" s="1732" t="str">
        <f>'4M'!BV36</f>
        <v>S3A00001SLTCUM</v>
      </c>
      <c r="C2535" s="1732" t="str">
        <f>"Capital expenditure purpose - WASTEWATER additional line 1 [Other categories] - "&amp;'4M'!$T$5</f>
        <v>Capital expenditure purpose - WASTEWATER additional line 1 [Other categories] - Sludge liquor treatment</v>
      </c>
      <c r="D2535" s="1620" t="str">
        <f t="shared" si="53"/>
        <v>£m</v>
      </c>
      <c r="E2535" s="1636" t="s">
        <v>9</v>
      </c>
      <c r="F2535" s="2" t="str">
        <f>F2019</f>
        <v>Quality spend at CSOs and quality allocation to Deephams inlet works</v>
      </c>
      <c r="G2535" s="1635">
        <f>IF(ISBLANK('4M'!T36), "##BLANK", '4M'!T36)</f>
        <v>0</v>
      </c>
      <c r="H2535" s="1636"/>
    </row>
    <row r="2536" spans="1:8">
      <c r="A2536" s="1620" t="str">
        <f>INDEX(Lists!$C$4:$C$24,MATCH(Validation!$B$3,Lists!$B$4:$B$24,0))</f>
        <v>TMS</v>
      </c>
      <c r="B2536" s="1732" t="str">
        <f>'4M'!BV37</f>
        <v>S3A00002SLTCUM</v>
      </c>
      <c r="C2536" s="1732" t="str">
        <f>"Capital expenditure purpose - WASTEWATER additional line 2 [Other categories] - "&amp;'4M'!$T$5</f>
        <v>Capital expenditure purpose - WASTEWATER additional line 2 [Other categories] - Sludge liquor treatment</v>
      </c>
      <c r="D2536" s="1620" t="str">
        <f t="shared" si="53"/>
        <v>£m</v>
      </c>
      <c r="E2536" s="1636" t="s">
        <v>9</v>
      </c>
      <c r="F2536" s="2" t="str">
        <f t="shared" ref="F2536:F2549" si="55">F2020</f>
        <v>Tideway quality (NEP). Excludes Lee Tunnel and sludge.</v>
      </c>
      <c r="G2536" s="1635">
        <f>IF(ISBLANK('4M'!T37), "##BLANK", '4M'!T37)</f>
        <v>0</v>
      </c>
      <c r="H2536" s="1636"/>
    </row>
    <row r="2537" spans="1:8">
      <c r="A2537" s="1620" t="str">
        <f>INDEX(Lists!$C$4:$C$24,MATCH(Validation!$B$3,Lists!$B$4:$B$24,0))</f>
        <v>TMS</v>
      </c>
      <c r="B2537" s="1732" t="str">
        <f>'4M'!BV38</f>
        <v>S3A00003SLTCUM</v>
      </c>
      <c r="C2537" s="1732" t="str">
        <f>"Capital expenditure purpose - WASTEWATER additional line 3 [Other categories] - "&amp;'4M'!$T$5</f>
        <v>Capital expenditure purpose - WASTEWATER additional line 3 [Other categories] - Sludge liquor treatment</v>
      </c>
      <c r="D2537" s="1620" t="str">
        <f t="shared" si="53"/>
        <v>£m</v>
      </c>
      <c r="E2537" s="1636" t="s">
        <v>9</v>
      </c>
      <c r="F2537" s="2" t="str">
        <f t="shared" si="55"/>
        <v>Lee Tunnel</v>
      </c>
      <c r="G2537" s="1635">
        <f>IF(ISBLANK('4M'!T38), "##BLANK", '4M'!T38)</f>
        <v>0</v>
      </c>
      <c r="H2537" s="1636"/>
    </row>
    <row r="2538" spans="1:8">
      <c r="A2538" s="1620" t="str">
        <f>INDEX(Lists!$C$4:$C$24,MATCH(Validation!$B$3,Lists!$B$4:$B$24,0))</f>
        <v>TMS</v>
      </c>
      <c r="B2538" s="1732" t="str">
        <f>'4M'!BV39</f>
        <v>S3A00004SLTCUM</v>
      </c>
      <c r="C2538" s="1732" t="str">
        <f>"Capital expenditure purpose - WASTEWATER additional line 4 [Other categories] - "&amp;'4M'!$T$5</f>
        <v>Capital expenditure purpose - WASTEWATER additional line 4 [Other categories] - Sludge liquor treatment</v>
      </c>
      <c r="D2538" s="1620" t="str">
        <f t="shared" si="53"/>
        <v>£m</v>
      </c>
      <c r="E2538" s="1636" t="s">
        <v>9</v>
      </c>
      <c r="F2538" s="2" t="str">
        <f t="shared" si="55"/>
        <v>Non-SEMD related security enhancement (revised Ofwat guidance 6 July 2018)</v>
      </c>
      <c r="G2538" s="1635">
        <f>IF(ISBLANK('4M'!T39), "##BLANK", '4M'!T39)</f>
        <v>1.566379311144877E-4</v>
      </c>
      <c r="H2538" s="1636"/>
    </row>
    <row r="2539" spans="1:8">
      <c r="A2539" s="1620" t="str">
        <f>INDEX(Lists!$C$4:$C$24,MATCH(Validation!$B$3,Lists!$B$4:$B$24,0))</f>
        <v>TMS</v>
      </c>
      <c r="B2539" s="1732" t="str">
        <f>'4M'!BV40</f>
        <v>S3A00005SLTCUM</v>
      </c>
      <c r="C2539" s="1732" t="str">
        <f>"Capital expenditure purpose - WASTEWATER additional line 5 [Other categories] - "&amp;'4M'!$T$5</f>
        <v>Capital expenditure purpose - WASTEWATER additional line 5 [Other categories] - Sludge liquor treatment</v>
      </c>
      <c r="D2539" s="1620" t="str">
        <f t="shared" si="53"/>
        <v>£m</v>
      </c>
      <c r="E2539" s="1636" t="s">
        <v>9</v>
      </c>
      <c r="F2539" s="2" t="str">
        <f t="shared" si="55"/>
        <v>##BLANK</v>
      </c>
      <c r="G2539" s="1635" t="str">
        <f>IF(ISBLANK('4M'!T40), "##BLANK", '4M'!T40)</f>
        <v>##BLANK</v>
      </c>
      <c r="H2539" s="1636"/>
    </row>
    <row r="2540" spans="1:8">
      <c r="A2540" s="1620" t="str">
        <f>INDEX(Lists!$C$4:$C$24,MATCH(Validation!$B$3,Lists!$B$4:$B$24,0))</f>
        <v>TMS</v>
      </c>
      <c r="B2540" s="1732" t="str">
        <f>'4M'!BV41</f>
        <v>S3A00006SLTCUM</v>
      </c>
      <c r="C2540" s="1732" t="str">
        <f>"Capital expenditure purpose - WASTEWATER additional line 6 [Other categories] - "&amp;'4M'!$T$5</f>
        <v>Capital expenditure purpose - WASTEWATER additional line 6 [Other categories] - Sludge liquor treatment</v>
      </c>
      <c r="D2540" s="1620" t="str">
        <f t="shared" si="53"/>
        <v>£m</v>
      </c>
      <c r="E2540" s="1636" t="s">
        <v>9</v>
      </c>
      <c r="F2540" s="2" t="str">
        <f t="shared" si="55"/>
        <v>##BLANK</v>
      </c>
      <c r="G2540" s="1635" t="str">
        <f>IF(ISBLANK('4M'!T41), "##BLANK", '4M'!T41)</f>
        <v>##BLANK</v>
      </c>
      <c r="H2540" s="1636"/>
    </row>
    <row r="2541" spans="1:8">
      <c r="A2541" s="1620" t="str">
        <f>INDEX(Lists!$C$4:$C$24,MATCH(Validation!$B$3,Lists!$B$4:$B$24,0))</f>
        <v>TMS</v>
      </c>
      <c r="B2541" s="1732" t="str">
        <f>'4M'!BV42</f>
        <v>S3A00007SLTCUM</v>
      </c>
      <c r="C2541" s="1732" t="str">
        <f>"Capital expenditure purpose - WASTEWATER additional line 7 [Other categories] - "&amp;'4M'!$T$5</f>
        <v>Capital expenditure purpose - WASTEWATER additional line 7 [Other categories] - Sludge liquor treatment</v>
      </c>
      <c r="D2541" s="1620" t="str">
        <f t="shared" si="53"/>
        <v>£m</v>
      </c>
      <c r="E2541" s="1636" t="s">
        <v>9</v>
      </c>
      <c r="F2541" s="2" t="str">
        <f t="shared" si="55"/>
        <v>##BLANK</v>
      </c>
      <c r="G2541" s="1635" t="str">
        <f>IF(ISBLANK('4M'!T42), "##BLANK", '4M'!T42)</f>
        <v>##BLANK</v>
      </c>
      <c r="H2541" s="1636"/>
    </row>
    <row r="2542" spans="1:8">
      <c r="A2542" s="1620" t="str">
        <f>INDEX(Lists!$C$4:$C$24,MATCH(Validation!$B$3,Lists!$B$4:$B$24,0))</f>
        <v>TMS</v>
      </c>
      <c r="B2542" s="1732" t="str">
        <f>'4M'!BV43</f>
        <v>S3A00008SLTCUM</v>
      </c>
      <c r="C2542" s="1732" t="str">
        <f>"Capital expenditure purpose - WASTEWATER additional line 8 [Other categories] - "&amp;'4M'!$T$5</f>
        <v>Capital expenditure purpose - WASTEWATER additional line 8 [Other categories] - Sludge liquor treatment</v>
      </c>
      <c r="D2542" s="1620" t="str">
        <f t="shared" si="53"/>
        <v>£m</v>
      </c>
      <c r="E2542" s="1636" t="s">
        <v>9</v>
      </c>
      <c r="F2542" s="2" t="str">
        <f t="shared" si="55"/>
        <v>##BLANK</v>
      </c>
      <c r="G2542" s="1635" t="str">
        <f>IF(ISBLANK('4M'!T43), "##BLANK", '4M'!T43)</f>
        <v>##BLANK</v>
      </c>
      <c r="H2542" s="1636"/>
    </row>
    <row r="2543" spans="1:8">
      <c r="A2543" s="1620" t="str">
        <f>INDEX(Lists!$C$4:$C$24,MATCH(Validation!$B$3,Lists!$B$4:$B$24,0))</f>
        <v>TMS</v>
      </c>
      <c r="B2543" s="1732" t="str">
        <f>'4M'!BV44</f>
        <v>S3A00009SLTCUM</v>
      </c>
      <c r="C2543" s="1732" t="str">
        <f>"Capital expenditure purpose - WASTEWATER additional line 9 [Other categories] - "&amp;'4M'!$T$5</f>
        <v>Capital expenditure purpose - WASTEWATER additional line 9 [Other categories] - Sludge liquor treatment</v>
      </c>
      <c r="D2543" s="1620" t="str">
        <f t="shared" si="53"/>
        <v>£m</v>
      </c>
      <c r="E2543" s="1636" t="s">
        <v>9</v>
      </c>
      <c r="F2543" s="2" t="str">
        <f t="shared" si="55"/>
        <v>##BLANK</v>
      </c>
      <c r="G2543" s="1635" t="str">
        <f>IF(ISBLANK('4M'!T44), "##BLANK", '4M'!T44)</f>
        <v>##BLANK</v>
      </c>
      <c r="H2543" s="1636"/>
    </row>
    <row r="2544" spans="1:8">
      <c r="A2544" s="1620" t="str">
        <f>INDEX(Lists!$C$4:$C$24,MATCH(Validation!$B$3,Lists!$B$4:$B$24,0))</f>
        <v>TMS</v>
      </c>
      <c r="B2544" s="1732" t="str">
        <f>'4M'!BV45</f>
        <v>S3A00010SLTCUM</v>
      </c>
      <c r="C2544" s="1732" t="str">
        <f>"Capital expenditure purpose - WASTEWATER additional line 10 [Other categories] - "&amp;'4M'!$T$5</f>
        <v>Capital expenditure purpose - WASTEWATER additional line 10 [Other categories] - Sludge liquor treatment</v>
      </c>
      <c r="D2544" s="1620" t="str">
        <f t="shared" si="53"/>
        <v>£m</v>
      </c>
      <c r="E2544" s="1636" t="s">
        <v>9</v>
      </c>
      <c r="F2544" s="2" t="str">
        <f t="shared" si="55"/>
        <v>##BLANK</v>
      </c>
      <c r="G2544" s="1635" t="str">
        <f>IF(ISBLANK('4M'!T45), "##BLANK", '4M'!T45)</f>
        <v>##BLANK</v>
      </c>
      <c r="H2544" s="1636"/>
    </row>
    <row r="2545" spans="1:8">
      <c r="A2545" s="1620" t="str">
        <f>INDEX(Lists!$C$4:$C$24,MATCH(Validation!$B$3,Lists!$B$4:$B$24,0))</f>
        <v>TMS</v>
      </c>
      <c r="B2545" s="1732" t="str">
        <f>'4M'!BV46</f>
        <v>S3A00011SLTCUM</v>
      </c>
      <c r="C2545" s="1732" t="str">
        <f>"Capital expenditure purpose - WASTEWATER additional line 11 [Other categories] - "&amp;'4M'!$T$5</f>
        <v>Capital expenditure purpose - WASTEWATER additional line 11 [Other categories] - Sludge liquor treatment</v>
      </c>
      <c r="D2545" s="1620" t="str">
        <f t="shared" si="53"/>
        <v>£m</v>
      </c>
      <c r="E2545" s="1636" t="s">
        <v>9</v>
      </c>
      <c r="F2545" s="2" t="str">
        <f t="shared" si="55"/>
        <v>##BLANK</v>
      </c>
      <c r="G2545" s="1635" t="str">
        <f>IF(ISBLANK('4M'!T46), "##BLANK", '4M'!T46)</f>
        <v>##BLANK</v>
      </c>
      <c r="H2545" s="1636"/>
    </row>
    <row r="2546" spans="1:8">
      <c r="A2546" s="1620" t="str">
        <f>INDEX(Lists!$C$4:$C$24,MATCH(Validation!$B$3,Lists!$B$4:$B$24,0))</f>
        <v>TMS</v>
      </c>
      <c r="B2546" s="1732" t="str">
        <f>'4M'!BV47</f>
        <v>S3A00012SLTCUM</v>
      </c>
      <c r="C2546" s="1732" t="str">
        <f>"Capital expenditure purpose - WASTEWATER additional line 12 [Other categories] - "&amp;'4M'!$T$5</f>
        <v>Capital expenditure purpose - WASTEWATER additional line 12 [Other categories] - Sludge liquor treatment</v>
      </c>
      <c r="D2546" s="1620" t="str">
        <f t="shared" ref="D2546:D2609" si="56">D2503</f>
        <v>£m</v>
      </c>
      <c r="E2546" s="1636" t="s">
        <v>9</v>
      </c>
      <c r="F2546" s="2" t="str">
        <f t="shared" si="55"/>
        <v>##BLANK</v>
      </c>
      <c r="G2546" s="1635" t="str">
        <f>IF(ISBLANK('4M'!T47), "##BLANK", '4M'!T47)</f>
        <v>##BLANK</v>
      </c>
      <c r="H2546" s="1636"/>
    </row>
    <row r="2547" spans="1:8">
      <c r="A2547" s="1620" t="str">
        <f>INDEX(Lists!$C$4:$C$24,MATCH(Validation!$B$3,Lists!$B$4:$B$24,0))</f>
        <v>TMS</v>
      </c>
      <c r="B2547" s="1732" t="str">
        <f>'4M'!BV48</f>
        <v>S3A00013SLTCUM</v>
      </c>
      <c r="C2547" s="1732" t="str">
        <f>"Capital expenditure purpose - WASTEWATER additional line 13 [Other categories] - "&amp;'4M'!$T$5</f>
        <v>Capital expenditure purpose - WASTEWATER additional line 13 [Other categories] - Sludge liquor treatment</v>
      </c>
      <c r="D2547" s="1620" t="str">
        <f t="shared" si="56"/>
        <v>£m</v>
      </c>
      <c r="E2547" s="1636" t="s">
        <v>9</v>
      </c>
      <c r="F2547" s="2" t="str">
        <f t="shared" si="55"/>
        <v>##BLANK</v>
      </c>
      <c r="G2547" s="1635" t="str">
        <f>IF(ISBLANK('4M'!T48), "##BLANK", '4M'!T48)</f>
        <v>##BLANK</v>
      </c>
      <c r="H2547" s="1636"/>
    </row>
    <row r="2548" spans="1:8">
      <c r="A2548" s="1620" t="str">
        <f>INDEX(Lists!$C$4:$C$24,MATCH(Validation!$B$3,Lists!$B$4:$B$24,0))</f>
        <v>TMS</v>
      </c>
      <c r="B2548" s="1732" t="str">
        <f>'4M'!BV49</f>
        <v>S3A00014SLTCUM</v>
      </c>
      <c r="C2548" s="1732" t="str">
        <f>"Capital expenditure purpose - WASTEWATER additional line 14 [Other categories] - "&amp;'4M'!$T$5</f>
        <v>Capital expenditure purpose - WASTEWATER additional line 14 [Other categories] - Sludge liquor treatment</v>
      </c>
      <c r="D2548" s="1620" t="str">
        <f t="shared" si="56"/>
        <v>£m</v>
      </c>
      <c r="E2548" s="1636" t="s">
        <v>9</v>
      </c>
      <c r="F2548" s="2" t="str">
        <f t="shared" si="55"/>
        <v>##BLANK</v>
      </c>
      <c r="G2548" s="1635" t="str">
        <f>IF(ISBLANK('4M'!T49), "##BLANK", '4M'!T49)</f>
        <v>##BLANK</v>
      </c>
      <c r="H2548" s="1636"/>
    </row>
    <row r="2549" spans="1:8">
      <c r="A2549" s="1730" t="str">
        <f>INDEX(Lists!$C$4:$C$24,MATCH(Validation!$B$3,Lists!$B$4:$B$24,0))</f>
        <v>TMS</v>
      </c>
      <c r="B2549" s="1734" t="str">
        <f>'4M'!BV50</f>
        <v>S3A00015SLTCUM</v>
      </c>
      <c r="C2549" s="1734" t="str">
        <f>"Capital expenditure purpose - WASTEWATER additional line 15 [Other categories] - "&amp;'4M'!$T$5</f>
        <v>Capital expenditure purpose - WASTEWATER additional line 15 [Other categories] - Sludge liquor treatment</v>
      </c>
      <c r="D2549" s="1730" t="str">
        <f t="shared" si="56"/>
        <v>£m</v>
      </c>
      <c r="E2549" s="1652" t="s">
        <v>9</v>
      </c>
      <c r="F2549" s="1637" t="str">
        <f t="shared" si="55"/>
        <v>##BLANK</v>
      </c>
      <c r="G2549" s="1653" t="str">
        <f>IF(ISBLANK('4M'!T50), "##BLANK", '4M'!T50)</f>
        <v>##BLANK</v>
      </c>
      <c r="H2549" s="1652"/>
    </row>
    <row r="2550" spans="1:8">
      <c r="A2550" s="1620" t="str">
        <f>INDEX(Lists!$C$4:$C$24,MATCH(Validation!$B$3,Lists!$B$4:$B$24,0))</f>
        <v>TMS</v>
      </c>
      <c r="B2550" s="1732" t="str">
        <f>'4M'!BW8</f>
        <v>BC31379STPCUM</v>
      </c>
      <c r="C2550" t="str">
        <f>'4M'!$C8&amp;" - "&amp;'4M'!U$5</f>
        <v>First time sewerage (s101A) - Sludge transport</v>
      </c>
      <c r="D2550" s="1620" t="str">
        <f t="shared" si="56"/>
        <v>£m</v>
      </c>
      <c r="E2550" s="1636" t="s">
        <v>9</v>
      </c>
      <c r="G2550" s="1635">
        <f>'4M'!U8</f>
        <v>0</v>
      </c>
      <c r="H2550" s="1636"/>
    </row>
    <row r="2551" spans="1:8">
      <c r="A2551" s="1620" t="str">
        <f>INDEX(Lists!$C$4:$C$24,MATCH(Validation!$B$3,Lists!$B$4:$B$24,0))</f>
        <v>TMS</v>
      </c>
      <c r="B2551" s="1732" t="str">
        <f>'4M'!BW9</f>
        <v>S3035QSTPCUM</v>
      </c>
      <c r="C2551" t="str">
        <f>'4M'!$C9&amp;" - "&amp;'4M'!U$5</f>
        <v>Sludge enhancement (quality) - Sludge transport</v>
      </c>
      <c r="D2551" s="1620" t="str">
        <f t="shared" si="56"/>
        <v>£m</v>
      </c>
      <c r="E2551" s="1636" t="s">
        <v>9</v>
      </c>
      <c r="G2551" s="1635">
        <f>'4M'!U9</f>
        <v>0</v>
      </c>
      <c r="H2551" s="1636"/>
    </row>
    <row r="2552" spans="1:8">
      <c r="A2552" s="1620" t="str">
        <f>INDEX(Lists!$C$4:$C$24,MATCH(Validation!$B$3,Lists!$B$4:$B$24,0))</f>
        <v>TMS</v>
      </c>
      <c r="B2552" s="1732" t="str">
        <f>'4M'!BW10</f>
        <v>S3036GSTPCUM</v>
      </c>
      <c r="C2552" t="str">
        <f>'4M'!$C10&amp;" - "&amp;'4M'!U$5</f>
        <v>Sludge enhancement (growth) - Sludge transport</v>
      </c>
      <c r="D2552" s="1620" t="str">
        <f t="shared" si="56"/>
        <v>£m</v>
      </c>
      <c r="E2552" s="1636" t="s">
        <v>9</v>
      </c>
      <c r="G2552" s="1635">
        <f>'4M'!U10</f>
        <v>0</v>
      </c>
      <c r="H2552" s="1636"/>
    </row>
    <row r="2553" spans="1:8">
      <c r="A2553" s="1620" t="str">
        <f>INDEX(Lists!$C$4:$C$24,MATCH(Validation!$B$3,Lists!$B$4:$B$24,0))</f>
        <v>TMS</v>
      </c>
      <c r="B2553" s="1732" t="str">
        <f>'4M'!BW11</f>
        <v>S3004STPCUM</v>
      </c>
      <c r="C2553" t="str">
        <f>'4M'!$C11&amp;" - "&amp;'4M'!U$5</f>
        <v>NEP - Conservation drivers - Sludge transport</v>
      </c>
      <c r="D2553" s="1620" t="str">
        <f t="shared" si="56"/>
        <v>£m</v>
      </c>
      <c r="E2553" s="1636" t="s">
        <v>9</v>
      </c>
      <c r="G2553" s="1635">
        <f>'4M'!U11</f>
        <v>0</v>
      </c>
      <c r="H2553" s="1636"/>
    </row>
    <row r="2554" spans="1:8">
      <c r="A2554" s="1620" t="str">
        <f>INDEX(Lists!$C$4:$C$24,MATCH(Validation!$B$3,Lists!$B$4:$B$24,0))</f>
        <v>TMS</v>
      </c>
      <c r="B2554" s="1732" t="str">
        <f>'4M'!BW12</f>
        <v>WWS2001STPCUM</v>
      </c>
      <c r="C2554" t="str">
        <f>'4M'!$C12&amp;" - "&amp;'4M'!U$5</f>
        <v>NEP - Eels Regulations (measures at outfalls) - Sludge transport</v>
      </c>
      <c r="D2554" s="1620" t="str">
        <f t="shared" si="56"/>
        <v>£m</v>
      </c>
      <c r="E2554" s="1636" t="s">
        <v>9</v>
      </c>
      <c r="G2554" s="1635">
        <f>'4M'!U12</f>
        <v>0</v>
      </c>
      <c r="H2554" s="1636"/>
    </row>
    <row r="2555" spans="1:8">
      <c r="A2555" s="1620" t="str">
        <f>INDEX(Lists!$C$4:$C$24,MATCH(Validation!$B$3,Lists!$B$4:$B$24,0))</f>
        <v>TMS</v>
      </c>
      <c r="B2555" s="1732" t="str">
        <f>'4M'!BW13</f>
        <v>S3005STPCUM</v>
      </c>
      <c r="C2555" t="str">
        <f>'4M'!$C13&amp;" - "&amp;'4M'!U$5</f>
        <v>NEP - Event Duration Monitoring at intermittent discharges - Sludge transport</v>
      </c>
      <c r="D2555" s="1620" t="str">
        <f t="shared" si="56"/>
        <v>£m</v>
      </c>
      <c r="E2555" s="1636" t="s">
        <v>9</v>
      </c>
      <c r="G2555" s="1635">
        <f>'4M'!U13</f>
        <v>0</v>
      </c>
      <c r="H2555" s="1636"/>
    </row>
    <row r="2556" spans="1:8">
      <c r="A2556" s="1620" t="str">
        <f>INDEX(Lists!$C$4:$C$24,MATCH(Validation!$B$3,Lists!$B$4:$B$24,0))</f>
        <v>TMS</v>
      </c>
      <c r="B2556" s="1732" t="str">
        <f>'4M'!BW14</f>
        <v>S3006STPCUM</v>
      </c>
      <c r="C2556" t="str">
        <f>'4M'!$C14&amp;" - "&amp;'4M'!U$5</f>
        <v>NEP - Flow monitoring at sewage treatment works - Sludge transport</v>
      </c>
      <c r="D2556" s="1620" t="str">
        <f t="shared" si="56"/>
        <v>£m</v>
      </c>
      <c r="E2556" s="1636" t="s">
        <v>9</v>
      </c>
      <c r="G2556" s="1635">
        <f>'4M'!U14</f>
        <v>0</v>
      </c>
      <c r="H2556" s="1636"/>
    </row>
    <row r="2557" spans="1:8">
      <c r="A2557" s="1620" t="str">
        <f>INDEX(Lists!$C$4:$C$24,MATCH(Validation!$B$3,Lists!$B$4:$B$24,0))</f>
        <v>TMS</v>
      </c>
      <c r="B2557" s="1732" t="str">
        <f>'4M'!BW15</f>
        <v>S3007STPCUM</v>
      </c>
      <c r="C2557" t="str">
        <f>'4M'!$C15&amp;" - "&amp;'4M'!U$5</f>
        <v>NEP - Monitoring of pass forward flows at CSOs - Sludge transport</v>
      </c>
      <c r="D2557" s="1620" t="str">
        <f t="shared" si="56"/>
        <v>£m</v>
      </c>
      <c r="E2557" s="1636" t="s">
        <v>9</v>
      </c>
      <c r="G2557" s="1635">
        <f>'4M'!U15</f>
        <v>0</v>
      </c>
      <c r="H2557" s="1636"/>
    </row>
    <row r="2558" spans="1:8">
      <c r="A2558" s="1620" t="str">
        <f>INDEX(Lists!$C$4:$C$24,MATCH(Validation!$B$3,Lists!$B$4:$B$24,0))</f>
        <v>TMS</v>
      </c>
      <c r="B2558" s="1732" t="str">
        <f>'4M'!BW16</f>
        <v>WWS2002STPCUM</v>
      </c>
      <c r="C2558" t="str">
        <f>'4M'!$C16&amp;" - "&amp;'4M'!U$5</f>
        <v>NEP - Schemes to increase flow to full treatment - Sludge transport</v>
      </c>
      <c r="D2558" s="1620" t="str">
        <f t="shared" si="56"/>
        <v>£m</v>
      </c>
      <c r="E2558" s="1636" t="s">
        <v>9</v>
      </c>
      <c r="G2558" s="1635">
        <f>'4M'!U16</f>
        <v>0</v>
      </c>
      <c r="H2558" s="1636"/>
    </row>
    <row r="2559" spans="1:8">
      <c r="A2559" s="1620" t="str">
        <f>INDEX(Lists!$C$4:$C$24,MATCH(Validation!$B$3,Lists!$B$4:$B$24,0))</f>
        <v>TMS</v>
      </c>
      <c r="B2559" s="1732" t="str">
        <f>'4M'!BW17</f>
        <v>WWS2003STPCUM</v>
      </c>
      <c r="C2559" t="str">
        <f>'4M'!$C17&amp;" - "&amp;'4M'!U$5</f>
        <v>NEP - Schemes to increase storm tank capacity - Sludge transport</v>
      </c>
      <c r="D2559" s="1620" t="str">
        <f t="shared" si="56"/>
        <v>£m</v>
      </c>
      <c r="E2559" s="1636" t="s">
        <v>9</v>
      </c>
      <c r="G2559" s="1635">
        <f>'4M'!U17</f>
        <v>0</v>
      </c>
      <c r="H2559" s="1636"/>
    </row>
    <row r="2560" spans="1:8">
      <c r="A2560" s="1620" t="str">
        <f>INDEX(Lists!$C$4:$C$24,MATCH(Validation!$B$3,Lists!$B$4:$B$24,0))</f>
        <v>TMS</v>
      </c>
      <c r="B2560" s="1732" t="str">
        <f>'4M'!BW18</f>
        <v>S3008STPCUM</v>
      </c>
      <c r="C2560" t="str">
        <f>'4M'!$C18&amp;" - "&amp;'4M'!U$5</f>
        <v>NEP - Storage schemes to reduce spill frequency at CSOs, storm tanks, etc - Sludge transport</v>
      </c>
      <c r="D2560" s="1620" t="str">
        <f t="shared" si="56"/>
        <v>£m</v>
      </c>
      <c r="E2560" s="1636" t="s">
        <v>9</v>
      </c>
      <c r="G2560" s="1635">
        <f>'4M'!U18</f>
        <v>0</v>
      </c>
      <c r="H2560" s="1636"/>
    </row>
    <row r="2561" spans="1:8">
      <c r="A2561" s="1620" t="str">
        <f>INDEX(Lists!$C$4:$C$24,MATCH(Validation!$B$3,Lists!$B$4:$B$24,0))</f>
        <v>TMS</v>
      </c>
      <c r="B2561" s="1732" t="str">
        <f>'4M'!BW19</f>
        <v>S3009STPCUM</v>
      </c>
      <c r="C2561" t="str">
        <f>'4M'!$C19&amp;" - "&amp;'4M'!U$5</f>
        <v>NEP - Chemicals monitoring/ investigations/ options appraisals - Sludge transport</v>
      </c>
      <c r="D2561" s="1620" t="str">
        <f t="shared" si="56"/>
        <v>£m</v>
      </c>
      <c r="E2561" s="1636" t="s">
        <v>9</v>
      </c>
      <c r="G2561" s="1635">
        <f>'4M'!U19</f>
        <v>0</v>
      </c>
      <c r="H2561" s="1636"/>
    </row>
    <row r="2562" spans="1:8">
      <c r="A2562" s="1620" t="str">
        <f>INDEX(Lists!$C$4:$C$24,MATCH(Validation!$B$3,Lists!$B$4:$B$24,0))</f>
        <v>TMS</v>
      </c>
      <c r="B2562" s="1732" t="str">
        <f>'4M'!BW20</f>
        <v>WWS2007STPCUM</v>
      </c>
      <c r="C2562" t="str">
        <f>'4M'!$C20&amp;" - "&amp;'4M'!U$5</f>
        <v>NEP - National phosphorus removal technology investigations - Sludge transport</v>
      </c>
      <c r="D2562" s="1620" t="str">
        <f t="shared" si="56"/>
        <v>£m</v>
      </c>
      <c r="E2562" s="1636" t="s">
        <v>9</v>
      </c>
      <c r="G2562" s="1635">
        <f>'4M'!U20</f>
        <v>0</v>
      </c>
      <c r="H2562" s="1636"/>
    </row>
    <row r="2563" spans="1:8">
      <c r="A2563" s="1620" t="str">
        <f>INDEX(Lists!$C$4:$C$24,MATCH(Validation!$B$3,Lists!$B$4:$B$24,0))</f>
        <v>TMS</v>
      </c>
      <c r="B2563" s="1732" t="str">
        <f>'4M'!BW21</f>
        <v>S3010STPCUM</v>
      </c>
      <c r="C2563" t="str">
        <f>'4M'!$C21&amp;" - "&amp;'4M'!U$5</f>
        <v>NEP - Groundwater schemes - Sludge transport</v>
      </c>
      <c r="D2563" s="1620" t="str">
        <f t="shared" si="56"/>
        <v>£m</v>
      </c>
      <c r="E2563" s="1636" t="s">
        <v>9</v>
      </c>
      <c r="G2563" s="1635">
        <f>'4M'!U21</f>
        <v>0</v>
      </c>
      <c r="H2563" s="1636"/>
    </row>
    <row r="2564" spans="1:8">
      <c r="A2564" s="1620" t="str">
        <f>INDEX(Lists!$C$4:$C$24,MATCH(Validation!$B$3,Lists!$B$4:$B$24,0))</f>
        <v>TMS</v>
      </c>
      <c r="B2564" s="1732" t="str">
        <f>'4M'!BW22</f>
        <v>S3011STPCUM</v>
      </c>
      <c r="C2564" t="str">
        <f>'4M'!$C22&amp;" - "&amp;'4M'!U$5</f>
        <v>NEP - Investigations - Sludge transport</v>
      </c>
      <c r="D2564" s="1620" t="str">
        <f t="shared" si="56"/>
        <v>£m</v>
      </c>
      <c r="E2564" s="1636" t="s">
        <v>9</v>
      </c>
      <c r="G2564" s="1635">
        <f>'4M'!U22</f>
        <v>0</v>
      </c>
      <c r="H2564" s="1636"/>
    </row>
    <row r="2565" spans="1:8">
      <c r="A2565" s="1620" t="str">
        <f>INDEX(Lists!$C$4:$C$24,MATCH(Validation!$B$3,Lists!$B$4:$B$24,0))</f>
        <v>TMS</v>
      </c>
      <c r="B2565" s="1732" t="str">
        <f>'4M'!BW23</f>
        <v>S3012STPCUM</v>
      </c>
      <c r="C2565" t="str">
        <f>'4M'!$C23&amp;" - "&amp;'4M'!U$5</f>
        <v>NEP - Nutrients (N removal) - Sludge transport</v>
      </c>
      <c r="D2565" s="1620" t="str">
        <f t="shared" si="56"/>
        <v>£m</v>
      </c>
      <c r="E2565" s="1636" t="s">
        <v>9</v>
      </c>
      <c r="G2565" s="1635">
        <f>'4M'!U23</f>
        <v>0</v>
      </c>
      <c r="H2565" s="1636"/>
    </row>
    <row r="2566" spans="1:8">
      <c r="A2566" s="1620" t="str">
        <f>INDEX(Lists!$C$4:$C$24,MATCH(Validation!$B$3,Lists!$B$4:$B$24,0))</f>
        <v>TMS</v>
      </c>
      <c r="B2566" s="1732" t="str">
        <f>'4M'!BW24</f>
        <v>S3013STPCUM</v>
      </c>
      <c r="C2566" t="str">
        <f>'4M'!$C24&amp;" - "&amp;'4M'!U$5</f>
        <v>NEP - Nutrients (P removal at activated sludge STWs) - Sludge transport</v>
      </c>
      <c r="D2566" s="1620" t="str">
        <f t="shared" si="56"/>
        <v>£m</v>
      </c>
      <c r="E2566" s="1636" t="s">
        <v>9</v>
      </c>
      <c r="G2566" s="1635">
        <f>'4M'!U24</f>
        <v>0</v>
      </c>
      <c r="H2566" s="1636"/>
    </row>
    <row r="2567" spans="1:8">
      <c r="A2567" s="1620" t="str">
        <f>INDEX(Lists!$C$4:$C$24,MATCH(Validation!$B$3,Lists!$B$4:$B$24,0))</f>
        <v>TMS</v>
      </c>
      <c r="B2567" s="1732" t="str">
        <f>'4M'!BW25</f>
        <v>S3014STPCUM</v>
      </c>
      <c r="C2567" t="str">
        <f>'4M'!$C25&amp;" - "&amp;'4M'!U$5</f>
        <v>NEP - Nutrients (P removal at filter bed STWs) - Sludge transport</v>
      </c>
      <c r="D2567" s="1620" t="str">
        <f t="shared" si="56"/>
        <v>£m</v>
      </c>
      <c r="E2567" s="1636" t="s">
        <v>9</v>
      </c>
      <c r="G2567" s="1635">
        <f>'4M'!U25</f>
        <v>0</v>
      </c>
      <c r="H2567" s="1636"/>
    </row>
    <row r="2568" spans="1:8">
      <c r="A2568" s="1620" t="str">
        <f>INDEX(Lists!$C$4:$C$24,MATCH(Validation!$B$3,Lists!$B$4:$B$24,0))</f>
        <v>TMS</v>
      </c>
      <c r="B2568" s="1732" t="str">
        <f>'4M'!BW26</f>
        <v>S3015STPCUM</v>
      </c>
      <c r="C2568" t="str">
        <f>'4M'!$C26&amp;" - "&amp;'4M'!U$5</f>
        <v>NEP - Reduction of sanitary parameters - Sludge transport</v>
      </c>
      <c r="D2568" s="1620" t="str">
        <f t="shared" si="56"/>
        <v>£m</v>
      </c>
      <c r="E2568" s="1636" t="s">
        <v>9</v>
      </c>
      <c r="G2568" s="1635">
        <f>'4M'!U26</f>
        <v>0</v>
      </c>
      <c r="H2568" s="1636"/>
    </row>
    <row r="2569" spans="1:8">
      <c r="A2569" s="1620" t="str">
        <f>INDEX(Lists!$C$4:$C$24,MATCH(Validation!$B$3,Lists!$B$4:$B$24,0))</f>
        <v>TMS</v>
      </c>
      <c r="B2569" s="1732" t="str">
        <f>'4M'!BW27</f>
        <v>S3016STPCUM</v>
      </c>
      <c r="C2569" t="str">
        <f>'4M'!$C27&amp;" - "&amp;'4M'!U$5</f>
        <v>NEP - UV disinfection (or similar) - Sludge transport</v>
      </c>
      <c r="D2569" s="1620" t="str">
        <f t="shared" si="56"/>
        <v>£m</v>
      </c>
      <c r="E2569" s="1636" t="s">
        <v>9</v>
      </c>
      <c r="G2569" s="1635">
        <f>'4M'!U27</f>
        <v>0</v>
      </c>
      <c r="H2569" s="1636"/>
    </row>
    <row r="2570" spans="1:8">
      <c r="A2570" s="1620" t="str">
        <f>INDEX(Lists!$C$4:$C$24,MATCH(Validation!$B$3,Lists!$B$4:$B$24,0))</f>
        <v>TMS</v>
      </c>
      <c r="B2570" s="1732" t="str">
        <f>'4M'!BW28</f>
        <v>S3017STPCUM</v>
      </c>
      <c r="C2570" t="str">
        <f>'4M'!$C28&amp;" - "&amp;'4M'!U$5</f>
        <v>NEP - Discharge relocation - Sludge transport</v>
      </c>
      <c r="D2570" s="1620" t="str">
        <f t="shared" si="56"/>
        <v>£m</v>
      </c>
      <c r="E2570" s="1636" t="s">
        <v>9</v>
      </c>
      <c r="G2570" s="1635">
        <f>'4M'!U28</f>
        <v>0</v>
      </c>
      <c r="H2570" s="1636"/>
    </row>
    <row r="2571" spans="1:8">
      <c r="A2571" s="1620" t="str">
        <f>INDEX(Lists!$C$4:$C$24,MATCH(Validation!$B$3,Lists!$B$4:$B$24,0))</f>
        <v>TMS</v>
      </c>
      <c r="B2571" s="1732" t="str">
        <f>'4M'!BW29</f>
        <v>S3018STPCUM</v>
      </c>
      <c r="C2571" t="str">
        <f>'4M'!$C29&amp;" - "&amp;'4M'!U$5</f>
        <v>NEP - Flow 1 schemes - Sludge transport</v>
      </c>
      <c r="D2571" s="1620" t="str">
        <f t="shared" si="56"/>
        <v>£m</v>
      </c>
      <c r="E2571" s="1636" t="s">
        <v>9</v>
      </c>
      <c r="G2571" s="1635">
        <f>'4M'!U29</f>
        <v>0</v>
      </c>
      <c r="H2571" s="1636"/>
    </row>
    <row r="2572" spans="1:8">
      <c r="A2572" s="1620" t="str">
        <f>INDEX(Lists!$C$4:$C$24,MATCH(Validation!$B$3,Lists!$B$4:$B$24,0))</f>
        <v>TMS</v>
      </c>
      <c r="B2572" s="1732" t="str">
        <f>'4M'!BW30</f>
        <v>S3019STPCUM</v>
      </c>
      <c r="C2572" t="str">
        <f>'4M'!$C30&amp;" - "&amp;'4M'!U$5</f>
        <v>Odour - Sludge transport</v>
      </c>
      <c r="D2572" s="1620" t="str">
        <f t="shared" si="56"/>
        <v>£m</v>
      </c>
      <c r="E2572" s="1636" t="s">
        <v>9</v>
      </c>
      <c r="G2572" s="1635">
        <f>'4M'!U30</f>
        <v>0</v>
      </c>
      <c r="H2572" s="1636"/>
    </row>
    <row r="2573" spans="1:8">
      <c r="A2573" s="1620" t="str">
        <f>INDEX(Lists!$C$4:$C$24,MATCH(Validation!$B$3,Lists!$B$4:$B$24,0))</f>
        <v>TMS</v>
      </c>
      <c r="B2573" s="1732" t="str">
        <f>'4M'!BW31</f>
        <v>S3020STPCUM</v>
      </c>
      <c r="C2573" t="str">
        <f>'4M'!$C31&amp;" - "&amp;'4M'!U$5</f>
        <v>New development and growth - Sludge transport</v>
      </c>
      <c r="D2573" s="1620" t="str">
        <f t="shared" si="56"/>
        <v>£m</v>
      </c>
      <c r="E2573" s="1636" t="s">
        <v>9</v>
      </c>
      <c r="G2573" s="1635">
        <f>'4M'!U31</f>
        <v>0</v>
      </c>
      <c r="H2573" s="1636"/>
    </row>
    <row r="2574" spans="1:8">
      <c r="A2574" s="1620" t="str">
        <f>INDEX(Lists!$C$4:$C$24,MATCH(Validation!$B$3,Lists!$B$4:$B$24,0))</f>
        <v>TMS</v>
      </c>
      <c r="B2574" s="1732" t="str">
        <f>'4M'!BW32</f>
        <v>S3021STPCUM</v>
      </c>
      <c r="C2574" t="str">
        <f>'4M'!$C32&amp;" - "&amp;'4M'!U$5</f>
        <v>Growth at sewage treatment works (excluding sludge treatment) - Sludge transport</v>
      </c>
      <c r="D2574" s="1620" t="str">
        <f t="shared" si="56"/>
        <v>£m</v>
      </c>
      <c r="E2574" s="1636" t="s">
        <v>9</v>
      </c>
      <c r="G2574" s="1635">
        <f>'4M'!U32</f>
        <v>0</v>
      </c>
      <c r="H2574" s="1636"/>
    </row>
    <row r="2575" spans="1:8">
      <c r="A2575" s="1620" t="str">
        <f>INDEX(Lists!$C$4:$C$24,MATCH(Validation!$B$3,Lists!$B$4:$B$24,0))</f>
        <v>TMS</v>
      </c>
      <c r="B2575" s="1732" t="str">
        <f>'4M'!BW33</f>
        <v>S3022STPCUM</v>
      </c>
      <c r="C2575" t="str">
        <f>'4M'!$C33&amp;" - "&amp;'4M'!U$5</f>
        <v>Resilience - Sludge transport</v>
      </c>
      <c r="D2575" s="1620" t="str">
        <f t="shared" si="56"/>
        <v>£m</v>
      </c>
      <c r="E2575" s="1636" t="s">
        <v>9</v>
      </c>
      <c r="G2575" s="1635">
        <f>'4M'!U33</f>
        <v>0</v>
      </c>
      <c r="H2575" s="1636"/>
    </row>
    <row r="2576" spans="1:8">
      <c r="A2576" s="1620" t="str">
        <f>INDEX(Lists!$C$4:$C$24,MATCH(Validation!$B$3,Lists!$B$4:$B$24,0))</f>
        <v>TMS</v>
      </c>
      <c r="B2576" s="1732" t="str">
        <f>'4M'!BW34</f>
        <v>BC31785STPCUM</v>
      </c>
      <c r="C2576" t="str">
        <f>'4M'!$C34&amp;" - "&amp;'4M'!U$5</f>
        <v>SEMD - Sludge transport</v>
      </c>
      <c r="D2576" s="1620" t="str">
        <f t="shared" si="56"/>
        <v>£m</v>
      </c>
      <c r="E2576" s="1636" t="s">
        <v>9</v>
      </c>
      <c r="G2576" s="1635">
        <f>'4M'!U34</f>
        <v>0</v>
      </c>
      <c r="H2576" s="1636"/>
    </row>
    <row r="2577" spans="1:8">
      <c r="A2577" s="1620" t="str">
        <f>INDEX(Lists!$C$4:$C$24,MATCH(Validation!$B$3,Lists!$B$4:$B$24,0))</f>
        <v>TMS</v>
      </c>
      <c r="B2577" s="1732" t="str">
        <f>'4M'!BW35</f>
        <v>S3023STPCUM</v>
      </c>
      <c r="C2577" t="str">
        <f>'4M'!$C35&amp;" - "&amp;'4M'!U$5</f>
        <v>Reduce flooding risk for properties - Sludge transport</v>
      </c>
      <c r="D2577" s="1620" t="str">
        <f t="shared" si="56"/>
        <v>£m</v>
      </c>
      <c r="E2577" s="1636" t="s">
        <v>9</v>
      </c>
      <c r="G2577" s="1635">
        <f>'4M'!U35</f>
        <v>0</v>
      </c>
      <c r="H2577" s="1636"/>
    </row>
    <row r="2578" spans="1:8">
      <c r="A2578" s="1620" t="str">
        <f>INDEX(Lists!$C$4:$C$24,MATCH(Validation!$B$3,Lists!$B$4:$B$24,0))</f>
        <v>TMS</v>
      </c>
      <c r="B2578" s="1732" t="str">
        <f>'4M'!BW36</f>
        <v>S3A00001STPCUM</v>
      </c>
      <c r="C2578" s="1732" t="str">
        <f>"Capital expenditure purpose - WASTEWATER additional line 1 [Other categories] - "&amp;'4M'!$U$5</f>
        <v>Capital expenditure purpose - WASTEWATER additional line 1 [Other categories] - Sludge transport</v>
      </c>
      <c r="D2578" s="1620" t="str">
        <f t="shared" si="56"/>
        <v>£m</v>
      </c>
      <c r="E2578" s="1636" t="s">
        <v>9</v>
      </c>
      <c r="F2578" s="2" t="str">
        <f>F2019</f>
        <v>Quality spend at CSOs and quality allocation to Deephams inlet works</v>
      </c>
      <c r="G2578" s="1635">
        <f>IF(ISBLANK('4M'!U36), "##BLANK", '4M'!U36)</f>
        <v>0</v>
      </c>
      <c r="H2578" s="1636"/>
    </row>
    <row r="2579" spans="1:8">
      <c r="A2579" s="1620" t="str">
        <f>INDEX(Lists!$C$4:$C$24,MATCH(Validation!$B$3,Lists!$B$4:$B$24,0))</f>
        <v>TMS</v>
      </c>
      <c r="B2579" s="1732" t="str">
        <f>'4M'!BW37</f>
        <v>S3A00002STPCUM</v>
      </c>
      <c r="C2579" s="1732" t="str">
        <f>"Capital expenditure purpose - WASTEWATER additional line 2 [Other categories] - "&amp;'4M'!$U$5</f>
        <v>Capital expenditure purpose - WASTEWATER additional line 2 [Other categories] - Sludge transport</v>
      </c>
      <c r="D2579" s="1620" t="str">
        <f t="shared" si="56"/>
        <v>£m</v>
      </c>
      <c r="E2579" s="1636" t="s">
        <v>9</v>
      </c>
      <c r="F2579" s="2" t="str">
        <f t="shared" ref="F2579:F2592" si="57">F2020</f>
        <v>Tideway quality (NEP). Excludes Lee Tunnel and sludge.</v>
      </c>
      <c r="G2579" s="1635">
        <f>IF(ISBLANK('4M'!U37), "##BLANK", '4M'!U37)</f>
        <v>0</v>
      </c>
      <c r="H2579" s="1636"/>
    </row>
    <row r="2580" spans="1:8">
      <c r="A2580" s="1620" t="str">
        <f>INDEX(Lists!$C$4:$C$24,MATCH(Validation!$B$3,Lists!$B$4:$B$24,0))</f>
        <v>TMS</v>
      </c>
      <c r="B2580" s="1732" t="str">
        <f>'4M'!BW38</f>
        <v>S3A00003STPCUM</v>
      </c>
      <c r="C2580" s="1732" t="str">
        <f>"Capital expenditure purpose - WASTEWATER additional line 3 [Other categories] - "&amp;'4M'!$U$5</f>
        <v>Capital expenditure purpose - WASTEWATER additional line 3 [Other categories] - Sludge transport</v>
      </c>
      <c r="D2580" s="1620" t="str">
        <f t="shared" si="56"/>
        <v>£m</v>
      </c>
      <c r="E2580" s="1636" t="s">
        <v>9</v>
      </c>
      <c r="F2580" s="2" t="str">
        <f t="shared" si="57"/>
        <v>Lee Tunnel</v>
      </c>
      <c r="G2580" s="1635">
        <f>IF(ISBLANK('4M'!U38), "##BLANK", '4M'!U38)</f>
        <v>0</v>
      </c>
      <c r="H2580" s="1636"/>
    </row>
    <row r="2581" spans="1:8">
      <c r="A2581" s="1620" t="str">
        <f>INDEX(Lists!$C$4:$C$24,MATCH(Validation!$B$3,Lists!$B$4:$B$24,0))</f>
        <v>TMS</v>
      </c>
      <c r="B2581" s="1732" t="str">
        <f>'4M'!BW39</f>
        <v>S3A00004STPCUM</v>
      </c>
      <c r="C2581" s="1732" t="str">
        <f>"Capital expenditure purpose - WASTEWATER additional line 4 [Other categories] - "&amp;'4M'!$U$5</f>
        <v>Capital expenditure purpose - WASTEWATER additional line 4 [Other categories] - Sludge transport</v>
      </c>
      <c r="D2581" s="1620" t="str">
        <f t="shared" si="56"/>
        <v>£m</v>
      </c>
      <c r="E2581" s="1636" t="s">
        <v>9</v>
      </c>
      <c r="F2581" s="2" t="str">
        <f t="shared" si="57"/>
        <v>Non-SEMD related security enhancement (revised Ofwat guidance 6 July 2018)</v>
      </c>
      <c r="G2581" s="1635">
        <f>IF(ISBLANK('4M'!U39), "##BLANK", '4M'!U39)</f>
        <v>1.1187623781922892E-2</v>
      </c>
      <c r="H2581" s="1636"/>
    </row>
    <row r="2582" spans="1:8">
      <c r="A2582" s="1620" t="str">
        <f>INDEX(Lists!$C$4:$C$24,MATCH(Validation!$B$3,Lists!$B$4:$B$24,0))</f>
        <v>TMS</v>
      </c>
      <c r="B2582" s="1732" t="str">
        <f>'4M'!BW40</f>
        <v>S3A00005STPCUM</v>
      </c>
      <c r="C2582" s="1732" t="str">
        <f>"Capital expenditure purpose - WASTEWATER additional line 5 [Other categories] - "&amp;'4M'!$U$5</f>
        <v>Capital expenditure purpose - WASTEWATER additional line 5 [Other categories] - Sludge transport</v>
      </c>
      <c r="D2582" s="1620" t="str">
        <f t="shared" si="56"/>
        <v>£m</v>
      </c>
      <c r="E2582" s="1636" t="s">
        <v>9</v>
      </c>
      <c r="F2582" s="2" t="str">
        <f t="shared" si="57"/>
        <v>##BLANK</v>
      </c>
      <c r="G2582" s="1635" t="str">
        <f>IF(ISBLANK('4M'!U40), "##BLANK", '4M'!U40)</f>
        <v>##BLANK</v>
      </c>
      <c r="H2582" s="1636"/>
    </row>
    <row r="2583" spans="1:8">
      <c r="A2583" s="1620" t="str">
        <f>INDEX(Lists!$C$4:$C$24,MATCH(Validation!$B$3,Lists!$B$4:$B$24,0))</f>
        <v>TMS</v>
      </c>
      <c r="B2583" s="1732" t="str">
        <f>'4M'!BW41</f>
        <v>S3A00006STPCUM</v>
      </c>
      <c r="C2583" s="1732" t="str">
        <f>"Capital expenditure purpose - WASTEWATER additional line 6 [Other categories] - "&amp;'4M'!$U$5</f>
        <v>Capital expenditure purpose - WASTEWATER additional line 6 [Other categories] - Sludge transport</v>
      </c>
      <c r="D2583" s="1620" t="str">
        <f t="shared" si="56"/>
        <v>£m</v>
      </c>
      <c r="E2583" s="1636" t="s">
        <v>9</v>
      </c>
      <c r="F2583" s="2" t="str">
        <f t="shared" si="57"/>
        <v>##BLANK</v>
      </c>
      <c r="G2583" s="1635" t="str">
        <f>IF(ISBLANK('4M'!U41), "##BLANK", '4M'!U41)</f>
        <v>##BLANK</v>
      </c>
      <c r="H2583" s="1636"/>
    </row>
    <row r="2584" spans="1:8">
      <c r="A2584" s="1620" t="str">
        <f>INDEX(Lists!$C$4:$C$24,MATCH(Validation!$B$3,Lists!$B$4:$B$24,0))</f>
        <v>TMS</v>
      </c>
      <c r="B2584" s="1732" t="str">
        <f>'4M'!BW42</f>
        <v>S3A00007STPCUM</v>
      </c>
      <c r="C2584" s="1732" t="str">
        <f>"Capital expenditure purpose - WASTEWATER additional line 7 [Other categories] - "&amp;'4M'!$U$5</f>
        <v>Capital expenditure purpose - WASTEWATER additional line 7 [Other categories] - Sludge transport</v>
      </c>
      <c r="D2584" s="1620" t="str">
        <f t="shared" si="56"/>
        <v>£m</v>
      </c>
      <c r="E2584" s="1636" t="s">
        <v>9</v>
      </c>
      <c r="F2584" s="2" t="str">
        <f t="shared" si="57"/>
        <v>##BLANK</v>
      </c>
      <c r="G2584" s="1635" t="str">
        <f>IF(ISBLANK('4M'!U42), "##BLANK", '4M'!U42)</f>
        <v>##BLANK</v>
      </c>
      <c r="H2584" s="1636"/>
    </row>
    <row r="2585" spans="1:8">
      <c r="A2585" s="1620" t="str">
        <f>INDEX(Lists!$C$4:$C$24,MATCH(Validation!$B$3,Lists!$B$4:$B$24,0))</f>
        <v>TMS</v>
      </c>
      <c r="B2585" s="1732" t="str">
        <f>'4M'!BW43</f>
        <v>S3A00008STPCUM</v>
      </c>
      <c r="C2585" s="1732" t="str">
        <f>"Capital expenditure purpose - WASTEWATER additional line 8 [Other categories] - "&amp;'4M'!$U$5</f>
        <v>Capital expenditure purpose - WASTEWATER additional line 8 [Other categories] - Sludge transport</v>
      </c>
      <c r="D2585" s="1620" t="str">
        <f t="shared" si="56"/>
        <v>£m</v>
      </c>
      <c r="E2585" s="1636" t="s">
        <v>9</v>
      </c>
      <c r="F2585" s="2" t="str">
        <f t="shared" si="57"/>
        <v>##BLANK</v>
      </c>
      <c r="G2585" s="1635" t="str">
        <f>IF(ISBLANK('4M'!U43), "##BLANK", '4M'!U43)</f>
        <v>##BLANK</v>
      </c>
      <c r="H2585" s="1636"/>
    </row>
    <row r="2586" spans="1:8">
      <c r="A2586" s="1620" t="str">
        <f>INDEX(Lists!$C$4:$C$24,MATCH(Validation!$B$3,Lists!$B$4:$B$24,0))</f>
        <v>TMS</v>
      </c>
      <c r="B2586" s="1732" t="str">
        <f>'4M'!BW44</f>
        <v>S3A00009STPCUM</v>
      </c>
      <c r="C2586" s="1732" t="str">
        <f>"Capital expenditure purpose - WASTEWATER additional line 9 [Other categories] - "&amp;'4M'!$U$5</f>
        <v>Capital expenditure purpose - WASTEWATER additional line 9 [Other categories] - Sludge transport</v>
      </c>
      <c r="D2586" s="1620" t="str">
        <f t="shared" si="56"/>
        <v>£m</v>
      </c>
      <c r="E2586" s="1636" t="s">
        <v>9</v>
      </c>
      <c r="F2586" s="2" t="str">
        <f t="shared" si="57"/>
        <v>##BLANK</v>
      </c>
      <c r="G2586" s="1635" t="str">
        <f>IF(ISBLANK('4M'!U44), "##BLANK", '4M'!U44)</f>
        <v>##BLANK</v>
      </c>
      <c r="H2586" s="1636"/>
    </row>
    <row r="2587" spans="1:8">
      <c r="A2587" s="1620" t="str">
        <f>INDEX(Lists!$C$4:$C$24,MATCH(Validation!$B$3,Lists!$B$4:$B$24,0))</f>
        <v>TMS</v>
      </c>
      <c r="B2587" s="1732" t="str">
        <f>'4M'!BW45</f>
        <v>S3A00010STPCUM</v>
      </c>
      <c r="C2587" s="1732" t="str">
        <f>"Capital expenditure purpose - WASTEWATER additional line 10 [Other categories] - "&amp;'4M'!$U$5</f>
        <v>Capital expenditure purpose - WASTEWATER additional line 10 [Other categories] - Sludge transport</v>
      </c>
      <c r="D2587" s="1620" t="str">
        <f t="shared" si="56"/>
        <v>£m</v>
      </c>
      <c r="E2587" s="1636" t="s">
        <v>9</v>
      </c>
      <c r="F2587" s="2" t="str">
        <f t="shared" si="57"/>
        <v>##BLANK</v>
      </c>
      <c r="G2587" s="1635" t="str">
        <f>IF(ISBLANK('4M'!U45), "##BLANK", '4M'!U45)</f>
        <v>##BLANK</v>
      </c>
      <c r="H2587" s="1636"/>
    </row>
    <row r="2588" spans="1:8">
      <c r="A2588" s="1620" t="str">
        <f>INDEX(Lists!$C$4:$C$24,MATCH(Validation!$B$3,Lists!$B$4:$B$24,0))</f>
        <v>TMS</v>
      </c>
      <c r="B2588" s="1732" t="str">
        <f>'4M'!BW46</f>
        <v>S3A00011STPCUM</v>
      </c>
      <c r="C2588" s="1732" t="str">
        <f>"Capital expenditure purpose - WASTEWATER additional line 11 [Other categories] - "&amp;'4M'!$U$5</f>
        <v>Capital expenditure purpose - WASTEWATER additional line 11 [Other categories] - Sludge transport</v>
      </c>
      <c r="D2588" s="1620" t="str">
        <f t="shared" si="56"/>
        <v>£m</v>
      </c>
      <c r="E2588" s="1636" t="s">
        <v>9</v>
      </c>
      <c r="F2588" s="2" t="str">
        <f t="shared" si="57"/>
        <v>##BLANK</v>
      </c>
      <c r="G2588" s="1635" t="str">
        <f>IF(ISBLANK('4M'!U46), "##BLANK", '4M'!U46)</f>
        <v>##BLANK</v>
      </c>
      <c r="H2588" s="1636"/>
    </row>
    <row r="2589" spans="1:8">
      <c r="A2589" s="1620" t="str">
        <f>INDEX(Lists!$C$4:$C$24,MATCH(Validation!$B$3,Lists!$B$4:$B$24,0))</f>
        <v>TMS</v>
      </c>
      <c r="B2589" s="1732" t="str">
        <f>'4M'!BW47</f>
        <v>S3A00012STPCUM</v>
      </c>
      <c r="C2589" s="1732" t="str">
        <f>"Capital expenditure purpose - WASTEWATER additional line 12 [Other categories] - "&amp;'4M'!$U$5</f>
        <v>Capital expenditure purpose - WASTEWATER additional line 12 [Other categories] - Sludge transport</v>
      </c>
      <c r="D2589" s="1620" t="str">
        <f t="shared" si="56"/>
        <v>£m</v>
      </c>
      <c r="E2589" s="1636" t="s">
        <v>9</v>
      </c>
      <c r="F2589" s="2" t="str">
        <f t="shared" si="57"/>
        <v>##BLANK</v>
      </c>
      <c r="G2589" s="1635" t="str">
        <f>IF(ISBLANK('4M'!U47), "##BLANK", '4M'!U47)</f>
        <v>##BLANK</v>
      </c>
      <c r="H2589" s="1636"/>
    </row>
    <row r="2590" spans="1:8">
      <c r="A2590" s="1620" t="str">
        <f>INDEX(Lists!$C$4:$C$24,MATCH(Validation!$B$3,Lists!$B$4:$B$24,0))</f>
        <v>TMS</v>
      </c>
      <c r="B2590" s="1732" t="str">
        <f>'4M'!BW48</f>
        <v>S3A00013STPCUM</v>
      </c>
      <c r="C2590" s="1732" t="str">
        <f>"Capital expenditure purpose - WASTEWATER additional line 13 [Other categories] - "&amp;'4M'!$U$5</f>
        <v>Capital expenditure purpose - WASTEWATER additional line 13 [Other categories] - Sludge transport</v>
      </c>
      <c r="D2590" s="1620" t="str">
        <f t="shared" si="56"/>
        <v>£m</v>
      </c>
      <c r="E2590" s="1636" t="s">
        <v>9</v>
      </c>
      <c r="F2590" s="2" t="str">
        <f t="shared" si="57"/>
        <v>##BLANK</v>
      </c>
      <c r="G2590" s="1635" t="str">
        <f>IF(ISBLANK('4M'!U48), "##BLANK", '4M'!U48)</f>
        <v>##BLANK</v>
      </c>
      <c r="H2590" s="1636"/>
    </row>
    <row r="2591" spans="1:8">
      <c r="A2591" s="1620" t="str">
        <f>INDEX(Lists!$C$4:$C$24,MATCH(Validation!$B$3,Lists!$B$4:$B$24,0))</f>
        <v>TMS</v>
      </c>
      <c r="B2591" s="1732" t="str">
        <f>'4M'!BW49</f>
        <v>S3A00014STPCUM</v>
      </c>
      <c r="C2591" s="1732" t="str">
        <f>"Capital expenditure purpose - WASTEWATER additional line 14 [Other categories] - "&amp;'4M'!$U$5</f>
        <v>Capital expenditure purpose - WASTEWATER additional line 14 [Other categories] - Sludge transport</v>
      </c>
      <c r="D2591" s="1620" t="str">
        <f t="shared" si="56"/>
        <v>£m</v>
      </c>
      <c r="E2591" s="1636" t="s">
        <v>9</v>
      </c>
      <c r="F2591" s="2" t="str">
        <f t="shared" si="57"/>
        <v>##BLANK</v>
      </c>
      <c r="G2591" s="1635" t="str">
        <f>IF(ISBLANK('4M'!U49), "##BLANK", '4M'!U49)</f>
        <v>##BLANK</v>
      </c>
      <c r="H2591" s="1636"/>
    </row>
    <row r="2592" spans="1:8">
      <c r="A2592" s="1730" t="str">
        <f>INDEX(Lists!$C$4:$C$24,MATCH(Validation!$B$3,Lists!$B$4:$B$24,0))</f>
        <v>TMS</v>
      </c>
      <c r="B2592" s="1734" t="str">
        <f>'4M'!BW50</f>
        <v>S3A00015STPCUM</v>
      </c>
      <c r="C2592" s="1734" t="str">
        <f>"Capital expenditure purpose - WASTEWATER additional line 15 [Other categories] - "&amp;'4M'!$U$5</f>
        <v>Capital expenditure purpose - WASTEWATER additional line 15 [Other categories] - Sludge transport</v>
      </c>
      <c r="D2592" s="1730" t="str">
        <f t="shared" si="56"/>
        <v>£m</v>
      </c>
      <c r="E2592" s="1652" t="s">
        <v>9</v>
      </c>
      <c r="F2592" s="1637" t="str">
        <f t="shared" si="57"/>
        <v>##BLANK</v>
      </c>
      <c r="G2592" s="1653" t="str">
        <f>IF(ISBLANK('4M'!U50), "##BLANK", '4M'!U50)</f>
        <v>##BLANK</v>
      </c>
      <c r="H2592" s="1652"/>
    </row>
    <row r="2593" spans="1:8">
      <c r="A2593" s="1620" t="str">
        <f>INDEX(Lists!$C$4:$C$24,MATCH(Validation!$B$3,Lists!$B$4:$B$24,0))</f>
        <v>TMS</v>
      </c>
      <c r="B2593" s="1732" t="str">
        <f>'4M'!BX8</f>
        <v>BC31379SDTCUM</v>
      </c>
      <c r="C2593" t="str">
        <f>'4M'!$C8&amp;" - "&amp;'4M'!V$5</f>
        <v>First time sewerage (s101A) - Sludge treatment</v>
      </c>
      <c r="D2593" s="1620" t="str">
        <f t="shared" si="56"/>
        <v>£m</v>
      </c>
      <c r="E2593" s="1636" t="s">
        <v>9</v>
      </c>
      <c r="G2593" s="1635">
        <f>'4M'!V8</f>
        <v>0</v>
      </c>
      <c r="H2593" s="1636"/>
    </row>
    <row r="2594" spans="1:8">
      <c r="A2594" s="1620" t="str">
        <f>INDEX(Lists!$C$4:$C$24,MATCH(Validation!$B$3,Lists!$B$4:$B$24,0))</f>
        <v>TMS</v>
      </c>
      <c r="B2594" s="1732" t="str">
        <f>'4M'!BX9</f>
        <v>S3035QSDTCUM</v>
      </c>
      <c r="C2594" t="str">
        <f>'4M'!$C9&amp;" - "&amp;'4M'!V$5</f>
        <v>Sludge enhancement (quality) - Sludge treatment</v>
      </c>
      <c r="D2594" s="1620" t="str">
        <f t="shared" si="56"/>
        <v>£m</v>
      </c>
      <c r="E2594" s="1636" t="s">
        <v>9</v>
      </c>
      <c r="G2594" s="1635">
        <f>'4M'!V9</f>
        <v>0</v>
      </c>
      <c r="H2594" s="1636"/>
    </row>
    <row r="2595" spans="1:8">
      <c r="A2595" s="1620" t="str">
        <f>INDEX(Lists!$C$4:$C$24,MATCH(Validation!$B$3,Lists!$B$4:$B$24,0))</f>
        <v>TMS</v>
      </c>
      <c r="B2595" s="1732" t="str">
        <f>'4M'!BX10</f>
        <v>S3036GSDTCUM</v>
      </c>
      <c r="C2595" t="str">
        <f>'4M'!$C10&amp;" - "&amp;'4M'!V$5</f>
        <v>Sludge enhancement (growth) - Sludge treatment</v>
      </c>
      <c r="D2595" s="1620" t="str">
        <f t="shared" si="56"/>
        <v>£m</v>
      </c>
      <c r="E2595" s="1636" t="s">
        <v>9</v>
      </c>
      <c r="G2595" s="1635">
        <f>'4M'!V10</f>
        <v>0.46828755091794938</v>
      </c>
      <c r="H2595" s="1636"/>
    </row>
    <row r="2596" spans="1:8">
      <c r="A2596" s="1620" t="str">
        <f>INDEX(Lists!$C$4:$C$24,MATCH(Validation!$B$3,Lists!$B$4:$B$24,0))</f>
        <v>TMS</v>
      </c>
      <c r="B2596" s="1732" t="str">
        <f>'4M'!BX11</f>
        <v>S3004SDTCUM</v>
      </c>
      <c r="C2596" t="str">
        <f>'4M'!$C11&amp;" - "&amp;'4M'!V$5</f>
        <v>NEP - Conservation drivers - Sludge treatment</v>
      </c>
      <c r="D2596" s="1620" t="str">
        <f t="shared" si="56"/>
        <v>£m</v>
      </c>
      <c r="E2596" s="1636" t="s">
        <v>9</v>
      </c>
      <c r="G2596" s="1635">
        <f>'4M'!V11</f>
        <v>0</v>
      </c>
      <c r="H2596" s="1636"/>
    </row>
    <row r="2597" spans="1:8">
      <c r="A2597" s="1620" t="str">
        <f>INDEX(Lists!$C$4:$C$24,MATCH(Validation!$B$3,Lists!$B$4:$B$24,0))</f>
        <v>TMS</v>
      </c>
      <c r="B2597" s="1732" t="str">
        <f>'4M'!BX12</f>
        <v>WWS2001SDTCUM</v>
      </c>
      <c r="C2597" t="str">
        <f>'4M'!$C12&amp;" - "&amp;'4M'!V$5</f>
        <v>NEP - Eels Regulations (measures at outfalls) - Sludge treatment</v>
      </c>
      <c r="D2597" s="1620" t="str">
        <f t="shared" si="56"/>
        <v>£m</v>
      </c>
      <c r="E2597" s="1636" t="s">
        <v>9</v>
      </c>
      <c r="G2597" s="1635">
        <f>'4M'!V12</f>
        <v>0</v>
      </c>
      <c r="H2597" s="1636"/>
    </row>
    <row r="2598" spans="1:8">
      <c r="A2598" s="1620" t="str">
        <f>INDEX(Lists!$C$4:$C$24,MATCH(Validation!$B$3,Lists!$B$4:$B$24,0))</f>
        <v>TMS</v>
      </c>
      <c r="B2598" s="1732" t="str">
        <f>'4M'!BX13</f>
        <v>S3005SDTCUM</v>
      </c>
      <c r="C2598" t="str">
        <f>'4M'!$C13&amp;" - "&amp;'4M'!V$5</f>
        <v>NEP - Event Duration Monitoring at intermittent discharges - Sludge treatment</v>
      </c>
      <c r="D2598" s="1620" t="str">
        <f t="shared" si="56"/>
        <v>£m</v>
      </c>
      <c r="E2598" s="1636" t="s">
        <v>9</v>
      </c>
      <c r="G2598" s="1635">
        <f>'4M'!V13</f>
        <v>0</v>
      </c>
      <c r="H2598" s="1636"/>
    </row>
    <row r="2599" spans="1:8">
      <c r="A2599" s="1620" t="str">
        <f>INDEX(Lists!$C$4:$C$24,MATCH(Validation!$B$3,Lists!$B$4:$B$24,0))</f>
        <v>TMS</v>
      </c>
      <c r="B2599" s="1732" t="str">
        <f>'4M'!BX14</f>
        <v>S3006SDTCUM</v>
      </c>
      <c r="C2599" t="str">
        <f>'4M'!$C14&amp;" - "&amp;'4M'!V$5</f>
        <v>NEP - Flow monitoring at sewage treatment works - Sludge treatment</v>
      </c>
      <c r="D2599" s="1620" t="str">
        <f t="shared" si="56"/>
        <v>£m</v>
      </c>
      <c r="E2599" s="1636" t="s">
        <v>9</v>
      </c>
      <c r="G2599" s="1635">
        <f>'4M'!V14</f>
        <v>0</v>
      </c>
      <c r="H2599" s="1636"/>
    </row>
    <row r="2600" spans="1:8">
      <c r="A2600" s="1620" t="str">
        <f>INDEX(Lists!$C$4:$C$24,MATCH(Validation!$B$3,Lists!$B$4:$B$24,0))</f>
        <v>TMS</v>
      </c>
      <c r="B2600" s="1732" t="str">
        <f>'4M'!BX15</f>
        <v>S3007SDTCUM</v>
      </c>
      <c r="C2600" t="str">
        <f>'4M'!$C15&amp;" - "&amp;'4M'!V$5</f>
        <v>NEP - Monitoring of pass forward flows at CSOs - Sludge treatment</v>
      </c>
      <c r="D2600" s="1620" t="str">
        <f t="shared" si="56"/>
        <v>£m</v>
      </c>
      <c r="E2600" s="1636" t="s">
        <v>9</v>
      </c>
      <c r="G2600" s="1635">
        <f>'4M'!V15</f>
        <v>0</v>
      </c>
      <c r="H2600" s="1636"/>
    </row>
    <row r="2601" spans="1:8">
      <c r="A2601" s="1620" t="str">
        <f>INDEX(Lists!$C$4:$C$24,MATCH(Validation!$B$3,Lists!$B$4:$B$24,0))</f>
        <v>TMS</v>
      </c>
      <c r="B2601" s="1732" t="str">
        <f>'4M'!BX16</f>
        <v>WWS2002SDTCUM</v>
      </c>
      <c r="C2601" t="str">
        <f>'4M'!$C16&amp;" - "&amp;'4M'!V$5</f>
        <v>NEP - Schemes to increase flow to full treatment - Sludge treatment</v>
      </c>
      <c r="D2601" s="1620" t="str">
        <f t="shared" si="56"/>
        <v>£m</v>
      </c>
      <c r="E2601" s="1636" t="s">
        <v>9</v>
      </c>
      <c r="G2601" s="1635">
        <f>'4M'!V16</f>
        <v>0</v>
      </c>
      <c r="H2601" s="1636"/>
    </row>
    <row r="2602" spans="1:8">
      <c r="A2602" s="1620" t="str">
        <f>INDEX(Lists!$C$4:$C$24,MATCH(Validation!$B$3,Lists!$B$4:$B$24,0))</f>
        <v>TMS</v>
      </c>
      <c r="B2602" s="1732" t="str">
        <f>'4M'!BX17</f>
        <v>WWS2003SDTCUM</v>
      </c>
      <c r="C2602" t="str">
        <f>'4M'!$C17&amp;" - "&amp;'4M'!V$5</f>
        <v>NEP - Schemes to increase storm tank capacity - Sludge treatment</v>
      </c>
      <c r="D2602" s="1620" t="str">
        <f t="shared" si="56"/>
        <v>£m</v>
      </c>
      <c r="E2602" s="1636" t="s">
        <v>9</v>
      </c>
      <c r="G2602" s="1635">
        <f>'4M'!V17</f>
        <v>0</v>
      </c>
      <c r="H2602" s="1636"/>
    </row>
    <row r="2603" spans="1:8">
      <c r="A2603" s="1620" t="str">
        <f>INDEX(Lists!$C$4:$C$24,MATCH(Validation!$B$3,Lists!$B$4:$B$24,0))</f>
        <v>TMS</v>
      </c>
      <c r="B2603" s="1732" t="str">
        <f>'4M'!BX18</f>
        <v>S3008SDTCUM</v>
      </c>
      <c r="C2603" t="str">
        <f>'4M'!$C18&amp;" - "&amp;'4M'!V$5</f>
        <v>NEP - Storage schemes to reduce spill frequency at CSOs, storm tanks, etc - Sludge treatment</v>
      </c>
      <c r="D2603" s="1620" t="str">
        <f t="shared" si="56"/>
        <v>£m</v>
      </c>
      <c r="E2603" s="1636" t="s">
        <v>9</v>
      </c>
      <c r="G2603" s="1635">
        <f>'4M'!V18</f>
        <v>0</v>
      </c>
      <c r="H2603" s="1636"/>
    </row>
    <row r="2604" spans="1:8">
      <c r="A2604" s="1620" t="str">
        <f>INDEX(Lists!$C$4:$C$24,MATCH(Validation!$B$3,Lists!$B$4:$B$24,0))</f>
        <v>TMS</v>
      </c>
      <c r="B2604" s="1732" t="str">
        <f>'4M'!BX19</f>
        <v>S3009SDTCUM</v>
      </c>
      <c r="C2604" t="str">
        <f>'4M'!$C19&amp;" - "&amp;'4M'!V$5</f>
        <v>NEP - Chemicals monitoring/ investigations/ options appraisals - Sludge treatment</v>
      </c>
      <c r="D2604" s="1620" t="str">
        <f t="shared" si="56"/>
        <v>£m</v>
      </c>
      <c r="E2604" s="1636" t="s">
        <v>9</v>
      </c>
      <c r="G2604" s="1635">
        <f>'4M'!V19</f>
        <v>0</v>
      </c>
      <c r="H2604" s="1636"/>
    </row>
    <row r="2605" spans="1:8">
      <c r="A2605" s="1620" t="str">
        <f>INDEX(Lists!$C$4:$C$24,MATCH(Validation!$B$3,Lists!$B$4:$B$24,0))</f>
        <v>TMS</v>
      </c>
      <c r="B2605" s="1732" t="str">
        <f>'4M'!BX20</f>
        <v>WWS2007SDTCUM</v>
      </c>
      <c r="C2605" t="str">
        <f>'4M'!$C20&amp;" - "&amp;'4M'!V$5</f>
        <v>NEP - National phosphorus removal technology investigations - Sludge treatment</v>
      </c>
      <c r="D2605" s="1620" t="str">
        <f t="shared" si="56"/>
        <v>£m</v>
      </c>
      <c r="E2605" s="1636" t="s">
        <v>9</v>
      </c>
      <c r="G2605" s="1635">
        <f>'4M'!V20</f>
        <v>0</v>
      </c>
      <c r="H2605" s="1636"/>
    </row>
    <row r="2606" spans="1:8">
      <c r="A2606" s="1620" t="str">
        <f>INDEX(Lists!$C$4:$C$24,MATCH(Validation!$B$3,Lists!$B$4:$B$24,0))</f>
        <v>TMS</v>
      </c>
      <c r="B2606" s="1732" t="str">
        <f>'4M'!BX21</f>
        <v>S3010SDTCUM</v>
      </c>
      <c r="C2606" t="str">
        <f>'4M'!$C21&amp;" - "&amp;'4M'!V$5</f>
        <v>NEP - Groundwater schemes - Sludge treatment</v>
      </c>
      <c r="D2606" s="1620" t="str">
        <f t="shared" si="56"/>
        <v>£m</v>
      </c>
      <c r="E2606" s="1636" t="s">
        <v>9</v>
      </c>
      <c r="G2606" s="1635">
        <f>'4M'!V21</f>
        <v>0</v>
      </c>
      <c r="H2606" s="1636"/>
    </row>
    <row r="2607" spans="1:8">
      <c r="A2607" s="1620" t="str">
        <f>INDEX(Lists!$C$4:$C$24,MATCH(Validation!$B$3,Lists!$B$4:$B$24,0))</f>
        <v>TMS</v>
      </c>
      <c r="B2607" s="1732" t="str">
        <f>'4M'!BX22</f>
        <v>S3011SDTCUM</v>
      </c>
      <c r="C2607" t="str">
        <f>'4M'!$C22&amp;" - "&amp;'4M'!V$5</f>
        <v>NEP - Investigations - Sludge treatment</v>
      </c>
      <c r="D2607" s="1620" t="str">
        <f t="shared" si="56"/>
        <v>£m</v>
      </c>
      <c r="E2607" s="1636" t="s">
        <v>9</v>
      </c>
      <c r="G2607" s="1635">
        <f>'4M'!V22</f>
        <v>0</v>
      </c>
      <c r="H2607" s="1636"/>
    </row>
    <row r="2608" spans="1:8">
      <c r="A2608" s="1620" t="str">
        <f>INDEX(Lists!$C$4:$C$24,MATCH(Validation!$B$3,Lists!$B$4:$B$24,0))</f>
        <v>TMS</v>
      </c>
      <c r="B2608" s="1732" t="str">
        <f>'4M'!BX23</f>
        <v>S3012SDTCUM</v>
      </c>
      <c r="C2608" t="str">
        <f>'4M'!$C23&amp;" - "&amp;'4M'!V$5</f>
        <v>NEP - Nutrients (N removal) - Sludge treatment</v>
      </c>
      <c r="D2608" s="1620" t="str">
        <f t="shared" si="56"/>
        <v>£m</v>
      </c>
      <c r="E2608" s="1636" t="s">
        <v>9</v>
      </c>
      <c r="G2608" s="1635">
        <f>'4M'!V23</f>
        <v>0</v>
      </c>
      <c r="H2608" s="1636"/>
    </row>
    <row r="2609" spans="1:8">
      <c r="A2609" s="1620" t="str">
        <f>INDEX(Lists!$C$4:$C$24,MATCH(Validation!$B$3,Lists!$B$4:$B$24,0))</f>
        <v>TMS</v>
      </c>
      <c r="B2609" s="1732" t="str">
        <f>'4M'!BX24</f>
        <v>S3013SDTCUM</v>
      </c>
      <c r="C2609" t="str">
        <f>'4M'!$C24&amp;" - "&amp;'4M'!V$5</f>
        <v>NEP - Nutrients (P removal at activated sludge STWs) - Sludge treatment</v>
      </c>
      <c r="D2609" s="1620" t="str">
        <f t="shared" si="56"/>
        <v>£m</v>
      </c>
      <c r="E2609" s="1636" t="s">
        <v>9</v>
      </c>
      <c r="G2609" s="1635">
        <f>'4M'!V24</f>
        <v>0</v>
      </c>
      <c r="H2609" s="1636"/>
    </row>
    <row r="2610" spans="1:8">
      <c r="A2610" s="1620" t="str">
        <f>INDEX(Lists!$C$4:$C$24,MATCH(Validation!$B$3,Lists!$B$4:$B$24,0))</f>
        <v>TMS</v>
      </c>
      <c r="B2610" s="1732" t="str">
        <f>'4M'!BX25</f>
        <v>S3014SDTCUM</v>
      </c>
      <c r="C2610" t="str">
        <f>'4M'!$C25&amp;" - "&amp;'4M'!V$5</f>
        <v>NEP - Nutrients (P removal at filter bed STWs) - Sludge treatment</v>
      </c>
      <c r="D2610" s="1620" t="str">
        <f t="shared" ref="D2610:D2673" si="58">D2567</f>
        <v>£m</v>
      </c>
      <c r="E2610" s="1636" t="s">
        <v>9</v>
      </c>
      <c r="G2610" s="1635">
        <f>'4M'!V25</f>
        <v>0</v>
      </c>
      <c r="H2610" s="1636"/>
    </row>
    <row r="2611" spans="1:8">
      <c r="A2611" s="1620" t="str">
        <f>INDEX(Lists!$C$4:$C$24,MATCH(Validation!$B$3,Lists!$B$4:$B$24,0))</f>
        <v>TMS</v>
      </c>
      <c r="B2611" s="1732" t="str">
        <f>'4M'!BX26</f>
        <v>S3015SDTCUM</v>
      </c>
      <c r="C2611" t="str">
        <f>'4M'!$C26&amp;" - "&amp;'4M'!V$5</f>
        <v>NEP - Reduction of sanitary parameters - Sludge treatment</v>
      </c>
      <c r="D2611" s="1620" t="str">
        <f t="shared" si="58"/>
        <v>£m</v>
      </c>
      <c r="E2611" s="1636" t="s">
        <v>9</v>
      </c>
      <c r="G2611" s="1635">
        <f>'4M'!V26</f>
        <v>0</v>
      </c>
      <c r="H2611" s="1636"/>
    </row>
    <row r="2612" spans="1:8">
      <c r="A2612" s="1620" t="str">
        <f>INDEX(Lists!$C$4:$C$24,MATCH(Validation!$B$3,Lists!$B$4:$B$24,0))</f>
        <v>TMS</v>
      </c>
      <c r="B2612" s="1732" t="str">
        <f>'4M'!BX27</f>
        <v>S3016SDTCUM</v>
      </c>
      <c r="C2612" t="str">
        <f>'4M'!$C27&amp;" - "&amp;'4M'!V$5</f>
        <v>NEP - UV disinfection (or similar) - Sludge treatment</v>
      </c>
      <c r="D2612" s="1620" t="str">
        <f t="shared" si="58"/>
        <v>£m</v>
      </c>
      <c r="E2612" s="1636" t="s">
        <v>9</v>
      </c>
      <c r="G2612" s="1635">
        <f>'4M'!V27</f>
        <v>0</v>
      </c>
      <c r="H2612" s="1636"/>
    </row>
    <row r="2613" spans="1:8">
      <c r="A2613" s="1620" t="str">
        <f>INDEX(Lists!$C$4:$C$24,MATCH(Validation!$B$3,Lists!$B$4:$B$24,0))</f>
        <v>TMS</v>
      </c>
      <c r="B2613" s="1732" t="str">
        <f>'4M'!BX28</f>
        <v>S3017SDTCUM</v>
      </c>
      <c r="C2613" t="str">
        <f>'4M'!$C28&amp;" - "&amp;'4M'!V$5</f>
        <v>NEP - Discharge relocation - Sludge treatment</v>
      </c>
      <c r="D2613" s="1620" t="str">
        <f t="shared" si="58"/>
        <v>£m</v>
      </c>
      <c r="E2613" s="1636" t="s">
        <v>9</v>
      </c>
      <c r="G2613" s="1635">
        <f>'4M'!V28</f>
        <v>0</v>
      </c>
      <c r="H2613" s="1636"/>
    </row>
    <row r="2614" spans="1:8">
      <c r="A2614" s="1620" t="str">
        <f>INDEX(Lists!$C$4:$C$24,MATCH(Validation!$B$3,Lists!$B$4:$B$24,0))</f>
        <v>TMS</v>
      </c>
      <c r="B2614" s="1732" t="str">
        <f>'4M'!BX29</f>
        <v>S3018SDTCUM</v>
      </c>
      <c r="C2614" t="str">
        <f>'4M'!$C29&amp;" - "&amp;'4M'!V$5</f>
        <v>NEP - Flow 1 schemes - Sludge treatment</v>
      </c>
      <c r="D2614" s="1620" t="str">
        <f t="shared" si="58"/>
        <v>£m</v>
      </c>
      <c r="E2614" s="1636" t="s">
        <v>9</v>
      </c>
      <c r="G2614" s="1635">
        <f>'4M'!V29</f>
        <v>0</v>
      </c>
      <c r="H2614" s="1636"/>
    </row>
    <row r="2615" spans="1:8">
      <c r="A2615" s="1620" t="str">
        <f>INDEX(Lists!$C$4:$C$24,MATCH(Validation!$B$3,Lists!$B$4:$B$24,0))</f>
        <v>TMS</v>
      </c>
      <c r="B2615" s="1732" t="str">
        <f>'4M'!BX30</f>
        <v>S3019SDTCUM</v>
      </c>
      <c r="C2615" t="str">
        <f>'4M'!$C30&amp;" - "&amp;'4M'!V$5</f>
        <v>Odour - Sludge treatment</v>
      </c>
      <c r="D2615" s="1620" t="str">
        <f t="shared" si="58"/>
        <v>£m</v>
      </c>
      <c r="E2615" s="1636" t="s">
        <v>9</v>
      </c>
      <c r="G2615" s="1635">
        <f>'4M'!V30</f>
        <v>0</v>
      </c>
      <c r="H2615" s="1636"/>
    </row>
    <row r="2616" spans="1:8">
      <c r="A2616" s="1620" t="str">
        <f>INDEX(Lists!$C$4:$C$24,MATCH(Validation!$B$3,Lists!$B$4:$B$24,0))</f>
        <v>TMS</v>
      </c>
      <c r="B2616" s="1732" t="str">
        <f>'4M'!BX31</f>
        <v>S3020SDTCUM</v>
      </c>
      <c r="C2616" t="str">
        <f>'4M'!$C31&amp;" - "&amp;'4M'!V$5</f>
        <v>New development and growth - Sludge treatment</v>
      </c>
      <c r="D2616" s="1620" t="str">
        <f t="shared" si="58"/>
        <v>£m</v>
      </c>
      <c r="E2616" s="1636" t="s">
        <v>9</v>
      </c>
      <c r="G2616" s="1635">
        <f>'4M'!V31</f>
        <v>0</v>
      </c>
      <c r="H2616" s="1636"/>
    </row>
    <row r="2617" spans="1:8">
      <c r="A2617" s="1620" t="str">
        <f>INDEX(Lists!$C$4:$C$24,MATCH(Validation!$B$3,Lists!$B$4:$B$24,0))</f>
        <v>TMS</v>
      </c>
      <c r="B2617" s="1732" t="str">
        <f>'4M'!BX32</f>
        <v>S3021SDTCUM</v>
      </c>
      <c r="C2617" t="str">
        <f>'4M'!$C32&amp;" - "&amp;'4M'!V$5</f>
        <v>Growth at sewage treatment works (excluding sludge treatment) - Sludge treatment</v>
      </c>
      <c r="D2617" s="1620" t="str">
        <f t="shared" si="58"/>
        <v>£m</v>
      </c>
      <c r="E2617" s="1636" t="s">
        <v>9</v>
      </c>
      <c r="G2617" s="1635">
        <f>'4M'!V32</f>
        <v>0</v>
      </c>
      <c r="H2617" s="1636"/>
    </row>
    <row r="2618" spans="1:8">
      <c r="A2618" s="1620" t="str">
        <f>INDEX(Lists!$C$4:$C$24,MATCH(Validation!$B$3,Lists!$B$4:$B$24,0))</f>
        <v>TMS</v>
      </c>
      <c r="B2618" s="1732" t="str">
        <f>'4M'!BX33</f>
        <v>S3022SDTCUM</v>
      </c>
      <c r="C2618" t="str">
        <f>'4M'!$C33&amp;" - "&amp;'4M'!V$5</f>
        <v>Resilience - Sludge treatment</v>
      </c>
      <c r="D2618" s="1620" t="str">
        <f t="shared" si="58"/>
        <v>£m</v>
      </c>
      <c r="E2618" s="1636" t="s">
        <v>9</v>
      </c>
      <c r="G2618" s="1635">
        <f>'4M'!V33</f>
        <v>0.25315145652143406</v>
      </c>
      <c r="H2618" s="1636"/>
    </row>
    <row r="2619" spans="1:8">
      <c r="A2619" s="1620" t="str">
        <f>INDEX(Lists!$C$4:$C$24,MATCH(Validation!$B$3,Lists!$B$4:$B$24,0))</f>
        <v>TMS</v>
      </c>
      <c r="B2619" s="1732" t="str">
        <f>'4M'!BX34</f>
        <v>BC31785SDTCUM</v>
      </c>
      <c r="C2619" t="str">
        <f>'4M'!$C34&amp;" - "&amp;'4M'!V$5</f>
        <v>SEMD - Sludge treatment</v>
      </c>
      <c r="D2619" s="1620" t="str">
        <f t="shared" si="58"/>
        <v>£m</v>
      </c>
      <c r="E2619" s="1636" t="s">
        <v>9</v>
      </c>
      <c r="G2619" s="1635">
        <f>'4M'!V34</f>
        <v>0</v>
      </c>
      <c r="H2619" s="1636"/>
    </row>
    <row r="2620" spans="1:8">
      <c r="A2620" s="1620" t="str">
        <f>INDEX(Lists!$C$4:$C$24,MATCH(Validation!$B$3,Lists!$B$4:$B$24,0))</f>
        <v>TMS</v>
      </c>
      <c r="B2620" s="1732" t="str">
        <f>'4M'!BX35</f>
        <v>S3023SDTCUM</v>
      </c>
      <c r="C2620" t="str">
        <f>'4M'!$C35&amp;" - "&amp;'4M'!V$5</f>
        <v>Reduce flooding risk for properties - Sludge treatment</v>
      </c>
      <c r="D2620" s="1620" t="str">
        <f t="shared" si="58"/>
        <v>£m</v>
      </c>
      <c r="E2620" s="1636" t="s">
        <v>9</v>
      </c>
      <c r="G2620" s="1635">
        <f>'4M'!V35</f>
        <v>0</v>
      </c>
      <c r="H2620" s="1636"/>
    </row>
    <row r="2621" spans="1:8">
      <c r="A2621" s="1620" t="str">
        <f>INDEX(Lists!$C$4:$C$24,MATCH(Validation!$B$3,Lists!$B$4:$B$24,0))</f>
        <v>TMS</v>
      </c>
      <c r="B2621" s="1732" t="str">
        <f>'4M'!BX36</f>
        <v>S3A00001SDTCUM</v>
      </c>
      <c r="C2621" s="1732" t="str">
        <f>"Capital expenditure purpose - WASTEWATER additional line 1 [Other categories] - "&amp;'4M'!$V$5</f>
        <v>Capital expenditure purpose - WASTEWATER additional line 1 [Other categories] - Sludge treatment</v>
      </c>
      <c r="D2621" s="1620" t="str">
        <f t="shared" si="58"/>
        <v>£m</v>
      </c>
      <c r="E2621" s="1636" t="s">
        <v>9</v>
      </c>
      <c r="F2621" s="2" t="str">
        <f>F2019</f>
        <v>Quality spend at CSOs and quality allocation to Deephams inlet works</v>
      </c>
      <c r="G2621" s="1635">
        <f>IF(ISBLANK('4M'!V36), "##BLANK", '4M'!V36)</f>
        <v>0</v>
      </c>
      <c r="H2621" s="1636"/>
    </row>
    <row r="2622" spans="1:8">
      <c r="A2622" s="1620" t="str">
        <f>INDEX(Lists!$C$4:$C$24,MATCH(Validation!$B$3,Lists!$B$4:$B$24,0))</f>
        <v>TMS</v>
      </c>
      <c r="B2622" s="1732" t="str">
        <f>'4M'!BX37</f>
        <v>S3A00002SDTCUM</v>
      </c>
      <c r="C2622" s="1732" t="str">
        <f>"Capital expenditure purpose - WASTEWATER additional line 2 [Other categories] - "&amp;'4M'!$V$5</f>
        <v>Capital expenditure purpose - WASTEWATER additional line 2 [Other categories] - Sludge treatment</v>
      </c>
      <c r="D2622" s="1620" t="str">
        <f t="shared" si="58"/>
        <v>£m</v>
      </c>
      <c r="E2622" s="1636" t="s">
        <v>9</v>
      </c>
      <c r="F2622" s="2" t="str">
        <f t="shared" ref="F2622:F2635" si="59">F2020</f>
        <v>Tideway quality (NEP). Excludes Lee Tunnel and sludge.</v>
      </c>
      <c r="G2622" s="1635">
        <f>IF(ISBLANK('4M'!V37), "##BLANK", '4M'!V37)</f>
        <v>0</v>
      </c>
      <c r="H2622" s="1636"/>
    </row>
    <row r="2623" spans="1:8">
      <c r="A2623" s="1620" t="str">
        <f>INDEX(Lists!$C$4:$C$24,MATCH(Validation!$B$3,Lists!$B$4:$B$24,0))</f>
        <v>TMS</v>
      </c>
      <c r="B2623" s="1732" t="str">
        <f>'4M'!BX38</f>
        <v>S3A00003SDTCUM</v>
      </c>
      <c r="C2623" s="1732" t="str">
        <f>"Capital expenditure purpose - WASTEWATER additional line 3 [Other categories] - "&amp;'4M'!$V$5</f>
        <v>Capital expenditure purpose - WASTEWATER additional line 3 [Other categories] - Sludge treatment</v>
      </c>
      <c r="D2623" s="1620" t="str">
        <f t="shared" si="58"/>
        <v>£m</v>
      </c>
      <c r="E2623" s="1636" t="s">
        <v>9</v>
      </c>
      <c r="F2623" s="2" t="str">
        <f t="shared" si="59"/>
        <v>Lee Tunnel</v>
      </c>
      <c r="G2623" s="1635">
        <f>IF(ISBLANK('4M'!V38), "##BLANK", '4M'!V38)</f>
        <v>0</v>
      </c>
      <c r="H2623" s="1636"/>
    </row>
    <row r="2624" spans="1:8">
      <c r="A2624" s="1620" t="str">
        <f>INDEX(Lists!$C$4:$C$24,MATCH(Validation!$B$3,Lists!$B$4:$B$24,0))</f>
        <v>TMS</v>
      </c>
      <c r="B2624" s="1732" t="str">
        <f>'4M'!BX39</f>
        <v>S3A00004SDTCUM</v>
      </c>
      <c r="C2624" s="1732" t="str">
        <f>"Capital expenditure purpose - WASTEWATER additional line 4 [Other categories] - "&amp;'4M'!$V$5</f>
        <v>Capital expenditure purpose - WASTEWATER additional line 4 [Other categories] - Sludge treatment</v>
      </c>
      <c r="D2624" s="1620" t="str">
        <f t="shared" si="58"/>
        <v>£m</v>
      </c>
      <c r="E2624" s="1636" t="s">
        <v>9</v>
      </c>
      <c r="F2624" s="2" t="str">
        <f t="shared" si="59"/>
        <v>Non-SEMD related security enhancement (revised Ofwat guidance 6 July 2018)</v>
      </c>
      <c r="G2624" s="1635">
        <f>IF(ISBLANK('4M'!V39), "##BLANK", '4M'!V39)</f>
        <v>0.2214433079514182</v>
      </c>
      <c r="H2624" s="1636"/>
    </row>
    <row r="2625" spans="1:8">
      <c r="A2625" s="1620" t="str">
        <f>INDEX(Lists!$C$4:$C$24,MATCH(Validation!$B$3,Lists!$B$4:$B$24,0))</f>
        <v>TMS</v>
      </c>
      <c r="B2625" s="1732" t="str">
        <f>'4M'!BX40</f>
        <v>S3A00005SDTCUM</v>
      </c>
      <c r="C2625" s="1732" t="str">
        <f>"Capital expenditure purpose - WASTEWATER additional line 5 [Other categories] - "&amp;'4M'!$V$5</f>
        <v>Capital expenditure purpose - WASTEWATER additional line 5 [Other categories] - Sludge treatment</v>
      </c>
      <c r="D2625" s="1620" t="str">
        <f t="shared" si="58"/>
        <v>£m</v>
      </c>
      <c r="E2625" s="1636" t="s">
        <v>9</v>
      </c>
      <c r="F2625" s="2" t="str">
        <f t="shared" si="59"/>
        <v>##BLANK</v>
      </c>
      <c r="G2625" s="1635" t="str">
        <f>IF(ISBLANK('4M'!V40), "##BLANK", '4M'!V40)</f>
        <v>##BLANK</v>
      </c>
      <c r="H2625" s="1636"/>
    </row>
    <row r="2626" spans="1:8">
      <c r="A2626" s="1620" t="str">
        <f>INDEX(Lists!$C$4:$C$24,MATCH(Validation!$B$3,Lists!$B$4:$B$24,0))</f>
        <v>TMS</v>
      </c>
      <c r="B2626" s="1732" t="str">
        <f>'4M'!BX41</f>
        <v>S3A00006SDTCUM</v>
      </c>
      <c r="C2626" s="1732" t="str">
        <f>"Capital expenditure purpose - WASTEWATER additional line 6 [Other categories] - "&amp;'4M'!$V$5</f>
        <v>Capital expenditure purpose - WASTEWATER additional line 6 [Other categories] - Sludge treatment</v>
      </c>
      <c r="D2626" s="1620" t="str">
        <f t="shared" si="58"/>
        <v>£m</v>
      </c>
      <c r="E2626" s="1636" t="s">
        <v>9</v>
      </c>
      <c r="F2626" s="2" t="str">
        <f t="shared" si="59"/>
        <v>##BLANK</v>
      </c>
      <c r="G2626" s="1635" t="str">
        <f>IF(ISBLANK('4M'!V41), "##BLANK", '4M'!V41)</f>
        <v>##BLANK</v>
      </c>
      <c r="H2626" s="1636"/>
    </row>
    <row r="2627" spans="1:8">
      <c r="A2627" s="1620" t="str">
        <f>INDEX(Lists!$C$4:$C$24,MATCH(Validation!$B$3,Lists!$B$4:$B$24,0))</f>
        <v>TMS</v>
      </c>
      <c r="B2627" s="1732" t="str">
        <f>'4M'!BX42</f>
        <v>S3A00007SDTCUM</v>
      </c>
      <c r="C2627" s="1732" t="str">
        <f>"Capital expenditure purpose - WASTEWATER additional line 7 [Other categories] - "&amp;'4M'!$V$5</f>
        <v>Capital expenditure purpose - WASTEWATER additional line 7 [Other categories] - Sludge treatment</v>
      </c>
      <c r="D2627" s="1620" t="str">
        <f t="shared" si="58"/>
        <v>£m</v>
      </c>
      <c r="E2627" s="1636" t="s">
        <v>9</v>
      </c>
      <c r="F2627" s="2" t="str">
        <f t="shared" si="59"/>
        <v>##BLANK</v>
      </c>
      <c r="G2627" s="1635" t="str">
        <f>IF(ISBLANK('4M'!V42), "##BLANK", '4M'!V42)</f>
        <v>##BLANK</v>
      </c>
      <c r="H2627" s="1636"/>
    </row>
    <row r="2628" spans="1:8">
      <c r="A2628" s="1620" t="str">
        <f>INDEX(Lists!$C$4:$C$24,MATCH(Validation!$B$3,Lists!$B$4:$B$24,0))</f>
        <v>TMS</v>
      </c>
      <c r="B2628" s="1732" t="str">
        <f>'4M'!BX43</f>
        <v>S3A00008SDTCUM</v>
      </c>
      <c r="C2628" s="1732" t="str">
        <f>"Capital expenditure purpose - WASTEWATER additional line 8 [Other categories] - "&amp;'4M'!$V$5</f>
        <v>Capital expenditure purpose - WASTEWATER additional line 8 [Other categories] - Sludge treatment</v>
      </c>
      <c r="D2628" s="1620" t="str">
        <f t="shared" si="58"/>
        <v>£m</v>
      </c>
      <c r="E2628" s="1636" t="s">
        <v>9</v>
      </c>
      <c r="F2628" s="2" t="str">
        <f t="shared" si="59"/>
        <v>##BLANK</v>
      </c>
      <c r="G2628" s="1635" t="str">
        <f>IF(ISBLANK('4M'!V43), "##BLANK", '4M'!V43)</f>
        <v>##BLANK</v>
      </c>
      <c r="H2628" s="1636"/>
    </row>
    <row r="2629" spans="1:8">
      <c r="A2629" s="1620" t="str">
        <f>INDEX(Lists!$C$4:$C$24,MATCH(Validation!$B$3,Lists!$B$4:$B$24,0))</f>
        <v>TMS</v>
      </c>
      <c r="B2629" s="1732" t="str">
        <f>'4M'!BX44</f>
        <v>S3A00009SDTCUM</v>
      </c>
      <c r="C2629" s="1732" t="str">
        <f>"Capital expenditure purpose - WASTEWATER additional line 9 [Other categories] - "&amp;'4M'!$V$5</f>
        <v>Capital expenditure purpose - WASTEWATER additional line 9 [Other categories] - Sludge treatment</v>
      </c>
      <c r="D2629" s="1620" t="str">
        <f t="shared" si="58"/>
        <v>£m</v>
      </c>
      <c r="E2629" s="1636" t="s">
        <v>9</v>
      </c>
      <c r="F2629" s="2" t="str">
        <f t="shared" si="59"/>
        <v>##BLANK</v>
      </c>
      <c r="G2629" s="1635" t="str">
        <f>IF(ISBLANK('4M'!V44), "##BLANK", '4M'!V44)</f>
        <v>##BLANK</v>
      </c>
      <c r="H2629" s="1636"/>
    </row>
    <row r="2630" spans="1:8">
      <c r="A2630" s="1620" t="str">
        <f>INDEX(Lists!$C$4:$C$24,MATCH(Validation!$B$3,Lists!$B$4:$B$24,0))</f>
        <v>TMS</v>
      </c>
      <c r="B2630" s="1732" t="str">
        <f>'4M'!BX45</f>
        <v>S3A00010SDTCUM</v>
      </c>
      <c r="C2630" s="1732" t="str">
        <f>"Capital expenditure purpose - WASTEWATER additional line 10 [Other categories] - "&amp;'4M'!$V$5</f>
        <v>Capital expenditure purpose - WASTEWATER additional line 10 [Other categories] - Sludge treatment</v>
      </c>
      <c r="D2630" s="1620" t="str">
        <f t="shared" si="58"/>
        <v>£m</v>
      </c>
      <c r="E2630" s="1636" t="s">
        <v>9</v>
      </c>
      <c r="F2630" s="2" t="str">
        <f t="shared" si="59"/>
        <v>##BLANK</v>
      </c>
      <c r="G2630" s="1635" t="str">
        <f>IF(ISBLANK('4M'!V45), "##BLANK", '4M'!V45)</f>
        <v>##BLANK</v>
      </c>
      <c r="H2630" s="1636"/>
    </row>
    <row r="2631" spans="1:8">
      <c r="A2631" s="1620" t="str">
        <f>INDEX(Lists!$C$4:$C$24,MATCH(Validation!$B$3,Lists!$B$4:$B$24,0))</f>
        <v>TMS</v>
      </c>
      <c r="B2631" s="1732" t="str">
        <f>'4M'!BX46</f>
        <v>S3A00011SDTCUM</v>
      </c>
      <c r="C2631" s="1732" t="str">
        <f>"Capital expenditure purpose - WASTEWATER additional line 11 [Other categories] - "&amp;'4M'!$V$5</f>
        <v>Capital expenditure purpose - WASTEWATER additional line 11 [Other categories] - Sludge treatment</v>
      </c>
      <c r="D2631" s="1620" t="str">
        <f t="shared" si="58"/>
        <v>£m</v>
      </c>
      <c r="E2631" s="1636" t="s">
        <v>9</v>
      </c>
      <c r="F2631" s="2" t="str">
        <f t="shared" si="59"/>
        <v>##BLANK</v>
      </c>
      <c r="G2631" s="1635" t="str">
        <f>IF(ISBLANK('4M'!V46), "##BLANK", '4M'!V46)</f>
        <v>##BLANK</v>
      </c>
      <c r="H2631" s="1636"/>
    </row>
    <row r="2632" spans="1:8">
      <c r="A2632" s="1620" t="str">
        <f>INDEX(Lists!$C$4:$C$24,MATCH(Validation!$B$3,Lists!$B$4:$B$24,0))</f>
        <v>TMS</v>
      </c>
      <c r="B2632" s="1732" t="str">
        <f>'4M'!BX47</f>
        <v>S3A00012SDTCUM</v>
      </c>
      <c r="C2632" s="1732" t="str">
        <f>"Capital expenditure purpose - WASTEWATER additional line 12 [Other categories] - "&amp;'4M'!$V$5</f>
        <v>Capital expenditure purpose - WASTEWATER additional line 12 [Other categories] - Sludge treatment</v>
      </c>
      <c r="D2632" s="1620" t="str">
        <f t="shared" si="58"/>
        <v>£m</v>
      </c>
      <c r="E2632" s="1636" t="s">
        <v>9</v>
      </c>
      <c r="F2632" s="2" t="str">
        <f t="shared" si="59"/>
        <v>##BLANK</v>
      </c>
      <c r="G2632" s="1635" t="str">
        <f>IF(ISBLANK('4M'!V47), "##BLANK", '4M'!V47)</f>
        <v>##BLANK</v>
      </c>
      <c r="H2632" s="1636"/>
    </row>
    <row r="2633" spans="1:8">
      <c r="A2633" s="1620" t="str">
        <f>INDEX(Lists!$C$4:$C$24,MATCH(Validation!$B$3,Lists!$B$4:$B$24,0))</f>
        <v>TMS</v>
      </c>
      <c r="B2633" s="1732" t="str">
        <f>'4M'!BX48</f>
        <v>S3A00013SDTCUM</v>
      </c>
      <c r="C2633" s="1732" t="str">
        <f>"Capital expenditure purpose - WASTEWATER additional line 13 [Other categories] - "&amp;'4M'!$V$5</f>
        <v>Capital expenditure purpose - WASTEWATER additional line 13 [Other categories] - Sludge treatment</v>
      </c>
      <c r="D2633" s="1620" t="str">
        <f t="shared" si="58"/>
        <v>£m</v>
      </c>
      <c r="E2633" s="1636" t="s">
        <v>9</v>
      </c>
      <c r="F2633" s="2" t="str">
        <f t="shared" si="59"/>
        <v>##BLANK</v>
      </c>
      <c r="G2633" s="1635" t="str">
        <f>IF(ISBLANK('4M'!V48), "##BLANK", '4M'!V48)</f>
        <v>##BLANK</v>
      </c>
      <c r="H2633" s="1636"/>
    </row>
    <row r="2634" spans="1:8">
      <c r="A2634" s="1620" t="str">
        <f>INDEX(Lists!$C$4:$C$24,MATCH(Validation!$B$3,Lists!$B$4:$B$24,0))</f>
        <v>TMS</v>
      </c>
      <c r="B2634" s="1732" t="str">
        <f>'4M'!BX49</f>
        <v>S3A00014SDTCUM</v>
      </c>
      <c r="C2634" s="1732" t="str">
        <f>"Capital expenditure purpose - WASTEWATER additional line 14 [Other categories] - "&amp;'4M'!$V$5</f>
        <v>Capital expenditure purpose - WASTEWATER additional line 14 [Other categories] - Sludge treatment</v>
      </c>
      <c r="D2634" s="1620" t="str">
        <f t="shared" si="58"/>
        <v>£m</v>
      </c>
      <c r="E2634" s="1636" t="s">
        <v>9</v>
      </c>
      <c r="F2634" s="2" t="str">
        <f t="shared" si="59"/>
        <v>##BLANK</v>
      </c>
      <c r="G2634" s="1635" t="str">
        <f>IF(ISBLANK('4M'!V49), "##BLANK", '4M'!V49)</f>
        <v>##BLANK</v>
      </c>
      <c r="H2634" s="1636"/>
    </row>
    <row r="2635" spans="1:8">
      <c r="A2635" s="1730" t="str">
        <f>INDEX(Lists!$C$4:$C$24,MATCH(Validation!$B$3,Lists!$B$4:$B$24,0))</f>
        <v>TMS</v>
      </c>
      <c r="B2635" s="1734" t="str">
        <f>'4M'!BX50</f>
        <v>S3A00015SDTCUM</v>
      </c>
      <c r="C2635" s="1734" t="str">
        <f>"Capital expenditure purpose - WASTEWATER additional line 15 [Other categories] - "&amp;'4M'!$V$5</f>
        <v>Capital expenditure purpose - WASTEWATER additional line 15 [Other categories] - Sludge treatment</v>
      </c>
      <c r="D2635" s="1730" t="str">
        <f t="shared" si="58"/>
        <v>£m</v>
      </c>
      <c r="E2635" s="1652" t="s">
        <v>9</v>
      </c>
      <c r="F2635" s="1637" t="str">
        <f t="shared" si="59"/>
        <v>##BLANK</v>
      </c>
      <c r="G2635" s="1653" t="str">
        <f>IF(ISBLANK('4M'!V50), "##BLANK", '4M'!V50)</f>
        <v>##BLANK</v>
      </c>
      <c r="H2635" s="1652"/>
    </row>
    <row r="2636" spans="1:8">
      <c r="A2636" s="1620" t="str">
        <f>INDEX(Lists!$C$4:$C$24,MATCH(Validation!$B$3,Lists!$B$4:$B$24,0))</f>
        <v>TMS</v>
      </c>
      <c r="B2636" s="1732" t="str">
        <f>'4M'!BY8</f>
        <v>BC31379SDDCUM</v>
      </c>
      <c r="C2636" t="str">
        <f>'4M'!$C8&amp;" - "&amp;'4M'!W$5</f>
        <v>First time sewerage (s101A) - Sludge disposal</v>
      </c>
      <c r="D2636" s="1620" t="str">
        <f t="shared" si="58"/>
        <v>£m</v>
      </c>
      <c r="E2636" s="1636" t="s">
        <v>9</v>
      </c>
      <c r="G2636" s="1635">
        <f>'4M'!W8</f>
        <v>0</v>
      </c>
      <c r="H2636" s="1636"/>
    </row>
    <row r="2637" spans="1:8">
      <c r="A2637" s="1620" t="str">
        <f>INDEX(Lists!$C$4:$C$24,MATCH(Validation!$B$3,Lists!$B$4:$B$24,0))</f>
        <v>TMS</v>
      </c>
      <c r="B2637" s="1732" t="str">
        <f>'4M'!BY9</f>
        <v>S3035QSDDCUM</v>
      </c>
      <c r="C2637" t="str">
        <f>'4M'!$C9&amp;" - "&amp;'4M'!W$5</f>
        <v>Sludge enhancement (quality) - Sludge disposal</v>
      </c>
      <c r="D2637" s="1620" t="str">
        <f t="shared" si="58"/>
        <v>£m</v>
      </c>
      <c r="E2637" s="1636" t="s">
        <v>9</v>
      </c>
      <c r="G2637" s="1635">
        <f>'4M'!W9</f>
        <v>0</v>
      </c>
      <c r="H2637" s="1636"/>
    </row>
    <row r="2638" spans="1:8">
      <c r="A2638" s="1620" t="str">
        <f>INDEX(Lists!$C$4:$C$24,MATCH(Validation!$B$3,Lists!$B$4:$B$24,0))</f>
        <v>TMS</v>
      </c>
      <c r="B2638" s="1732" t="str">
        <f>'4M'!BY10</f>
        <v>S3036GSDDCUM</v>
      </c>
      <c r="C2638" t="str">
        <f>'4M'!$C10&amp;" - "&amp;'4M'!W$5</f>
        <v>Sludge enhancement (growth) - Sludge disposal</v>
      </c>
      <c r="D2638" s="1620" t="str">
        <f t="shared" si="58"/>
        <v>£m</v>
      </c>
      <c r="E2638" s="1636" t="s">
        <v>9</v>
      </c>
      <c r="G2638" s="1635">
        <f>'4M'!W10</f>
        <v>0</v>
      </c>
      <c r="H2638" s="1636"/>
    </row>
    <row r="2639" spans="1:8">
      <c r="A2639" s="1620" t="str">
        <f>INDEX(Lists!$C$4:$C$24,MATCH(Validation!$B$3,Lists!$B$4:$B$24,0))</f>
        <v>TMS</v>
      </c>
      <c r="B2639" s="1732" t="str">
        <f>'4M'!BY11</f>
        <v>S3004SDDCUM</v>
      </c>
      <c r="C2639" t="str">
        <f>'4M'!$C11&amp;" - "&amp;'4M'!W$5</f>
        <v>NEP - Conservation drivers - Sludge disposal</v>
      </c>
      <c r="D2639" s="1620" t="str">
        <f t="shared" si="58"/>
        <v>£m</v>
      </c>
      <c r="E2639" s="1636" t="s">
        <v>9</v>
      </c>
      <c r="G2639" s="1635">
        <f>'4M'!W11</f>
        <v>0</v>
      </c>
      <c r="H2639" s="1636"/>
    </row>
    <row r="2640" spans="1:8">
      <c r="A2640" s="1620" t="str">
        <f>INDEX(Lists!$C$4:$C$24,MATCH(Validation!$B$3,Lists!$B$4:$B$24,0))</f>
        <v>TMS</v>
      </c>
      <c r="B2640" s="1732" t="str">
        <f>'4M'!BY12</f>
        <v>WWS2001SDDCUM</v>
      </c>
      <c r="C2640" t="str">
        <f>'4M'!$C12&amp;" - "&amp;'4M'!W$5</f>
        <v>NEP - Eels Regulations (measures at outfalls) - Sludge disposal</v>
      </c>
      <c r="D2640" s="1620" t="str">
        <f t="shared" si="58"/>
        <v>£m</v>
      </c>
      <c r="E2640" s="1636" t="s">
        <v>9</v>
      </c>
      <c r="G2640" s="1635">
        <f>'4M'!W12</f>
        <v>0</v>
      </c>
      <c r="H2640" s="1636"/>
    </row>
    <row r="2641" spans="1:8">
      <c r="A2641" s="1620" t="str">
        <f>INDEX(Lists!$C$4:$C$24,MATCH(Validation!$B$3,Lists!$B$4:$B$24,0))</f>
        <v>TMS</v>
      </c>
      <c r="B2641" s="1732" t="str">
        <f>'4M'!BY13</f>
        <v>S3005SDDCUM</v>
      </c>
      <c r="C2641" t="str">
        <f>'4M'!$C13&amp;" - "&amp;'4M'!W$5</f>
        <v>NEP - Event Duration Monitoring at intermittent discharges - Sludge disposal</v>
      </c>
      <c r="D2641" s="1620" t="str">
        <f t="shared" si="58"/>
        <v>£m</v>
      </c>
      <c r="E2641" s="1636" t="s">
        <v>9</v>
      </c>
      <c r="G2641" s="1635">
        <f>'4M'!W13</f>
        <v>0</v>
      </c>
      <c r="H2641" s="1636"/>
    </row>
    <row r="2642" spans="1:8">
      <c r="A2642" s="1620" t="str">
        <f>INDEX(Lists!$C$4:$C$24,MATCH(Validation!$B$3,Lists!$B$4:$B$24,0))</f>
        <v>TMS</v>
      </c>
      <c r="B2642" s="1732" t="str">
        <f>'4M'!BY14</f>
        <v>S3006SDDCUM</v>
      </c>
      <c r="C2642" t="str">
        <f>'4M'!$C14&amp;" - "&amp;'4M'!W$5</f>
        <v>NEP - Flow monitoring at sewage treatment works - Sludge disposal</v>
      </c>
      <c r="D2642" s="1620" t="str">
        <f t="shared" si="58"/>
        <v>£m</v>
      </c>
      <c r="E2642" s="1636" t="s">
        <v>9</v>
      </c>
      <c r="G2642" s="1635">
        <f>'4M'!W14</f>
        <v>0</v>
      </c>
      <c r="H2642" s="1636"/>
    </row>
    <row r="2643" spans="1:8">
      <c r="A2643" s="1620" t="str">
        <f>INDEX(Lists!$C$4:$C$24,MATCH(Validation!$B$3,Lists!$B$4:$B$24,0))</f>
        <v>TMS</v>
      </c>
      <c r="B2643" s="1732" t="str">
        <f>'4M'!BY15</f>
        <v>S3007SDDCUM</v>
      </c>
      <c r="C2643" t="str">
        <f>'4M'!$C15&amp;" - "&amp;'4M'!W$5</f>
        <v>NEP - Monitoring of pass forward flows at CSOs - Sludge disposal</v>
      </c>
      <c r="D2643" s="1620" t="str">
        <f t="shared" si="58"/>
        <v>£m</v>
      </c>
      <c r="E2643" s="1636" t="s">
        <v>9</v>
      </c>
      <c r="G2643" s="1635">
        <f>'4M'!W15</f>
        <v>0</v>
      </c>
      <c r="H2643" s="1636"/>
    </row>
    <row r="2644" spans="1:8">
      <c r="A2644" s="1620" t="str">
        <f>INDEX(Lists!$C$4:$C$24,MATCH(Validation!$B$3,Lists!$B$4:$B$24,0))</f>
        <v>TMS</v>
      </c>
      <c r="B2644" s="1732" t="str">
        <f>'4M'!BY16</f>
        <v>WWS2002SDDCUM</v>
      </c>
      <c r="C2644" t="str">
        <f>'4M'!$C16&amp;" - "&amp;'4M'!W$5</f>
        <v>NEP - Schemes to increase flow to full treatment - Sludge disposal</v>
      </c>
      <c r="D2644" s="1620" t="str">
        <f t="shared" si="58"/>
        <v>£m</v>
      </c>
      <c r="E2644" s="1636" t="s">
        <v>9</v>
      </c>
      <c r="G2644" s="1635">
        <f>'4M'!W16</f>
        <v>0</v>
      </c>
      <c r="H2644" s="1636"/>
    </row>
    <row r="2645" spans="1:8">
      <c r="A2645" s="1620" t="str">
        <f>INDEX(Lists!$C$4:$C$24,MATCH(Validation!$B$3,Lists!$B$4:$B$24,0))</f>
        <v>TMS</v>
      </c>
      <c r="B2645" s="1732" t="str">
        <f>'4M'!BY17</f>
        <v>WWS2003SDDCUM</v>
      </c>
      <c r="C2645" t="str">
        <f>'4M'!$C17&amp;" - "&amp;'4M'!W$5</f>
        <v>NEP - Schemes to increase storm tank capacity - Sludge disposal</v>
      </c>
      <c r="D2645" s="1620" t="str">
        <f t="shared" si="58"/>
        <v>£m</v>
      </c>
      <c r="E2645" s="1636" t="s">
        <v>9</v>
      </c>
      <c r="G2645" s="1635">
        <f>'4M'!W17</f>
        <v>0</v>
      </c>
      <c r="H2645" s="1636"/>
    </row>
    <row r="2646" spans="1:8">
      <c r="A2646" s="1620" t="str">
        <f>INDEX(Lists!$C$4:$C$24,MATCH(Validation!$B$3,Lists!$B$4:$B$24,0))</f>
        <v>TMS</v>
      </c>
      <c r="B2646" s="1732" t="str">
        <f>'4M'!BY18</f>
        <v>S3008SDDCUM</v>
      </c>
      <c r="C2646" t="str">
        <f>'4M'!$C18&amp;" - "&amp;'4M'!W$5</f>
        <v>NEP - Storage schemes to reduce spill frequency at CSOs, storm tanks, etc - Sludge disposal</v>
      </c>
      <c r="D2646" s="1620" t="str">
        <f t="shared" si="58"/>
        <v>£m</v>
      </c>
      <c r="E2646" s="1636" t="s">
        <v>9</v>
      </c>
      <c r="G2646" s="1635">
        <f>'4M'!W18</f>
        <v>0</v>
      </c>
      <c r="H2646" s="1636"/>
    </row>
    <row r="2647" spans="1:8">
      <c r="A2647" s="1620" t="str">
        <f>INDEX(Lists!$C$4:$C$24,MATCH(Validation!$B$3,Lists!$B$4:$B$24,0))</f>
        <v>TMS</v>
      </c>
      <c r="B2647" s="1732" t="str">
        <f>'4M'!BY19</f>
        <v>S3009SDDCUM</v>
      </c>
      <c r="C2647" t="str">
        <f>'4M'!$C19&amp;" - "&amp;'4M'!W$5</f>
        <v>NEP - Chemicals monitoring/ investigations/ options appraisals - Sludge disposal</v>
      </c>
      <c r="D2647" s="1620" t="str">
        <f t="shared" si="58"/>
        <v>£m</v>
      </c>
      <c r="E2647" s="1636" t="s">
        <v>9</v>
      </c>
      <c r="G2647" s="1635">
        <f>'4M'!W19</f>
        <v>0</v>
      </c>
      <c r="H2647" s="1636"/>
    </row>
    <row r="2648" spans="1:8">
      <c r="A2648" s="1620" t="str">
        <f>INDEX(Lists!$C$4:$C$24,MATCH(Validation!$B$3,Lists!$B$4:$B$24,0))</f>
        <v>TMS</v>
      </c>
      <c r="B2648" s="1732" t="str">
        <f>'4M'!BY20</f>
        <v>WWS2007SDDCUM</v>
      </c>
      <c r="C2648" t="str">
        <f>'4M'!$C20&amp;" - "&amp;'4M'!W$5</f>
        <v>NEP - National phosphorus removal technology investigations - Sludge disposal</v>
      </c>
      <c r="D2648" s="1620" t="str">
        <f t="shared" si="58"/>
        <v>£m</v>
      </c>
      <c r="E2648" s="1636" t="s">
        <v>9</v>
      </c>
      <c r="G2648" s="1635">
        <f>'4M'!W20</f>
        <v>0</v>
      </c>
      <c r="H2648" s="1636"/>
    </row>
    <row r="2649" spans="1:8">
      <c r="A2649" s="1620" t="str">
        <f>INDEX(Lists!$C$4:$C$24,MATCH(Validation!$B$3,Lists!$B$4:$B$24,0))</f>
        <v>TMS</v>
      </c>
      <c r="B2649" s="1732" t="str">
        <f>'4M'!BY21</f>
        <v>S3010SDDCUM</v>
      </c>
      <c r="C2649" t="str">
        <f>'4M'!$C21&amp;" - "&amp;'4M'!W$5</f>
        <v>NEP - Groundwater schemes - Sludge disposal</v>
      </c>
      <c r="D2649" s="1620" t="str">
        <f t="shared" si="58"/>
        <v>£m</v>
      </c>
      <c r="E2649" s="1636" t="s">
        <v>9</v>
      </c>
      <c r="G2649" s="1635">
        <f>'4M'!W21</f>
        <v>0</v>
      </c>
      <c r="H2649" s="1636"/>
    </row>
    <row r="2650" spans="1:8">
      <c r="A2650" s="1620" t="str">
        <f>INDEX(Lists!$C$4:$C$24,MATCH(Validation!$B$3,Lists!$B$4:$B$24,0))</f>
        <v>TMS</v>
      </c>
      <c r="B2650" s="1732" t="str">
        <f>'4M'!BY22</f>
        <v>S3011SDDCUM</v>
      </c>
      <c r="C2650" t="str">
        <f>'4M'!$C22&amp;" - "&amp;'4M'!W$5</f>
        <v>NEP - Investigations - Sludge disposal</v>
      </c>
      <c r="D2650" s="1620" t="str">
        <f t="shared" si="58"/>
        <v>£m</v>
      </c>
      <c r="E2650" s="1636" t="s">
        <v>9</v>
      </c>
      <c r="G2650" s="1635">
        <f>'4M'!W22</f>
        <v>0</v>
      </c>
      <c r="H2650" s="1636"/>
    </row>
    <row r="2651" spans="1:8">
      <c r="A2651" s="1620" t="str">
        <f>INDEX(Lists!$C$4:$C$24,MATCH(Validation!$B$3,Lists!$B$4:$B$24,0))</f>
        <v>TMS</v>
      </c>
      <c r="B2651" s="1732" t="str">
        <f>'4M'!BY23</f>
        <v>S3012SDDCUM</v>
      </c>
      <c r="C2651" t="str">
        <f>'4M'!$C23&amp;" - "&amp;'4M'!W$5</f>
        <v>NEP - Nutrients (N removal) - Sludge disposal</v>
      </c>
      <c r="D2651" s="1620" t="str">
        <f t="shared" si="58"/>
        <v>£m</v>
      </c>
      <c r="E2651" s="1636" t="s">
        <v>9</v>
      </c>
      <c r="G2651" s="1635">
        <f>'4M'!W23</f>
        <v>0</v>
      </c>
      <c r="H2651" s="1636"/>
    </row>
    <row r="2652" spans="1:8">
      <c r="A2652" s="1620" t="str">
        <f>INDEX(Lists!$C$4:$C$24,MATCH(Validation!$B$3,Lists!$B$4:$B$24,0))</f>
        <v>TMS</v>
      </c>
      <c r="B2652" s="1732" t="str">
        <f>'4M'!BY24</f>
        <v>S3013SDDCUM</v>
      </c>
      <c r="C2652" t="str">
        <f>'4M'!$C24&amp;" - "&amp;'4M'!W$5</f>
        <v>NEP - Nutrients (P removal at activated sludge STWs) - Sludge disposal</v>
      </c>
      <c r="D2652" s="1620" t="str">
        <f t="shared" si="58"/>
        <v>£m</v>
      </c>
      <c r="E2652" s="1636" t="s">
        <v>9</v>
      </c>
      <c r="G2652" s="1635">
        <f>'4M'!W24</f>
        <v>0</v>
      </c>
      <c r="H2652" s="1636"/>
    </row>
    <row r="2653" spans="1:8">
      <c r="A2653" s="1620" t="str">
        <f>INDEX(Lists!$C$4:$C$24,MATCH(Validation!$B$3,Lists!$B$4:$B$24,0))</f>
        <v>TMS</v>
      </c>
      <c r="B2653" s="1732" t="str">
        <f>'4M'!BY25</f>
        <v>S3014SDDCUM</v>
      </c>
      <c r="C2653" t="str">
        <f>'4M'!$C25&amp;" - "&amp;'4M'!W$5</f>
        <v>NEP - Nutrients (P removal at filter bed STWs) - Sludge disposal</v>
      </c>
      <c r="D2653" s="1620" t="str">
        <f t="shared" si="58"/>
        <v>£m</v>
      </c>
      <c r="E2653" s="1636" t="s">
        <v>9</v>
      </c>
      <c r="G2653" s="1635">
        <f>'4M'!W25</f>
        <v>0</v>
      </c>
      <c r="H2653" s="1636"/>
    </row>
    <row r="2654" spans="1:8">
      <c r="A2654" s="1620" t="str">
        <f>INDEX(Lists!$C$4:$C$24,MATCH(Validation!$B$3,Lists!$B$4:$B$24,0))</f>
        <v>TMS</v>
      </c>
      <c r="B2654" s="1732" t="str">
        <f>'4M'!BY26</f>
        <v>S3015SDDCUM</v>
      </c>
      <c r="C2654" t="str">
        <f>'4M'!$C26&amp;" - "&amp;'4M'!W$5</f>
        <v>NEP - Reduction of sanitary parameters - Sludge disposal</v>
      </c>
      <c r="D2654" s="1620" t="str">
        <f t="shared" si="58"/>
        <v>£m</v>
      </c>
      <c r="E2654" s="1636" t="s">
        <v>9</v>
      </c>
      <c r="G2654" s="1635">
        <f>'4M'!W26</f>
        <v>0</v>
      </c>
      <c r="H2654" s="1636"/>
    </row>
    <row r="2655" spans="1:8">
      <c r="A2655" s="1620" t="str">
        <f>INDEX(Lists!$C$4:$C$24,MATCH(Validation!$B$3,Lists!$B$4:$B$24,0))</f>
        <v>TMS</v>
      </c>
      <c r="B2655" s="1732" t="str">
        <f>'4M'!BY27</f>
        <v>S3016SDDCUM</v>
      </c>
      <c r="C2655" t="str">
        <f>'4M'!$C27&amp;" - "&amp;'4M'!W$5</f>
        <v>NEP - UV disinfection (or similar) - Sludge disposal</v>
      </c>
      <c r="D2655" s="1620" t="str">
        <f t="shared" si="58"/>
        <v>£m</v>
      </c>
      <c r="E2655" s="1636" t="s">
        <v>9</v>
      </c>
      <c r="G2655" s="1635">
        <f>'4M'!W27</f>
        <v>0</v>
      </c>
      <c r="H2655" s="1636"/>
    </row>
    <row r="2656" spans="1:8">
      <c r="A2656" s="1620" t="str">
        <f>INDEX(Lists!$C$4:$C$24,MATCH(Validation!$B$3,Lists!$B$4:$B$24,0))</f>
        <v>TMS</v>
      </c>
      <c r="B2656" s="1732" t="str">
        <f>'4M'!BY28</f>
        <v>S3017SDDCUM</v>
      </c>
      <c r="C2656" t="str">
        <f>'4M'!$C28&amp;" - "&amp;'4M'!W$5</f>
        <v>NEP - Discharge relocation - Sludge disposal</v>
      </c>
      <c r="D2656" s="1620" t="str">
        <f t="shared" si="58"/>
        <v>£m</v>
      </c>
      <c r="E2656" s="1636" t="s">
        <v>9</v>
      </c>
      <c r="G2656" s="1635">
        <f>'4M'!W28</f>
        <v>0</v>
      </c>
      <c r="H2656" s="1636"/>
    </row>
    <row r="2657" spans="1:8">
      <c r="A2657" s="1620" t="str">
        <f>INDEX(Lists!$C$4:$C$24,MATCH(Validation!$B$3,Lists!$B$4:$B$24,0))</f>
        <v>TMS</v>
      </c>
      <c r="B2657" s="1732" t="str">
        <f>'4M'!BY29</f>
        <v>S3018SDDCUM</v>
      </c>
      <c r="C2657" t="str">
        <f>'4M'!$C29&amp;" - "&amp;'4M'!W$5</f>
        <v>NEP - Flow 1 schemes - Sludge disposal</v>
      </c>
      <c r="D2657" s="1620" t="str">
        <f t="shared" si="58"/>
        <v>£m</v>
      </c>
      <c r="E2657" s="1636" t="s">
        <v>9</v>
      </c>
      <c r="G2657" s="1635">
        <f>'4M'!W29</f>
        <v>0</v>
      </c>
      <c r="H2657" s="1636"/>
    </row>
    <row r="2658" spans="1:8">
      <c r="A2658" s="1620" t="str">
        <f>INDEX(Lists!$C$4:$C$24,MATCH(Validation!$B$3,Lists!$B$4:$B$24,0))</f>
        <v>TMS</v>
      </c>
      <c r="B2658" s="1732" t="str">
        <f>'4M'!BY30</f>
        <v>S3019SDDCUM</v>
      </c>
      <c r="C2658" t="str">
        <f>'4M'!$C30&amp;" - "&amp;'4M'!W$5</f>
        <v>Odour - Sludge disposal</v>
      </c>
      <c r="D2658" s="1620" t="str">
        <f t="shared" si="58"/>
        <v>£m</v>
      </c>
      <c r="E2658" s="1636" t="s">
        <v>9</v>
      </c>
      <c r="G2658" s="1635">
        <f>'4M'!W30</f>
        <v>0</v>
      </c>
      <c r="H2658" s="1636"/>
    </row>
    <row r="2659" spans="1:8">
      <c r="A2659" s="1620" t="str">
        <f>INDEX(Lists!$C$4:$C$24,MATCH(Validation!$B$3,Lists!$B$4:$B$24,0))</f>
        <v>TMS</v>
      </c>
      <c r="B2659" s="1732" t="str">
        <f>'4M'!BY31</f>
        <v>S3020SDDCUM</v>
      </c>
      <c r="C2659" t="str">
        <f>'4M'!$C31&amp;" - "&amp;'4M'!W$5</f>
        <v>New development and growth - Sludge disposal</v>
      </c>
      <c r="D2659" s="1620" t="str">
        <f t="shared" si="58"/>
        <v>£m</v>
      </c>
      <c r="E2659" s="1636" t="s">
        <v>9</v>
      </c>
      <c r="G2659" s="1635">
        <f>'4M'!W31</f>
        <v>0</v>
      </c>
      <c r="H2659" s="1636"/>
    </row>
    <row r="2660" spans="1:8">
      <c r="A2660" s="1620" t="str">
        <f>INDEX(Lists!$C$4:$C$24,MATCH(Validation!$B$3,Lists!$B$4:$B$24,0))</f>
        <v>TMS</v>
      </c>
      <c r="B2660" s="1732" t="str">
        <f>'4M'!BY32</f>
        <v>S3021SDDCUM</v>
      </c>
      <c r="C2660" t="str">
        <f>'4M'!$C32&amp;" - "&amp;'4M'!W$5</f>
        <v>Growth at sewage treatment works (excluding sludge treatment) - Sludge disposal</v>
      </c>
      <c r="D2660" s="1620" t="str">
        <f t="shared" si="58"/>
        <v>£m</v>
      </c>
      <c r="E2660" s="1636" t="s">
        <v>9</v>
      </c>
      <c r="G2660" s="1635">
        <f>'4M'!W32</f>
        <v>0</v>
      </c>
      <c r="H2660" s="1636"/>
    </row>
    <row r="2661" spans="1:8">
      <c r="A2661" s="1620" t="str">
        <f>INDEX(Lists!$C$4:$C$24,MATCH(Validation!$B$3,Lists!$B$4:$B$24,0))</f>
        <v>TMS</v>
      </c>
      <c r="B2661" s="1732" t="str">
        <f>'4M'!BY33</f>
        <v>S3022SDDCUM</v>
      </c>
      <c r="C2661" t="str">
        <f>'4M'!$C33&amp;" - "&amp;'4M'!W$5</f>
        <v>Resilience - Sludge disposal</v>
      </c>
      <c r="D2661" s="1620" t="str">
        <f t="shared" si="58"/>
        <v>£m</v>
      </c>
      <c r="E2661" s="1636" t="s">
        <v>9</v>
      </c>
      <c r="G2661" s="1635">
        <f>'4M'!W33</f>
        <v>0</v>
      </c>
      <c r="H2661" s="1636"/>
    </row>
    <row r="2662" spans="1:8">
      <c r="A2662" s="1620" t="str">
        <f>INDEX(Lists!$C$4:$C$24,MATCH(Validation!$B$3,Lists!$B$4:$B$24,0))</f>
        <v>TMS</v>
      </c>
      <c r="B2662" s="1732" t="str">
        <f>'4M'!BY34</f>
        <v>BC31785SDDCUM</v>
      </c>
      <c r="C2662" t="str">
        <f>'4M'!$C34&amp;" - "&amp;'4M'!W$5</f>
        <v>SEMD - Sludge disposal</v>
      </c>
      <c r="D2662" s="1620" t="str">
        <f t="shared" si="58"/>
        <v>£m</v>
      </c>
      <c r="E2662" s="1636" t="s">
        <v>9</v>
      </c>
      <c r="G2662" s="1635">
        <f>'4M'!W34</f>
        <v>0</v>
      </c>
      <c r="H2662" s="1636"/>
    </row>
    <row r="2663" spans="1:8">
      <c r="A2663" s="1620" t="str">
        <f>INDEX(Lists!$C$4:$C$24,MATCH(Validation!$B$3,Lists!$B$4:$B$24,0))</f>
        <v>TMS</v>
      </c>
      <c r="B2663" s="1732" t="str">
        <f>'4M'!BY35</f>
        <v>S3023SDDCUM</v>
      </c>
      <c r="C2663" t="str">
        <f>'4M'!$C35&amp;" - "&amp;'4M'!W$5</f>
        <v>Reduce flooding risk for properties - Sludge disposal</v>
      </c>
      <c r="D2663" s="1620" t="str">
        <f t="shared" si="58"/>
        <v>£m</v>
      </c>
      <c r="E2663" s="1636" t="s">
        <v>9</v>
      </c>
      <c r="G2663" s="1635">
        <f>'4M'!W35</f>
        <v>0</v>
      </c>
      <c r="H2663" s="1636"/>
    </row>
    <row r="2664" spans="1:8">
      <c r="A2664" s="1620" t="str">
        <f>INDEX(Lists!$C$4:$C$24,MATCH(Validation!$B$3,Lists!$B$4:$B$24,0))</f>
        <v>TMS</v>
      </c>
      <c r="B2664" s="1732" t="str">
        <f>'4M'!BY36</f>
        <v>S3A00001SDDCUM</v>
      </c>
      <c r="C2664" s="1732" t="str">
        <f>"Capital expenditure purpose - WASTEWATER additional line 1 [Other categories] - "&amp;'4M'!$W$5</f>
        <v>Capital expenditure purpose - WASTEWATER additional line 1 [Other categories] - Sludge disposal</v>
      </c>
      <c r="D2664" s="1620" t="str">
        <f t="shared" si="58"/>
        <v>£m</v>
      </c>
      <c r="E2664" s="1636" t="s">
        <v>9</v>
      </c>
      <c r="F2664" s="2" t="str">
        <f>F2019</f>
        <v>Quality spend at CSOs and quality allocation to Deephams inlet works</v>
      </c>
      <c r="G2664" s="1635">
        <f>IF(ISBLANK('4M'!W36), "##BLANK", '4M'!W36)</f>
        <v>0</v>
      </c>
      <c r="H2664" s="1636"/>
    </row>
    <row r="2665" spans="1:8">
      <c r="A2665" s="1620" t="str">
        <f>INDEX(Lists!$C$4:$C$24,MATCH(Validation!$B$3,Lists!$B$4:$B$24,0))</f>
        <v>TMS</v>
      </c>
      <c r="B2665" s="1732" t="str">
        <f>'4M'!BY37</f>
        <v>S3A00002SDDCUM</v>
      </c>
      <c r="C2665" s="1732" t="str">
        <f>"Capital expenditure purpose - WASTEWATER additional line 2 [Other categories] - "&amp;'4M'!$W$5</f>
        <v>Capital expenditure purpose - WASTEWATER additional line 2 [Other categories] - Sludge disposal</v>
      </c>
      <c r="D2665" s="1620" t="str">
        <f t="shared" si="58"/>
        <v>£m</v>
      </c>
      <c r="E2665" s="1636" t="s">
        <v>9</v>
      </c>
      <c r="F2665" s="2" t="str">
        <f t="shared" ref="F2665:F2678" si="60">F2020</f>
        <v>Tideway quality (NEP). Excludes Lee Tunnel and sludge.</v>
      </c>
      <c r="G2665" s="1635">
        <f>IF(ISBLANK('4M'!W37), "##BLANK", '4M'!W37)</f>
        <v>0</v>
      </c>
      <c r="H2665" s="1636"/>
    </row>
    <row r="2666" spans="1:8">
      <c r="A2666" s="1620" t="str">
        <f>INDEX(Lists!$C$4:$C$24,MATCH(Validation!$B$3,Lists!$B$4:$B$24,0))</f>
        <v>TMS</v>
      </c>
      <c r="B2666" s="1732" t="str">
        <f>'4M'!BY38</f>
        <v>S3A00003SDDCUM</v>
      </c>
      <c r="C2666" s="1732" t="str">
        <f>"Capital expenditure purpose - WASTEWATER additional line 3 [Other categories] - "&amp;'4M'!$W$5</f>
        <v>Capital expenditure purpose - WASTEWATER additional line 3 [Other categories] - Sludge disposal</v>
      </c>
      <c r="D2666" s="1620" t="str">
        <f t="shared" si="58"/>
        <v>£m</v>
      </c>
      <c r="E2666" s="1636" t="s">
        <v>9</v>
      </c>
      <c r="F2666" s="2" t="str">
        <f t="shared" si="60"/>
        <v>Lee Tunnel</v>
      </c>
      <c r="G2666" s="1635">
        <f>IF(ISBLANK('4M'!W38), "##BLANK", '4M'!W38)</f>
        <v>0</v>
      </c>
      <c r="H2666" s="1636"/>
    </row>
    <row r="2667" spans="1:8">
      <c r="A2667" s="1620" t="str">
        <f>INDEX(Lists!$C$4:$C$24,MATCH(Validation!$B$3,Lists!$B$4:$B$24,0))</f>
        <v>TMS</v>
      </c>
      <c r="B2667" s="1732" t="str">
        <f>'4M'!BY39</f>
        <v>S3A00004SDDCUM</v>
      </c>
      <c r="C2667" s="1732" t="str">
        <f>"Capital expenditure purpose - WASTEWATER additional line 4 [Other categories] - "&amp;'4M'!$W$5</f>
        <v>Capital expenditure purpose - WASTEWATER additional line 4 [Other categories] - Sludge disposal</v>
      </c>
      <c r="D2667" s="1620" t="str">
        <f t="shared" si="58"/>
        <v>£m</v>
      </c>
      <c r="E2667" s="1636" t="s">
        <v>9</v>
      </c>
      <c r="F2667" s="2" t="str">
        <f t="shared" si="60"/>
        <v>Non-SEMD related security enhancement (revised Ofwat guidance 6 July 2018)</v>
      </c>
      <c r="G2667" s="1635">
        <f>IF(ISBLANK('4M'!W39), "##BLANK", '4M'!W39)</f>
        <v>2.136434161867113E-3</v>
      </c>
      <c r="H2667" s="1636"/>
    </row>
    <row r="2668" spans="1:8">
      <c r="A2668" s="1620" t="str">
        <f>INDEX(Lists!$C$4:$C$24,MATCH(Validation!$B$3,Lists!$B$4:$B$24,0))</f>
        <v>TMS</v>
      </c>
      <c r="B2668" s="1732" t="str">
        <f>'4M'!BY40</f>
        <v>S3A00005SDDCUM</v>
      </c>
      <c r="C2668" s="1732" t="str">
        <f>"Capital expenditure purpose - WASTEWATER additional line 5 [Other categories] - "&amp;'4M'!$W$5</f>
        <v>Capital expenditure purpose - WASTEWATER additional line 5 [Other categories] - Sludge disposal</v>
      </c>
      <c r="D2668" s="1620" t="str">
        <f t="shared" si="58"/>
        <v>£m</v>
      </c>
      <c r="E2668" s="1636" t="s">
        <v>9</v>
      </c>
      <c r="F2668" s="2" t="str">
        <f t="shared" si="60"/>
        <v>##BLANK</v>
      </c>
      <c r="G2668" s="1635" t="str">
        <f>IF(ISBLANK('4M'!W40), "##BLANK", '4M'!W40)</f>
        <v>##BLANK</v>
      </c>
      <c r="H2668" s="1636"/>
    </row>
    <row r="2669" spans="1:8">
      <c r="A2669" s="1620" t="str">
        <f>INDEX(Lists!$C$4:$C$24,MATCH(Validation!$B$3,Lists!$B$4:$B$24,0))</f>
        <v>TMS</v>
      </c>
      <c r="B2669" s="1732" t="str">
        <f>'4M'!BY41</f>
        <v>S3A00006SDDCUM</v>
      </c>
      <c r="C2669" s="1732" t="str">
        <f>"Capital expenditure purpose - WASTEWATER additional line 6 [Other categories] - "&amp;'4M'!$W$5</f>
        <v>Capital expenditure purpose - WASTEWATER additional line 6 [Other categories] - Sludge disposal</v>
      </c>
      <c r="D2669" s="1620" t="str">
        <f t="shared" si="58"/>
        <v>£m</v>
      </c>
      <c r="E2669" s="1636" t="s">
        <v>9</v>
      </c>
      <c r="F2669" s="2" t="str">
        <f t="shared" si="60"/>
        <v>##BLANK</v>
      </c>
      <c r="G2669" s="1635" t="str">
        <f>IF(ISBLANK('4M'!W41), "##BLANK", '4M'!W41)</f>
        <v>##BLANK</v>
      </c>
      <c r="H2669" s="1636"/>
    </row>
    <row r="2670" spans="1:8">
      <c r="A2670" s="1620" t="str">
        <f>INDEX(Lists!$C$4:$C$24,MATCH(Validation!$B$3,Lists!$B$4:$B$24,0))</f>
        <v>TMS</v>
      </c>
      <c r="B2670" s="1732" t="str">
        <f>'4M'!BY42</f>
        <v>S3A00007SDDCUM</v>
      </c>
      <c r="C2670" s="1732" t="str">
        <f>"Capital expenditure purpose - WASTEWATER additional line 7 [Other categories] - "&amp;'4M'!$W$5</f>
        <v>Capital expenditure purpose - WASTEWATER additional line 7 [Other categories] - Sludge disposal</v>
      </c>
      <c r="D2670" s="1620" t="str">
        <f t="shared" si="58"/>
        <v>£m</v>
      </c>
      <c r="E2670" s="1636" t="s">
        <v>9</v>
      </c>
      <c r="F2670" s="2" t="str">
        <f t="shared" si="60"/>
        <v>##BLANK</v>
      </c>
      <c r="G2670" s="1635" t="str">
        <f>IF(ISBLANK('4M'!W42), "##BLANK", '4M'!W42)</f>
        <v>##BLANK</v>
      </c>
      <c r="H2670" s="1636"/>
    </row>
    <row r="2671" spans="1:8">
      <c r="A2671" s="1620" t="str">
        <f>INDEX(Lists!$C$4:$C$24,MATCH(Validation!$B$3,Lists!$B$4:$B$24,0))</f>
        <v>TMS</v>
      </c>
      <c r="B2671" s="1732" t="str">
        <f>'4M'!BY43</f>
        <v>S3A00008SDDCUM</v>
      </c>
      <c r="C2671" s="1732" t="str">
        <f>"Capital expenditure purpose - WASTEWATER additional line 8 [Other categories] - "&amp;'4M'!$W$5</f>
        <v>Capital expenditure purpose - WASTEWATER additional line 8 [Other categories] - Sludge disposal</v>
      </c>
      <c r="D2671" s="1620" t="str">
        <f t="shared" si="58"/>
        <v>£m</v>
      </c>
      <c r="E2671" s="1636" t="s">
        <v>9</v>
      </c>
      <c r="F2671" s="2" t="str">
        <f t="shared" si="60"/>
        <v>##BLANK</v>
      </c>
      <c r="G2671" s="1635" t="str">
        <f>IF(ISBLANK('4M'!W43), "##BLANK", '4M'!W43)</f>
        <v>##BLANK</v>
      </c>
      <c r="H2671" s="1636"/>
    </row>
    <row r="2672" spans="1:8">
      <c r="A2672" s="1620" t="str">
        <f>INDEX(Lists!$C$4:$C$24,MATCH(Validation!$B$3,Lists!$B$4:$B$24,0))</f>
        <v>TMS</v>
      </c>
      <c r="B2672" s="1732" t="str">
        <f>'4M'!BY44</f>
        <v>S3A00009SDDCUM</v>
      </c>
      <c r="C2672" s="1732" t="str">
        <f>"Capital expenditure purpose - WASTEWATER additional line 9 [Other categories] - "&amp;'4M'!$W$5</f>
        <v>Capital expenditure purpose - WASTEWATER additional line 9 [Other categories] - Sludge disposal</v>
      </c>
      <c r="D2672" s="1620" t="str">
        <f t="shared" si="58"/>
        <v>£m</v>
      </c>
      <c r="E2672" s="1636" t="s">
        <v>9</v>
      </c>
      <c r="F2672" s="2" t="str">
        <f t="shared" si="60"/>
        <v>##BLANK</v>
      </c>
      <c r="G2672" s="1635" t="str">
        <f>IF(ISBLANK('4M'!W44), "##BLANK", '4M'!W44)</f>
        <v>##BLANK</v>
      </c>
      <c r="H2672" s="1636"/>
    </row>
    <row r="2673" spans="1:8">
      <c r="A2673" s="1620" t="str">
        <f>INDEX(Lists!$C$4:$C$24,MATCH(Validation!$B$3,Lists!$B$4:$B$24,0))</f>
        <v>TMS</v>
      </c>
      <c r="B2673" s="1732" t="str">
        <f>'4M'!BY45</f>
        <v>S3A00010SDDCUM</v>
      </c>
      <c r="C2673" s="1732" t="str">
        <f>"Capital expenditure purpose - WASTEWATER additional line 10 [Other categories] - "&amp;'4M'!$W$5</f>
        <v>Capital expenditure purpose - WASTEWATER additional line 10 [Other categories] - Sludge disposal</v>
      </c>
      <c r="D2673" s="1620" t="str">
        <f t="shared" si="58"/>
        <v>£m</v>
      </c>
      <c r="E2673" s="1636" t="s">
        <v>9</v>
      </c>
      <c r="F2673" s="2" t="str">
        <f t="shared" si="60"/>
        <v>##BLANK</v>
      </c>
      <c r="G2673" s="1635" t="str">
        <f>IF(ISBLANK('4M'!W45), "##BLANK", '4M'!W45)</f>
        <v>##BLANK</v>
      </c>
      <c r="H2673" s="1636"/>
    </row>
    <row r="2674" spans="1:8">
      <c r="A2674" s="1620" t="str">
        <f>INDEX(Lists!$C$4:$C$24,MATCH(Validation!$B$3,Lists!$B$4:$B$24,0))</f>
        <v>TMS</v>
      </c>
      <c r="B2674" s="1732" t="str">
        <f>'4M'!BY46</f>
        <v>S3A00011SDDCUM</v>
      </c>
      <c r="C2674" s="1732" t="str">
        <f>"Capital expenditure purpose - WASTEWATER additional line 11 [Other categories] - "&amp;'4M'!$W$5</f>
        <v>Capital expenditure purpose - WASTEWATER additional line 11 [Other categories] - Sludge disposal</v>
      </c>
      <c r="D2674" s="1620" t="str">
        <f t="shared" ref="D2674:D2678" si="61">D2631</f>
        <v>£m</v>
      </c>
      <c r="E2674" s="1636" t="s">
        <v>9</v>
      </c>
      <c r="F2674" s="2" t="str">
        <f t="shared" si="60"/>
        <v>##BLANK</v>
      </c>
      <c r="G2674" s="1635" t="str">
        <f>IF(ISBLANK('4M'!W46), "##BLANK", '4M'!W46)</f>
        <v>##BLANK</v>
      </c>
      <c r="H2674" s="1636"/>
    </row>
    <row r="2675" spans="1:8">
      <c r="A2675" s="1620" t="str">
        <f>INDEX(Lists!$C$4:$C$24,MATCH(Validation!$B$3,Lists!$B$4:$B$24,0))</f>
        <v>TMS</v>
      </c>
      <c r="B2675" s="1732" t="str">
        <f>'4M'!BY47</f>
        <v>S3A00012SDDCUM</v>
      </c>
      <c r="C2675" s="1732" t="str">
        <f>"Capital expenditure purpose - WASTEWATER additional line 12 [Other categories] - "&amp;'4M'!$W$5</f>
        <v>Capital expenditure purpose - WASTEWATER additional line 12 [Other categories] - Sludge disposal</v>
      </c>
      <c r="D2675" s="1620" t="str">
        <f t="shared" si="61"/>
        <v>£m</v>
      </c>
      <c r="E2675" s="1636" t="s">
        <v>9</v>
      </c>
      <c r="F2675" s="2" t="str">
        <f t="shared" si="60"/>
        <v>##BLANK</v>
      </c>
      <c r="G2675" s="1635" t="str">
        <f>IF(ISBLANK('4M'!W47), "##BLANK", '4M'!W47)</f>
        <v>##BLANK</v>
      </c>
      <c r="H2675" s="1636"/>
    </row>
    <row r="2676" spans="1:8">
      <c r="A2676" s="1620" t="str">
        <f>INDEX(Lists!$C$4:$C$24,MATCH(Validation!$B$3,Lists!$B$4:$B$24,0))</f>
        <v>TMS</v>
      </c>
      <c r="B2676" s="1732" t="str">
        <f>'4M'!BY48</f>
        <v>S3A00013SDDCUM</v>
      </c>
      <c r="C2676" s="1732" t="str">
        <f>"Capital expenditure purpose - WASTEWATER additional line 13 [Other categories] - "&amp;'4M'!$W$5</f>
        <v>Capital expenditure purpose - WASTEWATER additional line 13 [Other categories] - Sludge disposal</v>
      </c>
      <c r="D2676" s="1620" t="str">
        <f t="shared" si="61"/>
        <v>£m</v>
      </c>
      <c r="E2676" s="1636" t="s">
        <v>9</v>
      </c>
      <c r="F2676" s="2" t="str">
        <f t="shared" si="60"/>
        <v>##BLANK</v>
      </c>
      <c r="G2676" s="1635" t="str">
        <f>IF(ISBLANK('4M'!W48), "##BLANK", '4M'!W48)</f>
        <v>##BLANK</v>
      </c>
      <c r="H2676" s="1636"/>
    </row>
    <row r="2677" spans="1:8">
      <c r="A2677" s="1620" t="str">
        <f>INDEX(Lists!$C$4:$C$24,MATCH(Validation!$B$3,Lists!$B$4:$B$24,0))</f>
        <v>TMS</v>
      </c>
      <c r="B2677" s="1732" t="str">
        <f>'4M'!BY49</f>
        <v>S3A00014SDDCUM</v>
      </c>
      <c r="C2677" s="1732" t="str">
        <f>"Capital expenditure purpose - WASTEWATER additional line 14 [Other categories] - "&amp;'4M'!$W$5</f>
        <v>Capital expenditure purpose - WASTEWATER additional line 14 [Other categories] - Sludge disposal</v>
      </c>
      <c r="D2677" s="1620" t="str">
        <f t="shared" si="61"/>
        <v>£m</v>
      </c>
      <c r="E2677" s="1636" t="s">
        <v>9</v>
      </c>
      <c r="F2677" s="2" t="str">
        <f t="shared" si="60"/>
        <v>##BLANK</v>
      </c>
      <c r="G2677" s="1635" t="str">
        <f>IF(ISBLANK('4M'!W49), "##BLANK", '4M'!W49)</f>
        <v>##BLANK</v>
      </c>
      <c r="H2677" s="1636"/>
    </row>
    <row r="2678" spans="1:8" ht="15" thickBot="1">
      <c r="A2678" s="1621" t="str">
        <f>INDEX(Lists!$C$4:$C$24,MATCH(Validation!$B$3,Lists!$B$4:$B$24,0))</f>
        <v>TMS</v>
      </c>
      <c r="B2678" s="1733" t="str">
        <f>'4M'!BY50</f>
        <v>S3A00015SDDCUM</v>
      </c>
      <c r="C2678" s="1733" t="str">
        <f>"Capital expenditure purpose - WASTEWATER additional line 15 [Other categories] - "&amp;'4M'!$W$5</f>
        <v>Capital expenditure purpose - WASTEWATER additional line 15 [Other categories] - Sludge disposal</v>
      </c>
      <c r="D2678" s="1621" t="str">
        <f t="shared" si="61"/>
        <v>£m</v>
      </c>
      <c r="E2678" s="1649" t="s">
        <v>9</v>
      </c>
      <c r="F2678" s="1642" t="str">
        <f t="shared" si="60"/>
        <v>##BLANK</v>
      </c>
      <c r="G2678" s="1658" t="str">
        <f>IF(ISBLANK('4M'!W50), "##BLANK", '4M'!W50)</f>
        <v>##BLANK</v>
      </c>
      <c r="H2678" s="1649"/>
    </row>
    <row r="2679" spans="1:8">
      <c r="A2679" s="1620" t="str">
        <f>INDEX(Lists!$C$4:$C$24,MATCH(Validation!$B$3,Lists!$B$4:$B$24,0))</f>
        <v>TMS</v>
      </c>
      <c r="B2679" s="1731" t="str">
        <f>'4N'!U5</f>
        <v>STWF011</v>
      </c>
      <c r="C2679" t="str">
        <f>'4N'!C5&amp;" - Sewage treatment"</f>
        <v>Direct costs of STWs in size band 1 - Sewage treatment</v>
      </c>
      <c r="D2679" s="1618" t="str">
        <f>'4N'!E5</f>
        <v>£000</v>
      </c>
      <c r="E2679" s="1645" t="s">
        <v>9</v>
      </c>
      <c r="G2679" s="1635">
        <f>'4N'!I5</f>
        <v>722.76616870543273</v>
      </c>
      <c r="H2679" s="1636"/>
    </row>
    <row r="2680" spans="1:8">
      <c r="A2680" s="1620" t="str">
        <f>INDEX(Lists!$C$4:$C$24,MATCH(Validation!$B$3,Lists!$B$4:$B$24,0))</f>
        <v>TMS</v>
      </c>
      <c r="B2680" s="1732" t="str">
        <f>'4N'!U6</f>
        <v>STWF025</v>
      </c>
      <c r="C2680" t="str">
        <f>'4N'!C6&amp;" - Sewage treatment"</f>
        <v>Direct costs of STWs in size band 2 - Sewage treatment</v>
      </c>
      <c r="D2680" s="1620" t="str">
        <f>'4N'!E6</f>
        <v>£000</v>
      </c>
      <c r="E2680" s="1636" t="s">
        <v>9</v>
      </c>
      <c r="G2680" s="1635">
        <f>'4N'!I6</f>
        <v>816.10529930312305</v>
      </c>
      <c r="H2680" s="1636"/>
    </row>
    <row r="2681" spans="1:8">
      <c r="A2681" s="1620" t="str">
        <f>INDEX(Lists!$C$4:$C$24,MATCH(Validation!$B$3,Lists!$B$4:$B$24,0))</f>
        <v>TMS</v>
      </c>
      <c r="B2681" s="1732" t="str">
        <f>'4N'!U7</f>
        <v>STWF039</v>
      </c>
      <c r="C2681" t="str">
        <f>'4N'!C7&amp;" - Sewage treatment"</f>
        <v>Direct costs of STWs in size band 3 - Sewage treatment</v>
      </c>
      <c r="D2681" s="1620" t="str">
        <f>'4N'!E7</f>
        <v>£000</v>
      </c>
      <c r="E2681" s="1636" t="s">
        <v>9</v>
      </c>
      <c r="G2681" s="1635">
        <f>'4N'!I7</f>
        <v>2398.398778709784</v>
      </c>
      <c r="H2681" s="1636"/>
    </row>
    <row r="2682" spans="1:8">
      <c r="A2682" s="1620" t="str">
        <f>INDEX(Lists!$C$4:$C$24,MATCH(Validation!$B$3,Lists!$B$4:$B$24,0))</f>
        <v>TMS</v>
      </c>
      <c r="B2682" s="1732" t="str">
        <f>'4N'!U8</f>
        <v>STWF053</v>
      </c>
      <c r="C2682" t="str">
        <f>'4N'!C8&amp;" - Sewage treatment"</f>
        <v>Direct costs of STWs in size band 4 - Sewage treatment</v>
      </c>
      <c r="D2682" s="1620" t="str">
        <f>'4N'!E8</f>
        <v>£000</v>
      </c>
      <c r="E2682" s="1636" t="s">
        <v>9</v>
      </c>
      <c r="G2682" s="1635">
        <f>'4N'!I8</f>
        <v>7216.9712611100304</v>
      </c>
      <c r="H2682" s="1636"/>
    </row>
    <row r="2683" spans="1:8">
      <c r="A2683" s="1620" t="str">
        <f>INDEX(Lists!$C$4:$C$24,MATCH(Validation!$B$3,Lists!$B$4:$B$24,0))</f>
        <v>TMS</v>
      </c>
      <c r="B2683" s="1732" t="str">
        <f>'4N'!U9</f>
        <v>STWF067</v>
      </c>
      <c r="C2683" t="str">
        <f>'4N'!C9&amp;" - Sewage treatment"</f>
        <v>Direct costs of STWs in size band 5 - Sewage treatment</v>
      </c>
      <c r="D2683" s="1620" t="str">
        <f>'4N'!E9</f>
        <v>£000</v>
      </c>
      <c r="E2683" s="1636" t="s">
        <v>9</v>
      </c>
      <c r="G2683" s="1635">
        <f>'4N'!I9</f>
        <v>8006.7554543901133</v>
      </c>
      <c r="H2683" s="1636"/>
    </row>
    <row r="2684" spans="1:8">
      <c r="A2684" s="1620" t="str">
        <f>INDEX(Lists!$C$4:$C$24,MATCH(Validation!$B$3,Lists!$B$4:$B$24,0))</f>
        <v>TMS</v>
      </c>
      <c r="B2684" s="1732" t="str">
        <f>'4N'!U10</f>
        <v>S3026</v>
      </c>
      <c r="C2684" t="str">
        <f>'4N'!C10&amp;" - Sewage treatment"</f>
        <v>General &amp; support costs of STWs in size bands 1 to 5 - Sewage treatment</v>
      </c>
      <c r="D2684" s="1620" t="str">
        <f>'4N'!E10</f>
        <v>£000</v>
      </c>
      <c r="E2684" s="1636" t="s">
        <v>9</v>
      </c>
      <c r="G2684" s="1635">
        <f>'4N'!I10</f>
        <v>2894.3406080307909</v>
      </c>
      <c r="H2684" s="1636"/>
    </row>
    <row r="2685" spans="1:8" ht="15" thickBot="1">
      <c r="A2685" s="1621" t="str">
        <f>INDEX(Lists!$C$4:$C$24,MATCH(Validation!$B$3,Lists!$B$4:$B$24,0))</f>
        <v>TMS</v>
      </c>
      <c r="B2685" s="1733" t="str">
        <f>'4N'!U15</f>
        <v>STWB039TOT</v>
      </c>
      <c r="C2685" s="1622" t="str">
        <f>'4N'!C15&amp;" - Sewage treatment"</f>
        <v>Estimated sludge costs size band 6 works - Sewage treatment</v>
      </c>
      <c r="D2685" s="1621" t="str">
        <f>'4N'!E15</f>
        <v>£000</v>
      </c>
      <c r="E2685" s="1649" t="s">
        <v>9</v>
      </c>
      <c r="F2685" s="1648"/>
      <c r="G2685" s="1658">
        <f>'4N'!I15</f>
        <v>0</v>
      </c>
      <c r="H2685" s="1649"/>
    </row>
    <row r="2686" spans="1:8">
      <c r="A2686" s="1618" t="str">
        <f>INDEX(Lists!$C$4:$C$24,MATCH(Validation!$B$3,Lists!$B$4:$B$24,0))</f>
        <v>TMS</v>
      </c>
      <c r="B2686" s="1731" t="str">
        <f>'4P'!D6</f>
        <v>BN4833</v>
      </c>
      <c r="C2686" s="1619" t="str">
        <f>'4P'!C6&amp;" - "&amp;'4P'!C$5</f>
        <v>Proportion of distribution input derived from impounding reservoirs - Water resources</v>
      </c>
      <c r="D2686" s="1618" t="str">
        <f>'4P'!E6</f>
        <v>Propn 0 to 1</v>
      </c>
      <c r="E2686" s="1645" t="s">
        <v>9</v>
      </c>
      <c r="F2686" s="1644"/>
      <c r="G2686" s="1659">
        <f>'4P'!G6</f>
        <v>3.6400000000000002E-2</v>
      </c>
      <c r="H2686" s="1645"/>
    </row>
    <row r="2687" spans="1:8">
      <c r="A2687" s="1620" t="str">
        <f>INDEX(Lists!$C$4:$C$24,MATCH(Validation!$B$3,Lists!$B$4:$B$24,0))</f>
        <v>TMS</v>
      </c>
      <c r="B2687" s="1732" t="str">
        <f>'4P'!D7</f>
        <v>BN4834</v>
      </c>
      <c r="C2687" t="str">
        <f>'4P'!C7&amp;" - "&amp;'4P'!C$5</f>
        <v>Proportion of distribution input derived from pumped storage reservoirs - Water resources</v>
      </c>
      <c r="D2687" s="1620" t="str">
        <f>'4P'!E7</f>
        <v>Propn 0 to 1</v>
      </c>
      <c r="E2687" s="1636" t="s">
        <v>9</v>
      </c>
      <c r="G2687" s="1635">
        <f>'4P'!G7</f>
        <v>0.71740000000000004</v>
      </c>
      <c r="H2687" s="1636"/>
    </row>
    <row r="2688" spans="1:8">
      <c r="A2688" s="1620" t="str">
        <f>INDEX(Lists!$C$4:$C$24,MATCH(Validation!$B$3,Lists!$B$4:$B$24,0))</f>
        <v>TMS</v>
      </c>
      <c r="B2688" s="1732" t="str">
        <f>'4P'!D8</f>
        <v>BN4838</v>
      </c>
      <c r="C2688" t="str">
        <f>'4P'!C8&amp;" - "&amp;'4P'!C$5</f>
        <v>Proportion of distribution input derived from river abstractions - Water resources</v>
      </c>
      <c r="D2688" s="1620" t="str">
        <f>'4P'!E8</f>
        <v>Propn 0 to 1</v>
      </c>
      <c r="E2688" s="1636" t="s">
        <v>9</v>
      </c>
      <c r="G2688" s="1635">
        <f>'4P'!G8</f>
        <v>1.9400000000000001E-2</v>
      </c>
      <c r="H2688" s="1636"/>
    </row>
    <row r="2689" spans="1:8">
      <c r="A2689" s="1620" t="str">
        <f>INDEX(Lists!$C$4:$C$24,MATCH(Validation!$B$3,Lists!$B$4:$B$24,0))</f>
        <v>TMS</v>
      </c>
      <c r="B2689" s="1732" t="str">
        <f>'4P'!D9</f>
        <v>BN4848</v>
      </c>
      <c r="C2689" t="str">
        <f>'4P'!C9&amp;" - "&amp;'4P'!C$5</f>
        <v>Proportion of distribution input derived from groundwater works,excluding managed aquifer recharge (MAR) water supply schemes - Water resources</v>
      </c>
      <c r="D2689" s="1620" t="str">
        <f>'4P'!E9</f>
        <v>Propn 0 to 1</v>
      </c>
      <c r="E2689" s="1636" t="s">
        <v>9</v>
      </c>
      <c r="G2689" s="1635">
        <f>'4P'!G9</f>
        <v>0.22289999999999999</v>
      </c>
      <c r="H2689" s="1636"/>
    </row>
    <row r="2690" spans="1:8">
      <c r="A2690" s="1620" t="str">
        <f>INDEX(Lists!$C$4:$C$24,MATCH(Validation!$B$3,Lists!$B$4:$B$24,0))</f>
        <v>TMS</v>
      </c>
      <c r="B2690" s="1732" t="str">
        <f>'4P'!D10</f>
        <v>BN4846</v>
      </c>
      <c r="C2690" t="str">
        <f>'4P'!C10&amp;" - "&amp;'4P'!C$5</f>
        <v>Proportion of distribution input derived from artificial recharge (AR) water supply schemes - Water resources</v>
      </c>
      <c r="D2690" s="1620" t="str">
        <f>'4P'!E10</f>
        <v>Propn 0 to 1</v>
      </c>
      <c r="E2690" s="1636" t="s">
        <v>9</v>
      </c>
      <c r="G2690" s="1635">
        <f>'4P'!G10</f>
        <v>4.0000000000000001E-3</v>
      </c>
      <c r="H2690" s="1636"/>
    </row>
    <row r="2691" spans="1:8">
      <c r="A2691" s="1620" t="str">
        <f>INDEX(Lists!$C$4:$C$24,MATCH(Validation!$B$3,Lists!$B$4:$B$24,0))</f>
        <v>TMS</v>
      </c>
      <c r="B2691" s="1732" t="str">
        <f>'4P'!D11</f>
        <v>BN4847</v>
      </c>
      <c r="C2691" t="str">
        <f>'4P'!C11&amp;" - "&amp;'4P'!C$5</f>
        <v>Proportion of distribution input derived from aquifer storage and recovery (ASR) water supply schemes - Water resources</v>
      </c>
      <c r="D2691" s="1620" t="str">
        <f>'4P'!E11</f>
        <v>Propn 0 to 1</v>
      </c>
      <c r="E2691" s="1636" t="s">
        <v>9</v>
      </c>
      <c r="G2691" s="1635">
        <f>'4P'!G11</f>
        <v>0</v>
      </c>
      <c r="H2691" s="1636"/>
    </row>
    <row r="2692" spans="1:8">
      <c r="A2692" s="1620" t="str">
        <f>INDEX(Lists!$C$4:$C$24,MATCH(Validation!$B$3,Lists!$B$4:$B$24,0))</f>
        <v>TMS</v>
      </c>
      <c r="B2692" s="1732" t="str">
        <f>'4P'!D12</f>
        <v>BN4830</v>
      </c>
      <c r="C2692" t="str">
        <f>'4P'!C12&amp;" - "&amp;'4P'!C$5</f>
        <v>Number of impounding reservoirs - Water resources</v>
      </c>
      <c r="D2692" s="1620" t="str">
        <f>'4P'!E12</f>
        <v>nr</v>
      </c>
      <c r="E2692" s="1636" t="s">
        <v>9</v>
      </c>
      <c r="G2692" s="1795">
        <f>'4P'!G12</f>
        <v>1</v>
      </c>
      <c r="H2692" s="1636"/>
    </row>
    <row r="2693" spans="1:8">
      <c r="A2693" s="1620" t="str">
        <f>INDEX(Lists!$C$4:$C$24,MATCH(Validation!$B$3,Lists!$B$4:$B$24,0))</f>
        <v>TMS</v>
      </c>
      <c r="B2693" s="1732" t="str">
        <f>'4P'!D13</f>
        <v>BN4849</v>
      </c>
      <c r="C2693" t="str">
        <f>'4P'!C13&amp;" - "&amp;'4P'!C$5</f>
        <v>Number of pumped storage reservoirs - Water resources</v>
      </c>
      <c r="D2693" s="1620" t="str">
        <f>'4P'!E13</f>
        <v>nr</v>
      </c>
      <c r="E2693" s="1636" t="s">
        <v>9</v>
      </c>
      <c r="G2693" s="1795">
        <f>'4P'!G13</f>
        <v>25</v>
      </c>
      <c r="H2693" s="1636"/>
    </row>
    <row r="2694" spans="1:8">
      <c r="A2694" s="1620" t="str">
        <f>INDEX(Lists!$C$4:$C$24,MATCH(Validation!$B$3,Lists!$B$4:$B$24,0))</f>
        <v>TMS</v>
      </c>
      <c r="B2694" s="1732" t="str">
        <f>'4P'!D14</f>
        <v>BN4835</v>
      </c>
      <c r="C2694" t="str">
        <f>'4P'!C14&amp;" - "&amp;'4P'!C$5</f>
        <v>Number of river abstractions - Water resources</v>
      </c>
      <c r="D2694" s="1620" t="str">
        <f>'4P'!E14</f>
        <v>nr</v>
      </c>
      <c r="E2694" s="1636" t="s">
        <v>9</v>
      </c>
      <c r="G2694" s="1795">
        <f>'4P'!G14</f>
        <v>15</v>
      </c>
      <c r="H2694" s="1636"/>
    </row>
    <row r="2695" spans="1:8">
      <c r="A2695" s="1620" t="str">
        <f>INDEX(Lists!$C$4:$C$24,MATCH(Validation!$B$3,Lists!$B$4:$B$24,0))</f>
        <v>TMS</v>
      </c>
      <c r="B2695" s="1732" t="str">
        <f>'4P'!D15</f>
        <v>BN4851</v>
      </c>
      <c r="C2695" t="str">
        <f>'4P'!C15&amp;" - "&amp;'4P'!C$5</f>
        <v>Number of groundwater works excluding managed aquifer recharge (MAR) water supply schemes - Water resources</v>
      </c>
      <c r="D2695" s="1620" t="str">
        <f>'4P'!E15</f>
        <v>nr</v>
      </c>
      <c r="E2695" s="1636" t="s">
        <v>9</v>
      </c>
      <c r="G2695" s="1795">
        <f>'4P'!G15</f>
        <v>111</v>
      </c>
      <c r="H2695" s="1636"/>
    </row>
    <row r="2696" spans="1:8">
      <c r="A2696" s="1620" t="str">
        <f>INDEX(Lists!$C$4:$C$24,MATCH(Validation!$B$3,Lists!$B$4:$B$24,0))</f>
        <v>TMS</v>
      </c>
      <c r="B2696" s="1732" t="str">
        <f>'4P'!D16</f>
        <v>BN4852</v>
      </c>
      <c r="C2696" t="str">
        <f>'4P'!C16&amp;" - "&amp;'4P'!C$5</f>
        <v>Number of artificial recharge (AR) water supply schemes - Water resources</v>
      </c>
      <c r="D2696" s="1620" t="str">
        <f>'4P'!E16</f>
        <v>nr</v>
      </c>
      <c r="E2696" s="1636" t="s">
        <v>9</v>
      </c>
      <c r="G2696" s="1795">
        <f>'4P'!G16</f>
        <v>8</v>
      </c>
      <c r="H2696" s="1636"/>
    </row>
    <row r="2697" spans="1:8">
      <c r="A2697" s="1620" t="str">
        <f>INDEX(Lists!$C$4:$C$24,MATCH(Validation!$B$3,Lists!$B$4:$B$24,0))</f>
        <v>TMS</v>
      </c>
      <c r="B2697" s="1732" t="str">
        <f>'4P'!D17</f>
        <v>BN4853</v>
      </c>
      <c r="C2697" t="str">
        <f>'4P'!C17&amp;" - "&amp;'4P'!C$5</f>
        <v>Number of aquifer storage and recovery (ASR) water supply schemes - Water resources</v>
      </c>
      <c r="D2697" s="1620" t="str">
        <f>'4P'!E17</f>
        <v>nr</v>
      </c>
      <c r="E2697" s="1636" t="s">
        <v>9</v>
      </c>
      <c r="G2697" s="1795">
        <f>'4P'!G17</f>
        <v>0</v>
      </c>
      <c r="H2697" s="1636"/>
    </row>
    <row r="2698" spans="1:8">
      <c r="A2698" s="1620" t="str">
        <f>INDEX(Lists!$C$4:$C$24,MATCH(Validation!$B$3,Lists!$B$4:$B$24,0))</f>
        <v>TMS</v>
      </c>
      <c r="B2698" s="1732" t="str">
        <f>'4P'!D18</f>
        <v>BN4843</v>
      </c>
      <c r="C2698" t="str">
        <f>'4P'!C18&amp;" - "&amp;'4P'!C$5</f>
        <v>Total number of sources - Water resources</v>
      </c>
      <c r="D2698" s="1620" t="str">
        <f>'4P'!E18</f>
        <v>nr</v>
      </c>
      <c r="E2698" s="1636" t="s">
        <v>9</v>
      </c>
      <c r="G2698" s="1795">
        <f>'4P'!G18</f>
        <v>160</v>
      </c>
      <c r="H2698" s="1636"/>
    </row>
    <row r="2699" spans="1:8">
      <c r="A2699" s="1620" t="str">
        <f>INDEX(Lists!$C$4:$C$24,MATCH(Validation!$B$3,Lists!$B$4:$B$24,0))</f>
        <v>TMS</v>
      </c>
      <c r="B2699" s="1732" t="str">
        <f>'4P'!D19</f>
        <v>BN10190</v>
      </c>
      <c r="C2699" t="str">
        <f>'4P'!C19&amp;" - "&amp;'4P'!C$5</f>
        <v>Total number of water reservoirs - Water resources</v>
      </c>
      <c r="D2699" s="1620" t="str">
        <f>'4P'!E19</f>
        <v>nr</v>
      </c>
      <c r="E2699" s="1636" t="s">
        <v>9</v>
      </c>
      <c r="G2699" s="1795">
        <f>'4P'!G19</f>
        <v>26</v>
      </c>
      <c r="H2699" s="1636"/>
    </row>
    <row r="2700" spans="1:8">
      <c r="A2700" s="1620" t="str">
        <f>INDEX(Lists!$C$4:$C$24,MATCH(Validation!$B$3,Lists!$B$4:$B$24,0))</f>
        <v>TMS</v>
      </c>
      <c r="B2700" s="1732" t="str">
        <f>'4P'!D20</f>
        <v>BN10191</v>
      </c>
      <c r="C2700" t="str">
        <f>'4P'!C20&amp;" - "&amp;'4P'!C$5</f>
        <v>Total capacity of water reservoirs - Water resources</v>
      </c>
      <c r="D2700" s="1620" t="str">
        <f>'4P'!E20</f>
        <v>Ml</v>
      </c>
      <c r="E2700" s="1636" t="s">
        <v>9</v>
      </c>
      <c r="G2700" s="1795">
        <f>'4P'!G20</f>
        <v>220361</v>
      </c>
      <c r="H2700" s="1636"/>
    </row>
    <row r="2701" spans="1:8">
      <c r="A2701" s="1620" t="str">
        <f>INDEX(Lists!$C$4:$C$24,MATCH(Validation!$B$3,Lists!$B$4:$B$24,0))</f>
        <v>TMS</v>
      </c>
      <c r="B2701" s="1732" t="str">
        <f>'4P'!D21</f>
        <v>W5003</v>
      </c>
      <c r="C2701" t="str">
        <f>'4P'!C21&amp;" - "&amp;'4P'!C$5</f>
        <v>Total number of intake and source pumping stations - Water resources</v>
      </c>
      <c r="D2701" s="1620" t="str">
        <f>'4P'!E21</f>
        <v>nr</v>
      </c>
      <c r="E2701" s="1636" t="s">
        <v>9</v>
      </c>
      <c r="G2701" s="1795">
        <f>'4P'!G21</f>
        <v>174</v>
      </c>
      <c r="H2701" s="1636"/>
    </row>
    <row r="2702" spans="1:8">
      <c r="A2702" s="1620" t="str">
        <f>INDEX(Lists!$C$4:$C$24,MATCH(Validation!$B$3,Lists!$B$4:$B$24,0))</f>
        <v>TMS</v>
      </c>
      <c r="B2702" s="1732" t="str">
        <f>'4P'!D22</f>
        <v>WR001</v>
      </c>
      <c r="C2702" t="str">
        <f>'4P'!C22&amp;" - "&amp;'4P'!C$5</f>
        <v>Total number of raw water transfer stations - Water resources</v>
      </c>
      <c r="D2702" s="1620" t="str">
        <f>'4P'!E22</f>
        <v>nr</v>
      </c>
      <c r="E2702" s="1636" t="s">
        <v>9</v>
      </c>
      <c r="G2702" s="1795">
        <f>'4P'!G22</f>
        <v>11</v>
      </c>
      <c r="H2702" s="1636"/>
    </row>
    <row r="2703" spans="1:8">
      <c r="A2703" s="1620" t="str">
        <f>INDEX(Lists!$C$4:$C$24,MATCH(Validation!$B$3,Lists!$B$4:$B$24,0))</f>
        <v>TMS</v>
      </c>
      <c r="B2703" s="1732" t="str">
        <f>'4P'!D23</f>
        <v>W5003CAP</v>
      </c>
      <c r="C2703" t="str">
        <f>'4P'!C23&amp;" - "&amp;'4P'!C$5</f>
        <v>Total capacity of intake and source pumping stations - Water resources</v>
      </c>
      <c r="D2703" s="1620" t="str">
        <f>'4P'!E23</f>
        <v>kW</v>
      </c>
      <c r="E2703" s="1636" t="s">
        <v>9</v>
      </c>
      <c r="G2703" s="1795">
        <f>'4P'!G23</f>
        <v>43151</v>
      </c>
      <c r="H2703" s="1636"/>
    </row>
    <row r="2704" spans="1:8">
      <c r="A2704" s="1620" t="str">
        <f>INDEX(Lists!$C$4:$C$24,MATCH(Validation!$B$3,Lists!$B$4:$B$24,0))</f>
        <v>TMS</v>
      </c>
      <c r="B2704" s="1732" t="str">
        <f>'4P'!D24</f>
        <v>WR002</v>
      </c>
      <c r="C2704" t="str">
        <f>'4P'!C24&amp;" - "&amp;'4P'!C$5</f>
        <v>Total capacity of raw water transfer pumping stations - Water resources</v>
      </c>
      <c r="D2704" s="1620" t="str">
        <f>'4P'!E24</f>
        <v>kW</v>
      </c>
      <c r="E2704" s="1636" t="s">
        <v>9</v>
      </c>
      <c r="G2704" s="1795">
        <f>'4P'!G24</f>
        <v>11913</v>
      </c>
      <c r="H2704" s="1636"/>
    </row>
    <row r="2705" spans="1:8">
      <c r="A2705" s="1620" t="str">
        <f>INDEX(Lists!$C$4:$C$24,MATCH(Validation!$B$3,Lists!$B$4:$B$24,0))</f>
        <v>TMS</v>
      </c>
      <c r="B2705" s="1732" t="str">
        <f>'4P'!D25</f>
        <v>BN10290</v>
      </c>
      <c r="C2705" t="str">
        <f>'4P'!C25&amp;" - "&amp;'4P'!C$5</f>
        <v>Total length of raw water mains and conveyors - Water resources</v>
      </c>
      <c r="D2705" s="1620" t="str">
        <f>'4P'!E25</f>
        <v>km</v>
      </c>
      <c r="E2705" s="1636" t="s">
        <v>9</v>
      </c>
      <c r="G2705" s="1678">
        <f>'4P'!G25</f>
        <v>260.57</v>
      </c>
      <c r="H2705" s="1636"/>
    </row>
    <row r="2706" spans="1:8">
      <c r="A2706" s="1620" t="str">
        <f>INDEX(Lists!$C$4:$C$24,MATCH(Validation!$B$3,Lists!$B$4:$B$24,0))</f>
        <v>TMS</v>
      </c>
      <c r="B2706" s="1732" t="str">
        <f>'4P'!D26</f>
        <v>BN4861</v>
      </c>
      <c r="C2706" t="str">
        <f>'4P'!C26&amp;" - "&amp;'4P'!C$5</f>
        <v>Average pumping head – resources - Water resources</v>
      </c>
      <c r="D2706" s="1620" t="str">
        <f>'4P'!E26</f>
        <v>m.hd</v>
      </c>
      <c r="E2706" s="1636" t="s">
        <v>9</v>
      </c>
      <c r="G2706" s="1678">
        <f>'4P'!G26</f>
        <v>26.35</v>
      </c>
      <c r="H2706" s="1636"/>
    </row>
    <row r="2707" spans="1:8">
      <c r="A2707" s="1620" t="str">
        <f>INDEX(Lists!$C$4:$C$24,MATCH(Validation!$B$3,Lists!$B$4:$B$24,0))</f>
        <v>TMS</v>
      </c>
      <c r="B2707" s="1732" t="str">
        <f>'4P'!D27</f>
        <v>BN4862</v>
      </c>
      <c r="C2707" t="str">
        <f>'4P'!C27&amp;" - "&amp;'4P'!C$5</f>
        <v>Average pumping head – raw water transport - Water resources</v>
      </c>
      <c r="D2707" s="1620" t="str">
        <f>'4P'!E27</f>
        <v>m.hd</v>
      </c>
      <c r="E2707" s="1636" t="s">
        <v>9</v>
      </c>
      <c r="G2707" s="1678">
        <f>'4P'!G27</f>
        <v>16.41</v>
      </c>
      <c r="H2707" s="1636"/>
    </row>
    <row r="2708" spans="1:8">
      <c r="A2708" s="1620" t="str">
        <f>INDEX(Lists!$C$4:$C$24,MATCH(Validation!$B$3,Lists!$B$4:$B$24,0))</f>
        <v>TMS</v>
      </c>
      <c r="B2708" s="1732" t="str">
        <f>'4P'!D30</f>
        <v>CPMW0098</v>
      </c>
      <c r="C2708" t="str">
        <f>'4P'!C30&amp;" - "&amp;'4P'!C$29</f>
        <v>Total water treated at all SW simple disinfection works - Water treatment</v>
      </c>
      <c r="D2708" s="1798" t="str">
        <f>'4P'!E30</f>
        <v>Ml/d</v>
      </c>
      <c r="E2708" s="1636" t="s">
        <v>9</v>
      </c>
      <c r="G2708" s="1678">
        <f>'4P'!G30</f>
        <v>0</v>
      </c>
      <c r="H2708" s="1636"/>
    </row>
    <row r="2709" spans="1:8">
      <c r="A2709" s="1620" t="str">
        <f>INDEX(Lists!$C$4:$C$24,MATCH(Validation!$B$3,Lists!$B$4:$B$24,0))</f>
        <v>TMS</v>
      </c>
      <c r="B2709" s="1732" t="str">
        <f>'4P'!D31</f>
        <v>CPMW0104</v>
      </c>
      <c r="C2709" t="str">
        <f>'4P'!C31&amp;" - "&amp;'4P'!C$29</f>
        <v>Total water treated at all SW1 works - Water treatment</v>
      </c>
      <c r="D2709" s="1798" t="str">
        <f>'4P'!E31</f>
        <v>Ml/d</v>
      </c>
      <c r="E2709" s="1636" t="s">
        <v>9</v>
      </c>
      <c r="G2709" s="1678">
        <f>'4P'!G31</f>
        <v>0</v>
      </c>
      <c r="H2709" s="1636"/>
    </row>
    <row r="2710" spans="1:8">
      <c r="A2710" s="1620" t="str">
        <f>INDEX(Lists!$C$4:$C$24,MATCH(Validation!$B$3,Lists!$B$4:$B$24,0))</f>
        <v>TMS</v>
      </c>
      <c r="B2710" s="1732" t="str">
        <f>'4P'!D32</f>
        <v>CPMW0110</v>
      </c>
      <c r="C2710" t="str">
        <f>'4P'!C32&amp;" - "&amp;'4P'!C$29</f>
        <v>Total water treated at all SW2 works - Water treatment</v>
      </c>
      <c r="D2710" s="1798" t="str">
        <f>'4P'!E32</f>
        <v>Ml/d</v>
      </c>
      <c r="E2710" s="1636" t="s">
        <v>9</v>
      </c>
      <c r="G2710" s="1678">
        <f>'4P'!G32</f>
        <v>0</v>
      </c>
      <c r="H2710" s="1636"/>
    </row>
    <row r="2711" spans="1:8">
      <c r="A2711" s="1620" t="str">
        <f>INDEX(Lists!$C$4:$C$24,MATCH(Validation!$B$3,Lists!$B$4:$B$24,0))</f>
        <v>TMS</v>
      </c>
      <c r="B2711" s="1732" t="str">
        <f>'4P'!D33</f>
        <v>CPMW0116</v>
      </c>
      <c r="C2711" t="str">
        <f>'4P'!C33&amp;" - "&amp;'4P'!C$29</f>
        <v>Total water treated at all SW3 works - Water treatment</v>
      </c>
      <c r="D2711" s="1798" t="str">
        <f>'4P'!E33</f>
        <v>Ml/d</v>
      </c>
      <c r="E2711" s="1636" t="s">
        <v>9</v>
      </c>
      <c r="G2711" s="1678">
        <f>'4P'!G33</f>
        <v>0</v>
      </c>
      <c r="H2711" s="1636"/>
    </row>
    <row r="2712" spans="1:8">
      <c r="A2712" s="1620" t="str">
        <f>INDEX(Lists!$C$4:$C$24,MATCH(Validation!$B$3,Lists!$B$4:$B$24,0))</f>
        <v>TMS</v>
      </c>
      <c r="B2712" s="1732" t="str">
        <f>'4P'!D34</f>
        <v>CPMW0165</v>
      </c>
      <c r="C2712" t="str">
        <f>'4P'!C34&amp;" - "&amp;'4P'!C$29</f>
        <v>Total water treated at all SW4 works - Water treatment</v>
      </c>
      <c r="D2712" s="1798" t="str">
        <f>'4P'!E34</f>
        <v>Ml/d</v>
      </c>
      <c r="E2712" s="1636" t="s">
        <v>9</v>
      </c>
      <c r="G2712" s="1678">
        <f>'4P'!G34</f>
        <v>15.56</v>
      </c>
      <c r="H2712" s="1636"/>
    </row>
    <row r="2713" spans="1:8">
      <c r="A2713" s="1620" t="str">
        <f>INDEX(Lists!$C$4:$C$24,MATCH(Validation!$B$3,Lists!$B$4:$B$24,0))</f>
        <v>TMS</v>
      </c>
      <c r="B2713" s="1732" t="str">
        <f>'4P'!D35</f>
        <v>CPMW0166</v>
      </c>
      <c r="C2713" t="str">
        <f>'4P'!C35&amp;" - "&amp;'4P'!C$29</f>
        <v>Total water treated at all SW5 works - Water treatment</v>
      </c>
      <c r="D2713" s="1798" t="str">
        <f>'4P'!E35</f>
        <v>Ml/d</v>
      </c>
      <c r="E2713" s="1636" t="s">
        <v>9</v>
      </c>
      <c r="G2713" s="1678">
        <f>'4P'!G35</f>
        <v>2089.9</v>
      </c>
      <c r="H2713" s="1636"/>
    </row>
    <row r="2714" spans="1:8">
      <c r="A2714" s="1620" t="str">
        <f>INDEX(Lists!$C$4:$C$24,MATCH(Validation!$B$3,Lists!$B$4:$B$24,0))</f>
        <v>TMS</v>
      </c>
      <c r="B2714" s="1732" t="str">
        <f>'4P'!D36</f>
        <v>CPMW0167</v>
      </c>
      <c r="C2714" t="str">
        <f>'4P'!C36&amp;" - "&amp;'4P'!C$29</f>
        <v>Total water treated at all SW6 works - Water treatment</v>
      </c>
      <c r="D2714" s="1798" t="str">
        <f>'4P'!E36</f>
        <v>Ml/d</v>
      </c>
      <c r="E2714" s="1636" t="s">
        <v>9</v>
      </c>
      <c r="G2714" s="1678">
        <f>'4P'!G36</f>
        <v>2.2999999999999998</v>
      </c>
      <c r="H2714" s="1636"/>
    </row>
    <row r="2715" spans="1:8">
      <c r="A2715" s="1620" t="str">
        <f>INDEX(Lists!$C$4:$C$24,MATCH(Validation!$B$3,Lists!$B$4:$B$24,0))</f>
        <v>TMS</v>
      </c>
      <c r="B2715" s="1732" t="str">
        <f>'4P'!D37</f>
        <v>CPMW0027</v>
      </c>
      <c r="C2715" t="str">
        <f>'4P'!C37&amp;" - "&amp;'4P'!C$29</f>
        <v>Total water treated at all GW simple disinfection works - Water treatment</v>
      </c>
      <c r="D2715" s="1798" t="str">
        <f>'4P'!E37</f>
        <v>Ml/d</v>
      </c>
      <c r="E2715" s="1636" t="s">
        <v>9</v>
      </c>
      <c r="G2715" s="1678">
        <f>'4P'!G37</f>
        <v>0</v>
      </c>
      <c r="H2715" s="1636"/>
    </row>
    <row r="2716" spans="1:8">
      <c r="A2716" s="1620" t="str">
        <f>INDEX(Lists!$C$4:$C$24,MATCH(Validation!$B$3,Lists!$B$4:$B$24,0))</f>
        <v>TMS</v>
      </c>
      <c r="B2716" s="1732" t="str">
        <f>'4P'!D38</f>
        <v>CPMW0033</v>
      </c>
      <c r="C2716" t="str">
        <f>'4P'!C38&amp;" - "&amp;'4P'!C$29</f>
        <v>Total water treated at all GW1 works - Water treatment</v>
      </c>
      <c r="D2716" s="1798" t="str">
        <f>'4P'!E38</f>
        <v>Ml/d</v>
      </c>
      <c r="E2716" s="1636" t="s">
        <v>9</v>
      </c>
      <c r="G2716" s="1678">
        <f>'4P'!G38</f>
        <v>0</v>
      </c>
      <c r="H2716" s="1636"/>
    </row>
    <row r="2717" spans="1:8">
      <c r="A2717" s="1620" t="str">
        <f>INDEX(Lists!$C$4:$C$24,MATCH(Validation!$B$3,Lists!$B$4:$B$24,0))</f>
        <v>TMS</v>
      </c>
      <c r="B2717" s="1732" t="str">
        <f>'4P'!D39</f>
        <v>CPMW0039</v>
      </c>
      <c r="C2717" t="str">
        <f>'4P'!C39&amp;" - "&amp;'4P'!C$29</f>
        <v>Total water treated at all GW2 works - Water treatment</v>
      </c>
      <c r="D2717" s="1798" t="str">
        <f>'4P'!E39</f>
        <v>Ml/d</v>
      </c>
      <c r="E2717" s="1636" t="s">
        <v>9</v>
      </c>
      <c r="G2717" s="1678">
        <f>'4P'!G39</f>
        <v>270.52999999999997</v>
      </c>
      <c r="H2717" s="1636"/>
    </row>
    <row r="2718" spans="1:8">
      <c r="A2718" s="1620" t="str">
        <f>INDEX(Lists!$C$4:$C$24,MATCH(Validation!$B$3,Lists!$B$4:$B$24,0))</f>
        <v>TMS</v>
      </c>
      <c r="B2718" s="1732" t="str">
        <f>'4P'!D40</f>
        <v>CPMW0045</v>
      </c>
      <c r="C2718" t="str">
        <f>'4P'!C40&amp;" - "&amp;'4P'!C$29</f>
        <v>Total water treated at all GW3 works - Water treatment</v>
      </c>
      <c r="D2718" s="1798" t="str">
        <f>'4P'!E40</f>
        <v>Ml/d</v>
      </c>
      <c r="E2718" s="1636" t="s">
        <v>9</v>
      </c>
      <c r="G2718" s="1678">
        <f>'4P'!G40</f>
        <v>53.49</v>
      </c>
      <c r="H2718" s="1636"/>
    </row>
    <row r="2719" spans="1:8">
      <c r="A2719" s="1620" t="str">
        <f>INDEX(Lists!$C$4:$C$24,MATCH(Validation!$B$3,Lists!$B$4:$B$24,0))</f>
        <v>TMS</v>
      </c>
      <c r="B2719" s="1732" t="str">
        <f>'4P'!D41</f>
        <v>CPMW0185</v>
      </c>
      <c r="C2719" t="str">
        <f>'4P'!C41&amp;" - "&amp;'4P'!C$29</f>
        <v>Total water treated at all GW4 works - Water treatment</v>
      </c>
      <c r="D2719" s="1798" t="str">
        <f>'4P'!E41</f>
        <v>Ml/d</v>
      </c>
      <c r="E2719" s="1636" t="s">
        <v>9</v>
      </c>
      <c r="G2719" s="1678">
        <f>'4P'!G41</f>
        <v>226.98</v>
      </c>
      <c r="H2719" s="1636"/>
    </row>
    <row r="2720" spans="1:8">
      <c r="A2720" s="1620" t="str">
        <f>INDEX(Lists!$C$4:$C$24,MATCH(Validation!$B$3,Lists!$B$4:$B$24,0))</f>
        <v>TMS</v>
      </c>
      <c r="B2720" s="1732" t="str">
        <f>'4P'!D42</f>
        <v>CPMW0197</v>
      </c>
      <c r="C2720" t="str">
        <f>'4P'!C42&amp;" - "&amp;'4P'!C$29</f>
        <v>Total water treated at all GW5 works - Water treatment</v>
      </c>
      <c r="D2720" s="1798" t="str">
        <f>'4P'!E42</f>
        <v>Ml/d</v>
      </c>
      <c r="E2720" s="1636" t="s">
        <v>9</v>
      </c>
      <c r="G2720" s="1678">
        <f>'4P'!G42</f>
        <v>67.849999999999994</v>
      </c>
      <c r="H2720" s="1636"/>
    </row>
    <row r="2721" spans="1:8">
      <c r="A2721" s="1620" t="str">
        <f>INDEX(Lists!$C$4:$C$24,MATCH(Validation!$B$3,Lists!$B$4:$B$24,0))</f>
        <v>TMS</v>
      </c>
      <c r="B2721" s="1732" t="str">
        <f>'4P'!D43</f>
        <v>CPMW0198</v>
      </c>
      <c r="C2721" t="str">
        <f>'4P'!C43&amp;" - "&amp;'4P'!C$29</f>
        <v>Total water treated at all GW6 works - Water treatment</v>
      </c>
      <c r="D2721" s="1798" t="str">
        <f>'4P'!E43</f>
        <v>Ml/d</v>
      </c>
      <c r="E2721" s="1636" t="s">
        <v>9</v>
      </c>
      <c r="G2721" s="1678">
        <f>'4P'!G43</f>
        <v>0</v>
      </c>
      <c r="H2721" s="1636"/>
    </row>
    <row r="2722" spans="1:8">
      <c r="A2722" s="1620" t="str">
        <f>INDEX(Lists!$C$4:$C$24,MATCH(Validation!$B$3,Lists!$B$4:$B$24,0))</f>
        <v>TMS</v>
      </c>
      <c r="B2722" s="1732" t="str">
        <f>'4P'!D44</f>
        <v>CPMW001A</v>
      </c>
      <c r="C2722" t="str">
        <f>'4P'!C44&amp;" - "&amp;'4P'!C$29</f>
        <v>Total water treated at more than one type of works - Water treatment</v>
      </c>
      <c r="D2722" s="1798" t="str">
        <f>'4P'!E44</f>
        <v>Ml/d</v>
      </c>
      <c r="E2722" s="1636" t="s">
        <v>9</v>
      </c>
      <c r="G2722" s="1678">
        <f>'4P'!G44</f>
        <v>0</v>
      </c>
      <c r="H2722" s="1636"/>
    </row>
    <row r="2723" spans="1:8">
      <c r="A2723" s="1620" t="str">
        <f>INDEX(Lists!$C$4:$C$24,MATCH(Validation!$B$3,Lists!$B$4:$B$24,0))</f>
        <v>TMS</v>
      </c>
      <c r="B2723" s="1732" t="str">
        <f>'4P'!D45</f>
        <v>CPMW0015</v>
      </c>
      <c r="C2723" t="str">
        <f>'4P'!C45&amp;" - "&amp;'4P'!C$29</f>
        <v>Total number of SW simple disinfection works - Water treatment</v>
      </c>
      <c r="D2723" s="1798" t="str">
        <f>'4P'!E45</f>
        <v>nr</v>
      </c>
      <c r="E2723" s="1636" t="s">
        <v>9</v>
      </c>
      <c r="G2723" s="1795">
        <f>'4P'!G45</f>
        <v>0</v>
      </c>
      <c r="H2723" s="1636"/>
    </row>
    <row r="2724" spans="1:8">
      <c r="A2724" s="1620" t="str">
        <f>INDEX(Lists!$C$4:$C$24,MATCH(Validation!$B$3,Lists!$B$4:$B$24,0))</f>
        <v>TMS</v>
      </c>
      <c r="B2724" s="1732" t="str">
        <f>'4P'!D46</f>
        <v>BN10491</v>
      </c>
      <c r="C2724" t="str">
        <f>'4P'!C46&amp;" - "&amp;'4P'!C$29</f>
        <v>Total number of SW1 works - Water treatment</v>
      </c>
      <c r="D2724" s="1798" t="str">
        <f>'4P'!E46</f>
        <v>nr</v>
      </c>
      <c r="E2724" s="1636" t="s">
        <v>9</v>
      </c>
      <c r="G2724" s="1795">
        <f>'4P'!G46</f>
        <v>0</v>
      </c>
      <c r="H2724" s="1636"/>
    </row>
    <row r="2725" spans="1:8">
      <c r="A2725" s="1620" t="str">
        <f>INDEX(Lists!$C$4:$C$24,MATCH(Validation!$B$3,Lists!$B$4:$B$24,0))</f>
        <v>TMS</v>
      </c>
      <c r="B2725" s="1732" t="str">
        <f>'4P'!D47</f>
        <v>BN10490</v>
      </c>
      <c r="C2725" t="str">
        <f>'4P'!C47&amp;" - "&amp;'4P'!C$29</f>
        <v>Total number of SW2 works - Water treatment</v>
      </c>
      <c r="D2725" s="1798" t="str">
        <f>'4P'!E47</f>
        <v>nr</v>
      </c>
      <c r="E2725" s="1636" t="s">
        <v>9</v>
      </c>
      <c r="G2725" s="1795">
        <f>'4P'!G47</f>
        <v>0</v>
      </c>
      <c r="H2725" s="1636"/>
    </row>
    <row r="2726" spans="1:8">
      <c r="A2726" s="1620" t="str">
        <f>INDEX(Lists!$C$4:$C$24,MATCH(Validation!$B$3,Lists!$B$4:$B$24,0))</f>
        <v>TMS</v>
      </c>
      <c r="B2726" s="1732" t="str">
        <f>'4P'!D48</f>
        <v>BN10590</v>
      </c>
      <c r="C2726" t="str">
        <f>'4P'!C48&amp;" - "&amp;'4P'!C$29</f>
        <v>Total number of SW3 works - Water treatment</v>
      </c>
      <c r="D2726" s="1798" t="str">
        <f>'4P'!E48</f>
        <v>nr</v>
      </c>
      <c r="E2726" s="1636" t="s">
        <v>9</v>
      </c>
      <c r="G2726" s="1795">
        <f>'4P'!G48</f>
        <v>0</v>
      </c>
      <c r="H2726" s="1636"/>
    </row>
    <row r="2727" spans="1:8">
      <c r="A2727" s="1620" t="str">
        <f>INDEX(Lists!$C$4:$C$24,MATCH(Validation!$B$3,Lists!$B$4:$B$24,0))</f>
        <v>TMS</v>
      </c>
      <c r="B2727" s="1732" t="str">
        <f>'4P'!D49</f>
        <v>BN10597</v>
      </c>
      <c r="C2727" t="str">
        <f>'4P'!C49&amp;" - "&amp;'4P'!C$29</f>
        <v>Total number of SW4 works - Water treatment</v>
      </c>
      <c r="D2727" s="1798" t="str">
        <f>'4P'!E49</f>
        <v>nr</v>
      </c>
      <c r="E2727" s="1636" t="s">
        <v>9</v>
      </c>
      <c r="G2727" s="1795">
        <f>'4P'!G49</f>
        <v>1</v>
      </c>
      <c r="H2727" s="1636"/>
    </row>
    <row r="2728" spans="1:8">
      <c r="A2728" s="1620" t="str">
        <f>INDEX(Lists!$C$4:$C$24,MATCH(Validation!$B$3,Lists!$B$4:$B$24,0))</f>
        <v>TMS</v>
      </c>
      <c r="B2728" s="1732" t="str">
        <f>'4P'!D50</f>
        <v>BN10598</v>
      </c>
      <c r="C2728" t="str">
        <f>'4P'!C50&amp;" - "&amp;'4P'!C$29</f>
        <v>Total number of SW5 works - Water treatment</v>
      </c>
      <c r="D2728" s="1798" t="str">
        <f>'4P'!E50</f>
        <v>nr</v>
      </c>
      <c r="E2728" s="1636" t="s">
        <v>9</v>
      </c>
      <c r="G2728" s="1795">
        <f>'4P'!G50</f>
        <v>10</v>
      </c>
      <c r="H2728" s="1636"/>
    </row>
    <row r="2729" spans="1:8">
      <c r="A2729" s="1620" t="str">
        <f>INDEX(Lists!$C$4:$C$24,MATCH(Validation!$B$3,Lists!$B$4:$B$24,0))</f>
        <v>TMS</v>
      </c>
      <c r="B2729" s="1732" t="str">
        <f>'4P'!D51</f>
        <v>BN10599</v>
      </c>
      <c r="C2729" t="str">
        <f>'4P'!C51&amp;" - "&amp;'4P'!C$29</f>
        <v>Total number of SW6 works - Water treatment</v>
      </c>
      <c r="D2729" s="1798" t="str">
        <f>'4P'!E51</f>
        <v>nr</v>
      </c>
      <c r="E2729" s="1636" t="s">
        <v>9</v>
      </c>
      <c r="G2729" s="1795">
        <f>'4P'!G51</f>
        <v>1</v>
      </c>
      <c r="H2729" s="1636"/>
    </row>
    <row r="2730" spans="1:8">
      <c r="A2730" s="1620" t="str">
        <f>INDEX(Lists!$C$4:$C$24,MATCH(Validation!$B$3,Lists!$B$4:$B$24,0))</f>
        <v>TMS</v>
      </c>
      <c r="B2730" s="1732" t="str">
        <f>'4P'!D52</f>
        <v>CPMW0021</v>
      </c>
      <c r="C2730" t="str">
        <f>'4P'!C52&amp;" - "&amp;'4P'!C$29</f>
        <v>Total number of GW simple disinfection works - Water treatment</v>
      </c>
      <c r="D2730" s="1798" t="str">
        <f>'4P'!E52</f>
        <v>nr</v>
      </c>
      <c r="E2730" s="1636" t="s">
        <v>9</v>
      </c>
      <c r="G2730" s="1795">
        <f>'4P'!G52</f>
        <v>0</v>
      </c>
      <c r="H2730" s="1636"/>
    </row>
    <row r="2731" spans="1:8">
      <c r="A2731" s="1620" t="str">
        <f>INDEX(Lists!$C$4:$C$24,MATCH(Validation!$B$3,Lists!$B$4:$B$24,0))</f>
        <v>TMS</v>
      </c>
      <c r="B2731" s="1732" t="str">
        <f>'4P'!D53</f>
        <v>BN10791</v>
      </c>
      <c r="C2731" t="str">
        <f>'4P'!C53&amp;" - "&amp;'4P'!C$29</f>
        <v>Total number of GW1 works - Water treatment</v>
      </c>
      <c r="D2731" s="1798" t="str">
        <f>'4P'!E53</f>
        <v>nr</v>
      </c>
      <c r="E2731" s="1636" t="s">
        <v>9</v>
      </c>
      <c r="G2731" s="1795">
        <f>'4P'!G53</f>
        <v>0</v>
      </c>
      <c r="H2731" s="1636"/>
    </row>
    <row r="2732" spans="1:8">
      <c r="A2732" s="1620" t="str">
        <f>INDEX(Lists!$C$4:$C$24,MATCH(Validation!$B$3,Lists!$B$4:$B$24,0))</f>
        <v>TMS</v>
      </c>
      <c r="B2732" s="1732" t="str">
        <f>'4P'!D54</f>
        <v>BN10790</v>
      </c>
      <c r="C2732" t="str">
        <f>'4P'!C54&amp;" - "&amp;'4P'!C$29</f>
        <v>Total number of GW2 works - Water treatment</v>
      </c>
      <c r="D2732" s="1798" t="str">
        <f>'4P'!E54</f>
        <v>nr</v>
      </c>
      <c r="E2732" s="1636" t="s">
        <v>9</v>
      </c>
      <c r="G2732" s="1795">
        <f>'4P'!G54</f>
        <v>48</v>
      </c>
      <c r="H2732" s="1636"/>
    </row>
    <row r="2733" spans="1:8">
      <c r="A2733" s="1620" t="str">
        <f>INDEX(Lists!$C$4:$C$24,MATCH(Validation!$B$3,Lists!$B$4:$B$24,0))</f>
        <v>TMS</v>
      </c>
      <c r="B2733" s="1732" t="str">
        <f>'4P'!D55</f>
        <v>BN10890</v>
      </c>
      <c r="C2733" t="str">
        <f>'4P'!C55&amp;" - "&amp;'4P'!C$29</f>
        <v>Total number of GW3 works - Water treatment</v>
      </c>
      <c r="D2733" s="1798" t="str">
        <f>'4P'!E55</f>
        <v>nr</v>
      </c>
      <c r="E2733" s="1636" t="s">
        <v>9</v>
      </c>
      <c r="G2733" s="1795">
        <f>'4P'!G55</f>
        <v>10</v>
      </c>
      <c r="H2733" s="1636"/>
    </row>
    <row r="2734" spans="1:8">
      <c r="A2734" s="1620" t="str">
        <f>INDEX(Lists!$C$4:$C$24,MATCH(Validation!$B$3,Lists!$B$4:$B$24,0))</f>
        <v>TMS</v>
      </c>
      <c r="B2734" s="1732" t="str">
        <f>'4P'!D56</f>
        <v>BN10897</v>
      </c>
      <c r="C2734" t="str">
        <f>'4P'!C56&amp;" - "&amp;'4P'!C$29</f>
        <v>Total number of GW4 works - Water treatment</v>
      </c>
      <c r="D2734" s="1798" t="str">
        <f>'4P'!E56</f>
        <v>nr</v>
      </c>
      <c r="E2734" s="1636" t="s">
        <v>9</v>
      </c>
      <c r="G2734" s="1795">
        <f>'4P'!G56</f>
        <v>23</v>
      </c>
      <c r="H2734" s="1636"/>
    </row>
    <row r="2735" spans="1:8">
      <c r="A2735" s="1620" t="str">
        <f>INDEX(Lists!$C$4:$C$24,MATCH(Validation!$B$3,Lists!$B$4:$B$24,0))</f>
        <v>TMS</v>
      </c>
      <c r="B2735" s="1732" t="str">
        <f>'4P'!D57</f>
        <v>BN10898</v>
      </c>
      <c r="C2735" t="str">
        <f>'4P'!C57&amp;" - "&amp;'4P'!C$29</f>
        <v>Total number of GW5 works - Water treatment</v>
      </c>
      <c r="D2735" s="1798" t="str">
        <f>'4P'!E57</f>
        <v>nr</v>
      </c>
      <c r="E2735" s="1636" t="s">
        <v>9</v>
      </c>
      <c r="G2735" s="1795">
        <f>'4P'!G57</f>
        <v>4</v>
      </c>
      <c r="H2735" s="1636"/>
    </row>
    <row r="2736" spans="1:8">
      <c r="A2736" s="1620" t="str">
        <f>INDEX(Lists!$C$4:$C$24,MATCH(Validation!$B$3,Lists!$B$4:$B$24,0))</f>
        <v>TMS</v>
      </c>
      <c r="B2736" s="1732" t="str">
        <f>'4P'!D58</f>
        <v>BN10899</v>
      </c>
      <c r="C2736" t="str">
        <f>'4P'!C58&amp;" - "&amp;'4P'!C$29</f>
        <v>Total number of GW6 works - Water treatment</v>
      </c>
      <c r="D2736" s="1798" t="str">
        <f>'4P'!E58</f>
        <v>nr</v>
      </c>
      <c r="E2736" s="1636" t="s">
        <v>9</v>
      </c>
      <c r="G2736" s="1795">
        <f>'4P'!G58</f>
        <v>0</v>
      </c>
      <c r="H2736" s="1636"/>
    </row>
    <row r="2737" spans="1:8">
      <c r="A2737" s="1620" t="str">
        <f>INDEX(Lists!$C$4:$C$24,MATCH(Validation!$B$3,Lists!$B$4:$B$24,0))</f>
        <v>TMS</v>
      </c>
      <c r="B2737" s="1732" t="str">
        <f>'4P'!D59</f>
        <v>W4005</v>
      </c>
      <c r="C2737" t="str">
        <f>'4P'!C59&amp;" - "&amp;'4P'!C$29</f>
        <v>Number of treatment works requiring remedial action because of raw water deterioration - Water treatment</v>
      </c>
      <c r="D2737" s="1798" t="str">
        <f>'4P'!E59</f>
        <v>nr</v>
      </c>
      <c r="E2737" s="1636" t="s">
        <v>9</v>
      </c>
      <c r="G2737" s="1795">
        <f>'4P'!G59</f>
        <v>0</v>
      </c>
      <c r="H2737" s="1636"/>
    </row>
    <row r="2738" spans="1:8">
      <c r="A2738" s="1620" t="str">
        <f>INDEX(Lists!$C$4:$C$24,MATCH(Validation!$B$3,Lists!$B$4:$B$24,0))</f>
        <v>TMS</v>
      </c>
      <c r="B2738" s="1732" t="str">
        <f>'4P'!D60</f>
        <v>BN10901</v>
      </c>
      <c r="C2738" t="str">
        <f>'4P'!C60&amp;" - "&amp;'4P'!C$29</f>
        <v>Zonal population receiving water treated with orthophosphate - Water treatment</v>
      </c>
      <c r="D2738" s="1798" t="str">
        <f>'4P'!E60</f>
        <v>000</v>
      </c>
      <c r="E2738" s="1636" t="s">
        <v>9</v>
      </c>
      <c r="G2738" s="1635">
        <f>'4P'!G60</f>
        <v>9366.9359999999997</v>
      </c>
      <c r="H2738" s="1636"/>
    </row>
    <row r="2739" spans="1:8">
      <c r="A2739" s="1620" t="str">
        <f>INDEX(Lists!$C$4:$C$24,MATCH(Validation!$B$3,Lists!$B$4:$B$24,0))</f>
        <v>TMS</v>
      </c>
      <c r="B2739" s="1732" t="str">
        <f>'4P'!D61</f>
        <v>BN10902</v>
      </c>
      <c r="C2739" t="str">
        <f>'4P'!C61&amp;" - "&amp;'4P'!C$29</f>
        <v>Average pumping head – treatment - Water treatment</v>
      </c>
      <c r="D2739" s="1798" t="str">
        <f>'4P'!E61</f>
        <v>m.hd</v>
      </c>
      <c r="E2739" s="1636" t="s">
        <v>9</v>
      </c>
      <c r="G2739" s="1678">
        <f>'4P'!G61</f>
        <v>15.01</v>
      </c>
      <c r="H2739" s="1636"/>
    </row>
    <row r="2740" spans="1:8">
      <c r="A2740" s="1620" t="str">
        <f>INDEX(Lists!$C$4:$C$24,MATCH(Validation!$B$3,Lists!$B$4:$B$24,0))</f>
        <v>TMS</v>
      </c>
      <c r="B2740" s="1732" t="str">
        <f>'4P'!D64</f>
        <v>BN1100</v>
      </c>
      <c r="C2740" t="str">
        <f>'4P'!C64&amp;" - "&amp;'4P'!C$63</f>
        <v>Total length of potable mains as at 31 March - Water distribution</v>
      </c>
      <c r="D2740" s="1798" t="str">
        <f>'4P'!E64</f>
        <v>km</v>
      </c>
      <c r="E2740" s="1636" t="s">
        <v>9</v>
      </c>
      <c r="G2740" s="1796">
        <f>'4P'!G64</f>
        <v>31460.6</v>
      </c>
      <c r="H2740" s="1636"/>
    </row>
    <row r="2741" spans="1:8">
      <c r="A2741" s="1620" t="str">
        <f>INDEX(Lists!$C$4:$C$24,MATCH(Validation!$B$3,Lists!$B$4:$B$24,0))</f>
        <v>TMS</v>
      </c>
      <c r="B2741" s="1732" t="str">
        <f>'4P'!D65</f>
        <v>BN1204</v>
      </c>
      <c r="C2741" t="str">
        <f>'4P'!C65&amp;" - "&amp;'4P'!C$63</f>
        <v>Total length of mains relined - Water distribution</v>
      </c>
      <c r="D2741" s="1798" t="str">
        <f>'4P'!E65</f>
        <v>km</v>
      </c>
      <c r="E2741" s="1636" t="s">
        <v>9</v>
      </c>
      <c r="G2741" s="1796">
        <f>'4P'!G65</f>
        <v>0.3</v>
      </c>
      <c r="H2741" s="1636"/>
    </row>
    <row r="2742" spans="1:8">
      <c r="A2742" s="1620" t="str">
        <f>INDEX(Lists!$C$4:$C$24,MATCH(Validation!$B$3,Lists!$B$4:$B$24,0))</f>
        <v>TMS</v>
      </c>
      <c r="B2742" s="1732" t="str">
        <f>'4P'!D66</f>
        <v>BN1200</v>
      </c>
      <c r="C2742" t="str">
        <f>'4P'!C66&amp;" - "&amp;'4P'!C$63</f>
        <v>Total length of mains renewed - Water distribution</v>
      </c>
      <c r="D2742" s="1798" t="str">
        <f>'4P'!E66</f>
        <v>km</v>
      </c>
      <c r="E2742" s="1636" t="s">
        <v>9</v>
      </c>
      <c r="G2742" s="1796">
        <f>'4P'!G66</f>
        <v>126.19</v>
      </c>
      <c r="H2742" s="1636"/>
    </row>
    <row r="2743" spans="1:8">
      <c r="A2743" s="1620" t="str">
        <f>INDEX(Lists!$C$4:$C$24,MATCH(Validation!$B$3,Lists!$B$4:$B$24,0))</f>
        <v>TMS</v>
      </c>
      <c r="B2743" s="1732" t="str">
        <f>'4P'!D67</f>
        <v>BN1208</v>
      </c>
      <c r="C2743" t="str">
        <f>'4P'!C67&amp;" - "&amp;'4P'!C$63</f>
        <v>Total length of new mains - Water distribution</v>
      </c>
      <c r="D2743" s="1798" t="str">
        <f>'4P'!E67</f>
        <v>km</v>
      </c>
      <c r="E2743" s="1636" t="s">
        <v>9</v>
      </c>
      <c r="G2743" s="1796">
        <f>'4P'!G67</f>
        <v>122.8</v>
      </c>
      <c r="H2743" s="1636"/>
    </row>
    <row r="2744" spans="1:8">
      <c r="A2744" s="1620" t="str">
        <f>INDEX(Lists!$C$4:$C$24,MATCH(Validation!$B$3,Lists!$B$4:$B$24,0))</f>
        <v>TMS</v>
      </c>
      <c r="B2744" s="1732" t="str">
        <f>'4P'!D68</f>
        <v>BN14990</v>
      </c>
      <c r="C2744" t="str">
        <f>'4P'!C68&amp;" - "&amp;'4P'!C$63</f>
        <v>Potable water mains (&lt;320mm) - Water distribution</v>
      </c>
      <c r="D2744" s="1798" t="str">
        <f>'4P'!E68</f>
        <v>km</v>
      </c>
      <c r="E2744" s="1636" t="s">
        <v>9</v>
      </c>
      <c r="G2744" s="1796">
        <f>'4P'!G68</f>
        <v>28422.7</v>
      </c>
      <c r="H2744" s="1636"/>
    </row>
    <row r="2745" spans="1:8">
      <c r="A2745" s="1620" t="str">
        <f>INDEX(Lists!$C$4:$C$24,MATCH(Validation!$B$3,Lists!$B$4:$B$24,0))</f>
        <v>TMS</v>
      </c>
      <c r="B2745" s="1732" t="str">
        <f>'4P'!D69</f>
        <v>BN14890</v>
      </c>
      <c r="C2745" t="str">
        <f>'4P'!C69&amp;" - "&amp;'4P'!C$63</f>
        <v>Potable water mains 320mm - 450mm - Water distribution</v>
      </c>
      <c r="D2745" s="1798" t="str">
        <f>'4P'!E69</f>
        <v>km</v>
      </c>
      <c r="E2745" s="1636" t="s">
        <v>9</v>
      </c>
      <c r="G2745" s="1796">
        <f>'4P'!G69</f>
        <v>927.9</v>
      </c>
      <c r="H2745" s="1636"/>
    </row>
    <row r="2746" spans="1:8">
      <c r="A2746" s="1620" t="str">
        <f>INDEX(Lists!$C$4:$C$24,MATCH(Validation!$B$3,Lists!$B$4:$B$24,0))</f>
        <v>TMS</v>
      </c>
      <c r="B2746" s="1732" t="str">
        <f>'4P'!D70</f>
        <v>BN14790</v>
      </c>
      <c r="C2746" t="str">
        <f>'4P'!C70&amp;" - "&amp;'4P'!C$63</f>
        <v>Potable water mains 450mm - 610mm - Water distribution</v>
      </c>
      <c r="D2746" s="1798" t="str">
        <f>'4P'!E70</f>
        <v>km</v>
      </c>
      <c r="E2746" s="1636" t="s">
        <v>9</v>
      </c>
      <c r="G2746" s="1796">
        <f>'4P'!G70</f>
        <v>1046.5</v>
      </c>
      <c r="H2746" s="1636"/>
    </row>
    <row r="2747" spans="1:8">
      <c r="A2747" s="1620" t="str">
        <f>INDEX(Lists!$C$4:$C$24,MATCH(Validation!$B$3,Lists!$B$4:$B$24,0))</f>
        <v>TMS</v>
      </c>
      <c r="B2747" s="1732" t="str">
        <f>'4P'!D71</f>
        <v>BN14690</v>
      </c>
      <c r="C2747" t="str">
        <f>'4P'!C71&amp;" - "&amp;'4P'!C$63</f>
        <v>Potable water mains  &gt; 610mm - Water distribution</v>
      </c>
      <c r="D2747" s="1798" t="str">
        <f>'4P'!E71</f>
        <v>km</v>
      </c>
      <c r="E2747" s="1636" t="s">
        <v>9</v>
      </c>
      <c r="G2747" s="1796">
        <f>'4P'!G71</f>
        <v>1063.4000000000001</v>
      </c>
      <c r="H2747" s="1636"/>
    </row>
    <row r="2748" spans="1:8">
      <c r="A2748" s="1620" t="str">
        <f>INDEX(Lists!$C$4:$C$24,MATCH(Validation!$B$3,Lists!$B$4:$B$24,0))</f>
        <v>TMS</v>
      </c>
      <c r="B2748" s="1732" t="str">
        <f>'4P'!D72</f>
        <v>BN11590</v>
      </c>
      <c r="C2748" t="str">
        <f>'4P'!C72&amp;" - "&amp;'4P'!C$63</f>
        <v>Total length of non-potable and partially treated main for supplying customers - Water distribution</v>
      </c>
      <c r="D2748" s="1798" t="str">
        <f>'4P'!E72</f>
        <v>km</v>
      </c>
      <c r="E2748" s="1636" t="s">
        <v>9</v>
      </c>
      <c r="G2748" s="1796">
        <f>'4P'!G72</f>
        <v>3.9</v>
      </c>
      <c r="H2748" s="1636"/>
    </row>
    <row r="2749" spans="1:8">
      <c r="A2749" s="1620" t="str">
        <f>INDEX(Lists!$C$4:$C$24,MATCH(Validation!$B$3,Lists!$B$4:$B$24,0))</f>
        <v>TMS</v>
      </c>
      <c r="B2749" s="1732" t="str">
        <f>'4P'!D73</f>
        <v>WN2001</v>
      </c>
      <c r="C2749" t="str">
        <f>'4P'!C73&amp;" - "&amp;'4P'!C$63</f>
        <v>Total length of non-potable and partially treated main for treatment - Water distribution</v>
      </c>
      <c r="D2749" s="1798" t="str">
        <f>'4P'!E73</f>
        <v>km</v>
      </c>
      <c r="E2749" s="1636" t="s">
        <v>9</v>
      </c>
      <c r="G2749" s="1796">
        <f>'4P'!G73</f>
        <v>0</v>
      </c>
      <c r="H2749" s="1636"/>
    </row>
    <row r="2750" spans="1:8">
      <c r="A2750" s="1620" t="str">
        <f>INDEX(Lists!$C$4:$C$24,MATCH(Validation!$B$3,Lists!$B$4:$B$24,0))</f>
        <v>TMS</v>
      </c>
      <c r="B2750" s="1732" t="str">
        <f>'4P'!D74</f>
        <v>BN11300CAP</v>
      </c>
      <c r="C2750" t="str">
        <f>'4P'!C74&amp;" - "&amp;'4P'!C$63</f>
        <v>Capacity of booster pumping stations - Water distribution</v>
      </c>
      <c r="D2750" s="1620" t="str">
        <f>'4P'!E74</f>
        <v>kW</v>
      </c>
      <c r="E2750" s="1636" t="s">
        <v>9</v>
      </c>
      <c r="G2750" s="1795">
        <f>'4P'!G74</f>
        <v>114349</v>
      </c>
      <c r="H2750" s="1636"/>
    </row>
    <row r="2751" spans="1:8">
      <c r="A2751" s="1620" t="str">
        <f>INDEX(Lists!$C$4:$C$24,MATCH(Validation!$B$3,Lists!$B$4:$B$24,0))</f>
        <v>TMS</v>
      </c>
      <c r="B2751" s="1732" t="str">
        <f>'4P'!D75</f>
        <v>BN10900CAP</v>
      </c>
      <c r="C2751" t="str">
        <f>'4P'!C75&amp;" - "&amp;'4P'!C$63</f>
        <v>Capacity of service reservoirs - Water distribution</v>
      </c>
      <c r="D2751" s="1798" t="str">
        <f>'4P'!E75</f>
        <v>Ml</v>
      </c>
      <c r="E2751" s="1636" t="s">
        <v>9</v>
      </c>
      <c r="G2751" s="1795">
        <f>'4P'!G75</f>
        <v>3259</v>
      </c>
      <c r="H2751" s="1636"/>
    </row>
    <row r="2752" spans="1:8">
      <c r="A2752" s="1620" t="str">
        <f>INDEX(Lists!$C$4:$C$24,MATCH(Validation!$B$3,Lists!$B$4:$B$24,0))</f>
        <v>TMS</v>
      </c>
      <c r="B2752" s="1732" t="str">
        <f>'4P'!D76</f>
        <v>BN11030CAP</v>
      </c>
      <c r="C2752" t="str">
        <f>'4P'!C76&amp;" - "&amp;'4P'!C$63</f>
        <v>Capacity of water towers - Water distribution</v>
      </c>
      <c r="D2752" s="1798" t="str">
        <f>'4P'!E76</f>
        <v>Ml</v>
      </c>
      <c r="E2752" s="1636" t="s">
        <v>9</v>
      </c>
      <c r="G2752" s="1795">
        <f>'4P'!G76</f>
        <v>18</v>
      </c>
      <c r="H2752" s="1636"/>
    </row>
    <row r="2753" spans="1:8">
      <c r="A2753" s="1620" t="str">
        <f>INDEX(Lists!$C$4:$C$24,MATCH(Validation!$B$3,Lists!$B$4:$B$24,0))</f>
        <v>TMS</v>
      </c>
      <c r="B2753" s="1732" t="str">
        <f>'4P'!D77</f>
        <v>BN1000</v>
      </c>
      <c r="C2753" t="str">
        <f>'4P'!C77&amp;" - "&amp;'4P'!C$63</f>
        <v>Distribution input - Water distribution</v>
      </c>
      <c r="D2753" s="1798" t="str">
        <f>'4P'!E77</f>
        <v>Ml/d</v>
      </c>
      <c r="E2753" s="1636" t="s">
        <v>9</v>
      </c>
      <c r="G2753" s="1678">
        <f>'4P'!G77</f>
        <v>2680.88</v>
      </c>
      <c r="H2753" s="1636"/>
    </row>
    <row r="2754" spans="1:8">
      <c r="A2754" s="1620" t="str">
        <f>INDEX(Lists!$C$4:$C$24,MATCH(Validation!$B$3,Lists!$B$4:$B$24,0))</f>
        <v>TMS</v>
      </c>
      <c r="B2754" s="1732" t="str">
        <f>'4P'!D78</f>
        <v>BN2350</v>
      </c>
      <c r="C2754" t="str">
        <f>'4P'!C78&amp;" - "&amp;'4P'!C$63</f>
        <v>Water delivered (non-potable) - Water distribution</v>
      </c>
      <c r="D2754" s="1798" t="str">
        <f>'4P'!E78</f>
        <v>Ml/d</v>
      </c>
      <c r="E2754" s="1636" t="s">
        <v>9</v>
      </c>
      <c r="G2754" s="1678">
        <f>'4P'!G78</f>
        <v>0</v>
      </c>
      <c r="H2754" s="1636"/>
    </row>
    <row r="2755" spans="1:8">
      <c r="A2755" s="1620" t="str">
        <f>INDEX(Lists!$C$4:$C$24,MATCH(Validation!$B$3,Lists!$B$4:$B$24,0))</f>
        <v>TMS</v>
      </c>
      <c r="B2755" s="1732" t="str">
        <f>'4P'!D79</f>
        <v>BN2330</v>
      </c>
      <c r="C2755" t="str">
        <f>'4P'!C79&amp;" - "&amp;'4P'!C$63</f>
        <v>Water delivered (potable) - Water distribution</v>
      </c>
      <c r="D2755" s="1798" t="str">
        <f>'4P'!E79</f>
        <v>Ml/d</v>
      </c>
      <c r="E2755" s="1636" t="s">
        <v>9</v>
      </c>
      <c r="G2755" s="1678">
        <f>'4P'!G79</f>
        <v>2168.81</v>
      </c>
      <c r="H2755" s="1636"/>
    </row>
    <row r="2756" spans="1:8">
      <c r="A2756" s="1620" t="str">
        <f>INDEX(Lists!$C$4:$C$24,MATCH(Validation!$B$3,Lists!$B$4:$B$24,0))</f>
        <v>TMS</v>
      </c>
      <c r="B2756" s="1732" t="str">
        <f>'4P'!D80</f>
        <v>BN2000</v>
      </c>
      <c r="C2756" t="str">
        <f>'4P'!C80&amp;" - "&amp;'4P'!C$63</f>
        <v>Water delivered (billed measured residential) - Water distribution</v>
      </c>
      <c r="D2756" s="1798" t="str">
        <f>'4P'!E80</f>
        <v>Ml/d</v>
      </c>
      <c r="E2756" s="1636" t="s">
        <v>9</v>
      </c>
      <c r="G2756" s="1678">
        <f>'4P'!G80</f>
        <v>493.12</v>
      </c>
      <c r="H2756" s="1636"/>
    </row>
    <row r="2757" spans="1:8">
      <c r="A2757" s="1620" t="str">
        <f>INDEX(Lists!$C$4:$C$24,MATCH(Validation!$B$3,Lists!$B$4:$B$24,0))</f>
        <v>TMS</v>
      </c>
      <c r="B2757" s="1732" t="str">
        <f>'4P'!D81</f>
        <v>BN2010</v>
      </c>
      <c r="C2757" t="str">
        <f>'4P'!C81&amp;" - "&amp;'4P'!C$63</f>
        <v>Water delivered (billed measured business) - Water distribution</v>
      </c>
      <c r="D2757" s="1798" t="str">
        <f>'4P'!E81</f>
        <v>Ml/d</v>
      </c>
      <c r="E2757" s="1636" t="s">
        <v>9</v>
      </c>
      <c r="G2757" s="1678">
        <f>'4P'!G81</f>
        <v>481.82</v>
      </c>
      <c r="H2757" s="1636"/>
    </row>
    <row r="2758" spans="1:8">
      <c r="A2758" s="1620" t="str">
        <f>INDEX(Lists!$C$4:$C$24,MATCH(Validation!$B$3,Lists!$B$4:$B$24,0))</f>
        <v>TMS</v>
      </c>
      <c r="B2758" s="1732" t="str">
        <f>'4P'!D82</f>
        <v>BN2345</v>
      </c>
      <c r="C2758" t="str">
        <f>'4P'!C82&amp;" - "&amp;'4P'!C$63</f>
        <v>Total leakage - Water distribution</v>
      </c>
      <c r="D2758" s="1798" t="str">
        <f>'4P'!E82</f>
        <v>Ml/d</v>
      </c>
      <c r="E2758" s="1636" t="s">
        <v>9</v>
      </c>
      <c r="G2758" s="1678">
        <f>'4P'!G82</f>
        <v>694.65</v>
      </c>
      <c r="H2758" s="1636"/>
    </row>
    <row r="2759" spans="1:8">
      <c r="A2759" s="1620" t="str">
        <f>INDEX(Lists!$C$4:$C$24,MATCH(Validation!$B$3,Lists!$B$4:$B$24,0))</f>
        <v>TMS</v>
      </c>
      <c r="B2759" s="1732" t="str">
        <f>'4P'!D83</f>
        <v>BN2340</v>
      </c>
      <c r="C2759" t="str">
        <f>'4P'!C83&amp;" - "&amp;'4P'!C$63</f>
        <v>Distribution losses - Water distribution</v>
      </c>
      <c r="D2759" s="1798" t="str">
        <f>'4P'!E83</f>
        <v>Ml/d</v>
      </c>
      <c r="E2759" s="1636" t="s">
        <v>9</v>
      </c>
      <c r="G2759" s="1678">
        <f>'4P'!G83</f>
        <v>494.08</v>
      </c>
      <c r="H2759" s="1636"/>
    </row>
    <row r="2760" spans="1:8">
      <c r="A2760" s="1620" t="str">
        <f>INDEX(Lists!$C$4:$C$24,MATCH(Validation!$B$3,Lists!$B$4:$B$24,0))</f>
        <v>TMS</v>
      </c>
      <c r="B2760" s="1732" t="str">
        <f>'4P'!D84</f>
        <v>BN2327</v>
      </c>
      <c r="C2760" t="str">
        <f>'4P'!C84&amp;" - "&amp;'4P'!C$63</f>
        <v>Water taken unbilled - Water distribution</v>
      </c>
      <c r="D2760" s="1798" t="str">
        <f>'4P'!E84</f>
        <v>Ml/d</v>
      </c>
      <c r="E2760" s="1636" t="s">
        <v>9</v>
      </c>
      <c r="G2760" s="1678">
        <f>'4P'!G84</f>
        <v>60.53</v>
      </c>
      <c r="H2760" s="1636"/>
    </row>
    <row r="2761" spans="1:8">
      <c r="A2761" s="1620" t="str">
        <f>INDEX(Lists!$C$4:$C$24,MATCH(Validation!$B$3,Lists!$B$4:$B$24,0))</f>
        <v>TMS</v>
      </c>
      <c r="B2761" s="1732" t="str">
        <f>'4P'!D85</f>
        <v>BN11600</v>
      </c>
      <c r="C2761" t="str">
        <f>'4P'!C85&amp;" - "&amp;'4P'!C$63</f>
        <v>Number of lead communication pipes - Water distribution</v>
      </c>
      <c r="D2761" s="1798" t="str">
        <f>'4P'!E85</f>
        <v>nr</v>
      </c>
      <c r="E2761" s="1636" t="s">
        <v>9</v>
      </c>
      <c r="G2761" s="1795">
        <f>'4P'!G85</f>
        <v>1231603.94</v>
      </c>
      <c r="H2761" s="1636"/>
    </row>
    <row r="2762" spans="1:8">
      <c r="A2762" s="1620" t="str">
        <f>INDEX(Lists!$C$4:$C$24,MATCH(Validation!$B$3,Lists!$B$4:$B$24,0))</f>
        <v>TMS</v>
      </c>
      <c r="B2762" s="1732" t="str">
        <f>'4P'!D86</f>
        <v>BN11610</v>
      </c>
      <c r="C2762" t="str">
        <f>'4P'!C86&amp;" - "&amp;'4P'!C$63</f>
        <v>Number of galvanised iron communication pipes - Water distribution</v>
      </c>
      <c r="D2762" s="1798" t="str">
        <f>'4P'!E86</f>
        <v>nr</v>
      </c>
      <c r="E2762" s="1636" t="s">
        <v>9</v>
      </c>
      <c r="G2762" s="1795">
        <f>'4P'!G86</f>
        <v>270382.84999999998</v>
      </c>
      <c r="H2762" s="1636"/>
    </row>
    <row r="2763" spans="1:8">
      <c r="A2763" s="1620" t="str">
        <f>INDEX(Lists!$C$4:$C$24,MATCH(Validation!$B$3,Lists!$B$4:$B$24,0))</f>
        <v>TMS</v>
      </c>
      <c r="B2763" s="1732" t="str">
        <f>'4P'!D87</f>
        <v>BN11620</v>
      </c>
      <c r="C2763" t="str">
        <f>'4P'!C87&amp;" - "&amp;'4P'!C$63</f>
        <v>Number of other communication pipes - Water distribution</v>
      </c>
      <c r="D2763" s="1798" t="str">
        <f>'4P'!E87</f>
        <v>nr</v>
      </c>
      <c r="E2763" s="1636" t="s">
        <v>9</v>
      </c>
      <c r="G2763" s="1795">
        <f>'4P'!G87</f>
        <v>1057768.21</v>
      </c>
      <c r="H2763" s="1636"/>
    </row>
    <row r="2764" spans="1:8">
      <c r="A2764" s="1620" t="str">
        <f>INDEX(Lists!$C$4:$C$24,MATCH(Validation!$B$3,Lists!$B$4:$B$24,0))</f>
        <v>TMS</v>
      </c>
      <c r="B2764" s="1732" t="str">
        <f>'4P'!D88</f>
        <v>BN11390</v>
      </c>
      <c r="C2764" t="str">
        <f>'4P'!C88&amp;" - "&amp;'4P'!C$63</f>
        <v>Number of booster pumping stations - Water distribution</v>
      </c>
      <c r="D2764" s="1798" t="str">
        <f>'4P'!E88</f>
        <v>nr</v>
      </c>
      <c r="E2764" s="1636" t="s">
        <v>9</v>
      </c>
      <c r="G2764" s="1795">
        <f>'4P'!G88</f>
        <v>315</v>
      </c>
      <c r="H2764" s="1636"/>
    </row>
    <row r="2765" spans="1:8">
      <c r="A2765" s="1620" t="str">
        <f>INDEX(Lists!$C$4:$C$24,MATCH(Validation!$B$3,Lists!$B$4:$B$24,0))</f>
        <v>TMS</v>
      </c>
      <c r="B2765" s="1732" t="str">
        <f>'4P'!D89</f>
        <v>BN10990</v>
      </c>
      <c r="C2765" t="str">
        <f>'4P'!C89&amp;" - "&amp;'4P'!C$63</f>
        <v>Total number of service reservoirs - Water distribution</v>
      </c>
      <c r="D2765" s="1798" t="str">
        <f>'4P'!E89</f>
        <v>nr</v>
      </c>
      <c r="E2765" s="1636" t="s">
        <v>9</v>
      </c>
      <c r="G2765" s="1795">
        <f>'4P'!G89</f>
        <v>243</v>
      </c>
      <c r="H2765" s="1636"/>
    </row>
    <row r="2766" spans="1:8">
      <c r="A2766" s="1620" t="str">
        <f>INDEX(Lists!$C$4:$C$24,MATCH(Validation!$B$3,Lists!$B$4:$B$24,0))</f>
        <v>TMS</v>
      </c>
      <c r="B2766" s="1732" t="str">
        <f>'4P'!D90</f>
        <v>BN11090</v>
      </c>
      <c r="C2766" t="str">
        <f>'4P'!C90&amp;" - "&amp;'4P'!C$63</f>
        <v>Number of water towers - Water distribution</v>
      </c>
      <c r="D2766" s="1798" t="str">
        <f>'4P'!E90</f>
        <v>nr</v>
      </c>
      <c r="E2766" s="1636" t="s">
        <v>9</v>
      </c>
      <c r="G2766" s="1795">
        <f>'4P'!G90</f>
        <v>29</v>
      </c>
      <c r="H2766" s="1636"/>
    </row>
    <row r="2767" spans="1:8">
      <c r="A2767" s="1620" t="str">
        <f>INDEX(Lists!$C$4:$C$24,MATCH(Validation!$B$3,Lists!$B$4:$B$24,0))</f>
        <v>TMS</v>
      </c>
      <c r="B2767" s="1732" t="str">
        <f>'4P'!D91</f>
        <v>BB13000</v>
      </c>
      <c r="C2767" t="str">
        <f>'4P'!C91&amp;" - "&amp;'4P'!C$63</f>
        <v>Total length of mains laid or structurally refurbished pre-1880 - Water distribution</v>
      </c>
      <c r="D2767" s="1798" t="str">
        <f>'4P'!E91</f>
        <v>km</v>
      </c>
      <c r="E2767" s="1636" t="s">
        <v>9</v>
      </c>
      <c r="G2767" s="1796">
        <f>'4P'!G91</f>
        <v>4761.7</v>
      </c>
      <c r="H2767" s="1636"/>
    </row>
    <row r="2768" spans="1:8">
      <c r="A2768" s="1620" t="str">
        <f>INDEX(Lists!$C$4:$C$24,MATCH(Validation!$B$3,Lists!$B$4:$B$24,0))</f>
        <v>TMS</v>
      </c>
      <c r="B2768" s="1732" t="str">
        <f>'4P'!D92</f>
        <v>BB13010</v>
      </c>
      <c r="C2768" t="str">
        <f>'4P'!C92&amp;" - "&amp;'4P'!C$63</f>
        <v>Total length of mains laid or structurally refurbished between 1881 and 1900 - Water distribution</v>
      </c>
      <c r="D2768" s="1798" t="str">
        <f>'4P'!E92</f>
        <v>km</v>
      </c>
      <c r="E2768" s="1636" t="s">
        <v>9</v>
      </c>
      <c r="G2768" s="1796">
        <f>'4P'!G92</f>
        <v>3169.7</v>
      </c>
      <c r="H2768" s="1636"/>
    </row>
    <row r="2769" spans="1:8">
      <c r="A2769" s="1620" t="str">
        <f>INDEX(Lists!$C$4:$C$24,MATCH(Validation!$B$3,Lists!$B$4:$B$24,0))</f>
        <v>TMS</v>
      </c>
      <c r="B2769" s="1732" t="str">
        <f>'4P'!D93</f>
        <v>BB13020</v>
      </c>
      <c r="C2769" t="str">
        <f>'4P'!C93&amp;" - "&amp;'4P'!C$63</f>
        <v>Total length of mains laid or structurally refurbished between 1901 and 1920 - Water distribution</v>
      </c>
      <c r="D2769" s="1798" t="str">
        <f>'4P'!E93</f>
        <v>km</v>
      </c>
      <c r="E2769" s="1636" t="s">
        <v>9</v>
      </c>
      <c r="G2769" s="1796">
        <f>'4P'!G93</f>
        <v>3926.7</v>
      </c>
      <c r="H2769" s="1636"/>
    </row>
    <row r="2770" spans="1:8">
      <c r="A2770" s="1620" t="str">
        <f>INDEX(Lists!$C$4:$C$24,MATCH(Validation!$B$3,Lists!$B$4:$B$24,0))</f>
        <v>TMS</v>
      </c>
      <c r="B2770" s="1732" t="str">
        <f>'4P'!D94</f>
        <v>BB13030</v>
      </c>
      <c r="C2770" t="str">
        <f>'4P'!C94&amp;" - "&amp;'4P'!C$63</f>
        <v>Total length of mains laid or structurally refurbished between 1921 and 1940 - Water distribution</v>
      </c>
      <c r="D2770" s="1798" t="str">
        <f>'4P'!E94</f>
        <v>km</v>
      </c>
      <c r="E2770" s="1636" t="s">
        <v>9</v>
      </c>
      <c r="G2770" s="1796">
        <f>'4P'!G94</f>
        <v>5287.2</v>
      </c>
      <c r="H2770" s="1636"/>
    </row>
    <row r="2771" spans="1:8">
      <c r="A2771" s="1620" t="str">
        <f>INDEX(Lists!$C$4:$C$24,MATCH(Validation!$B$3,Lists!$B$4:$B$24,0))</f>
        <v>TMS</v>
      </c>
      <c r="B2771" s="1732" t="str">
        <f>'4P'!D95</f>
        <v>BB13040</v>
      </c>
      <c r="C2771" t="str">
        <f>'4P'!C95&amp;" - "&amp;'4P'!C$63</f>
        <v>Total length of mains laid or structurally refurbished between 1941 and 1960 - Water distribution</v>
      </c>
      <c r="D2771" s="1798" t="str">
        <f>'4P'!E95</f>
        <v>km</v>
      </c>
      <c r="E2771" s="1636" t="s">
        <v>9</v>
      </c>
      <c r="G2771" s="1796">
        <f>'4P'!G95</f>
        <v>2870.8</v>
      </c>
      <c r="H2771" s="1636"/>
    </row>
    <row r="2772" spans="1:8">
      <c r="A2772" s="1620" t="str">
        <f>INDEX(Lists!$C$4:$C$24,MATCH(Validation!$B$3,Lists!$B$4:$B$24,0))</f>
        <v>TMS</v>
      </c>
      <c r="B2772" s="1732" t="str">
        <f>'4P'!D96</f>
        <v>BB13050</v>
      </c>
      <c r="C2772" t="str">
        <f>'4P'!C96&amp;" - "&amp;'4P'!C$63</f>
        <v>Total length of mains laid or structurally refurbished between 1961 and 1980 - Water distribution</v>
      </c>
      <c r="D2772" s="1798" t="str">
        <f>'4P'!E96</f>
        <v>km</v>
      </c>
      <c r="E2772" s="1636" t="s">
        <v>9</v>
      </c>
      <c r="G2772" s="1796">
        <f>'4P'!G96</f>
        <v>4525.3999999999996</v>
      </c>
      <c r="H2772" s="1636"/>
    </row>
    <row r="2773" spans="1:8">
      <c r="A2773" s="1620" t="str">
        <f>INDEX(Lists!$C$4:$C$24,MATCH(Validation!$B$3,Lists!$B$4:$B$24,0))</f>
        <v>TMS</v>
      </c>
      <c r="B2773" s="1732" t="str">
        <f>'4P'!D97</f>
        <v>BB13060</v>
      </c>
      <c r="C2773" t="str">
        <f>'4P'!C97&amp;" - "&amp;'4P'!C$63</f>
        <v>Total length of mains laid or structurally refurbished between 1981 and 2000 - Water distribution</v>
      </c>
      <c r="D2773" s="1798" t="str">
        <f>'4P'!E97</f>
        <v>km</v>
      </c>
      <c r="E2773" s="1636" t="s">
        <v>9</v>
      </c>
      <c r="G2773" s="1796">
        <f>'4P'!G97</f>
        <v>2889.2</v>
      </c>
      <c r="H2773" s="1636"/>
    </row>
    <row r="2774" spans="1:8">
      <c r="A2774" s="1620" t="str">
        <f>INDEX(Lists!$C$4:$C$24,MATCH(Validation!$B$3,Lists!$B$4:$B$24,0))</f>
        <v>TMS</v>
      </c>
      <c r="B2774" s="1732" t="str">
        <f>'4P'!D98</f>
        <v>BB13070</v>
      </c>
      <c r="C2774" t="str">
        <f>'4P'!C98&amp;" - "&amp;'4P'!C$63</f>
        <v>Total length of mains laid or structurally refurbished post 2001 - Water distribution</v>
      </c>
      <c r="D2774" s="1798" t="str">
        <f>'4P'!E98</f>
        <v>km</v>
      </c>
      <c r="E2774" s="1636" t="s">
        <v>9</v>
      </c>
      <c r="G2774" s="1796">
        <f>'4P'!G98</f>
        <v>4163.2</v>
      </c>
      <c r="H2774" s="1636"/>
    </row>
    <row r="2775" spans="1:8">
      <c r="A2775" s="1620" t="str">
        <f>INDEX(Lists!$C$4:$C$24,MATCH(Validation!$B$3,Lists!$B$4:$B$24,0))</f>
        <v>TMS</v>
      </c>
      <c r="B2775" s="1732" t="str">
        <f>'4P'!D99</f>
        <v>BN4870</v>
      </c>
      <c r="C2775" t="str">
        <f>'4P'!C99&amp;" - "&amp;'4P'!C$63</f>
        <v>Average pumping head – distribution - Water distribution</v>
      </c>
      <c r="D2775" s="1798" t="str">
        <f>'4P'!E99</f>
        <v>m.hd</v>
      </c>
      <c r="E2775" s="1636" t="s">
        <v>9</v>
      </c>
      <c r="G2775" s="1678">
        <f>'4P'!G99</f>
        <v>76.58</v>
      </c>
      <c r="H2775" s="1636"/>
    </row>
    <row r="2776" spans="1:8">
      <c r="A2776" s="1620" t="str">
        <f>INDEX(Lists!$C$4:$C$24,MATCH(Validation!$B$3,Lists!$B$4:$B$24,0))</f>
        <v>TMS</v>
      </c>
      <c r="B2776" s="1732" t="str">
        <f>'4P'!D102</f>
        <v>WTW001NR</v>
      </c>
      <c r="C2776" t="str">
        <f>'4P'!C102&amp;" - "&amp;'4P'!C$101</f>
        <v>WTWs in size band 1 - Band Disclosure (nr)</v>
      </c>
      <c r="D2776" s="1620" t="str">
        <f>'4P'!E102</f>
        <v>Nr</v>
      </c>
      <c r="E2776" s="1636" t="s">
        <v>9</v>
      </c>
      <c r="G2776" s="1795">
        <f>'4P'!G102</f>
        <v>20</v>
      </c>
      <c r="H2776" s="1636"/>
    </row>
    <row r="2777" spans="1:8">
      <c r="A2777" s="1620" t="str">
        <f>INDEX(Lists!$C$4:$C$24,MATCH(Validation!$B$3,Lists!$B$4:$B$24,0))</f>
        <v>TMS</v>
      </c>
      <c r="B2777" s="1732" t="str">
        <f>'4P'!D103</f>
        <v>WTW002NR</v>
      </c>
      <c r="C2777" t="str">
        <f>'4P'!C103&amp;" - "&amp;'4P'!C$101</f>
        <v>WTWs in size band 2 - Band Disclosure (nr)</v>
      </c>
      <c r="D2777" s="1620" t="str">
        <f>'4P'!E103</f>
        <v>Nr</v>
      </c>
      <c r="E2777" s="1636" t="s">
        <v>9</v>
      </c>
      <c r="G2777" s="1795">
        <f>'4P'!G103</f>
        <v>11</v>
      </c>
      <c r="H2777" s="1636"/>
    </row>
    <row r="2778" spans="1:8">
      <c r="A2778" s="1620" t="str">
        <f>INDEX(Lists!$C$4:$C$24,MATCH(Validation!$B$3,Lists!$B$4:$B$24,0))</f>
        <v>TMS</v>
      </c>
      <c r="B2778" s="1732" t="str">
        <f>'4P'!D104</f>
        <v>WTW003NR</v>
      </c>
      <c r="C2778" t="str">
        <f>'4P'!C104&amp;" - "&amp;'4P'!C$101</f>
        <v>WTWs in size band 3 - Band Disclosure (nr)</v>
      </c>
      <c r="D2778" s="1620" t="str">
        <f>'4P'!E104</f>
        <v>Nr</v>
      </c>
      <c r="E2778" s="1636" t="s">
        <v>9</v>
      </c>
      <c r="G2778" s="1795">
        <f>'4P'!G104</f>
        <v>16</v>
      </c>
      <c r="H2778" s="1636"/>
    </row>
    <row r="2779" spans="1:8">
      <c r="A2779" s="1620" t="str">
        <f>INDEX(Lists!$C$4:$C$24,MATCH(Validation!$B$3,Lists!$B$4:$B$24,0))</f>
        <v>TMS</v>
      </c>
      <c r="B2779" s="1732" t="str">
        <f>'4P'!D105</f>
        <v>WTW004NR</v>
      </c>
      <c r="C2779" t="str">
        <f>'4P'!C105&amp;" - "&amp;'4P'!C$101</f>
        <v>WTWs in size band 4 - Band Disclosure (nr)</v>
      </c>
      <c r="D2779" s="1620" t="str">
        <f>'4P'!E105</f>
        <v>Nr</v>
      </c>
      <c r="E2779" s="1636" t="s">
        <v>9</v>
      </c>
      <c r="G2779" s="1795">
        <f>'4P'!G105</f>
        <v>14</v>
      </c>
      <c r="H2779" s="1636"/>
    </row>
    <row r="2780" spans="1:8">
      <c r="A2780" s="1620" t="str">
        <f>INDEX(Lists!$C$4:$C$24,MATCH(Validation!$B$3,Lists!$B$4:$B$24,0))</f>
        <v>TMS</v>
      </c>
      <c r="B2780" s="1732" t="str">
        <f>'4P'!D106</f>
        <v>WTW005NR</v>
      </c>
      <c r="C2780" t="str">
        <f>'4P'!C106&amp;" - "&amp;'4P'!C$101</f>
        <v>WTWs in size band 5 - Band Disclosure (nr)</v>
      </c>
      <c r="D2780" s="1620" t="str">
        <f>'4P'!E106</f>
        <v>Nr</v>
      </c>
      <c r="E2780" s="1636" t="s">
        <v>9</v>
      </c>
      <c r="G2780" s="1795">
        <f>'4P'!G106</f>
        <v>9</v>
      </c>
      <c r="H2780" s="1636"/>
    </row>
    <row r="2781" spans="1:8">
      <c r="A2781" s="1620" t="str">
        <f>INDEX(Lists!$C$4:$C$24,MATCH(Validation!$B$3,Lists!$B$4:$B$24,0))</f>
        <v>TMS</v>
      </c>
      <c r="B2781" s="1732" t="str">
        <f>'4P'!D107</f>
        <v>WTW006NR</v>
      </c>
      <c r="C2781" t="str">
        <f>'4P'!C107&amp;" - "&amp;'4P'!C$101</f>
        <v>WTWs in size band 6 - Band Disclosure (nr)</v>
      </c>
      <c r="D2781" s="1620" t="str">
        <f>'4P'!E107</f>
        <v>Nr</v>
      </c>
      <c r="E2781" s="1636" t="s">
        <v>9</v>
      </c>
      <c r="G2781" s="1795">
        <f>'4P'!G107</f>
        <v>5</v>
      </c>
      <c r="H2781" s="1636"/>
    </row>
    <row r="2782" spans="1:8">
      <c r="A2782" s="1620" t="str">
        <f>INDEX(Lists!$C$4:$C$24,MATCH(Validation!$B$3,Lists!$B$4:$B$24,0))</f>
        <v>TMS</v>
      </c>
      <c r="B2782" s="1732" t="str">
        <f>'4P'!D108</f>
        <v>WTW007NR</v>
      </c>
      <c r="C2782" t="str">
        <f>'4P'!C108&amp;" - "&amp;'4P'!C$101</f>
        <v>WTWs in size band 7 - Band Disclosure (nr)</v>
      </c>
      <c r="D2782" s="1620" t="str">
        <f>'4P'!E108</f>
        <v>Nr</v>
      </c>
      <c r="E2782" s="1636" t="s">
        <v>9</v>
      </c>
      <c r="G2782" s="1795">
        <f>'4P'!G108</f>
        <v>2</v>
      </c>
      <c r="H2782" s="1636"/>
    </row>
    <row r="2783" spans="1:8">
      <c r="A2783" s="1620" t="str">
        <f>INDEX(Lists!$C$4:$C$24,MATCH(Validation!$B$3,Lists!$B$4:$B$24,0))</f>
        <v>TMS</v>
      </c>
      <c r="B2783" s="1732" t="str">
        <f>'4P'!D109</f>
        <v>WTW008NR</v>
      </c>
      <c r="C2783" t="str">
        <f>'4P'!C109&amp;" - "&amp;'4P'!C$101</f>
        <v>WTWs in size band 8 - Band Disclosure (nr)</v>
      </c>
      <c r="D2783" s="1620" t="str">
        <f>'4P'!E109</f>
        <v>Nr</v>
      </c>
      <c r="E2783" s="1636" t="s">
        <v>9</v>
      </c>
      <c r="G2783" s="1795">
        <f>'4P'!G109</f>
        <v>4</v>
      </c>
      <c r="H2783" s="1636"/>
    </row>
    <row r="2784" spans="1:8">
      <c r="A2784" s="1620" t="str">
        <f>INDEX(Lists!$C$4:$C$24,MATCH(Validation!$B$3,Lists!$B$4:$B$24,0))</f>
        <v>TMS</v>
      </c>
      <c r="B2784" s="1732" t="str">
        <f>'4P'!D112</f>
        <v>WTW001PN</v>
      </c>
      <c r="C2784" t="str">
        <f>'4P'!C112&amp;" - "&amp;'4P'!C$111</f>
        <v>Proportion of Total DI band 1 - Band Disclosure (%)</v>
      </c>
      <c r="D2784" s="1620" t="str">
        <f>'4P'!E112</f>
        <v>%</v>
      </c>
      <c r="E2784" s="1636" t="s">
        <v>9</v>
      </c>
      <c r="G2784" s="1635">
        <f>'4P'!G112</f>
        <v>7.0000000000000001E-3</v>
      </c>
      <c r="H2784" s="1636"/>
    </row>
    <row r="2785" spans="1:8">
      <c r="A2785" s="1620" t="str">
        <f>INDEX(Lists!$C$4:$C$24,MATCH(Validation!$B$3,Lists!$B$4:$B$24,0))</f>
        <v>TMS</v>
      </c>
      <c r="B2785" s="1732" t="str">
        <f>'4P'!D113</f>
        <v>WTW002PN</v>
      </c>
      <c r="C2785" t="str">
        <f>'4P'!C113&amp;" - "&amp;'4P'!C$111</f>
        <v>Proportion of Total DI band 2 - Band Disclosure (%)</v>
      </c>
      <c r="D2785" s="1620" t="str">
        <f>'4P'!E113</f>
        <v>%</v>
      </c>
      <c r="E2785" s="1636" t="s">
        <v>9</v>
      </c>
      <c r="G2785" s="1635">
        <f>'4P'!G113</f>
        <v>1.0999999999999999E-2</v>
      </c>
      <c r="H2785" s="1636"/>
    </row>
    <row r="2786" spans="1:8">
      <c r="A2786" s="1620" t="str">
        <f>INDEX(Lists!$C$4:$C$24,MATCH(Validation!$B$3,Lists!$B$4:$B$24,0))</f>
        <v>TMS</v>
      </c>
      <c r="B2786" s="1732" t="str">
        <f>'4P'!D114</f>
        <v>WTW003PN</v>
      </c>
      <c r="C2786" t="str">
        <f>'4P'!C114&amp;" - "&amp;'4P'!C$111</f>
        <v>Proportion of Total DI band 3 - Band Disclosure (%)</v>
      </c>
      <c r="D2786" s="1620" t="str">
        <f>'4P'!E114</f>
        <v>%</v>
      </c>
      <c r="E2786" s="1636" t="s">
        <v>9</v>
      </c>
      <c r="G2786" s="1635">
        <f>'4P'!G114</f>
        <v>3.3000000000000002E-2</v>
      </c>
      <c r="H2786" s="1636"/>
    </row>
    <row r="2787" spans="1:8">
      <c r="A2787" s="1620" t="str">
        <f>INDEX(Lists!$C$4:$C$24,MATCH(Validation!$B$3,Lists!$B$4:$B$24,0))</f>
        <v>TMS</v>
      </c>
      <c r="B2787" s="1732" t="str">
        <f>'4P'!D115</f>
        <v>WTW004PN</v>
      </c>
      <c r="C2787" t="str">
        <f>'4P'!C115&amp;" - "&amp;'4P'!C$111</f>
        <v>Proportion of Total DI band 4 - Band Disclosure (%)</v>
      </c>
      <c r="D2787" s="1620" t="str">
        <f>'4P'!E115</f>
        <v>%</v>
      </c>
      <c r="E2787" s="1636" t="s">
        <v>9</v>
      </c>
      <c r="G2787" s="1635">
        <f>'4P'!G115</f>
        <v>5.5E-2</v>
      </c>
      <c r="H2787" s="1636"/>
    </row>
    <row r="2788" spans="1:8">
      <c r="A2788" s="1620" t="str">
        <f>INDEX(Lists!$C$4:$C$24,MATCH(Validation!$B$3,Lists!$B$4:$B$24,0))</f>
        <v>TMS</v>
      </c>
      <c r="B2788" s="1732" t="str">
        <f>'4P'!D116</f>
        <v>WTW005PN</v>
      </c>
      <c r="C2788" t="str">
        <f>'4P'!C116&amp;" - "&amp;'4P'!C$111</f>
        <v>Proportion of Total DI band 5 - Band Disclosure (%)</v>
      </c>
      <c r="D2788" s="1620" t="str">
        <f>'4P'!E116</f>
        <v>%</v>
      </c>
      <c r="E2788" s="1636" t="s">
        <v>9</v>
      </c>
      <c r="G2788" s="1635">
        <f>'4P'!G116</f>
        <v>6.5000000000000002E-2</v>
      </c>
      <c r="H2788" s="1636"/>
    </row>
    <row r="2789" spans="1:8">
      <c r="A2789" s="1620" t="str">
        <f>INDEX(Lists!$C$4:$C$24,MATCH(Validation!$B$3,Lists!$B$4:$B$24,0))</f>
        <v>TMS</v>
      </c>
      <c r="B2789" s="1732" t="str">
        <f>'4P'!D117</f>
        <v>WTW006PN</v>
      </c>
      <c r="C2789" t="str">
        <f>'4P'!C117&amp;" - "&amp;'4P'!C$111</f>
        <v>Proportion of Total DI band 6 - Band Disclosure (%)</v>
      </c>
      <c r="D2789" s="1620" t="str">
        <f>'4P'!E117</f>
        <v>%</v>
      </c>
      <c r="E2789" s="1636" t="s">
        <v>9</v>
      </c>
      <c r="G2789" s="1635">
        <f>'4P'!G117</f>
        <v>8.5000000000000006E-2</v>
      </c>
      <c r="H2789" s="1636"/>
    </row>
    <row r="2790" spans="1:8">
      <c r="A2790" s="1620" t="str">
        <f>INDEX(Lists!$C$4:$C$24,MATCH(Validation!$B$3,Lists!$B$4:$B$24,0))</f>
        <v>TMS</v>
      </c>
      <c r="B2790" s="1732" t="str">
        <f>'4P'!D118</f>
        <v>WTW007PN</v>
      </c>
      <c r="C2790" t="str">
        <f>'4P'!C118&amp;" - "&amp;'4P'!C$111</f>
        <v>Proportion of Total DI band 7 - Band Disclosure (%)</v>
      </c>
      <c r="D2790" s="1620" t="str">
        <f>'4P'!E118</f>
        <v>%</v>
      </c>
      <c r="E2790" s="1636" t="s">
        <v>9</v>
      </c>
      <c r="F2790"/>
      <c r="G2790" s="1791">
        <f>'4P'!G118</f>
        <v>5.7000000000000002E-2</v>
      </c>
      <c r="H2790" s="1636"/>
    </row>
    <row r="2791" spans="1:8" ht="15" thickBot="1">
      <c r="A2791" s="1621" t="str">
        <f>INDEX(Lists!$C$4:$C$24,MATCH(Validation!$B$3,Lists!$B$4:$B$24,0))</f>
        <v>TMS</v>
      </c>
      <c r="B2791" s="1733" t="str">
        <f>'4P'!D119</f>
        <v>WTW008PN</v>
      </c>
      <c r="C2791" s="1622" t="str">
        <f>'4P'!C119&amp;" - "&amp;'4P'!C$111</f>
        <v>Proportion of Total DI band 8 - Band Disclosure (%)</v>
      </c>
      <c r="D2791" s="1621" t="str">
        <f>'4P'!E119</f>
        <v>%</v>
      </c>
      <c r="E2791" s="1649" t="s">
        <v>9</v>
      </c>
      <c r="F2791" s="1622"/>
      <c r="G2791" s="1797">
        <f>'4P'!G119</f>
        <v>0.68700000000000006</v>
      </c>
      <c r="H2791" s="1649"/>
    </row>
    <row r="2792" spans="1:8">
      <c r="A2792" s="1618" t="str">
        <f>INDEX(Lists!$C$4:$C$24,MATCH(Validation!$B$3,Lists!$B$4:$B$24,0))</f>
        <v>TMS</v>
      </c>
      <c r="B2792" s="1731" t="str">
        <f>'4Q'!D6</f>
        <v>BN2110</v>
      </c>
      <c r="C2792" s="1619" t="str">
        <f>'4Q'!C6&amp;" - "&amp;'4Q'!C$5</f>
        <v>Residential properties billed for measured water (external meter) - Properties and population</v>
      </c>
      <c r="D2792" s="1801" t="str">
        <f>'4Q'!E6</f>
        <v>000</v>
      </c>
      <c r="E2792" s="1645" t="s">
        <v>9</v>
      </c>
      <c r="F2792" s="1619"/>
      <c r="G2792" s="1799">
        <f>'4Q'!G6</f>
        <v>1081.56918</v>
      </c>
      <c r="H2792" s="1645"/>
    </row>
    <row r="2793" spans="1:8">
      <c r="A2793" s="1620" t="str">
        <f>INDEX(Lists!$C$4:$C$24,MATCH(Validation!$B$3,Lists!$B$4:$B$24,0))</f>
        <v>TMS</v>
      </c>
      <c r="B2793" s="1732" t="str">
        <f>'4Q'!D7</f>
        <v>BN2115</v>
      </c>
      <c r="C2793" t="str">
        <f>'4Q'!C7&amp;" - "&amp;'4Q'!C$5</f>
        <v>Residential properties billed for measured water (not external meter) - Properties and population</v>
      </c>
      <c r="D2793" s="1798" t="str">
        <f>'4Q'!E7</f>
        <v>000</v>
      </c>
      <c r="E2793" s="1636" t="s">
        <v>9</v>
      </c>
      <c r="F2793"/>
      <c r="G2793" s="1791">
        <f>'4Q'!G7</f>
        <v>267.02082000000001</v>
      </c>
      <c r="H2793" s="1636"/>
    </row>
    <row r="2794" spans="1:8">
      <c r="A2794" s="1620" t="str">
        <f>INDEX(Lists!$C$4:$C$24,MATCH(Validation!$B$3,Lists!$B$4:$B$24,0))</f>
        <v>TMS</v>
      </c>
      <c r="B2794" s="1732" t="str">
        <f>'4Q'!D8</f>
        <v>BN2210</v>
      </c>
      <c r="C2794" t="str">
        <f>'4Q'!C8&amp;" - "&amp;'4Q'!C$5</f>
        <v>Business properties billed measured water - Properties and population</v>
      </c>
      <c r="D2794" s="1798" t="str">
        <f>'4Q'!E8</f>
        <v>000</v>
      </c>
      <c r="E2794" s="1636" t="s">
        <v>9</v>
      </c>
      <c r="F2794"/>
      <c r="G2794" s="1791">
        <f>'4Q'!G8</f>
        <v>163.37899999999999</v>
      </c>
      <c r="H2794" s="1636"/>
    </row>
    <row r="2795" spans="1:8">
      <c r="A2795" s="1620" t="str">
        <f>INDEX(Lists!$C$4:$C$24,MATCH(Validation!$B$3,Lists!$B$4:$B$24,0))</f>
        <v>TMS</v>
      </c>
      <c r="B2795" s="1732" t="str">
        <f>'4Q'!D9</f>
        <v>BN2100</v>
      </c>
      <c r="C2795" t="str">
        <f>'4Q'!C9&amp;" - "&amp;'4Q'!C$5</f>
        <v>Residential properties billed for unmeasured water - Properties and population</v>
      </c>
      <c r="D2795" s="1798" t="str">
        <f>'4Q'!E9</f>
        <v>000</v>
      </c>
      <c r="E2795" s="1636" t="s">
        <v>9</v>
      </c>
      <c r="F2795"/>
      <c r="G2795" s="1791">
        <f>'4Q'!G9</f>
        <v>2117.4765000000002</v>
      </c>
      <c r="H2795" s="1636"/>
    </row>
    <row r="2796" spans="1:8">
      <c r="A2796" s="1620" t="str">
        <f>INDEX(Lists!$C$4:$C$24,MATCH(Validation!$B$3,Lists!$B$4:$B$24,0))</f>
        <v>TMS</v>
      </c>
      <c r="B2796" s="1732" t="str">
        <f>'4Q'!D10</f>
        <v>BN2200</v>
      </c>
      <c r="C2796" t="str">
        <f>'4Q'!C10&amp;" - "&amp;'4Q'!C$5</f>
        <v>Business properties billed unmeasured water - Properties and population</v>
      </c>
      <c r="D2796" s="1798" t="str">
        <f>'4Q'!E10</f>
        <v>000</v>
      </c>
      <c r="E2796" s="1636" t="s">
        <v>9</v>
      </c>
      <c r="F2796"/>
      <c r="G2796" s="1791">
        <f>'4Q'!G10</f>
        <v>35.801000000000002</v>
      </c>
      <c r="H2796" s="1636"/>
    </row>
    <row r="2797" spans="1:8">
      <c r="A2797" s="1620" t="str">
        <f>INDEX(Lists!$C$4:$C$24,MATCH(Validation!$B$3,Lists!$B$4:$B$24,0))</f>
        <v>TMS</v>
      </c>
      <c r="B2797" s="1732" t="str">
        <f>'4Q'!D11</f>
        <v>BN2221</v>
      </c>
      <c r="C2797" t="str">
        <f>'4Q'!C11&amp;" - "&amp;'4Q'!C$5</f>
        <v>Total business connected properties at year end - Properties and population</v>
      </c>
      <c r="D2797" s="1798" t="str">
        <f>'4Q'!E11</f>
        <v>000s</v>
      </c>
      <c r="E2797" s="1636" t="s">
        <v>9</v>
      </c>
      <c r="F2797"/>
      <c r="G2797" s="1791">
        <f>'4Q'!G11</f>
        <v>218.953</v>
      </c>
      <c r="H2797" s="1636"/>
    </row>
    <row r="2798" spans="1:8">
      <c r="A2798" s="1620" t="str">
        <f>INDEX(Lists!$C$4:$C$24,MATCH(Validation!$B$3,Lists!$B$4:$B$24,0))</f>
        <v>TMS</v>
      </c>
      <c r="B2798" s="1732" t="str">
        <f>'4Q'!D12</f>
        <v>BN2161</v>
      </c>
      <c r="C2798" t="str">
        <f>'4Q'!C12&amp;" - "&amp;'4Q'!C$5</f>
        <v>Total residential connected properties at year end - Properties and population</v>
      </c>
      <c r="D2798" s="1798" t="str">
        <f>'4Q'!E12</f>
        <v>000s</v>
      </c>
      <c r="E2798" s="1636" t="s">
        <v>9</v>
      </c>
      <c r="F2798"/>
      <c r="G2798" s="1791">
        <f>'4Q'!G12</f>
        <v>3607.4690000000001</v>
      </c>
      <c r="H2798" s="1636"/>
    </row>
    <row r="2799" spans="1:8">
      <c r="A2799" s="1620" t="str">
        <f>INDEX(Lists!$C$4:$C$24,MATCH(Validation!$B$3,Lists!$B$4:$B$24,0))</f>
        <v>TMS</v>
      </c>
      <c r="B2799" s="1732" t="str">
        <f>'4Q'!D13</f>
        <v>BN1001</v>
      </c>
      <c r="C2799" t="str">
        <f>'4Q'!C13&amp;" - "&amp;'4Q'!C$5</f>
        <v>Total connected properties at year end - Properties and population</v>
      </c>
      <c r="D2799" s="1798" t="str">
        <f>'4Q'!E13</f>
        <v>000</v>
      </c>
      <c r="E2799" s="1636" t="s">
        <v>9</v>
      </c>
      <c r="F2799"/>
      <c r="G2799" s="1791">
        <f>'4Q'!G13</f>
        <v>3826.422</v>
      </c>
      <c r="H2799" s="1636"/>
    </row>
    <row r="2800" spans="1:8">
      <c r="A2800" s="1620" t="str">
        <f>INDEX(Lists!$C$4:$C$24,MATCH(Validation!$B$3,Lists!$B$4:$B$24,0))</f>
        <v>TMS</v>
      </c>
      <c r="B2800" s="1732" t="str">
        <f>'4Q'!D14</f>
        <v>BN1765</v>
      </c>
      <c r="C2800" t="str">
        <f>'4Q'!C14&amp;" - "&amp;'4Q'!C$5</f>
        <v>Number of residential meters renewed - Properties and population</v>
      </c>
      <c r="D2800" s="1798" t="str">
        <f>'4Q'!E14</f>
        <v>000</v>
      </c>
      <c r="E2800" s="1636" t="s">
        <v>9</v>
      </c>
      <c r="F2800"/>
      <c r="G2800" s="1791">
        <f>'4Q'!G14</f>
        <v>19.11</v>
      </c>
      <c r="H2800" s="1636"/>
    </row>
    <row r="2801" spans="1:8">
      <c r="A2801" s="1620" t="str">
        <f>INDEX(Lists!$C$4:$C$24,MATCH(Validation!$B$3,Lists!$B$4:$B$24,0))</f>
        <v>TMS</v>
      </c>
      <c r="B2801" s="1732" t="str">
        <f>'4Q'!D15</f>
        <v>BN1767</v>
      </c>
      <c r="C2801" t="str">
        <f>'4Q'!C15&amp;" - "&amp;'4Q'!C$5</f>
        <v>Number of business meters renewed - Properties and population</v>
      </c>
      <c r="D2801" s="1798" t="str">
        <f>'4Q'!E15</f>
        <v>000s</v>
      </c>
      <c r="E2801" s="1636" t="s">
        <v>9</v>
      </c>
      <c r="F2801"/>
      <c r="G2801" s="1791">
        <f>'4Q'!G15</f>
        <v>0.55300000000000005</v>
      </c>
      <c r="H2801" s="1636"/>
    </row>
    <row r="2802" spans="1:8">
      <c r="A2802" s="1620" t="str">
        <f>INDEX(Lists!$C$4:$C$24,MATCH(Validation!$B$3,Lists!$B$4:$B$24,0))</f>
        <v>TMS</v>
      </c>
      <c r="B2802" s="1732" t="str">
        <f>'4Q'!D16</f>
        <v>BN1715</v>
      </c>
      <c r="C2802" t="str">
        <f>'4Q'!C16&amp;" - "&amp;'4Q'!C$5</f>
        <v>Number of meters installed at request of optants - Properties and population</v>
      </c>
      <c r="D2802" s="1798" t="str">
        <f>'4Q'!E16</f>
        <v>000</v>
      </c>
      <c r="E2802" s="1636" t="s">
        <v>9</v>
      </c>
      <c r="F2802"/>
      <c r="G2802" s="1791">
        <f>'4Q'!G16</f>
        <v>16.559000000000001</v>
      </c>
      <c r="H2802" s="1636"/>
    </row>
    <row r="2803" spans="1:8">
      <c r="A2803" s="1620" t="str">
        <f>INDEX(Lists!$C$4:$C$24,MATCH(Validation!$B$3,Lists!$B$4:$B$24,0))</f>
        <v>TMS</v>
      </c>
      <c r="B2803" s="1732" t="str">
        <f>'4Q'!D17</f>
        <v>BN1711</v>
      </c>
      <c r="C2803" t="str">
        <f>'4Q'!C17&amp;" - "&amp;'4Q'!C$5</f>
        <v>Number of selective meters installed - Properties and population</v>
      </c>
      <c r="D2803" s="1798" t="str">
        <f>'4Q'!E17</f>
        <v>000</v>
      </c>
      <c r="E2803" s="1636" t="s">
        <v>9</v>
      </c>
      <c r="F2803"/>
      <c r="G2803" s="1791">
        <f>'4Q'!G17</f>
        <v>98.052999999999997</v>
      </c>
      <c r="H2803" s="1636"/>
    </row>
    <row r="2804" spans="1:8">
      <c r="A2804" s="1620" t="str">
        <f>INDEX(Lists!$C$4:$C$24,MATCH(Validation!$B$3,Lists!$B$4:$B$24,0))</f>
        <v>TMS</v>
      </c>
      <c r="B2804" s="1732" t="str">
        <f>'4Q'!D18</f>
        <v>BP3405</v>
      </c>
      <c r="C2804" t="str">
        <f>'4Q'!C18&amp;" - "&amp;'4Q'!C$5</f>
        <v>Total number of new business connections - Properties and population</v>
      </c>
      <c r="D2804" s="1798" t="str">
        <f>'4Q'!E18</f>
        <v>000</v>
      </c>
      <c r="E2804" s="1636" t="s">
        <v>9</v>
      </c>
      <c r="F2804"/>
      <c r="G2804" s="1791">
        <f>'4Q'!G18</f>
        <v>2.883</v>
      </c>
      <c r="H2804" s="1636"/>
    </row>
    <row r="2805" spans="1:8">
      <c r="A2805" s="1620" t="str">
        <f>INDEX(Lists!$C$4:$C$24,MATCH(Validation!$B$3,Lists!$B$4:$B$24,0))</f>
        <v>TMS</v>
      </c>
      <c r="B2805" s="1732" t="str">
        <f>'4Q'!D19</f>
        <v>BP3400</v>
      </c>
      <c r="C2805" t="str">
        <f>'4Q'!C19&amp;" - "&amp;'4Q'!C$5</f>
        <v>Total number of new residential connections - Properties and population</v>
      </c>
      <c r="D2805" s="1798" t="str">
        <f>'4Q'!E19</f>
        <v>000</v>
      </c>
      <c r="E2805" s="1636" t="s">
        <v>9</v>
      </c>
      <c r="F2805"/>
      <c r="G2805" s="1791">
        <f>'4Q'!G19</f>
        <v>36.027999999999999</v>
      </c>
      <c r="H2805" s="1636"/>
    </row>
    <row r="2806" spans="1:8">
      <c r="A2806" s="1620" t="str">
        <f>INDEX(Lists!$C$4:$C$24,MATCH(Validation!$B$3,Lists!$B$4:$B$24,0))</f>
        <v>TMS</v>
      </c>
      <c r="B2806" s="1732" t="str">
        <f>'4Q'!D20</f>
        <v>BN2590</v>
      </c>
      <c r="C2806" t="str">
        <f>'4Q'!C20&amp;" - "&amp;'4Q'!C$5</f>
        <v>Total population served - Properties and population</v>
      </c>
      <c r="D2806" s="1798" t="str">
        <f>'4Q'!E20</f>
        <v>000</v>
      </c>
      <c r="E2806" s="1636" t="s">
        <v>9</v>
      </c>
      <c r="F2806"/>
      <c r="G2806" s="1791">
        <f>'4Q'!G20</f>
        <v>10012.826999999999</v>
      </c>
      <c r="H2806" s="1636"/>
    </row>
    <row r="2807" spans="1:8">
      <c r="A2807" s="1620" t="str">
        <f>INDEX(Lists!$C$4:$C$24,MATCH(Validation!$B$3,Lists!$B$4:$B$24,0))</f>
        <v>TMS</v>
      </c>
      <c r="B2807" s="1732" t="str">
        <f>'4Q'!D21</f>
        <v>BN11630</v>
      </c>
      <c r="C2807" t="str">
        <f>'4Q'!C21&amp;" - "&amp;'4Q'!C$5</f>
        <v>Number of business meters (billed properties) - Properties and population</v>
      </c>
      <c r="D2807" s="1798" t="str">
        <f>'4Q'!E21</f>
        <v>000</v>
      </c>
      <c r="E2807" s="1636" t="s">
        <v>9</v>
      </c>
      <c r="F2807"/>
      <c r="G2807" s="1791">
        <f>'4Q'!G21</f>
        <v>198.78399999999999</v>
      </c>
      <c r="H2807" s="1636"/>
    </row>
    <row r="2808" spans="1:8">
      <c r="A2808" s="1620" t="str">
        <f>INDEX(Lists!$C$4:$C$24,MATCH(Validation!$B$3,Lists!$B$4:$B$24,0))</f>
        <v>TMS</v>
      </c>
      <c r="B2808" s="1732" t="str">
        <f>'4Q'!D22</f>
        <v>BN11640</v>
      </c>
      <c r="C2808" t="str">
        <f>'4Q'!C22&amp;" - "&amp;'4Q'!C$5</f>
        <v>Number of residential meters (billed properties) - Properties and population</v>
      </c>
      <c r="D2808" s="1798" t="str">
        <f>'4Q'!E22</f>
        <v>000</v>
      </c>
      <c r="E2808" s="1636" t="s">
        <v>9</v>
      </c>
      <c r="F2808"/>
      <c r="G2808" s="1791">
        <f>'4Q'!G22</f>
        <v>1486.3520000000001</v>
      </c>
      <c r="H2808" s="1636"/>
    </row>
    <row r="2809" spans="1:8">
      <c r="A2809" s="1620" t="str">
        <f>INDEX(Lists!$C$4:$C$24,MATCH(Validation!$B$3,Lists!$B$4:$B$24,0))</f>
        <v>TMS</v>
      </c>
      <c r="B2809" s="1732" t="str">
        <f>'4Q'!D23</f>
        <v>SYS03</v>
      </c>
      <c r="C2809" t="str">
        <f>'4Q'!C23&amp;" - "&amp;'4Q'!C$5</f>
        <v>Company area - Properties and population</v>
      </c>
      <c r="D2809" s="1798" t="str">
        <f>'4Q'!E23</f>
        <v>km2</v>
      </c>
      <c r="E2809" s="1636" t="s">
        <v>9</v>
      </c>
      <c r="F2809"/>
      <c r="G2809" s="1792">
        <f>'4Q'!G23</f>
        <v>8008</v>
      </c>
      <c r="H2809" s="1636"/>
    </row>
    <row r="2810" spans="1:8">
      <c r="A2810" s="1620" t="str">
        <f>INDEX(Lists!$C$4:$C$24,MATCH(Validation!$B$3,Lists!$B$4:$B$24,0))</f>
        <v>TMS</v>
      </c>
      <c r="B2810" s="1732" t="str">
        <f>'4Q'!D26</f>
        <v>BN1231</v>
      </c>
      <c r="C2810" t="str">
        <f>'4Q'!C26</f>
        <v>Number of lead communication pipes replaced for water quality</v>
      </c>
      <c r="D2810" s="1798" t="str">
        <f>'4Q'!E26</f>
        <v>nr</v>
      </c>
      <c r="E2810" s="1636" t="s">
        <v>9</v>
      </c>
      <c r="F2810"/>
      <c r="G2810" s="1792">
        <f>'4Q'!G26</f>
        <v>7591</v>
      </c>
      <c r="H2810" s="1636"/>
    </row>
    <row r="2811" spans="1:8">
      <c r="A2811" s="1620" t="str">
        <f>INDEX(Lists!$C$4:$C$24,MATCH(Validation!$B$3,Lists!$B$4:$B$24,0))</f>
        <v>TMS</v>
      </c>
      <c r="B2811" s="1732" t="str">
        <f>'4Q'!D27</f>
        <v>W3007SO</v>
      </c>
      <c r="C2811" t="str">
        <f>'4Q'!C27</f>
        <v>Total supply side enhancements to the supply demand balance (dry year critical / peak conditions)</v>
      </c>
      <c r="D2811" s="1798" t="str">
        <f>'4Q'!E27</f>
        <v>Ml/d</v>
      </c>
      <c r="E2811" s="1636" t="s">
        <v>9</v>
      </c>
      <c r="F2811"/>
      <c r="G2811" s="1793">
        <f>'4Q'!G27</f>
        <v>0</v>
      </c>
      <c r="H2811" s="1636"/>
    </row>
    <row r="2812" spans="1:8">
      <c r="A2812" s="1620" t="str">
        <f>INDEX(Lists!$C$4:$C$24,MATCH(Validation!$B$3,Lists!$B$4:$B$24,0))</f>
        <v>TMS</v>
      </c>
      <c r="B2812" s="1732" t="str">
        <f>'4Q'!D28</f>
        <v>W3008SO</v>
      </c>
      <c r="C2812" t="str">
        <f>'4Q'!C28</f>
        <v>Total supply side enhancements to the supply demand balance (dry year annual average conditions)</v>
      </c>
      <c r="D2812" s="1798" t="str">
        <f>'4Q'!E28</f>
        <v>Ml/d</v>
      </c>
      <c r="E2812" s="1636" t="s">
        <v>9</v>
      </c>
      <c r="F2812"/>
      <c r="G2812" s="1793">
        <f>'4Q'!G28</f>
        <v>0</v>
      </c>
      <c r="H2812" s="1636"/>
    </row>
    <row r="2813" spans="1:8">
      <c r="A2813" s="1620" t="str">
        <f>INDEX(Lists!$C$4:$C$24,MATCH(Validation!$B$3,Lists!$B$4:$B$24,0))</f>
        <v>TMS</v>
      </c>
      <c r="B2813" s="1732" t="str">
        <f>'4Q'!D29</f>
        <v>W3007DO</v>
      </c>
      <c r="C2813" t="str">
        <f>'4Q'!C29</f>
        <v>Total demand side enhancements to the supply demand balance (dry year critical / peak conditions)</v>
      </c>
      <c r="D2813" s="1798" t="str">
        <f>'4Q'!E29</f>
        <v>Ml/d</v>
      </c>
      <c r="E2813" s="1636" t="s">
        <v>9</v>
      </c>
      <c r="F2813"/>
      <c r="G2813" s="1793">
        <f>'4Q'!G29</f>
        <v>8.7100000000000009</v>
      </c>
      <c r="H2813" s="1636"/>
    </row>
    <row r="2814" spans="1:8">
      <c r="A2814" s="1620" t="str">
        <f>INDEX(Lists!$C$4:$C$24,MATCH(Validation!$B$3,Lists!$B$4:$B$24,0))</f>
        <v>TMS</v>
      </c>
      <c r="B2814" s="1732" t="str">
        <f>'4Q'!D30</f>
        <v>W3008DO</v>
      </c>
      <c r="C2814" t="str">
        <f>'4Q'!C30</f>
        <v>Total demand side enhancements to the supply demand balance (dry year annual average conditions)</v>
      </c>
      <c r="D2814" s="1798" t="str">
        <f>'4Q'!E30</f>
        <v>Ml/d</v>
      </c>
      <c r="E2814" s="1636" t="s">
        <v>9</v>
      </c>
      <c r="F2814"/>
      <c r="G2814" s="1793">
        <f>'4Q'!G30</f>
        <v>4.25</v>
      </c>
      <c r="H2814" s="1636"/>
    </row>
    <row r="2815" spans="1:8">
      <c r="A2815" s="1620" t="str">
        <f>INDEX(Lists!$C$4:$C$24,MATCH(Validation!$B$3,Lists!$B$4:$B$24,0))</f>
        <v>TMS</v>
      </c>
      <c r="B2815" s="1732" t="str">
        <f>'4Q'!D31</f>
        <v>BM902ECWW</v>
      </c>
      <c r="C2815" t="str">
        <f>'4Q'!C31</f>
        <v>Energy consumption - network plus</v>
      </c>
      <c r="D2815" s="1798" t="str">
        <f>'4Q'!E31</f>
        <v>MWh</v>
      </c>
      <c r="E2815" s="1636" t="s">
        <v>9</v>
      </c>
      <c r="F2815"/>
      <c r="G2815" s="1792">
        <f>'4Q'!G31</f>
        <v>418037.13799999998</v>
      </c>
      <c r="H2815" s="1636"/>
    </row>
    <row r="2816" spans="1:8">
      <c r="A2816" s="1620" t="str">
        <f>INDEX(Lists!$C$4:$C$24,MATCH(Validation!$B$3,Lists!$B$4:$B$24,0))</f>
        <v>TMS</v>
      </c>
      <c r="B2816" s="1732" t="str">
        <f>'4Q'!D32</f>
        <v>BM902ECNP</v>
      </c>
      <c r="C2816" t="str">
        <f>'4Q'!C32</f>
        <v>Energy consumption - water resources</v>
      </c>
      <c r="D2816" s="1798" t="str">
        <f>'4Q'!E32</f>
        <v>MWh</v>
      </c>
      <c r="E2816" s="1636" t="s">
        <v>9</v>
      </c>
      <c r="F2816"/>
      <c r="G2816" s="1792">
        <f>'4Q'!G32</f>
        <v>140141.027</v>
      </c>
      <c r="H2816" s="1636"/>
    </row>
    <row r="2817" spans="1:8">
      <c r="A2817" s="1620" t="str">
        <f>INDEX(Lists!$C$4:$C$24,MATCH(Validation!$B$3,Lists!$B$4:$B$24,0))</f>
        <v>TMS</v>
      </c>
      <c r="B2817" s="1732" t="str">
        <f>'4Q'!D34</f>
        <v>BN4850W</v>
      </c>
      <c r="C2817" t="str">
        <f>'4Q'!C34</f>
        <v>Peak factor</v>
      </c>
      <c r="D2817" s="1798" t="str">
        <f>'4Q'!E34</f>
        <v>%</v>
      </c>
      <c r="E2817" s="1636" t="s">
        <v>9</v>
      </c>
      <c r="F2817"/>
      <c r="G2817" s="1800">
        <f>'4Q'!G34</f>
        <v>1.1245000000000001</v>
      </c>
      <c r="H2817" s="1636"/>
    </row>
    <row r="2818" spans="1:8">
      <c r="A2818" s="1620" t="str">
        <f>INDEX(Lists!$C$4:$C$24,MATCH(Validation!$B$3,Lists!$B$4:$B$24,0))</f>
        <v>TMS</v>
      </c>
      <c r="B2818" s="1732" t="str">
        <f>'4Q'!D35</f>
        <v>QEBW0180</v>
      </c>
      <c r="C2818" t="str">
        <f>'4Q'!C35</f>
        <v>Mean Zonal Compliance</v>
      </c>
      <c r="D2818" s="1798" t="str">
        <f>'4Q'!E35</f>
        <v>%</v>
      </c>
      <c r="E2818" s="1636" t="s">
        <v>9</v>
      </c>
      <c r="F2818"/>
      <c r="G2818" s="1800">
        <f>'4Q'!G35</f>
        <v>0.99960000000000004</v>
      </c>
      <c r="H2818" s="1636"/>
    </row>
    <row r="2819" spans="1:8" ht="15" thickBot="1">
      <c r="A2819" s="1621" t="str">
        <f>INDEX(Lists!$C$4:$C$24,MATCH(Validation!$B$3,Lists!$B$4:$B$24,0))</f>
        <v>TMS</v>
      </c>
      <c r="B2819" s="1733" t="str">
        <f>'4Q'!D36</f>
        <v>BN2341</v>
      </c>
      <c r="C2819" s="1622" t="str">
        <f>'4Q'!C36</f>
        <v>Volume of Leakage above or below the sustainable economic Level</v>
      </c>
      <c r="D2819" s="1798" t="str">
        <f>'4Q'!E36</f>
        <v>Ml</v>
      </c>
      <c r="E2819" s="1636" t="s">
        <v>9</v>
      </c>
      <c r="F2819" s="1622"/>
      <c r="G2819" s="1797">
        <f>'4Q'!G36</f>
        <v>74.75</v>
      </c>
      <c r="H2819" s="1649"/>
    </row>
    <row r="2820" spans="1:8">
      <c r="A2820" s="1618" t="str">
        <f>INDEX(Lists!$C$4:$C$24,MATCH(Validation!$B$3,Lists!$B$4:$B$24,0))</f>
        <v>TMS</v>
      </c>
      <c r="B2820" s="1731" t="str">
        <f>'4R'!D6</f>
        <v>S4002</v>
      </c>
      <c r="C2820" s="1619" t="str">
        <f>'4R'!C6&amp;" - "&amp;'4R'!C$5</f>
        <v>Connectable properties served by s101A schemes completed in the report year - Wastewater network</v>
      </c>
      <c r="D2820" s="1618" t="str">
        <f>'4R'!E6</f>
        <v>nr</v>
      </c>
      <c r="E2820" s="1645" t="s">
        <v>9</v>
      </c>
      <c r="F2820" s="1619"/>
      <c r="G2820" s="1790">
        <f>'4R'!G6</f>
        <v>0</v>
      </c>
      <c r="H2820" s="1645"/>
    </row>
    <row r="2821" spans="1:8">
      <c r="A2821" s="1620" t="str">
        <f>INDEX(Lists!$C$4:$C$24,MATCH(Validation!$B$3,Lists!$B$4:$B$24,0))</f>
        <v>TMS</v>
      </c>
      <c r="B2821" s="1732" t="str">
        <f>'4R'!D7</f>
        <v>S4002A</v>
      </c>
      <c r="C2821" t="str">
        <f>'4R'!C7&amp;" - "&amp;'4R'!C$5</f>
        <v>Number of s101A schemes completed in the report year - Wastewater network</v>
      </c>
      <c r="D2821" s="1620" t="str">
        <f>'4R'!E7</f>
        <v>Nr</v>
      </c>
      <c r="E2821" s="1636" t="s">
        <v>9</v>
      </c>
      <c r="F2821"/>
      <c r="G2821" s="1792">
        <f>'4R'!G7</f>
        <v>0</v>
      </c>
      <c r="H2821" s="1636"/>
    </row>
    <row r="2822" spans="1:8">
      <c r="A2822" s="1620" t="str">
        <f>INDEX(Lists!$C$4:$C$24,MATCH(Validation!$B$3,Lists!$B$4:$B$24,0))</f>
        <v>TMS</v>
      </c>
      <c r="B2822" s="1732" t="str">
        <f>'4R'!D8</f>
        <v>S4029</v>
      </c>
      <c r="C2822" t="str">
        <f>'4R'!C8&amp;" - "&amp;'4R'!C$5</f>
        <v>Total pumping station capacity - Wastewater network</v>
      </c>
      <c r="D2822" s="1620" t="str">
        <f>'4R'!E8</f>
        <v>kW</v>
      </c>
      <c r="E2822" s="1636" t="s">
        <v>9</v>
      </c>
      <c r="F2822"/>
      <c r="G2822" s="1792">
        <f>'4R'!G8</f>
        <v>144319</v>
      </c>
      <c r="H2822" s="1636"/>
    </row>
    <row r="2823" spans="1:8">
      <c r="A2823" s="1620" t="str">
        <f>INDEX(Lists!$C$4:$C$24,MATCH(Validation!$B$3,Lists!$B$4:$B$24,0))</f>
        <v>TMS</v>
      </c>
      <c r="B2823" s="1732" t="str">
        <f>'4R'!D9</f>
        <v>S6019</v>
      </c>
      <c r="C2823" t="str">
        <f>'4R'!C9&amp;" - "&amp;'4R'!C$5</f>
        <v>Number of network pumping stations - Wastewater network</v>
      </c>
      <c r="D2823" s="1620" t="str">
        <f>'4R'!E9</f>
        <v>nr</v>
      </c>
      <c r="E2823" s="1636" t="s">
        <v>9</v>
      </c>
      <c r="F2823"/>
      <c r="G2823" s="1792">
        <f>'4R'!G9</f>
        <v>6958</v>
      </c>
      <c r="H2823" s="1636"/>
    </row>
    <row r="2824" spans="1:8">
      <c r="A2824" s="1620" t="str">
        <f>INDEX(Lists!$C$4:$C$24,MATCH(Validation!$B$3,Lists!$B$4:$B$24,0))</f>
        <v>TMS</v>
      </c>
      <c r="B2824" s="1732" t="str">
        <f>'4R'!D10</f>
        <v>BN13522</v>
      </c>
      <c r="C2824" t="str">
        <f>'4R'!C10&amp;" - "&amp;'4R'!C$5</f>
        <v>Total number of sewer blockages - Wastewater network</v>
      </c>
      <c r="D2824" s="1620" t="str">
        <f>'4R'!E10</f>
        <v>nr</v>
      </c>
      <c r="E2824" s="1636" t="s">
        <v>9</v>
      </c>
      <c r="F2824"/>
      <c r="G2824" s="1792">
        <f>'4R'!G10</f>
        <v>77402</v>
      </c>
      <c r="H2824" s="1636"/>
    </row>
    <row r="2825" spans="1:8">
      <c r="A2825" s="1620" t="str">
        <f>INDEX(Lists!$C$4:$C$24,MATCH(Validation!$B$3,Lists!$B$4:$B$24,0))</f>
        <v>TMS</v>
      </c>
      <c r="B2825" s="1732" t="str">
        <f>'4R'!D11</f>
        <v>BN13521</v>
      </c>
      <c r="C2825" t="str">
        <f>'4R'!C11&amp;" - "&amp;'4R'!C$5</f>
        <v>Total number of gravity sewer collapses - Wastewater network</v>
      </c>
      <c r="D2825" s="1620" t="str">
        <f>'4R'!E11</f>
        <v>nr</v>
      </c>
      <c r="E2825" s="1636" t="s">
        <v>9</v>
      </c>
      <c r="F2825"/>
      <c r="G2825" s="1792">
        <f>'4R'!G11</f>
        <v>251</v>
      </c>
      <c r="H2825" s="1636"/>
    </row>
    <row r="2826" spans="1:8">
      <c r="A2826" s="1620" t="str">
        <f>INDEX(Lists!$C$4:$C$24,MATCH(Validation!$B$3,Lists!$B$4:$B$24,0))</f>
        <v>TMS</v>
      </c>
      <c r="B2826" s="1732" t="str">
        <f>'4R'!D12</f>
        <v>BN13520</v>
      </c>
      <c r="C2826" t="str">
        <f>'4R'!C12&amp;" - "&amp;'4R'!C$5</f>
        <v>Total number of sewer rising main bursts / collapses - Wastewater network</v>
      </c>
      <c r="D2826" s="1620" t="str">
        <f>'4R'!E12</f>
        <v>nr</v>
      </c>
      <c r="E2826" s="1636" t="s">
        <v>9</v>
      </c>
      <c r="F2826"/>
      <c r="G2826" s="1792">
        <f>'4R'!G12</f>
        <v>70</v>
      </c>
      <c r="H2826" s="1636"/>
    </row>
    <row r="2827" spans="1:8">
      <c r="A2827" s="1620" t="str">
        <f>INDEX(Lists!$C$4:$C$24,MATCH(Validation!$B$3,Lists!$B$4:$B$24,0))</f>
        <v>TMS</v>
      </c>
      <c r="B2827" s="1732" t="str">
        <f>'4R'!D13</f>
        <v>CPMS2005</v>
      </c>
      <c r="C2827" t="str">
        <f>'4R'!C13&amp;" - "&amp;'4R'!C$5</f>
        <v>Number of combined sewer overflows - Wastewater network</v>
      </c>
      <c r="D2827" s="1620" t="str">
        <f>'4R'!E13</f>
        <v>nr</v>
      </c>
      <c r="E2827" s="1636" t="s">
        <v>9</v>
      </c>
      <c r="F2827"/>
      <c r="G2827" s="1792">
        <f>'4R'!G13</f>
        <v>423</v>
      </c>
      <c r="H2827" s="1636"/>
    </row>
    <row r="2828" spans="1:8">
      <c r="A2828" s="1620" t="str">
        <f>INDEX(Lists!$C$4:$C$24,MATCH(Validation!$B$3,Lists!$B$4:$B$24,0))</f>
        <v>TMS</v>
      </c>
      <c r="B2828" s="1732" t="str">
        <f>'4R'!D14</f>
        <v>CPMS2004</v>
      </c>
      <c r="C2828" t="str">
        <f>'4R'!C14&amp;" - "&amp;'4R'!C$5</f>
        <v>Number of emergency overflows - Wastewater network</v>
      </c>
      <c r="D2828" s="1620" t="str">
        <f>'4R'!E14</f>
        <v>nr</v>
      </c>
      <c r="E2828" s="1636" t="s">
        <v>9</v>
      </c>
      <c r="F2828"/>
      <c r="G2828" s="1792">
        <f>'4R'!G14</f>
        <v>18</v>
      </c>
      <c r="H2828" s="1636"/>
    </row>
    <row r="2829" spans="1:8">
      <c r="A2829" s="1620" t="str">
        <f>INDEX(Lists!$C$4:$C$24,MATCH(Validation!$B$3,Lists!$B$4:$B$24,0))</f>
        <v>TMS</v>
      </c>
      <c r="B2829" s="1732" t="str">
        <f>'4R'!D15</f>
        <v>CPMS2014</v>
      </c>
      <c r="C2829" t="str">
        <f>'4R'!C15&amp;" - "&amp;'4R'!C$5</f>
        <v>Number of settled storm overflows  - Wastewater network</v>
      </c>
      <c r="D2829" s="1620" t="str">
        <f>'4R'!E15</f>
        <v>nr</v>
      </c>
      <c r="E2829" s="1636" t="s">
        <v>9</v>
      </c>
      <c r="F2829"/>
      <c r="G2829" s="1792">
        <f>'4R'!G15</f>
        <v>237</v>
      </c>
      <c r="H2829" s="1636"/>
    </row>
    <row r="2830" spans="1:8">
      <c r="A2830" s="1620" t="str">
        <f>INDEX(Lists!$C$4:$C$24,MATCH(Validation!$B$3,Lists!$B$4:$B$24,0))</f>
        <v>TMS</v>
      </c>
      <c r="B2830" s="1732" t="str">
        <f>'4R'!D16</f>
        <v>BB2370</v>
      </c>
      <c r="C2830" t="str">
        <f>'4R'!C16&amp;" - "&amp;'4R'!C$5</f>
        <v>Sewer age profile (constructed post 2001) - Wastewater network</v>
      </c>
      <c r="D2830" s="1620" t="str">
        <f>'4R'!E16</f>
        <v>km</v>
      </c>
      <c r="E2830" s="1636" t="s">
        <v>9</v>
      </c>
      <c r="F2830"/>
      <c r="G2830" s="1792">
        <f>'4R'!G16</f>
        <v>10356</v>
      </c>
      <c r="H2830" s="1636"/>
    </row>
    <row r="2831" spans="1:8">
      <c r="A2831" s="1620" t="str">
        <f>INDEX(Lists!$C$4:$C$24,MATCH(Validation!$B$3,Lists!$B$4:$B$24,0))</f>
        <v>TMS</v>
      </c>
      <c r="B2831" s="1732" t="str">
        <f>'4R'!D17</f>
        <v>CPMS2012</v>
      </c>
      <c r="C2831" t="str">
        <f>'4R'!C17&amp;" - "&amp;'4R'!C$5</f>
        <v>Volume of trade effluent  - Wastewater network</v>
      </c>
      <c r="D2831" s="1620" t="str">
        <f>'4R'!E17</f>
        <v>Ml/yr</v>
      </c>
      <c r="E2831" s="1636" t="s">
        <v>9</v>
      </c>
      <c r="F2831"/>
      <c r="G2831" s="1793">
        <f>'4R'!G17</f>
        <v>22037.02</v>
      </c>
      <c r="H2831" s="1636"/>
    </row>
    <row r="2832" spans="1:8">
      <c r="A2832" s="1620" t="str">
        <f>INDEX(Lists!$C$4:$C$24,MATCH(Validation!$B$3,Lists!$B$4:$B$24,0))</f>
        <v>TMS</v>
      </c>
      <c r="B2832" s="1732" t="str">
        <f>'4R'!D18</f>
        <v>CPMS2015</v>
      </c>
      <c r="C2832" t="str">
        <f>'4R'!C18&amp;" - "&amp;'4R'!C$5</f>
        <v>Volume of wastewater receiving treatment at sewage treatment works - Wastewater network</v>
      </c>
      <c r="D2832" s="1620" t="str">
        <f>'4R'!E18</f>
        <v>Ml/yr</v>
      </c>
      <c r="E2832" s="1636" t="s">
        <v>9</v>
      </c>
      <c r="F2832"/>
      <c r="G2832" s="1793">
        <f>'4R'!G18</f>
        <v>1613153.24</v>
      </c>
      <c r="H2832" s="1636"/>
    </row>
    <row r="2833" spans="1:8">
      <c r="A2833" s="1620" t="str">
        <f>INDEX(Lists!$C$4:$C$24,MATCH(Validation!$B$3,Lists!$B$4:$B$24,0))</f>
        <v>TMS</v>
      </c>
      <c r="B2833" s="1732" t="str">
        <f>'4R'!D19</f>
        <v>BN13519</v>
      </c>
      <c r="C2833" t="str">
        <f>'4R'!C19&amp;" - "&amp;'4R'!C$5</f>
        <v>Length of gravity sewers rehabilitated - Wastewater network</v>
      </c>
      <c r="D2833" s="1620" t="str">
        <f>'4R'!E19</f>
        <v>km</v>
      </c>
      <c r="E2833" s="1636" t="s">
        <v>9</v>
      </c>
      <c r="F2833"/>
      <c r="G2833" s="1792">
        <f>'4R'!G19</f>
        <v>52</v>
      </c>
      <c r="H2833" s="1636"/>
    </row>
    <row r="2834" spans="1:8">
      <c r="A2834" s="1620" t="str">
        <f>INDEX(Lists!$C$4:$C$24,MATCH(Validation!$B$3,Lists!$B$4:$B$24,0))</f>
        <v>TMS</v>
      </c>
      <c r="B2834" s="1732" t="str">
        <f>'4R'!D20</f>
        <v>BN13523</v>
      </c>
      <c r="C2834" t="str">
        <f>'4R'!C20&amp;" - "&amp;'4R'!C$5</f>
        <v>Length of rising mains replaced or structurally refurbished - Wastewater network</v>
      </c>
      <c r="D2834" s="1620" t="str">
        <f>'4R'!E20</f>
        <v>km</v>
      </c>
      <c r="E2834" s="1636" t="s">
        <v>9</v>
      </c>
      <c r="F2834"/>
      <c r="G2834" s="1792">
        <f>'4R'!G20</f>
        <v>1</v>
      </c>
      <c r="H2834" s="1636"/>
    </row>
    <row r="2835" spans="1:8">
      <c r="A2835" s="1620" t="str">
        <f>INDEX(Lists!$C$4:$C$24,MATCH(Validation!$B$3,Lists!$B$4:$B$24,0))</f>
        <v>TMS</v>
      </c>
      <c r="B2835" s="1732" t="str">
        <f>'4R'!D21</f>
        <v>BN13524</v>
      </c>
      <c r="C2835" t="str">
        <f>'4R'!C21&amp;" - "&amp;'4R'!C$5</f>
        <v>Length of foul (only) public sewers - Wastewater network</v>
      </c>
      <c r="D2835" s="1620" t="str">
        <f>'4R'!E21</f>
        <v>km</v>
      </c>
      <c r="E2835" s="1636" t="s">
        <v>9</v>
      </c>
      <c r="F2835"/>
      <c r="G2835" s="1792">
        <f>'4R'!G21</f>
        <v>37299.14</v>
      </c>
      <c r="H2835" s="1636"/>
    </row>
    <row r="2836" spans="1:8">
      <c r="A2836" s="1620" t="str">
        <f>INDEX(Lists!$C$4:$C$24,MATCH(Validation!$B$3,Lists!$B$4:$B$24,0))</f>
        <v>TMS</v>
      </c>
      <c r="B2836" s="1732" t="str">
        <f>'4R'!D22</f>
        <v>BN13525</v>
      </c>
      <c r="C2836" t="str">
        <f>'4R'!C22&amp;" - "&amp;'4R'!C$5</f>
        <v>Length of surface water (only) public sewers - Wastewater network</v>
      </c>
      <c r="D2836" s="1620" t="str">
        <f>'4R'!E22</f>
        <v>km</v>
      </c>
      <c r="E2836" s="1636" t="s">
        <v>9</v>
      </c>
      <c r="F2836"/>
      <c r="G2836" s="1792">
        <f>'4R'!G22</f>
        <v>23284.44</v>
      </c>
      <c r="H2836" s="1636"/>
    </row>
    <row r="2837" spans="1:8">
      <c r="A2837" s="1620" t="str">
        <f>INDEX(Lists!$C$4:$C$24,MATCH(Validation!$B$3,Lists!$B$4:$B$24,0))</f>
        <v>TMS</v>
      </c>
      <c r="B2837" s="1732" t="str">
        <f>'4R'!D23</f>
        <v>BN13526</v>
      </c>
      <c r="C2837" t="str">
        <f>'4R'!C23&amp;" - "&amp;'4R'!C$5</f>
        <v>Length of combined public sewers - Wastewater network</v>
      </c>
      <c r="D2837" s="1620" t="str">
        <f>'4R'!E23</f>
        <v>km</v>
      </c>
      <c r="E2837" s="1636" t="s">
        <v>9</v>
      </c>
      <c r="F2837"/>
      <c r="G2837" s="1792">
        <f>'4R'!G23</f>
        <v>6020.21</v>
      </c>
      <c r="H2837" s="1636"/>
    </row>
    <row r="2838" spans="1:8">
      <c r="A2838" s="1620" t="str">
        <f>INDEX(Lists!$C$4:$C$24,MATCH(Validation!$B$3,Lists!$B$4:$B$24,0))</f>
        <v>TMS</v>
      </c>
      <c r="B2838" s="1732" t="str">
        <f>'4R'!D24</f>
        <v>BN13527</v>
      </c>
      <c r="C2838" t="str">
        <f>'4R'!C24&amp;" - "&amp;'4R'!C$5</f>
        <v>Length of rising mains - Wastewater network</v>
      </c>
      <c r="D2838" s="1620" t="str">
        <f>'4R'!E24</f>
        <v>km</v>
      </c>
      <c r="E2838" s="1636" t="s">
        <v>9</v>
      </c>
      <c r="F2838"/>
      <c r="G2838" s="1792">
        <f>'4R'!G24</f>
        <v>2011.4</v>
      </c>
      <c r="H2838" s="1636"/>
    </row>
    <row r="2839" spans="1:8">
      <c r="A2839" s="1620" t="str">
        <f>INDEX(Lists!$C$4:$C$24,MATCH(Validation!$B$3,Lists!$B$4:$B$24,0))</f>
        <v>TMS</v>
      </c>
      <c r="B2839" s="1732" t="str">
        <f>'4R'!D25</f>
        <v>BN13534</v>
      </c>
      <c r="C2839" t="str">
        <f>'4R'!C25&amp;" - "&amp;'4R'!C$5</f>
        <v>Length of other wastewater network pipework - Wastewater network</v>
      </c>
      <c r="D2839" s="1620" t="str">
        <f>'4R'!E25</f>
        <v>Km</v>
      </c>
      <c r="E2839" s="1636" t="s">
        <v>9</v>
      </c>
      <c r="F2839"/>
      <c r="G2839" s="1792">
        <f>'4R'!G25</f>
        <v>325.82</v>
      </c>
      <c r="H2839" s="1636"/>
    </row>
    <row r="2840" spans="1:8">
      <c r="A2840" s="1620" t="str">
        <f>INDEX(Lists!$C$4:$C$24,MATCH(Validation!$B$3,Lists!$B$4:$B$24,0))</f>
        <v>TMS</v>
      </c>
      <c r="B2840" s="1732" t="str">
        <f>'4R'!D27</f>
        <v>BN13528</v>
      </c>
      <c r="C2840" t="str">
        <f>'4R'!C27&amp;" - "&amp;'4R'!C$5</f>
        <v>Length of formerly private sewers and lateral drains (s105A sewers) - Wastewater network</v>
      </c>
      <c r="D2840" s="1620" t="str">
        <f>'4R'!E27</f>
        <v>km</v>
      </c>
      <c r="E2840" s="1636" t="s">
        <v>9</v>
      </c>
      <c r="F2840"/>
      <c r="G2840" s="1792">
        <f>'4R'!G27</f>
        <v>40038.769999999997</v>
      </c>
      <c r="H2840" s="1636"/>
    </row>
    <row r="2841" spans="1:8">
      <c r="A2841" s="1620" t="str">
        <f>INDEX(Lists!$C$4:$C$24,MATCH(Validation!$B$3,Lists!$B$4:$B$24,0))</f>
        <v>TMS</v>
      </c>
      <c r="B2841" s="1732" t="str">
        <f>'4R'!D30</f>
        <v>BP05613</v>
      </c>
      <c r="C2841" t="str">
        <f>'4R'!C30&amp;" - "&amp;'4R'!C$29</f>
        <v>Total sewage sludge produced, treated by incumbents - Sludge</v>
      </c>
      <c r="D2841" s="1620" t="str">
        <f>'4R'!E30</f>
        <v>ttds/ year</v>
      </c>
      <c r="E2841" s="1636" t="s">
        <v>9</v>
      </c>
      <c r="F2841"/>
      <c r="G2841" s="1803">
        <f>'4R'!G30</f>
        <v>366.21699999999998</v>
      </c>
      <c r="H2841" s="1636"/>
    </row>
    <row r="2842" spans="1:8">
      <c r="A2842" s="1620" t="str">
        <f>INDEX(Lists!$C$4:$C$24,MATCH(Validation!$B$3,Lists!$B$4:$B$24,0))</f>
        <v>TMS</v>
      </c>
      <c r="B2842" s="1732" t="str">
        <f>'4R'!D31</f>
        <v>MP05614</v>
      </c>
      <c r="C2842" t="str">
        <f>'4R'!C31&amp;" - "&amp;'4R'!C$29</f>
        <v>Total sewage sludge produced, treated by 3rd party sludge service provider - Sludge</v>
      </c>
      <c r="D2842" s="1620" t="str">
        <f>'4R'!E31</f>
        <v>ttds/ year</v>
      </c>
      <c r="E2842" s="1636" t="s">
        <v>9</v>
      </c>
      <c r="F2842"/>
      <c r="G2842" s="1803">
        <f>'4R'!G31</f>
        <v>0</v>
      </c>
      <c r="H2842" s="1636"/>
    </row>
    <row r="2843" spans="1:8">
      <c r="A2843" s="1620" t="str">
        <f>INDEX(Lists!$C$4:$C$24,MATCH(Validation!$B$3,Lists!$B$4:$B$24,0))</f>
        <v>TMS</v>
      </c>
      <c r="B2843" s="1732" t="str">
        <f>'4R'!D34</f>
        <v>MP05615</v>
      </c>
      <c r="C2843" t="str">
        <f>'4R'!C34&amp;" - "&amp;'4R'!C$29</f>
        <v>Percentage of sludge produced and treated at a site of STW and STC co-location - Sludge</v>
      </c>
      <c r="D2843" s="1620" t="str">
        <f>'4R'!E34</f>
        <v>%</v>
      </c>
      <c r="E2843" s="1636" t="s">
        <v>9</v>
      </c>
      <c r="F2843"/>
      <c r="G2843" s="1800">
        <f>'4R'!G34</f>
        <v>0.89710000000000001</v>
      </c>
      <c r="H2843" s="1636"/>
    </row>
    <row r="2844" spans="1:8">
      <c r="A2844" s="1620" t="str">
        <f>INDEX(Lists!$C$4:$C$24,MATCH(Validation!$B$3,Lists!$B$4:$B$24,0))</f>
        <v>TMS</v>
      </c>
      <c r="B2844" s="1732" t="str">
        <f>'4R'!D36</f>
        <v>BN1623</v>
      </c>
      <c r="C2844" t="str">
        <f>'4R'!C36&amp;" - "&amp;'4R'!C$29</f>
        <v>Total sewage sludge disposed by incumbents - Sludge</v>
      </c>
      <c r="D2844" s="1620" t="str">
        <f>'4R'!E36</f>
        <v>ttds/ year</v>
      </c>
      <c r="E2844" s="1636" t="s">
        <v>9</v>
      </c>
      <c r="F2844"/>
      <c r="G2844" s="1803">
        <f>'4R'!G36</f>
        <v>232.4</v>
      </c>
      <c r="H2844" s="1636"/>
    </row>
    <row r="2845" spans="1:8">
      <c r="A2845" s="1620" t="str">
        <f>INDEX(Lists!$C$4:$C$24,MATCH(Validation!$B$3,Lists!$B$4:$B$24,0))</f>
        <v>TMS</v>
      </c>
      <c r="B2845" s="1732" t="str">
        <f>'4R'!D37</f>
        <v>BN1622</v>
      </c>
      <c r="C2845" t="str">
        <f>'4R'!C37&amp;" - "&amp;'4R'!C$29</f>
        <v>Total sewage sludge disposed by 3rd party sludge service provider - Sludge</v>
      </c>
      <c r="D2845" s="1620" t="str">
        <f>'4R'!E37</f>
        <v>ttds/ year</v>
      </c>
      <c r="E2845" s="1636" t="s">
        <v>9</v>
      </c>
      <c r="F2845"/>
      <c r="G2845" s="1803">
        <f>'4R'!G37</f>
        <v>0</v>
      </c>
      <c r="H2845" s="1636"/>
    </row>
    <row r="2846" spans="1:8">
      <c r="A2846" s="1620" t="str">
        <f>INDEX(Lists!$C$4:$C$24,MATCH(Validation!$B$3,Lists!$B$4:$B$24,0))</f>
        <v>TMS</v>
      </c>
      <c r="B2846" s="1732" t="str">
        <f>'4R'!D40</f>
        <v>BN1640</v>
      </c>
      <c r="C2846" t="str">
        <f>'4R'!C40&amp;" - "&amp;'4R'!C$29</f>
        <v>Total measure of intersiting 'work' done by pipeline - Sludge</v>
      </c>
      <c r="D2846" s="1620" t="str">
        <f>'4R'!E40</f>
        <v>ttds*km/year</v>
      </c>
      <c r="E2846" s="1636" t="s">
        <v>9</v>
      </c>
      <c r="F2846"/>
      <c r="G2846" s="1792">
        <f>'4R'!G40</f>
        <v>103.25</v>
      </c>
      <c r="H2846" s="1636"/>
    </row>
    <row r="2847" spans="1:8">
      <c r="A2847" s="1620" t="str">
        <f>INDEX(Lists!$C$4:$C$24,MATCH(Validation!$B$3,Lists!$B$4:$B$24,0))</f>
        <v>TMS</v>
      </c>
      <c r="B2847" s="1732" t="str">
        <f>'4R'!D41</f>
        <v>BN1641</v>
      </c>
      <c r="C2847" t="str">
        <f>'4R'!C41&amp;" - "&amp;'4R'!C$29</f>
        <v>Total measure of intersiting 'work' done by tanker - Sludge</v>
      </c>
      <c r="D2847" s="1620" t="str">
        <f>'4R'!E41</f>
        <v>ttds*km/year</v>
      </c>
      <c r="E2847" s="1636" t="s">
        <v>9</v>
      </c>
      <c r="F2847"/>
      <c r="G2847" s="1792">
        <f>'4R'!G41</f>
        <v>697.59226999999998</v>
      </c>
      <c r="H2847" s="1636"/>
    </row>
    <row r="2848" spans="1:8">
      <c r="A2848" s="1620" t="str">
        <f>INDEX(Lists!$C$4:$C$24,MATCH(Validation!$B$3,Lists!$B$4:$B$24,0))</f>
        <v>TMS</v>
      </c>
      <c r="B2848" s="1732" t="str">
        <f>'4R'!D42</f>
        <v>BN1642</v>
      </c>
      <c r="C2848" t="str">
        <f>'4R'!C42&amp;" - "&amp;'4R'!C$29</f>
        <v>Total measure of intersiting 'work' done by truck - Sludge</v>
      </c>
      <c r="D2848" s="1620" t="str">
        <f>'4R'!E42</f>
        <v>ttds*km/year</v>
      </c>
      <c r="E2848" s="1636" t="s">
        <v>9</v>
      </c>
      <c r="F2848"/>
      <c r="G2848" s="1792">
        <f>'4R'!G42</f>
        <v>439.029</v>
      </c>
      <c r="H2848" s="1636"/>
    </row>
    <row r="2849" spans="1:8">
      <c r="A2849" s="1620" t="str">
        <f>INDEX(Lists!$C$4:$C$24,MATCH(Validation!$B$3,Lists!$B$4:$B$24,0))</f>
        <v>TMS</v>
      </c>
      <c r="B2849" s="1732" t="str">
        <f>'4R'!D45</f>
        <v>BN1644</v>
      </c>
      <c r="C2849" t="str">
        <f>'4R'!C45</f>
        <v>Total measure of intersiting 'work' done by tanker (by volume transported)</v>
      </c>
      <c r="D2849" s="1620" t="str">
        <f>'4R'!E45</f>
        <v>m3*km/year</v>
      </c>
      <c r="E2849" s="1636" t="s">
        <v>9</v>
      </c>
      <c r="F2849"/>
      <c r="G2849" s="1792">
        <f>'4R'!G45</f>
        <v>20120728</v>
      </c>
      <c r="H2849" s="1636"/>
    </row>
    <row r="2850" spans="1:8">
      <c r="A2850" s="1620" t="str">
        <f>INDEX(Lists!$C$4:$C$24,MATCH(Validation!$B$3,Lists!$B$4:$B$24,0))</f>
        <v>TMS</v>
      </c>
      <c r="B2850" s="1732" t="str">
        <f>'4R'!D47</f>
        <v>BN1648</v>
      </c>
      <c r="C2850" t="str">
        <f>'4R'!C47</f>
        <v>Total measure of 'work' done in sludge disposal operations by pipeline</v>
      </c>
      <c r="D2850" s="1620" t="str">
        <f>'4R'!E47</f>
        <v>ttds*km/year</v>
      </c>
      <c r="E2850" s="1636" t="s">
        <v>9</v>
      </c>
      <c r="F2850"/>
      <c r="G2850" s="1792">
        <f>'4R'!G47</f>
        <v>0</v>
      </c>
      <c r="H2850" s="1636"/>
    </row>
    <row r="2851" spans="1:8">
      <c r="A2851" s="1620" t="str">
        <f>INDEX(Lists!$C$4:$C$24,MATCH(Validation!$B$3,Lists!$B$4:$B$24,0))</f>
        <v>TMS</v>
      </c>
      <c r="B2851" s="1732" t="str">
        <f>'4R'!D48</f>
        <v>BN1645</v>
      </c>
      <c r="C2851" t="str">
        <f>'4R'!C48</f>
        <v>Total measure of 'work' done in sludge disposal operations by tanker</v>
      </c>
      <c r="D2851" s="1620" t="str">
        <f>'4R'!E48</f>
        <v>ttds*km/year</v>
      </c>
      <c r="E2851" s="1636" t="s">
        <v>9</v>
      </c>
      <c r="F2851"/>
      <c r="G2851" s="1792">
        <f>'4R'!G48</f>
        <v>0</v>
      </c>
      <c r="H2851" s="1636"/>
    </row>
    <row r="2852" spans="1:8">
      <c r="A2852" s="1620" t="str">
        <f>INDEX(Lists!$C$4:$C$24,MATCH(Validation!$B$3,Lists!$B$4:$B$24,0))</f>
        <v>TMS</v>
      </c>
      <c r="B2852" s="1732" t="str">
        <f>'4R'!D49</f>
        <v>BN1646</v>
      </c>
      <c r="C2852" t="str">
        <f>'4R'!C49</f>
        <v>Total measure of 'work' done in sludge disposal operations by truck</v>
      </c>
      <c r="D2852" s="1620" t="str">
        <f>'4R'!E49</f>
        <v>ttds*km/year</v>
      </c>
      <c r="E2852" s="1636" t="s">
        <v>9</v>
      </c>
      <c r="F2852"/>
      <c r="G2852" s="1792">
        <f>'4R'!G49</f>
        <v>11445.9</v>
      </c>
      <c r="H2852" s="1636"/>
    </row>
    <row r="2853" spans="1:8">
      <c r="A2853" s="1620" t="str">
        <f>INDEX(Lists!$C$4:$C$24,MATCH(Validation!$B$3,Lists!$B$4:$B$24,0))</f>
        <v>TMS</v>
      </c>
      <c r="B2853" s="1732" t="str">
        <f>'4R'!D52</f>
        <v>BN1649</v>
      </c>
      <c r="C2853" t="str">
        <f>'4R'!C52</f>
        <v>Total measure of 'work' done by tanker in sludge disposal operations (by volume transported)</v>
      </c>
      <c r="D2853" s="1620" t="str">
        <f>'4R'!E52</f>
        <v>m3*km/year</v>
      </c>
      <c r="E2853" s="1636" t="s">
        <v>9</v>
      </c>
      <c r="F2853"/>
      <c r="G2853" s="1792">
        <f>'4R'!G52</f>
        <v>0</v>
      </c>
      <c r="H2853" s="1636"/>
    </row>
    <row r="2854" spans="1:8" ht="15" thickBot="1">
      <c r="A2854" s="1621" t="str">
        <f>INDEX(Lists!$C$4:$C$24,MATCH(Validation!$B$3,Lists!$B$4:$B$24,0))</f>
        <v>TMS</v>
      </c>
      <c r="B2854" s="1733" t="str">
        <f>'4R'!D54</f>
        <v>MP05616</v>
      </c>
      <c r="C2854" s="1622" t="str">
        <f>'4R'!C54</f>
        <v>Chemical P sludge as percentage of sludge produced at STWs</v>
      </c>
      <c r="D2854" s="1621" t="str">
        <f>'4R'!E54</f>
        <v>%</v>
      </c>
      <c r="E2854" s="1649" t="s">
        <v>9</v>
      </c>
      <c r="F2854" s="1622"/>
      <c r="G2854" s="1804">
        <f>'4R'!G54</f>
        <v>0.36059999999999998</v>
      </c>
      <c r="H2854" s="1649"/>
    </row>
    <row r="2855" spans="1:8">
      <c r="A2855" s="1618" t="str">
        <f>INDEX(Lists!$C$4:$C$24,MATCH(Validation!$B$3,Lists!$B$4:$B$24,0))</f>
        <v>TMS</v>
      </c>
      <c r="B2855" s="1829" t="str">
        <f>'4S'!BS8</f>
        <v>STWD001</v>
      </c>
      <c r="C2855" s="1789" t="str">
        <f>'4S'!$C8&amp;" - "&amp;'4S'!G$4</f>
        <v>Load received by STWs in size band 1 - Primary</v>
      </c>
      <c r="D2855" s="1618" t="str">
        <f>'4S'!BQ8</f>
        <v>kg BOD5/day</v>
      </c>
      <c r="E2855" s="1645" t="s">
        <v>9</v>
      </c>
      <c r="F2855" s="1619"/>
      <c r="G2855" s="1790">
        <f>'4S'!G8</f>
        <v>4.9425899340527941</v>
      </c>
      <c r="H2855" s="1645"/>
    </row>
    <row r="2856" spans="1:8">
      <c r="A2856" s="1620" t="str">
        <f>INDEX(Lists!$C$4:$C$24,MATCH(Validation!$B$3,Lists!$B$4:$B$24,0))</f>
        <v>TMS</v>
      </c>
      <c r="B2856" s="1824" t="str">
        <f>'4S'!BS9</f>
        <v>STWD015</v>
      </c>
      <c r="C2856" s="1788" t="str">
        <f>'4S'!$C9&amp;" - "&amp;'4S'!G$4</f>
        <v>Load received by STWs in size band 2 - Primary</v>
      </c>
      <c r="D2856" s="1620" t="str">
        <f>'4S'!BQ9</f>
        <v>kg BOD5/day</v>
      </c>
      <c r="E2856" s="1636" t="s">
        <v>9</v>
      </c>
      <c r="F2856"/>
      <c r="G2856" s="1792">
        <f>'4S'!G9</f>
        <v>0</v>
      </c>
      <c r="H2856" s="1636"/>
    </row>
    <row r="2857" spans="1:8">
      <c r="A2857" s="1620" t="str">
        <f>INDEX(Lists!$C$4:$C$24,MATCH(Validation!$B$3,Lists!$B$4:$B$24,0))</f>
        <v>TMS</v>
      </c>
      <c r="B2857" s="1824" t="str">
        <f>'4S'!BS10</f>
        <v>STWD029</v>
      </c>
      <c r="C2857" s="1788" t="str">
        <f>'4S'!$C10&amp;" - "&amp;'4S'!G$4</f>
        <v>Load received by STWs in size band 3 - Primary</v>
      </c>
      <c r="D2857" s="1620" t="str">
        <f>'4S'!BQ10</f>
        <v>kg BOD5/day</v>
      </c>
      <c r="E2857" s="1636" t="s">
        <v>9</v>
      </c>
      <c r="F2857"/>
      <c r="G2857" s="1792">
        <f>'4S'!G10</f>
        <v>0</v>
      </c>
      <c r="H2857" s="1636"/>
    </row>
    <row r="2858" spans="1:8">
      <c r="A2858" s="1620" t="str">
        <f>INDEX(Lists!$C$4:$C$24,MATCH(Validation!$B$3,Lists!$B$4:$B$24,0))</f>
        <v>TMS</v>
      </c>
      <c r="B2858" s="1824" t="str">
        <f>'4S'!BS11</f>
        <v>STWD043</v>
      </c>
      <c r="C2858" s="1788" t="str">
        <f>'4S'!$C11&amp;" - "&amp;'4S'!G$4</f>
        <v>Load received by STWs in size band 4 - Primary</v>
      </c>
      <c r="D2858" s="1620" t="str">
        <f>'4S'!BQ11</f>
        <v>kg BOD5/day</v>
      </c>
      <c r="E2858" s="1636" t="s">
        <v>9</v>
      </c>
      <c r="F2858"/>
      <c r="G2858" s="1792">
        <f>'4S'!G11</f>
        <v>0</v>
      </c>
      <c r="H2858" s="1636"/>
    </row>
    <row r="2859" spans="1:8">
      <c r="A2859" s="1620" t="str">
        <f>INDEX(Lists!$C$4:$C$24,MATCH(Validation!$B$3,Lists!$B$4:$B$24,0))</f>
        <v>TMS</v>
      </c>
      <c r="B2859" s="1824" t="str">
        <f>'4S'!BS12</f>
        <v>STWD057</v>
      </c>
      <c r="C2859" s="1788" t="str">
        <f>'4S'!$C12&amp;" - "&amp;'4S'!G$4</f>
        <v>Load received by STWs in size band 5 - Primary</v>
      </c>
      <c r="D2859" s="1620" t="str">
        <f>'4S'!BQ12</f>
        <v>kg BOD5/day</v>
      </c>
      <c r="E2859" s="1636" t="s">
        <v>9</v>
      </c>
      <c r="F2859"/>
      <c r="G2859" s="1792">
        <f>'4S'!G12</f>
        <v>0</v>
      </c>
      <c r="H2859" s="1636"/>
    </row>
    <row r="2860" spans="1:8">
      <c r="A2860" s="1620" t="str">
        <f>INDEX(Lists!$C$4:$C$24,MATCH(Validation!$B$3,Lists!$B$4:$B$24,0))</f>
        <v>TMS</v>
      </c>
      <c r="B2860" s="1824" t="str">
        <f>'4S'!BS13</f>
        <v>STWD101</v>
      </c>
      <c r="C2860" s="1788" t="str">
        <f>'4S'!$C13&amp;" - "&amp;'4S'!G$4</f>
        <v>Load received by STWs above size band 5 - Primary</v>
      </c>
      <c r="D2860" s="1620" t="str">
        <f>'4S'!BQ13</f>
        <v>kg BOD5/day</v>
      </c>
      <c r="E2860" s="1636" t="s">
        <v>9</v>
      </c>
      <c r="F2860"/>
      <c r="G2860" s="1792">
        <f>'4S'!G13</f>
        <v>0</v>
      </c>
      <c r="H2860" s="1636"/>
    </row>
    <row r="2861" spans="1:8">
      <c r="A2861" s="1620" t="str">
        <f>INDEX(Lists!$C$4:$C$24,MATCH(Validation!$B$3,Lists!$B$4:$B$24,0))</f>
        <v>TMS</v>
      </c>
      <c r="B2861" s="1824" t="str">
        <f>'4S'!BS18</f>
        <v>STWC001</v>
      </c>
      <c r="C2861" s="1788" t="str">
        <f>'4S'!$C18&amp;" - "&amp;'4S'!G$4</f>
        <v>STWs in size band 1 - Primary</v>
      </c>
      <c r="D2861" s="1620" t="str">
        <f>'4S'!BQ18</f>
        <v>nr</v>
      </c>
      <c r="E2861" s="1636" t="s">
        <v>9</v>
      </c>
      <c r="F2861"/>
      <c r="G2861" s="1792">
        <f>'4S'!G18</f>
        <v>2</v>
      </c>
      <c r="H2861" s="1636"/>
    </row>
    <row r="2862" spans="1:8">
      <c r="A2862" s="1620" t="str">
        <f>INDEX(Lists!$C$4:$C$24,MATCH(Validation!$B$3,Lists!$B$4:$B$24,0))</f>
        <v>TMS</v>
      </c>
      <c r="B2862" s="1824" t="str">
        <f>'4S'!BS19</f>
        <v>STWC015</v>
      </c>
      <c r="C2862" s="1788" t="str">
        <f>'4S'!$C19&amp;" - "&amp;'4S'!G$4</f>
        <v>STWs in size band 2 - Primary</v>
      </c>
      <c r="D2862" s="1620" t="str">
        <f>'4S'!BQ19</f>
        <v>nr</v>
      </c>
      <c r="E2862" s="1636" t="s">
        <v>9</v>
      </c>
      <c r="F2862"/>
      <c r="G2862" s="1792">
        <f>'4S'!G19</f>
        <v>0</v>
      </c>
      <c r="H2862" s="1636"/>
    </row>
    <row r="2863" spans="1:8">
      <c r="A2863" s="1620" t="str">
        <f>INDEX(Lists!$C$4:$C$24,MATCH(Validation!$B$3,Lists!$B$4:$B$24,0))</f>
        <v>TMS</v>
      </c>
      <c r="B2863" s="1824" t="str">
        <f>'4S'!BS20</f>
        <v>STWC029</v>
      </c>
      <c r="C2863" s="1788" t="str">
        <f>'4S'!$C20&amp;" - "&amp;'4S'!G$4</f>
        <v>STWs in size band 3 - Primary</v>
      </c>
      <c r="D2863" s="1620" t="str">
        <f>'4S'!BQ20</f>
        <v>nr</v>
      </c>
      <c r="E2863" s="1636" t="s">
        <v>9</v>
      </c>
      <c r="F2863"/>
      <c r="G2863" s="1792">
        <f>'4S'!G20</f>
        <v>0</v>
      </c>
      <c r="H2863" s="1636"/>
    </row>
    <row r="2864" spans="1:8">
      <c r="A2864" s="1620" t="str">
        <f>INDEX(Lists!$C$4:$C$24,MATCH(Validation!$B$3,Lists!$B$4:$B$24,0))</f>
        <v>TMS</v>
      </c>
      <c r="B2864" s="1824" t="str">
        <f>'4S'!BS21</f>
        <v>STWC043</v>
      </c>
      <c r="C2864" s="1788" t="str">
        <f>'4S'!$C21&amp;" - "&amp;'4S'!G$4</f>
        <v>STWs in size band 4 - Primary</v>
      </c>
      <c r="D2864" s="1620" t="str">
        <f>'4S'!BQ21</f>
        <v>nr</v>
      </c>
      <c r="E2864" s="1636" t="s">
        <v>9</v>
      </c>
      <c r="F2864"/>
      <c r="G2864" s="1792">
        <f>'4S'!G21</f>
        <v>0</v>
      </c>
      <c r="H2864" s="1636"/>
    </row>
    <row r="2865" spans="1:8">
      <c r="A2865" s="1620" t="str">
        <f>INDEX(Lists!$C$4:$C$24,MATCH(Validation!$B$3,Lists!$B$4:$B$24,0))</f>
        <v>TMS</v>
      </c>
      <c r="B2865" s="1824" t="str">
        <f>'4S'!BS22</f>
        <v>STWC057</v>
      </c>
      <c r="C2865" s="1788" t="str">
        <f>'4S'!$C22&amp;" - "&amp;'4S'!G$4</f>
        <v>STWs in size band 5 - Primary</v>
      </c>
      <c r="D2865" s="1620" t="str">
        <f>'4S'!BQ22</f>
        <v>nr</v>
      </c>
      <c r="E2865" s="1636" t="s">
        <v>9</v>
      </c>
      <c r="F2865"/>
      <c r="G2865" s="1792">
        <f>'4S'!G22</f>
        <v>0</v>
      </c>
      <c r="H2865" s="1636"/>
    </row>
    <row r="2866" spans="1:8">
      <c r="A2866" s="1730" t="str">
        <f>INDEX(Lists!$C$4:$C$24,MATCH(Validation!$B$3,Lists!$B$4:$B$24,0))</f>
        <v>TMS</v>
      </c>
      <c r="B2866" s="1828" t="str">
        <f>'4S'!BS23</f>
        <v>STWC101</v>
      </c>
      <c r="C2866" s="1825" t="str">
        <f>'4S'!$C23&amp;" - "&amp;'4S'!G$4</f>
        <v>STWs above size band 5 - Primary</v>
      </c>
      <c r="D2866" s="1730" t="str">
        <f>'4S'!BQ23</f>
        <v>nr</v>
      </c>
      <c r="E2866" s="1652" t="s">
        <v>9</v>
      </c>
      <c r="F2866" s="1819"/>
      <c r="G2866" s="1826">
        <f>'4S'!G23</f>
        <v>0</v>
      </c>
      <c r="H2866" s="1652"/>
    </row>
    <row r="2867" spans="1:8">
      <c r="A2867" s="1620" t="str">
        <f>INDEX(Lists!$C$4:$C$24,MATCH(Validation!$B$3,Lists!$B$4:$B$24,0))</f>
        <v>TMS</v>
      </c>
      <c r="B2867" s="1824" t="str">
        <f>'4S'!BT8</f>
        <v>STWD002</v>
      </c>
      <c r="C2867" s="1788" t="str">
        <f>'4S'!$C8&amp;" - "&amp;'4S'!H$4&amp;" - "&amp;'4S'!H$5</f>
        <v>Load received by STWs in size band 1 - Secondary - Activated Sludge</v>
      </c>
      <c r="D2867" s="1620" t="str">
        <f t="shared" ref="D2867:D2878" si="62">+D2855</f>
        <v>kg BOD5/day</v>
      </c>
      <c r="E2867" s="1636" t="s">
        <v>9</v>
      </c>
      <c r="F2867"/>
      <c r="G2867" s="1792">
        <f>'4S'!H8</f>
        <v>50.242649160861184</v>
      </c>
      <c r="H2867" s="1636"/>
    </row>
    <row r="2868" spans="1:8">
      <c r="A2868" s="1620" t="str">
        <f>INDEX(Lists!$C$4:$C$24,MATCH(Validation!$B$3,Lists!$B$4:$B$24,0))</f>
        <v>TMS</v>
      </c>
      <c r="B2868" s="1824" t="str">
        <f>'4S'!BT9</f>
        <v>STWD016</v>
      </c>
      <c r="C2868" s="1788" t="str">
        <f>'4S'!$C9&amp;" - "&amp;'4S'!H$4&amp;" - "&amp;'4S'!H$5</f>
        <v>Load received by STWs in size band 2 - Secondary - Activated Sludge</v>
      </c>
      <c r="D2868" s="1620" t="str">
        <f t="shared" si="62"/>
        <v>kg BOD5/day</v>
      </c>
      <c r="E2868" s="1636" t="s">
        <v>9</v>
      </c>
      <c r="F2868"/>
      <c r="G2868" s="1792">
        <f>'4S'!H9</f>
        <v>82.188744429626098</v>
      </c>
      <c r="H2868" s="1636"/>
    </row>
    <row r="2869" spans="1:8">
      <c r="A2869" s="1620" t="str">
        <f>INDEX(Lists!$C$4:$C$24,MATCH(Validation!$B$3,Lists!$B$4:$B$24,0))</f>
        <v>TMS</v>
      </c>
      <c r="B2869" s="1824" t="str">
        <f>'4S'!BT10</f>
        <v>STWD030</v>
      </c>
      <c r="C2869" s="1788" t="str">
        <f>'4S'!$C10&amp;" - "&amp;'4S'!H$4&amp;" - "&amp;'4S'!H$5</f>
        <v>Load received by STWs in size band 3 - Secondary - Activated Sludge</v>
      </c>
      <c r="D2869" s="1620" t="str">
        <f t="shared" si="62"/>
        <v>kg BOD5/day</v>
      </c>
      <c r="E2869" s="1636" t="s">
        <v>9</v>
      </c>
      <c r="F2869"/>
      <c r="G2869" s="1792">
        <f>'4S'!H10</f>
        <v>206.27838281721051</v>
      </c>
      <c r="H2869" s="1636"/>
    </row>
    <row r="2870" spans="1:8">
      <c r="A2870" s="1620" t="str">
        <f>INDEX(Lists!$C$4:$C$24,MATCH(Validation!$B$3,Lists!$B$4:$B$24,0))</f>
        <v>TMS</v>
      </c>
      <c r="B2870" s="1824" t="str">
        <f>'4S'!BT11</f>
        <v>STWD044</v>
      </c>
      <c r="C2870" s="1788" t="str">
        <f>'4S'!$C11&amp;" - "&amp;'4S'!H$4&amp;" - "&amp;'4S'!H$5</f>
        <v>Load received by STWs in size band 4 - Secondary - Activated Sludge</v>
      </c>
      <c r="D2870" s="1620" t="str">
        <f t="shared" si="62"/>
        <v>kg BOD5/day</v>
      </c>
      <c r="E2870" s="1636" t="s">
        <v>9</v>
      </c>
      <c r="F2870"/>
      <c r="G2870" s="1792">
        <f>'4S'!H11</f>
        <v>3036.2728954912636</v>
      </c>
      <c r="H2870" s="1636"/>
    </row>
    <row r="2871" spans="1:8">
      <c r="A2871" s="1620" t="str">
        <f>INDEX(Lists!$C$4:$C$24,MATCH(Validation!$B$3,Lists!$B$4:$B$24,0))</f>
        <v>TMS</v>
      </c>
      <c r="B2871" s="1824" t="str">
        <f>'4S'!BT12</f>
        <v>STWD058</v>
      </c>
      <c r="C2871" s="1788" t="str">
        <f>'4S'!$C12&amp;" - "&amp;'4S'!H$4&amp;" - "&amp;'4S'!H$5</f>
        <v>Load received by STWs in size band 5 - Secondary - Activated Sludge</v>
      </c>
      <c r="D2871" s="1620" t="str">
        <f t="shared" si="62"/>
        <v>kg BOD5/day</v>
      </c>
      <c r="E2871" s="1636" t="s">
        <v>9</v>
      </c>
      <c r="F2871"/>
      <c r="G2871" s="1792">
        <f>'4S'!H12</f>
        <v>0</v>
      </c>
      <c r="H2871" s="1636"/>
    </row>
    <row r="2872" spans="1:8">
      <c r="A2872" s="1620" t="str">
        <f>INDEX(Lists!$C$4:$C$24,MATCH(Validation!$B$3,Lists!$B$4:$B$24,0))</f>
        <v>TMS</v>
      </c>
      <c r="B2872" s="1824" t="str">
        <f>'4S'!BT13</f>
        <v>STWD102</v>
      </c>
      <c r="C2872" s="1788" t="str">
        <f>'4S'!$C13&amp;" - "&amp;'4S'!H$4&amp;" - "&amp;'4S'!H$5</f>
        <v>Load received by STWs above size band 5 - Secondary - Activated Sludge</v>
      </c>
      <c r="D2872" s="1620" t="str">
        <f t="shared" si="62"/>
        <v>kg BOD5/day</v>
      </c>
      <c r="E2872" s="1636" t="s">
        <v>9</v>
      </c>
      <c r="F2872"/>
      <c r="G2872" s="1792">
        <f>'4S'!H13</f>
        <v>564941.81134668097</v>
      </c>
      <c r="H2872" s="1636"/>
    </row>
    <row r="2873" spans="1:8">
      <c r="A2873" s="1620" t="str">
        <f>INDEX(Lists!$C$4:$C$24,MATCH(Validation!$B$3,Lists!$B$4:$B$24,0))</f>
        <v>TMS</v>
      </c>
      <c r="B2873" s="1824" t="str">
        <f>'4S'!BT18</f>
        <v>STWC002</v>
      </c>
      <c r="C2873" s="1788" t="str">
        <f>'4S'!$C18&amp;" - "&amp;'4S'!H$4&amp;" - "&amp;'4S'!H$5</f>
        <v>STWs in size band 1 - Secondary - Activated Sludge</v>
      </c>
      <c r="D2873" s="1620" t="str">
        <f t="shared" si="62"/>
        <v>nr</v>
      </c>
      <c r="E2873" s="1636" t="s">
        <v>9</v>
      </c>
      <c r="F2873"/>
      <c r="G2873" s="1792">
        <f>'4S'!H18</f>
        <v>8</v>
      </c>
      <c r="H2873" s="1636"/>
    </row>
    <row r="2874" spans="1:8">
      <c r="A2874" s="1620" t="str">
        <f>INDEX(Lists!$C$4:$C$24,MATCH(Validation!$B$3,Lists!$B$4:$B$24,0))</f>
        <v>TMS</v>
      </c>
      <c r="B2874" s="1824" t="str">
        <f>'4S'!BT19</f>
        <v>STWC016</v>
      </c>
      <c r="C2874" s="1788" t="str">
        <f>'4S'!$C19&amp;" - "&amp;'4S'!H$4&amp;" - "&amp;'4S'!H$5</f>
        <v>STWs in size band 2 - Secondary - Activated Sludge</v>
      </c>
      <c r="D2874" s="1620" t="str">
        <f t="shared" si="62"/>
        <v>nr</v>
      </c>
      <c r="E2874" s="1636" t="s">
        <v>9</v>
      </c>
      <c r="F2874"/>
      <c r="G2874" s="1792">
        <f>'4S'!H19</f>
        <v>4</v>
      </c>
      <c r="H2874" s="1636"/>
    </row>
    <row r="2875" spans="1:8">
      <c r="A2875" s="1620" t="str">
        <f>INDEX(Lists!$C$4:$C$24,MATCH(Validation!$B$3,Lists!$B$4:$B$24,0))</f>
        <v>TMS</v>
      </c>
      <c r="B2875" s="1824" t="str">
        <f>'4S'!BT20</f>
        <v>STWC030</v>
      </c>
      <c r="C2875" s="1788" t="str">
        <f>'4S'!$C20&amp;" - "&amp;'4S'!H$4&amp;" - "&amp;'4S'!H$5</f>
        <v>STWs in size band 3 - Secondary - Activated Sludge</v>
      </c>
      <c r="D2875" s="1620" t="str">
        <f t="shared" si="62"/>
        <v>nr</v>
      </c>
      <c r="E2875" s="1636" t="s">
        <v>9</v>
      </c>
      <c r="F2875"/>
      <c r="G2875" s="1792">
        <f>'4S'!H20</f>
        <v>4</v>
      </c>
      <c r="H2875" s="1636"/>
    </row>
    <row r="2876" spans="1:8">
      <c r="A2876" s="1620" t="str">
        <f>INDEX(Lists!$C$4:$C$24,MATCH(Validation!$B$3,Lists!$B$4:$B$24,0))</f>
        <v>TMS</v>
      </c>
      <c r="B2876" s="1824" t="str">
        <f>'4S'!BT21</f>
        <v>STWC044</v>
      </c>
      <c r="C2876" s="1788" t="str">
        <f>'4S'!$C21&amp;" - "&amp;'4S'!H$4&amp;" - "&amp;'4S'!H$5</f>
        <v>STWs in size band 4 - Secondary - Activated Sludge</v>
      </c>
      <c r="D2876" s="1620" t="str">
        <f t="shared" si="62"/>
        <v>nr</v>
      </c>
      <c r="E2876" s="1636" t="s">
        <v>9</v>
      </c>
      <c r="F2876"/>
      <c r="G2876" s="1792">
        <f>'4S'!H21</f>
        <v>10</v>
      </c>
      <c r="H2876" s="1636"/>
    </row>
    <row r="2877" spans="1:8">
      <c r="A2877" s="1620" t="str">
        <f>INDEX(Lists!$C$4:$C$24,MATCH(Validation!$B$3,Lists!$B$4:$B$24,0))</f>
        <v>TMS</v>
      </c>
      <c r="B2877" s="1824" t="str">
        <f>'4S'!BT22</f>
        <v>STWC058</v>
      </c>
      <c r="C2877" s="1788" t="str">
        <f>'4S'!$C22&amp;" - "&amp;'4S'!H$4&amp;" - "&amp;'4S'!H$5</f>
        <v>STWs in size band 5 - Secondary - Activated Sludge</v>
      </c>
      <c r="D2877" s="1620" t="str">
        <f t="shared" si="62"/>
        <v>nr</v>
      </c>
      <c r="E2877" s="1636" t="s">
        <v>9</v>
      </c>
      <c r="F2877"/>
      <c r="G2877" s="1792">
        <f>'4S'!H22</f>
        <v>0</v>
      </c>
      <c r="H2877" s="1636"/>
    </row>
    <row r="2878" spans="1:8">
      <c r="A2878" s="1730" t="str">
        <f>INDEX(Lists!$C$4:$C$24,MATCH(Validation!$B$3,Lists!$B$4:$B$24,0))</f>
        <v>TMS</v>
      </c>
      <c r="B2878" s="1828" t="str">
        <f>'4S'!BT23</f>
        <v>STWC102</v>
      </c>
      <c r="C2878" s="1825" t="str">
        <f>'4S'!$C23&amp;" - "&amp;'4S'!H$4&amp;" - "&amp;'4S'!I$5</f>
        <v>STWs above size band 5 - Secondary - Biological</v>
      </c>
      <c r="D2878" s="1730" t="str">
        <f t="shared" si="62"/>
        <v>nr</v>
      </c>
      <c r="E2878" s="1652" t="s">
        <v>9</v>
      </c>
      <c r="F2878" s="1819"/>
      <c r="G2878" s="1826">
        <f>'4S'!H23</f>
        <v>6</v>
      </c>
      <c r="H2878" s="1652"/>
    </row>
    <row r="2879" spans="1:8">
      <c r="A2879" s="1620" t="str">
        <f>INDEX(Lists!$C$4:$C$24,MATCH(Validation!$B$3,Lists!$B$4:$B$24,0))</f>
        <v>TMS</v>
      </c>
      <c r="B2879" s="1824" t="str">
        <f>'4S'!BU8</f>
        <v>STWD003</v>
      </c>
      <c r="C2879" s="1788" t="str">
        <f>'4S'!$C8&amp;" - "&amp;'4S'!H$4&amp;" - "&amp;'4S'!I$5</f>
        <v>Load received by STWs in size band 1 - Secondary - Biological</v>
      </c>
      <c r="D2879" s="1620" t="str">
        <f t="shared" ref="D2879:D2930" si="63">+D2867</f>
        <v>kg BOD5/day</v>
      </c>
      <c r="E2879" s="1636" t="s">
        <v>9</v>
      </c>
      <c r="F2879"/>
      <c r="G2879" s="1792">
        <f>'4S'!I8</f>
        <v>267.5044664091368</v>
      </c>
      <c r="H2879" s="1636"/>
    </row>
    <row r="2880" spans="1:8">
      <c r="A2880" s="1620" t="str">
        <f>INDEX(Lists!$C$4:$C$24,MATCH(Validation!$B$3,Lists!$B$4:$B$24,0))</f>
        <v>TMS</v>
      </c>
      <c r="B2880" s="1824" t="str">
        <f>'4S'!BU9</f>
        <v>STWD017</v>
      </c>
      <c r="C2880" s="1788" t="str">
        <f>'4S'!$C9&amp;" - "&amp;'4S'!H$4&amp;" - "&amp;'4S'!I$5</f>
        <v>Load received by STWs in size band 2 - Secondary - Biological</v>
      </c>
      <c r="D2880" s="1620" t="str">
        <f t="shared" si="63"/>
        <v>kg BOD5/day</v>
      </c>
      <c r="E2880" s="1636" t="s">
        <v>9</v>
      </c>
      <c r="F2880"/>
      <c r="G2880" s="1792">
        <f>'4S'!I9</f>
        <v>404.88574500967019</v>
      </c>
      <c r="H2880" s="1636"/>
    </row>
    <row r="2881" spans="1:8">
      <c r="A2881" s="1620" t="str">
        <f>INDEX(Lists!$C$4:$C$24,MATCH(Validation!$B$3,Lists!$B$4:$B$24,0))</f>
        <v>TMS</v>
      </c>
      <c r="B2881" s="1824" t="str">
        <f>'4S'!BU10</f>
        <v>STWD031</v>
      </c>
      <c r="C2881" s="1788" t="str">
        <f>'4S'!$C10&amp;" - "&amp;'4S'!H$4&amp;" - "&amp;'4S'!I$5</f>
        <v>Load received by STWs in size band 3 - Secondary - Biological</v>
      </c>
      <c r="D2881" s="1620" t="str">
        <f t="shared" si="63"/>
        <v>kg BOD5/day</v>
      </c>
      <c r="E2881" s="1636" t="s">
        <v>9</v>
      </c>
      <c r="F2881"/>
      <c r="G2881" s="1792">
        <f>'4S'!I10</f>
        <v>2345.7010779122511</v>
      </c>
      <c r="H2881" s="1636"/>
    </row>
    <row r="2882" spans="1:8">
      <c r="A2882" s="1620" t="str">
        <f>INDEX(Lists!$C$4:$C$24,MATCH(Validation!$B$3,Lists!$B$4:$B$24,0))</f>
        <v>TMS</v>
      </c>
      <c r="B2882" s="1824" t="str">
        <f>'4S'!BU11</f>
        <v>STWD045</v>
      </c>
      <c r="C2882" s="1788" t="str">
        <f>'4S'!$C11&amp;" - "&amp;'4S'!H$4&amp;" - "&amp;'4S'!I$5</f>
        <v>Load received by STWs in size band 4 - Secondary - Biological</v>
      </c>
      <c r="D2882" s="1620" t="str">
        <f t="shared" si="63"/>
        <v>kg BOD5/day</v>
      </c>
      <c r="E2882" s="1636" t="s">
        <v>9</v>
      </c>
      <c r="F2882"/>
      <c r="G2882" s="1792">
        <f>'4S'!I11</f>
        <v>4769.2739104003895</v>
      </c>
      <c r="H2882" s="1636"/>
    </row>
    <row r="2883" spans="1:8">
      <c r="A2883" s="1620" t="str">
        <f>INDEX(Lists!$C$4:$C$24,MATCH(Validation!$B$3,Lists!$B$4:$B$24,0))</f>
        <v>TMS</v>
      </c>
      <c r="B2883" s="1824" t="str">
        <f>'4S'!BU12</f>
        <v>STWD059</v>
      </c>
      <c r="C2883" s="1788" t="str">
        <f>'4S'!$C12&amp;" - "&amp;'4S'!H$4&amp;" - "&amp;'4S'!I$5</f>
        <v>Load received by STWs in size band 5 - Secondary - Biological</v>
      </c>
      <c r="D2883" s="1620" t="str">
        <f t="shared" si="63"/>
        <v>kg BOD5/day</v>
      </c>
      <c r="E2883" s="1636" t="s">
        <v>9</v>
      </c>
      <c r="F2883"/>
      <c r="G2883" s="1792">
        <f>'4S'!I12</f>
        <v>0</v>
      </c>
      <c r="H2883" s="1636"/>
    </row>
    <row r="2884" spans="1:8">
      <c r="A2884" s="1620" t="str">
        <f>INDEX(Lists!$C$4:$C$24,MATCH(Validation!$B$3,Lists!$B$4:$B$24,0))</f>
        <v>TMS</v>
      </c>
      <c r="B2884" s="1824" t="str">
        <f>'4S'!BU13</f>
        <v>STWD103</v>
      </c>
      <c r="C2884" s="1788" t="str">
        <f>'4S'!$C13&amp;" - "&amp;'4S'!H$4&amp;" - "&amp;'4S'!I$5</f>
        <v>Load received by STWs above size band 5 - Secondary - Biological</v>
      </c>
      <c r="D2884" s="1620" t="str">
        <f t="shared" si="63"/>
        <v>kg BOD5/day</v>
      </c>
      <c r="E2884" s="1636" t="s">
        <v>9</v>
      </c>
      <c r="F2884"/>
      <c r="G2884" s="1792">
        <f>'4S'!I13</f>
        <v>0</v>
      </c>
      <c r="H2884" s="1636"/>
    </row>
    <row r="2885" spans="1:8">
      <c r="A2885" s="1620" t="str">
        <f>INDEX(Lists!$C$4:$C$24,MATCH(Validation!$B$3,Lists!$B$4:$B$24,0))</f>
        <v>TMS</v>
      </c>
      <c r="B2885" s="1824" t="str">
        <f>'4S'!BU18</f>
        <v>STWC003</v>
      </c>
      <c r="C2885" s="1788" t="str">
        <f>'4S'!$C18&amp;" - "&amp;'4S'!H$4&amp;" - "&amp;'4S'!I$5</f>
        <v>STWs in size band 1 - Secondary - Biological</v>
      </c>
      <c r="D2885" s="1620" t="str">
        <f t="shared" si="63"/>
        <v>nr</v>
      </c>
      <c r="E2885" s="1636" t="s">
        <v>9</v>
      </c>
      <c r="F2885"/>
      <c r="G2885" s="1792">
        <f>'4S'!I18</f>
        <v>43</v>
      </c>
      <c r="H2885" s="1636"/>
    </row>
    <row r="2886" spans="1:8">
      <c r="A2886" s="1620" t="str">
        <f>INDEX(Lists!$C$4:$C$24,MATCH(Validation!$B$3,Lists!$B$4:$B$24,0))</f>
        <v>TMS</v>
      </c>
      <c r="B2886" s="1824" t="str">
        <f>'4S'!BU19</f>
        <v>STWC017</v>
      </c>
      <c r="C2886" s="1788" t="str">
        <f>'4S'!$C19&amp;" - "&amp;'4S'!H$4&amp;" - "&amp;'4S'!I$5</f>
        <v>STWs in size band 2 - Secondary - Biological</v>
      </c>
      <c r="D2886" s="1620" t="str">
        <f t="shared" si="63"/>
        <v>nr</v>
      </c>
      <c r="E2886" s="1636" t="s">
        <v>9</v>
      </c>
      <c r="F2886"/>
      <c r="G2886" s="1792">
        <f>'4S'!I19</f>
        <v>18</v>
      </c>
      <c r="H2886" s="1636"/>
    </row>
    <row r="2887" spans="1:8">
      <c r="A2887" s="1620" t="str">
        <f>INDEX(Lists!$C$4:$C$24,MATCH(Validation!$B$3,Lists!$B$4:$B$24,0))</f>
        <v>TMS</v>
      </c>
      <c r="B2887" s="1824" t="str">
        <f>'4S'!BU20</f>
        <v>STWC031</v>
      </c>
      <c r="C2887" s="1788" t="str">
        <f>'4S'!$C20&amp;" - "&amp;'4S'!H$4&amp;" - "&amp;'4S'!I$5</f>
        <v>STWs in size band 3 - Secondary - Biological</v>
      </c>
      <c r="D2887" s="1620" t="str">
        <f t="shared" si="63"/>
        <v>nr</v>
      </c>
      <c r="E2887" s="1636" t="s">
        <v>9</v>
      </c>
      <c r="F2887"/>
      <c r="G2887" s="1792">
        <f>'4S'!I20</f>
        <v>38</v>
      </c>
      <c r="H2887" s="1636"/>
    </row>
    <row r="2888" spans="1:8">
      <c r="A2888" s="1620" t="str">
        <f>INDEX(Lists!$C$4:$C$24,MATCH(Validation!$B$3,Lists!$B$4:$B$24,0))</f>
        <v>TMS</v>
      </c>
      <c r="B2888" s="1824" t="str">
        <f>'4S'!BU21</f>
        <v>STWC045</v>
      </c>
      <c r="C2888" s="1788" t="str">
        <f>'4S'!$C21&amp;" - "&amp;'4S'!H$4&amp;" - "&amp;'4S'!I$5</f>
        <v>STWs in size band 4 - Secondary - Biological</v>
      </c>
      <c r="D2888" s="1620" t="str">
        <f t="shared" si="63"/>
        <v>nr</v>
      </c>
      <c r="E2888" s="1636" t="s">
        <v>9</v>
      </c>
      <c r="F2888"/>
      <c r="G2888" s="1792">
        <f>'4S'!I21</f>
        <v>17</v>
      </c>
      <c r="H2888" s="1636"/>
    </row>
    <row r="2889" spans="1:8">
      <c r="A2889" s="1620" t="str">
        <f>INDEX(Lists!$C$4:$C$24,MATCH(Validation!$B$3,Lists!$B$4:$B$24,0))</f>
        <v>TMS</v>
      </c>
      <c r="B2889" s="1824" t="str">
        <f>'4S'!BU22</f>
        <v>STWC059</v>
      </c>
      <c r="C2889" s="1788" t="str">
        <f>'4S'!$C22&amp;" - "&amp;'4S'!H$4&amp;" - "&amp;'4S'!I$5</f>
        <v>STWs in size band 5 - Secondary - Biological</v>
      </c>
      <c r="D2889" s="1620" t="str">
        <f t="shared" si="63"/>
        <v>nr</v>
      </c>
      <c r="E2889" s="1636" t="s">
        <v>9</v>
      </c>
      <c r="F2889"/>
      <c r="G2889" s="1792">
        <f>'4S'!I22</f>
        <v>0</v>
      </c>
      <c r="H2889" s="1636"/>
    </row>
    <row r="2890" spans="1:8">
      <c r="A2890" s="1730" t="str">
        <f>INDEX(Lists!$C$4:$C$24,MATCH(Validation!$B$3,Lists!$B$4:$B$24,0))</f>
        <v>TMS</v>
      </c>
      <c r="B2890" s="1828" t="str">
        <f>'4S'!BU23</f>
        <v>STWC103</v>
      </c>
      <c r="C2890" s="1825" t="str">
        <f>'4S'!$C23&amp;" - "&amp;'4S'!H$4&amp;" - "&amp;'4S'!I$5</f>
        <v>STWs above size band 5 - Secondary - Biological</v>
      </c>
      <c r="D2890" s="1730" t="str">
        <f t="shared" si="63"/>
        <v>nr</v>
      </c>
      <c r="E2890" s="1652" t="s">
        <v>9</v>
      </c>
      <c r="F2890" s="1819"/>
      <c r="G2890" s="1826">
        <f>'4S'!I23</f>
        <v>0</v>
      </c>
      <c r="H2890" s="1652"/>
    </row>
    <row r="2891" spans="1:8">
      <c r="A2891" s="1620" t="str">
        <f>INDEX(Lists!$C$4:$C$24,MATCH(Validation!$B$3,Lists!$B$4:$B$24,0))</f>
        <v>TMS</v>
      </c>
      <c r="B2891" s="1824" t="str">
        <f>'4S'!BV8</f>
        <v>STWD004</v>
      </c>
      <c r="C2891" s="1788" t="str">
        <f>'4S'!$C8&amp;" - "&amp;'4S'!J$4&amp;" - "&amp;'4S'!J$5</f>
        <v>Load received by STWs in size band 1 - Tertiary - A1</v>
      </c>
      <c r="D2891" s="1620" t="str">
        <f t="shared" si="63"/>
        <v>kg BOD5/day</v>
      </c>
      <c r="E2891" s="1636" t="s">
        <v>9</v>
      </c>
      <c r="F2891"/>
      <c r="G2891" s="1792">
        <f>'4S'!J8</f>
        <v>30.266075953996285</v>
      </c>
      <c r="H2891" s="1636"/>
    </row>
    <row r="2892" spans="1:8">
      <c r="A2892" s="1620" t="str">
        <f>INDEX(Lists!$C$4:$C$24,MATCH(Validation!$B$3,Lists!$B$4:$B$24,0))</f>
        <v>TMS</v>
      </c>
      <c r="B2892" s="1824" t="str">
        <f>'4S'!BV9</f>
        <v>STWD018</v>
      </c>
      <c r="C2892" s="1788" t="str">
        <f>'4S'!$C9&amp;" - "&amp;'4S'!J$4&amp;" - "&amp;'4S'!J$5</f>
        <v>Load received by STWs in size band 2 - Tertiary - A1</v>
      </c>
      <c r="D2892" s="1620" t="str">
        <f t="shared" si="63"/>
        <v>kg BOD5/day</v>
      </c>
      <c r="E2892" s="1636" t="s">
        <v>9</v>
      </c>
      <c r="F2892"/>
      <c r="G2892" s="1792">
        <f>'4S'!J9</f>
        <v>18.639796642791474</v>
      </c>
      <c r="H2892" s="1636"/>
    </row>
    <row r="2893" spans="1:8">
      <c r="A2893" s="1620" t="str">
        <f>INDEX(Lists!$C$4:$C$24,MATCH(Validation!$B$3,Lists!$B$4:$B$24,0))</f>
        <v>TMS</v>
      </c>
      <c r="B2893" s="1824" t="str">
        <f>'4S'!BV10</f>
        <v>STWD032</v>
      </c>
      <c r="C2893" s="1788" t="str">
        <f>'4S'!$C10&amp;" - "&amp;'4S'!J$4&amp;" - "&amp;'4S'!J$5</f>
        <v>Load received by STWs in size band 3 - Tertiary - A1</v>
      </c>
      <c r="D2893" s="1620" t="str">
        <f t="shared" si="63"/>
        <v>kg BOD5/day</v>
      </c>
      <c r="E2893" s="1636" t="s">
        <v>9</v>
      </c>
      <c r="F2893"/>
      <c r="G2893" s="1792">
        <f>'4S'!J10</f>
        <v>374.23821553685138</v>
      </c>
      <c r="H2893" s="1636"/>
    </row>
    <row r="2894" spans="1:8">
      <c r="A2894" s="1620" t="str">
        <f>INDEX(Lists!$C$4:$C$24,MATCH(Validation!$B$3,Lists!$B$4:$B$24,0))</f>
        <v>TMS</v>
      </c>
      <c r="B2894" s="1824" t="str">
        <f>'4S'!BV11</f>
        <v>STWD046</v>
      </c>
      <c r="C2894" s="1788" t="str">
        <f>'4S'!$C11&amp;" - "&amp;'4S'!J$4&amp;" - "&amp;'4S'!J$5</f>
        <v>Load received by STWs in size band 4 - Tertiary - A1</v>
      </c>
      <c r="D2894" s="1620" t="str">
        <f t="shared" si="63"/>
        <v>kg BOD5/day</v>
      </c>
      <c r="E2894" s="1636" t="s">
        <v>9</v>
      </c>
      <c r="F2894"/>
      <c r="G2894" s="1792">
        <f>'4S'!J11</f>
        <v>843.16783166484083</v>
      </c>
      <c r="H2894" s="1636"/>
    </row>
    <row r="2895" spans="1:8">
      <c r="A2895" s="1620" t="str">
        <f>INDEX(Lists!$C$4:$C$24,MATCH(Validation!$B$3,Lists!$B$4:$B$24,0))</f>
        <v>TMS</v>
      </c>
      <c r="B2895" s="1824" t="str">
        <f>'4S'!BV12</f>
        <v>STWD060</v>
      </c>
      <c r="C2895" s="1788" t="str">
        <f>'4S'!$C12&amp;" - "&amp;'4S'!J$4&amp;" - "&amp;'4S'!J$5</f>
        <v>Load received by STWs in size band 5 - Tertiary - A1</v>
      </c>
      <c r="D2895" s="1620" t="str">
        <f t="shared" si="63"/>
        <v>kg BOD5/day</v>
      </c>
      <c r="E2895" s="1636" t="s">
        <v>9</v>
      </c>
      <c r="F2895"/>
      <c r="G2895" s="1792">
        <f>'4S'!J12</f>
        <v>660.11196050302908</v>
      </c>
      <c r="H2895" s="1636"/>
    </row>
    <row r="2896" spans="1:8">
      <c r="A2896" s="1620" t="str">
        <f>INDEX(Lists!$C$4:$C$24,MATCH(Validation!$B$3,Lists!$B$4:$B$24,0))</f>
        <v>TMS</v>
      </c>
      <c r="B2896" s="1824" t="str">
        <f>'4S'!BV13</f>
        <v>STWD104</v>
      </c>
      <c r="C2896" s="1788" t="str">
        <f>'4S'!$C13&amp;" - "&amp;'4S'!J$4&amp;" - "&amp;'4S'!J$5</f>
        <v>Load received by STWs above size band 5 - Tertiary - A1</v>
      </c>
      <c r="D2896" s="1620" t="str">
        <f t="shared" si="63"/>
        <v>kg BOD5/day</v>
      </c>
      <c r="E2896" s="1636" t="s">
        <v>9</v>
      </c>
      <c r="F2896"/>
      <c r="G2896" s="1792">
        <f>'4S'!J13</f>
        <v>0</v>
      </c>
      <c r="H2896" s="1636"/>
    </row>
    <row r="2897" spans="1:8">
      <c r="A2897" s="1620" t="str">
        <f>INDEX(Lists!$C$4:$C$24,MATCH(Validation!$B$3,Lists!$B$4:$B$24,0))</f>
        <v>TMS</v>
      </c>
      <c r="B2897" s="1824" t="str">
        <f>'4S'!BV18</f>
        <v>STWC004</v>
      </c>
      <c r="C2897" s="1788" t="str">
        <f>'4S'!$C18&amp;" - "&amp;'4S'!J$4&amp;" - "&amp;'4S'!J$5</f>
        <v>STWs in size band 1 - Tertiary - A1</v>
      </c>
      <c r="D2897" s="1620" t="str">
        <f t="shared" si="63"/>
        <v>nr</v>
      </c>
      <c r="E2897" s="1636" t="s">
        <v>9</v>
      </c>
      <c r="F2897"/>
      <c r="G2897" s="1792">
        <f>'4S'!J18</f>
        <v>5</v>
      </c>
      <c r="H2897" s="1636"/>
    </row>
    <row r="2898" spans="1:8">
      <c r="A2898" s="1620" t="str">
        <f>INDEX(Lists!$C$4:$C$24,MATCH(Validation!$B$3,Lists!$B$4:$B$24,0))</f>
        <v>TMS</v>
      </c>
      <c r="B2898" s="1824" t="str">
        <f>'4S'!BV19</f>
        <v>STWC018</v>
      </c>
      <c r="C2898" s="1788" t="str">
        <f>'4S'!$C19&amp;" - "&amp;'4S'!J$4&amp;" - "&amp;'4S'!J$5</f>
        <v>STWs in size band 2 - Tertiary - A1</v>
      </c>
      <c r="D2898" s="1620" t="str">
        <f t="shared" si="63"/>
        <v>nr</v>
      </c>
      <c r="E2898" s="1636" t="s">
        <v>9</v>
      </c>
      <c r="F2898"/>
      <c r="G2898" s="1792">
        <f>'4S'!J19</f>
        <v>1</v>
      </c>
      <c r="H2898" s="1636"/>
    </row>
    <row r="2899" spans="1:8">
      <c r="A2899" s="1620" t="str">
        <f>INDEX(Lists!$C$4:$C$24,MATCH(Validation!$B$3,Lists!$B$4:$B$24,0))</f>
        <v>TMS</v>
      </c>
      <c r="B2899" s="1824" t="str">
        <f>'4S'!BV20</f>
        <v>STWC032</v>
      </c>
      <c r="C2899" s="1788" t="str">
        <f>'4S'!$C20&amp;" - "&amp;'4S'!J$4&amp;" - "&amp;'4S'!J$5</f>
        <v>STWs in size band 3 - Tertiary - A1</v>
      </c>
      <c r="D2899" s="1620" t="str">
        <f t="shared" si="63"/>
        <v>nr</v>
      </c>
      <c r="E2899" s="1636" t="s">
        <v>9</v>
      </c>
      <c r="F2899"/>
      <c r="G2899" s="1792">
        <f>'4S'!J20</f>
        <v>4</v>
      </c>
      <c r="H2899" s="1636"/>
    </row>
    <row r="2900" spans="1:8">
      <c r="A2900" s="1620" t="str">
        <f>INDEX(Lists!$C$4:$C$24,MATCH(Validation!$B$3,Lists!$B$4:$B$24,0))</f>
        <v>TMS</v>
      </c>
      <c r="B2900" s="1824" t="str">
        <f>'4S'!BV21</f>
        <v>STWC046</v>
      </c>
      <c r="C2900" s="1788" t="str">
        <f>'4S'!$C21&amp;" - "&amp;'4S'!J$4&amp;" - "&amp;'4S'!J$5</f>
        <v>STWs in size band 4 - Tertiary - A1</v>
      </c>
      <c r="D2900" s="1620" t="str">
        <f t="shared" si="63"/>
        <v>nr</v>
      </c>
      <c r="E2900" s="1636" t="s">
        <v>9</v>
      </c>
      <c r="F2900"/>
      <c r="G2900" s="1792">
        <f>'4S'!J21</f>
        <v>3</v>
      </c>
      <c r="H2900" s="1636"/>
    </row>
    <row r="2901" spans="1:8">
      <c r="A2901" s="1620" t="str">
        <f>INDEX(Lists!$C$4:$C$24,MATCH(Validation!$B$3,Lists!$B$4:$B$24,0))</f>
        <v>TMS</v>
      </c>
      <c r="B2901" s="1824" t="str">
        <f>'4S'!BV22</f>
        <v>STWC060</v>
      </c>
      <c r="C2901" s="1788" t="str">
        <f>'4S'!$C22&amp;" - "&amp;'4S'!J$4&amp;" - "&amp;'4S'!J$5</f>
        <v>STWs in size band 5 - Tertiary - A1</v>
      </c>
      <c r="D2901" s="1620" t="str">
        <f t="shared" si="63"/>
        <v>nr</v>
      </c>
      <c r="E2901" s="1636" t="s">
        <v>9</v>
      </c>
      <c r="F2901"/>
      <c r="G2901" s="1792">
        <f>'4S'!J22</f>
        <v>1</v>
      </c>
      <c r="H2901" s="1636"/>
    </row>
    <row r="2902" spans="1:8">
      <c r="A2902" s="1730" t="str">
        <f>INDEX(Lists!$C$4:$C$24,MATCH(Validation!$B$3,Lists!$B$4:$B$24,0))</f>
        <v>TMS</v>
      </c>
      <c r="B2902" s="1828" t="str">
        <f>'4S'!BV23</f>
        <v>STWC104</v>
      </c>
      <c r="C2902" s="1825" t="str">
        <f>'4S'!$C23&amp;" - "&amp;'4S'!J$4&amp;" - "&amp;'4S'!J$5</f>
        <v>STWs above size band 5 - Tertiary - A1</v>
      </c>
      <c r="D2902" s="1730" t="str">
        <f t="shared" si="63"/>
        <v>nr</v>
      </c>
      <c r="E2902" s="1652" t="s">
        <v>9</v>
      </c>
      <c r="F2902" s="1819"/>
      <c r="G2902" s="1826">
        <f>'4S'!J23</f>
        <v>0</v>
      </c>
      <c r="H2902" s="1652"/>
    </row>
    <row r="2903" spans="1:8">
      <c r="A2903" s="1620" t="str">
        <f>INDEX(Lists!$C$4:$C$24,MATCH(Validation!$B$3,Lists!$B$4:$B$24,0))</f>
        <v>TMS</v>
      </c>
      <c r="B2903" s="1824" t="str">
        <f>'4S'!BW8</f>
        <v>STWD005</v>
      </c>
      <c r="C2903" s="1788" t="str">
        <f>'4S'!$C8&amp;" - "&amp;'4S'!K$4&amp;" - "&amp;'4S'!K$5</f>
        <v>Load received by STWs in size band 1 -  - A2</v>
      </c>
      <c r="D2903" s="1620" t="str">
        <f t="shared" si="63"/>
        <v>kg BOD5/day</v>
      </c>
      <c r="E2903" s="1636" t="s">
        <v>9</v>
      </c>
      <c r="F2903"/>
      <c r="G2903" s="1792">
        <f>'4S'!K8</f>
        <v>0</v>
      </c>
      <c r="H2903" s="1636"/>
    </row>
    <row r="2904" spans="1:8">
      <c r="A2904" s="1620" t="str">
        <f>INDEX(Lists!$C$4:$C$24,MATCH(Validation!$B$3,Lists!$B$4:$B$24,0))</f>
        <v>TMS</v>
      </c>
      <c r="B2904" s="1824" t="str">
        <f>'4S'!BW9</f>
        <v>STWD019</v>
      </c>
      <c r="C2904" s="1788" t="str">
        <f>'4S'!$C9&amp;" - "&amp;'4S'!K$4&amp;" - "&amp;'4S'!K$5</f>
        <v>Load received by STWs in size band 2 -  - A2</v>
      </c>
      <c r="D2904" s="1620" t="str">
        <f t="shared" si="63"/>
        <v>kg BOD5/day</v>
      </c>
      <c r="E2904" s="1636" t="s">
        <v>9</v>
      </c>
      <c r="F2904"/>
      <c r="G2904" s="1792">
        <f>'4S'!K9</f>
        <v>0</v>
      </c>
      <c r="H2904" s="1636"/>
    </row>
    <row r="2905" spans="1:8">
      <c r="A2905" s="1620" t="str">
        <f>INDEX(Lists!$C$4:$C$24,MATCH(Validation!$B$3,Lists!$B$4:$B$24,0))</f>
        <v>TMS</v>
      </c>
      <c r="B2905" s="1824" t="str">
        <f>'4S'!BW10</f>
        <v>STWD033</v>
      </c>
      <c r="C2905" s="1788" t="str">
        <f>'4S'!$C10&amp;" - "&amp;'4S'!K$4&amp;" - "&amp;'4S'!K$5</f>
        <v>Load received by STWs in size band 3 -  - A2</v>
      </c>
      <c r="D2905" s="1620" t="str">
        <f t="shared" si="63"/>
        <v>kg BOD5/day</v>
      </c>
      <c r="E2905" s="1636" t="s">
        <v>9</v>
      </c>
      <c r="F2905"/>
      <c r="G2905" s="1792">
        <f>'4S'!K10</f>
        <v>80.318083142515832</v>
      </c>
      <c r="H2905" s="1636"/>
    </row>
    <row r="2906" spans="1:8">
      <c r="A2906" s="1620" t="str">
        <f>INDEX(Lists!$C$4:$C$24,MATCH(Validation!$B$3,Lists!$B$4:$B$24,0))</f>
        <v>TMS</v>
      </c>
      <c r="B2906" s="1824" t="str">
        <f>'4S'!BW11</f>
        <v>STWD047</v>
      </c>
      <c r="C2906" s="1788" t="str">
        <f>'4S'!$C11&amp;" - "&amp;'4S'!K$4&amp;" - "&amp;'4S'!K$5</f>
        <v>Load received by STWs in size band 4 -  - A2</v>
      </c>
      <c r="D2906" s="1620" t="str">
        <f t="shared" si="63"/>
        <v>kg BOD5/day</v>
      </c>
      <c r="E2906" s="1636" t="s">
        <v>9</v>
      </c>
      <c r="F2906"/>
      <c r="G2906" s="1792">
        <f>'4S'!K11</f>
        <v>912.23016864710212</v>
      </c>
      <c r="H2906" s="1636"/>
    </row>
    <row r="2907" spans="1:8">
      <c r="A2907" s="1620" t="str">
        <f>INDEX(Lists!$C$4:$C$24,MATCH(Validation!$B$3,Lists!$B$4:$B$24,0))</f>
        <v>TMS</v>
      </c>
      <c r="B2907" s="1824" t="str">
        <f>'4S'!BW12</f>
        <v>STWD061</v>
      </c>
      <c r="C2907" s="1788" t="str">
        <f>'4S'!$C12&amp;" - "&amp;'4S'!K$4&amp;" - "&amp;'4S'!K$5</f>
        <v>Load received by STWs in size band 5 -  - A2</v>
      </c>
      <c r="D2907" s="1620" t="str">
        <f t="shared" si="63"/>
        <v>kg BOD5/day</v>
      </c>
      <c r="E2907" s="1636" t="s">
        <v>9</v>
      </c>
      <c r="F2907"/>
      <c r="G2907" s="1792">
        <f>'4S'!K12</f>
        <v>9236.9910773077936</v>
      </c>
      <c r="H2907" s="1636"/>
    </row>
    <row r="2908" spans="1:8">
      <c r="A2908" s="1620" t="str">
        <f>INDEX(Lists!$C$4:$C$24,MATCH(Validation!$B$3,Lists!$B$4:$B$24,0))</f>
        <v>TMS</v>
      </c>
      <c r="B2908" s="1824" t="str">
        <f>'4S'!BW13</f>
        <v>STWD105</v>
      </c>
      <c r="C2908" s="1788" t="str">
        <f>'4S'!$C13&amp;" - "&amp;'4S'!J$4&amp;" - "&amp;'4S'!K$5</f>
        <v>Load received by STWs above size band 5 - Tertiary - A2</v>
      </c>
      <c r="D2908" s="1620" t="str">
        <f t="shared" si="63"/>
        <v>kg BOD5/day</v>
      </c>
      <c r="E2908" s="1636" t="s">
        <v>9</v>
      </c>
      <c r="F2908"/>
      <c r="G2908" s="1792">
        <f>'4S'!K13</f>
        <v>308539.50261769962</v>
      </c>
      <c r="H2908" s="1636"/>
    </row>
    <row r="2909" spans="1:8">
      <c r="A2909" s="1620" t="str">
        <f>INDEX(Lists!$C$4:$C$24,MATCH(Validation!$B$3,Lists!$B$4:$B$24,0))</f>
        <v>TMS</v>
      </c>
      <c r="B2909" s="1824" t="str">
        <f>'4S'!BW18</f>
        <v>STWC005</v>
      </c>
      <c r="C2909" s="1788" t="str">
        <f>'4S'!$C18&amp;" - "&amp;'4S'!J$4&amp;" - "&amp;'4S'!K$5</f>
        <v>STWs in size band 1 - Tertiary - A2</v>
      </c>
      <c r="D2909" s="1620" t="str">
        <f t="shared" si="63"/>
        <v>nr</v>
      </c>
      <c r="E2909" s="1636" t="s">
        <v>9</v>
      </c>
      <c r="F2909"/>
      <c r="G2909" s="1792">
        <f>'4S'!K18</f>
        <v>0</v>
      </c>
      <c r="H2909" s="1636"/>
    </row>
    <row r="2910" spans="1:8">
      <c r="A2910" s="1620" t="str">
        <f>INDEX(Lists!$C$4:$C$24,MATCH(Validation!$B$3,Lists!$B$4:$B$24,0))</f>
        <v>TMS</v>
      </c>
      <c r="B2910" s="1824" t="str">
        <f>'4S'!BW19</f>
        <v>STWC019</v>
      </c>
      <c r="C2910" s="1788" t="str">
        <f>'4S'!$C19&amp;" - "&amp;'4S'!J$4&amp;" - "&amp;'4S'!K$5</f>
        <v>STWs in size band 2 - Tertiary - A2</v>
      </c>
      <c r="D2910" s="1620" t="str">
        <f t="shared" si="63"/>
        <v>nr</v>
      </c>
      <c r="E2910" s="1636" t="s">
        <v>9</v>
      </c>
      <c r="F2910"/>
      <c r="G2910" s="1792">
        <f>'4S'!K19</f>
        <v>0</v>
      </c>
      <c r="H2910" s="1636"/>
    </row>
    <row r="2911" spans="1:8">
      <c r="A2911" s="1620" t="str">
        <f>INDEX(Lists!$C$4:$C$24,MATCH(Validation!$B$3,Lists!$B$4:$B$24,0))</f>
        <v>TMS</v>
      </c>
      <c r="B2911" s="1824" t="str">
        <f>'4S'!BW20</f>
        <v>STWC033</v>
      </c>
      <c r="C2911" s="1788" t="str">
        <f>'4S'!$C20&amp;" - "&amp;'4S'!J$4&amp;" - "&amp;'4S'!K$5</f>
        <v>STWs in size band 3 - Tertiary - A2</v>
      </c>
      <c r="D2911" s="1620" t="str">
        <f t="shared" si="63"/>
        <v>nr</v>
      </c>
      <c r="E2911" s="1636" t="s">
        <v>9</v>
      </c>
      <c r="F2911"/>
      <c r="G2911" s="1792">
        <f>'4S'!K20</f>
        <v>1</v>
      </c>
      <c r="H2911" s="1636"/>
    </row>
    <row r="2912" spans="1:8">
      <c r="A2912" s="1620" t="str">
        <f>INDEX(Lists!$C$4:$C$24,MATCH(Validation!$B$3,Lists!$B$4:$B$24,0))</f>
        <v>TMS</v>
      </c>
      <c r="B2912" s="1824" t="str">
        <f>'4S'!BW21</f>
        <v>STWC047</v>
      </c>
      <c r="C2912" s="1788" t="str">
        <f>'4S'!$C21&amp;" - "&amp;'4S'!J$4&amp;" - "&amp;'4S'!K$5</f>
        <v>STWs in size band 4 - Tertiary - A2</v>
      </c>
      <c r="D2912" s="1620" t="str">
        <f t="shared" si="63"/>
        <v>nr</v>
      </c>
      <c r="E2912" s="1636" t="s">
        <v>9</v>
      </c>
      <c r="F2912"/>
      <c r="G2912" s="1792">
        <f>'4S'!K21</f>
        <v>2</v>
      </c>
      <c r="H2912" s="1636"/>
    </row>
    <row r="2913" spans="1:8">
      <c r="A2913" s="1620" t="str">
        <f>INDEX(Lists!$C$4:$C$24,MATCH(Validation!$B$3,Lists!$B$4:$B$24,0))</f>
        <v>TMS</v>
      </c>
      <c r="B2913" s="1824" t="str">
        <f>'4S'!BW22</f>
        <v>STWC061</v>
      </c>
      <c r="C2913" s="1788" t="str">
        <f>'4S'!$C22&amp;" - "&amp;'4S'!J$4&amp;" - "&amp;'4S'!K$5</f>
        <v>STWs in size band 5 - Tertiary - A2</v>
      </c>
      <c r="D2913" s="1620" t="str">
        <f t="shared" si="63"/>
        <v>nr</v>
      </c>
      <c r="E2913" s="1636" t="s">
        <v>9</v>
      </c>
      <c r="F2913"/>
      <c r="G2913" s="1792">
        <f>'4S'!K22</f>
        <v>9</v>
      </c>
      <c r="H2913" s="1636"/>
    </row>
    <row r="2914" spans="1:8">
      <c r="A2914" s="1730" t="str">
        <f>INDEX(Lists!$C$4:$C$24,MATCH(Validation!$B$3,Lists!$B$4:$B$24,0))</f>
        <v>TMS</v>
      </c>
      <c r="B2914" s="1828" t="str">
        <f>'4S'!BW23</f>
        <v>STWC105</v>
      </c>
      <c r="C2914" s="1825" t="str">
        <f>'4S'!$C23&amp;" - "&amp;'4S'!J$4&amp;" - "&amp;'4S'!K$5</f>
        <v>STWs above size band 5 - Tertiary - A2</v>
      </c>
      <c r="D2914" s="1730" t="str">
        <f t="shared" si="63"/>
        <v>nr</v>
      </c>
      <c r="E2914" s="1652" t="s">
        <v>9</v>
      </c>
      <c r="F2914" s="1819"/>
      <c r="G2914" s="1826">
        <f>'4S'!K23</f>
        <v>34</v>
      </c>
      <c r="H2914" s="1652"/>
    </row>
    <row r="2915" spans="1:8">
      <c r="A2915" s="1620" t="str">
        <f>INDEX(Lists!$C$4:$C$24,MATCH(Validation!$B$3,Lists!$B$4:$B$24,0))</f>
        <v>TMS</v>
      </c>
      <c r="B2915" s="1824" t="str">
        <f>'4S'!BX8</f>
        <v>STWD006</v>
      </c>
      <c r="C2915" s="1788" t="str">
        <f>'4S'!$C8&amp;" - "&amp;'4S'!J$4&amp;" - "&amp;'4S'!L$5</f>
        <v>Load received by STWs in size band 1 - Tertiary - B1</v>
      </c>
      <c r="D2915" s="1620" t="str">
        <f t="shared" si="63"/>
        <v>kg BOD5/day</v>
      </c>
      <c r="E2915" s="1636" t="s">
        <v>9</v>
      </c>
      <c r="F2915"/>
      <c r="G2915" s="1792">
        <f>'4S'!L8</f>
        <v>115.08138196945686</v>
      </c>
      <c r="H2915" s="1636"/>
    </row>
    <row r="2916" spans="1:8">
      <c r="A2916" s="1620" t="str">
        <f>INDEX(Lists!$C$4:$C$24,MATCH(Validation!$B$3,Lists!$B$4:$B$24,0))</f>
        <v>TMS</v>
      </c>
      <c r="B2916" s="1824" t="str">
        <f>'4S'!BX9</f>
        <v>STWD020</v>
      </c>
      <c r="C2916" s="1788" t="str">
        <f>'4S'!$C9&amp;" - "&amp;'4S'!J$4&amp;" - "&amp;'4S'!L$5</f>
        <v>Load received by STWs in size band 2 - Tertiary - B1</v>
      </c>
      <c r="D2916" s="1620" t="str">
        <f t="shared" si="63"/>
        <v>kg BOD5/day</v>
      </c>
      <c r="E2916" s="1636" t="s">
        <v>9</v>
      </c>
      <c r="F2916"/>
      <c r="G2916" s="1792">
        <f>'4S'!L9</f>
        <v>569.84274569442732</v>
      </c>
      <c r="H2916" s="1636"/>
    </row>
    <row r="2917" spans="1:8">
      <c r="A2917" s="1620" t="str">
        <f>INDEX(Lists!$C$4:$C$24,MATCH(Validation!$B$3,Lists!$B$4:$B$24,0))</f>
        <v>TMS</v>
      </c>
      <c r="B2917" s="1824" t="str">
        <f>'4S'!BX10</f>
        <v>STWD034</v>
      </c>
      <c r="C2917" s="1788" t="str">
        <f>'4S'!$C10&amp;" - "&amp;'4S'!J$4&amp;" - "&amp;'4S'!L$5</f>
        <v>Load received by STWs in size band 3 - Tertiary - B1</v>
      </c>
      <c r="D2917" s="1620" t="str">
        <f t="shared" si="63"/>
        <v>kg BOD5/day</v>
      </c>
      <c r="E2917" s="1636" t="s">
        <v>9</v>
      </c>
      <c r="F2917"/>
      <c r="G2917" s="1792">
        <f>'4S'!L10</f>
        <v>1935.1880419664064</v>
      </c>
      <c r="H2917" s="1636"/>
    </row>
    <row r="2918" spans="1:8">
      <c r="A2918" s="1620" t="str">
        <f>INDEX(Lists!$C$4:$C$24,MATCH(Validation!$B$3,Lists!$B$4:$B$24,0))</f>
        <v>TMS</v>
      </c>
      <c r="B2918" s="1824" t="str">
        <f>'4S'!BX11</f>
        <v>STWD048</v>
      </c>
      <c r="C2918" s="1788" t="str">
        <f>'4S'!$C11&amp;" - "&amp;'4S'!J$4&amp;" - "&amp;'4S'!L$5</f>
        <v>Load received by STWs in size band 4 - Tertiary - B1</v>
      </c>
      <c r="D2918" s="1620" t="str">
        <f t="shared" si="63"/>
        <v>kg BOD5/day</v>
      </c>
      <c r="E2918" s="1636" t="s">
        <v>9</v>
      </c>
      <c r="F2918"/>
      <c r="G2918" s="1792">
        <f>'4S'!L11</f>
        <v>9078.4817337226887</v>
      </c>
      <c r="H2918" s="1636"/>
    </row>
    <row r="2919" spans="1:8">
      <c r="A2919" s="1620" t="str">
        <f>INDEX(Lists!$C$4:$C$24,MATCH(Validation!$B$3,Lists!$B$4:$B$24,0))</f>
        <v>TMS</v>
      </c>
      <c r="B2919" s="1824" t="str">
        <f>'4S'!BX12</f>
        <v>STWD062</v>
      </c>
      <c r="C2919" s="1788" t="str">
        <f>'4S'!$C12&amp;" - "&amp;'4S'!J$4&amp;" - "&amp;'4S'!L$5</f>
        <v>Load received by STWs in size band 5 - Tertiary - B1</v>
      </c>
      <c r="D2919" s="1620" t="str">
        <f t="shared" si="63"/>
        <v>kg BOD5/day</v>
      </c>
      <c r="E2919" s="1636" t="s">
        <v>9</v>
      </c>
      <c r="F2919"/>
      <c r="G2919" s="1792">
        <f>'4S'!L12</f>
        <v>2053.9207076616112</v>
      </c>
      <c r="H2919" s="1636"/>
    </row>
    <row r="2920" spans="1:8">
      <c r="A2920" s="1620" t="str">
        <f>INDEX(Lists!$C$4:$C$24,MATCH(Validation!$B$3,Lists!$B$4:$B$24,0))</f>
        <v>TMS</v>
      </c>
      <c r="B2920" s="1824" t="str">
        <f>'4S'!BX13</f>
        <v>STWD106</v>
      </c>
      <c r="C2920" s="1788" t="str">
        <f>'4S'!$C13&amp;" - "&amp;'4S'!J$4&amp;" - "&amp;'4S'!L$5</f>
        <v>Load received by STWs above size band 5 - Tertiary - B1</v>
      </c>
      <c r="D2920" s="1620" t="str">
        <f t="shared" si="63"/>
        <v>kg BOD5/day</v>
      </c>
      <c r="E2920" s="1636" t="s">
        <v>9</v>
      </c>
      <c r="F2920"/>
      <c r="G2920" s="1792">
        <f>'4S'!L13</f>
        <v>2135.5664923650497</v>
      </c>
      <c r="H2920" s="1636"/>
    </row>
    <row r="2921" spans="1:8">
      <c r="A2921" s="1620" t="str">
        <f>INDEX(Lists!$C$4:$C$24,MATCH(Validation!$B$3,Lists!$B$4:$B$24,0))</f>
        <v>TMS</v>
      </c>
      <c r="B2921" s="1824" t="str">
        <f>'4S'!BX18</f>
        <v>STWC006</v>
      </c>
      <c r="C2921" s="1788" t="str">
        <f>'4S'!$C18&amp;" - "&amp;'4S'!J$4&amp;" - "&amp;'4S'!L$5</f>
        <v>STWs in size band 1 - Tertiary - B1</v>
      </c>
      <c r="D2921" s="1620" t="str">
        <f t="shared" si="63"/>
        <v>nr</v>
      </c>
      <c r="E2921" s="1636" t="s">
        <v>9</v>
      </c>
      <c r="F2921"/>
      <c r="G2921" s="1792">
        <f>'4S'!L18</f>
        <v>12</v>
      </c>
      <c r="H2921" s="1636"/>
    </row>
    <row r="2922" spans="1:8">
      <c r="A2922" s="1620" t="str">
        <f>INDEX(Lists!$C$4:$C$24,MATCH(Validation!$B$3,Lists!$B$4:$B$24,0))</f>
        <v>TMS</v>
      </c>
      <c r="B2922" s="1824" t="str">
        <f>'4S'!BX19</f>
        <v>STWC020</v>
      </c>
      <c r="C2922" s="1788" t="str">
        <f>'4S'!$C19&amp;" - "&amp;'4S'!J$4&amp;" - "&amp;'4S'!L$5</f>
        <v>STWs in size band 2 - Tertiary - B1</v>
      </c>
      <c r="D2922" s="1620" t="str">
        <f t="shared" si="63"/>
        <v>nr</v>
      </c>
      <c r="E2922" s="1636" t="s">
        <v>9</v>
      </c>
      <c r="F2922"/>
      <c r="G2922" s="1792">
        <f>'4S'!L19</f>
        <v>23</v>
      </c>
      <c r="H2922" s="1636"/>
    </row>
    <row r="2923" spans="1:8">
      <c r="A2923" s="1620" t="str">
        <f>INDEX(Lists!$C$4:$C$24,MATCH(Validation!$B$3,Lists!$B$4:$B$24,0))</f>
        <v>TMS</v>
      </c>
      <c r="B2923" s="1824" t="str">
        <f>'4S'!BX20</f>
        <v>STWC034</v>
      </c>
      <c r="C2923" s="1788" t="str">
        <f>'4S'!$C20&amp;" - "&amp;'4S'!J$4&amp;" - "&amp;'4S'!L$5</f>
        <v>STWs in size band 3 - Tertiary - B1</v>
      </c>
      <c r="D2923" s="1620" t="str">
        <f t="shared" si="63"/>
        <v>nr</v>
      </c>
      <c r="E2923" s="1636" t="s">
        <v>9</v>
      </c>
      <c r="F2923"/>
      <c r="G2923" s="1792">
        <f>'4S'!L20</f>
        <v>32</v>
      </c>
      <c r="H2923" s="1636"/>
    </row>
    <row r="2924" spans="1:8">
      <c r="A2924" s="1620" t="str">
        <f>INDEX(Lists!$C$4:$C$24,MATCH(Validation!$B$3,Lists!$B$4:$B$24,0))</f>
        <v>TMS</v>
      </c>
      <c r="B2924" s="1824" t="str">
        <f>'4S'!BX21</f>
        <v>STWC048</v>
      </c>
      <c r="C2924" s="1788" t="str">
        <f>'4S'!$C21&amp;" - "&amp;'4S'!J$4&amp;" - "&amp;'4S'!L$5</f>
        <v>STWs in size band 4 - Tertiary - B1</v>
      </c>
      <c r="D2924" s="1620" t="str">
        <f t="shared" si="63"/>
        <v>nr</v>
      </c>
      <c r="E2924" s="1636" t="s">
        <v>9</v>
      </c>
      <c r="F2924"/>
      <c r="G2924" s="1792">
        <f>'4S'!L21</f>
        <v>32</v>
      </c>
      <c r="H2924" s="1636"/>
    </row>
    <row r="2925" spans="1:8">
      <c r="A2925" s="1620" t="str">
        <f>INDEX(Lists!$C$4:$C$24,MATCH(Validation!$B$3,Lists!$B$4:$B$24,0))</f>
        <v>TMS</v>
      </c>
      <c r="B2925" s="1824" t="str">
        <f>'4S'!BX22</f>
        <v>STWC062</v>
      </c>
      <c r="C2925" s="1788" t="str">
        <f>'4S'!$C22&amp;" - "&amp;'4S'!J$4&amp;" - "&amp;'4S'!L$5</f>
        <v>STWs in size band 5 - Tertiary - B1</v>
      </c>
      <c r="D2925" s="1620" t="str">
        <f t="shared" si="63"/>
        <v>nr</v>
      </c>
      <c r="E2925" s="1636" t="s">
        <v>9</v>
      </c>
      <c r="F2925"/>
      <c r="G2925" s="1792">
        <f>'4S'!L22</f>
        <v>3</v>
      </c>
      <c r="H2925" s="1636"/>
    </row>
    <row r="2926" spans="1:8">
      <c r="A2926" s="1730" t="str">
        <f>INDEX(Lists!$C$4:$C$24,MATCH(Validation!$B$3,Lists!$B$4:$B$24,0))</f>
        <v>TMS</v>
      </c>
      <c r="B2926" s="1828" t="str">
        <f>'4S'!BX23</f>
        <v>STWC106</v>
      </c>
      <c r="C2926" s="1825" t="str">
        <f>'4S'!$C23&amp;" - "&amp;'4S'!J$4&amp;" - "&amp;'4S'!L$5</f>
        <v>STWs above size band 5 - Tertiary - B1</v>
      </c>
      <c r="D2926" s="1730" t="str">
        <f t="shared" si="63"/>
        <v>nr</v>
      </c>
      <c r="E2926" s="1652" t="s">
        <v>9</v>
      </c>
      <c r="F2926" s="1819"/>
      <c r="G2926" s="1826">
        <f>'4S'!L23</f>
        <v>1</v>
      </c>
      <c r="H2926" s="1652"/>
    </row>
    <row r="2927" spans="1:8">
      <c r="A2927" s="1620" t="str">
        <f>INDEX(Lists!$C$4:$C$24,MATCH(Validation!$B$3,Lists!$B$4:$B$24,0))</f>
        <v>TMS</v>
      </c>
      <c r="B2927" s="1824" t="str">
        <f>'4S'!BY8</f>
        <v>STWD007</v>
      </c>
      <c r="C2927" s="1788" t="str">
        <f>'4S'!$C8&amp;" - "&amp;'4S'!J$4&amp;" - "&amp;'4S'!M$5</f>
        <v>Load received by STWs in size band 1 - Tertiary - B2</v>
      </c>
      <c r="D2927" s="1620" t="str">
        <f t="shared" si="63"/>
        <v>kg BOD5/day</v>
      </c>
      <c r="E2927" s="1636" t="s">
        <v>9</v>
      </c>
      <c r="F2927"/>
      <c r="G2927" s="1792">
        <f>'4S'!M8</f>
        <v>0</v>
      </c>
      <c r="H2927" s="1636"/>
    </row>
    <row r="2928" spans="1:8">
      <c r="A2928" s="1620" t="str">
        <f>INDEX(Lists!$C$4:$C$24,MATCH(Validation!$B$3,Lists!$B$4:$B$24,0))</f>
        <v>TMS</v>
      </c>
      <c r="B2928" s="1824" t="str">
        <f>'4S'!BY9</f>
        <v>STWD021</v>
      </c>
      <c r="C2928" s="1788" t="str">
        <f>'4S'!$C9&amp;" - "&amp;'4S'!J$4&amp;" - "&amp;'4S'!M$5</f>
        <v>Load received by STWs in size band 2 - Tertiary - B2</v>
      </c>
      <c r="D2928" s="1620" t="str">
        <f t="shared" si="63"/>
        <v>kg BOD5/day</v>
      </c>
      <c r="E2928" s="1636" t="s">
        <v>9</v>
      </c>
      <c r="F2928"/>
      <c r="G2928" s="1792">
        <f>'4S'!M9</f>
        <v>0</v>
      </c>
      <c r="H2928" s="1636"/>
    </row>
    <row r="2929" spans="1:8">
      <c r="A2929" s="1620" t="str">
        <f>INDEX(Lists!$C$4:$C$24,MATCH(Validation!$B$3,Lists!$B$4:$B$24,0))</f>
        <v>TMS</v>
      </c>
      <c r="B2929" s="1824" t="str">
        <f>'4S'!BY10</f>
        <v>STWD035</v>
      </c>
      <c r="C2929" s="1788" t="str">
        <f>'4S'!$C10&amp;" - "&amp;'4S'!J$4&amp;" - "&amp;'4S'!M$5</f>
        <v>Load received by STWs in size band 3 - Tertiary - B2</v>
      </c>
      <c r="D2929" s="1620" t="str">
        <f t="shared" si="63"/>
        <v>kg BOD5/day</v>
      </c>
      <c r="E2929" s="1636" t="s">
        <v>9</v>
      </c>
      <c r="F2929"/>
      <c r="G2929" s="1792">
        <f>'4S'!M10</f>
        <v>87.575156544126045</v>
      </c>
      <c r="H2929" s="1636"/>
    </row>
    <row r="2930" spans="1:8">
      <c r="A2930" s="1620" t="str">
        <f>INDEX(Lists!$C$4:$C$24,MATCH(Validation!$B$3,Lists!$B$4:$B$24,0))</f>
        <v>TMS</v>
      </c>
      <c r="B2930" s="1824" t="str">
        <f>'4S'!BY11</f>
        <v>STWD049</v>
      </c>
      <c r="C2930" s="1788" t="str">
        <f>'4S'!$C11&amp;" - "&amp;'4S'!J$4&amp;" - "&amp;'4S'!M$5</f>
        <v>Load received by STWs in size band 4 - Tertiary - B2</v>
      </c>
      <c r="D2930" s="1620" t="str">
        <f t="shared" si="63"/>
        <v>kg BOD5/day</v>
      </c>
      <c r="E2930" s="1636" t="s">
        <v>9</v>
      </c>
      <c r="F2930"/>
      <c r="G2930" s="1792">
        <f>'4S'!M11</f>
        <v>2687.8003350441245</v>
      </c>
      <c r="H2930" s="1636"/>
    </row>
    <row r="2931" spans="1:8">
      <c r="A2931" s="1620" t="str">
        <f>INDEX(Lists!$C$4:$C$24,MATCH(Validation!$B$3,Lists!$B$4:$B$24,0))</f>
        <v>TMS</v>
      </c>
      <c r="B2931" s="1824" t="str">
        <f>'4S'!BY12</f>
        <v>STWD063</v>
      </c>
      <c r="C2931" s="1788" t="str">
        <f>'4S'!$C12&amp;" - "&amp;'4S'!J$4&amp;" - "&amp;'4S'!M$5</f>
        <v>Load received by STWs in size band 5 - Tertiary - B2</v>
      </c>
      <c r="D2931" s="1620" t="str">
        <f t="shared" ref="D2931:D2995" si="64">+D2919</f>
        <v>kg BOD5/day</v>
      </c>
      <c r="E2931" s="1636" t="s">
        <v>9</v>
      </c>
      <c r="F2931"/>
      <c r="G2931" s="1792">
        <f>'4S'!M12</f>
        <v>16406.989369359293</v>
      </c>
      <c r="H2931" s="1636"/>
    </row>
    <row r="2932" spans="1:8">
      <c r="A2932" s="1620" t="str">
        <f>INDEX(Lists!$C$4:$C$24,MATCH(Validation!$B$3,Lists!$B$4:$B$24,0))</f>
        <v>TMS</v>
      </c>
      <c r="B2932" s="1824" t="str">
        <f>'4S'!BY13</f>
        <v>STWD107</v>
      </c>
      <c r="C2932" s="1788" t="str">
        <f>'4S'!$C13&amp;" - "&amp;'4S'!J$4&amp;" - "&amp;'4S'!M$5</f>
        <v>Load received by STWs above size band 5 - Tertiary - B2</v>
      </c>
      <c r="D2932" s="1620" t="str">
        <f t="shared" si="64"/>
        <v>kg BOD5/day</v>
      </c>
      <c r="E2932" s="1636" t="s">
        <v>9</v>
      </c>
      <c r="F2932"/>
      <c r="G2932" s="1792">
        <f>'4S'!M13</f>
        <v>38268.971470061362</v>
      </c>
      <c r="H2932" s="1636"/>
    </row>
    <row r="2933" spans="1:8">
      <c r="A2933" s="1620" t="str">
        <f>INDEX(Lists!$C$4:$C$24,MATCH(Validation!$B$3,Lists!$B$4:$B$24,0))</f>
        <v>TMS</v>
      </c>
      <c r="B2933" s="1824" t="str">
        <f>'4S'!BY18</f>
        <v>STWC007</v>
      </c>
      <c r="C2933" s="1788" t="str">
        <f>'4S'!$C18&amp;" - "&amp;'4S'!J$4&amp;" - "&amp;'4S'!M$5</f>
        <v>STWs in size band 1 - Tertiary - B2</v>
      </c>
      <c r="D2933" s="1620" t="str">
        <f t="shared" si="64"/>
        <v>nr</v>
      </c>
      <c r="E2933" s="1636" t="s">
        <v>9</v>
      </c>
      <c r="F2933"/>
      <c r="G2933" s="1792">
        <f>'4S'!M18</f>
        <v>0</v>
      </c>
      <c r="H2933" s="1636"/>
    </row>
    <row r="2934" spans="1:8">
      <c r="A2934" s="1620" t="str">
        <f>INDEX(Lists!$C$4:$C$24,MATCH(Validation!$B$3,Lists!$B$4:$B$24,0))</f>
        <v>TMS</v>
      </c>
      <c r="B2934" s="1824" t="str">
        <f>'4S'!BY19</f>
        <v>STWC021</v>
      </c>
      <c r="C2934" s="1788" t="str">
        <f>'4S'!$C19&amp;" - "&amp;'4S'!J$4&amp;" - "&amp;'4S'!M$5</f>
        <v>STWs in size band 2 - Tertiary - B2</v>
      </c>
      <c r="D2934" s="1620" t="str">
        <f t="shared" si="64"/>
        <v>nr</v>
      </c>
      <c r="E2934" s="1636" t="s">
        <v>9</v>
      </c>
      <c r="F2934"/>
      <c r="G2934" s="1792">
        <f>'4S'!M19</f>
        <v>0</v>
      </c>
      <c r="H2934" s="1636"/>
    </row>
    <row r="2935" spans="1:8">
      <c r="A2935" s="1620" t="str">
        <f>INDEX(Lists!$C$4:$C$24,MATCH(Validation!$B$3,Lists!$B$4:$B$24,0))</f>
        <v>TMS</v>
      </c>
      <c r="B2935" s="1824" t="str">
        <f>'4S'!BY20</f>
        <v>STWC035</v>
      </c>
      <c r="C2935" s="1788" t="str">
        <f>'4S'!$C20&amp;" - "&amp;'4S'!J$4&amp;" - "&amp;'4S'!M$5</f>
        <v>STWs in size band 3 - Tertiary - B2</v>
      </c>
      <c r="D2935" s="1620" t="str">
        <f t="shared" si="64"/>
        <v>nr</v>
      </c>
      <c r="E2935" s="1636" t="s">
        <v>9</v>
      </c>
      <c r="F2935"/>
      <c r="G2935" s="1792">
        <f>'4S'!M20</f>
        <v>1</v>
      </c>
      <c r="H2935" s="1636"/>
    </row>
    <row r="2936" spans="1:8">
      <c r="A2936" s="1620" t="str">
        <f>INDEX(Lists!$C$4:$C$24,MATCH(Validation!$B$3,Lists!$B$4:$B$24,0))</f>
        <v>TMS</v>
      </c>
      <c r="B2936" s="1824" t="str">
        <f>'4S'!BY21</f>
        <v>STWC049</v>
      </c>
      <c r="C2936" s="1788" t="str">
        <f>'4S'!$C21&amp;" - "&amp;'4S'!J$4&amp;" - "&amp;'4S'!M$5</f>
        <v>STWs in size band 4 - Tertiary - B2</v>
      </c>
      <c r="D2936" s="1620" t="str">
        <f t="shared" si="64"/>
        <v>nr</v>
      </c>
      <c r="E2936" s="1636" t="s">
        <v>9</v>
      </c>
      <c r="F2936"/>
      <c r="G2936" s="1792">
        <f>'4S'!M21</f>
        <v>10</v>
      </c>
      <c r="H2936" s="1636"/>
    </row>
    <row r="2937" spans="1:8">
      <c r="A2937" s="1620" t="str">
        <f>INDEX(Lists!$C$4:$C$24,MATCH(Validation!$B$3,Lists!$B$4:$B$24,0))</f>
        <v>TMS</v>
      </c>
      <c r="B2937" s="1824" t="str">
        <f>'4S'!BY22</f>
        <v>STWC063</v>
      </c>
      <c r="C2937" s="1788" t="str">
        <f>'4S'!$C22&amp;" - "&amp;'4S'!J$4&amp;" - "&amp;'4S'!M$5</f>
        <v>STWs in size band 5 - Tertiary - B2</v>
      </c>
      <c r="D2937" s="1620" t="str">
        <f t="shared" si="64"/>
        <v>nr</v>
      </c>
      <c r="E2937" s="1636" t="s">
        <v>9</v>
      </c>
      <c r="F2937"/>
      <c r="G2937" s="1792">
        <f>'4S'!M22</f>
        <v>16</v>
      </c>
      <c r="H2937" s="1636"/>
    </row>
    <row r="2938" spans="1:8">
      <c r="A2938" s="1730" t="str">
        <f>INDEX(Lists!$C$4:$C$24,MATCH(Validation!$B$3,Lists!$B$4:$B$24,0))</f>
        <v>TMS</v>
      </c>
      <c r="B2938" s="1828" t="str">
        <f>'4S'!BY23</f>
        <v>STWC107</v>
      </c>
      <c r="C2938" s="1825" t="str">
        <f>'4S'!$C23&amp;" - "&amp;'4S'!J$4&amp;" - "&amp;'4S'!M$5</f>
        <v>STWs above size band 5 - Tertiary - B2</v>
      </c>
      <c r="D2938" s="1730" t="str">
        <f t="shared" si="64"/>
        <v>nr</v>
      </c>
      <c r="E2938" s="1652" t="s">
        <v>9</v>
      </c>
      <c r="F2938" s="1819"/>
      <c r="G2938" s="1826">
        <f>'4S'!M23</f>
        <v>11</v>
      </c>
      <c r="H2938" s="1652"/>
    </row>
    <row r="2939" spans="1:8">
      <c r="A2939" s="1832" t="str">
        <f>INDEX(Lists!$C$4:$C$24,MATCH(Validation!$B$3,Lists!$B$4:$B$24,0))</f>
        <v>TMS</v>
      </c>
      <c r="B2939" s="1835" t="str">
        <f>'4S'!BZ15</f>
        <v>STWD130</v>
      </c>
      <c r="C2939" s="1833" t="str">
        <f>'4S'!$C15</f>
        <v xml:space="preserve">Load received from trade effluent customers at treatment works </v>
      </c>
      <c r="D2939" s="1832" t="str">
        <f t="shared" si="64"/>
        <v>kg BOD5/day</v>
      </c>
      <c r="E2939" s="1836" t="s">
        <v>9</v>
      </c>
      <c r="F2939" s="1834"/>
      <c r="G2939" s="1863">
        <f>'4S'!N15</f>
        <v>29262.359999999993</v>
      </c>
      <c r="H2939" s="1836"/>
    </row>
    <row r="2940" spans="1:8">
      <c r="A2940" s="1620" t="str">
        <f>INDEX(Lists!$C$4:$C$24,MATCH(Validation!$B$3,Lists!$B$4:$B$24,0))</f>
        <v>TMS</v>
      </c>
      <c r="B2940" s="1824" t="str">
        <f>'4S'!CB8</f>
        <v>STWDP001</v>
      </c>
      <c r="C2940" s="1788" t="str">
        <f>'4S'!$C8&amp;" - "&amp;'4S'!$P$4&amp;" - "&amp;'4S'!P$5</f>
        <v>Load received by STWs in size band 1 - Phosphorus - &lt;=0.5mg/l</v>
      </c>
      <c r="D2940" s="1620" t="str">
        <f t="shared" ref="D2940:D2951" si="65">+D2927</f>
        <v>kg BOD5/day</v>
      </c>
      <c r="E2940" s="1636" t="s">
        <v>9</v>
      </c>
      <c r="F2940" s="1788"/>
      <c r="G2940" s="1792">
        <f>'4S'!P8</f>
        <v>0</v>
      </c>
      <c r="H2940" s="1636"/>
    </row>
    <row r="2941" spans="1:8">
      <c r="A2941" s="1620" t="str">
        <f>INDEX(Lists!$C$4:$C$24,MATCH(Validation!$B$3,Lists!$B$4:$B$24,0))</f>
        <v>TMS</v>
      </c>
      <c r="B2941" s="1824" t="str">
        <f>'4S'!CB9</f>
        <v>STWDP015</v>
      </c>
      <c r="C2941" s="1788" t="str">
        <f>'4S'!$C9&amp;" - "&amp;'4S'!$P$4&amp;" - "&amp;'4S'!P$5</f>
        <v>Load received by STWs in size band 2 - Phosphorus - &lt;=0.5mg/l</v>
      </c>
      <c r="D2941" s="1620" t="str">
        <f t="shared" si="65"/>
        <v>kg BOD5/day</v>
      </c>
      <c r="E2941" s="1636" t="s">
        <v>9</v>
      </c>
      <c r="F2941" s="1788"/>
      <c r="G2941" s="1792">
        <f>'4S'!P9</f>
        <v>0</v>
      </c>
      <c r="H2941" s="1636"/>
    </row>
    <row r="2942" spans="1:8">
      <c r="A2942" s="1620" t="str">
        <f>INDEX(Lists!$C$4:$C$24,MATCH(Validation!$B$3,Lists!$B$4:$B$24,0))</f>
        <v>TMS</v>
      </c>
      <c r="B2942" s="1824" t="str">
        <f>'4S'!CB10</f>
        <v>STWDP029</v>
      </c>
      <c r="C2942" s="1788" t="str">
        <f>'4S'!$C10&amp;" - "&amp;'4S'!$P$4&amp;" - "&amp;'4S'!P$5</f>
        <v>Load received by STWs in size band 3 - Phosphorus - &lt;=0.5mg/l</v>
      </c>
      <c r="D2942" s="1620" t="str">
        <f t="shared" si="65"/>
        <v>kg BOD5/day</v>
      </c>
      <c r="E2942" s="1636" t="s">
        <v>9</v>
      </c>
      <c r="F2942" s="1788"/>
      <c r="G2942" s="1792">
        <f>'4S'!P10</f>
        <v>0</v>
      </c>
      <c r="H2942" s="1636"/>
    </row>
    <row r="2943" spans="1:8">
      <c r="A2943" s="1620" t="str">
        <f>INDEX(Lists!$C$4:$C$24,MATCH(Validation!$B$3,Lists!$B$4:$B$24,0))</f>
        <v>TMS</v>
      </c>
      <c r="B2943" s="1824" t="str">
        <f>'4S'!CB11</f>
        <v>STWDP043</v>
      </c>
      <c r="C2943" s="1788" t="str">
        <f>'4S'!$C11&amp;" - "&amp;'4S'!$P$4&amp;" - "&amp;'4S'!P$5</f>
        <v>Load received by STWs in size band 4 - Phosphorus - &lt;=0.5mg/l</v>
      </c>
      <c r="D2943" s="1620" t="str">
        <f t="shared" si="65"/>
        <v>kg BOD5/day</v>
      </c>
      <c r="E2943" s="1636" t="s">
        <v>9</v>
      </c>
      <c r="F2943" s="1788"/>
      <c r="G2943" s="1792">
        <f>'4S'!P11</f>
        <v>0</v>
      </c>
      <c r="H2943" s="1636"/>
    </row>
    <row r="2944" spans="1:8">
      <c r="A2944" s="1620" t="str">
        <f>INDEX(Lists!$C$4:$C$24,MATCH(Validation!$B$3,Lists!$B$4:$B$24,0))</f>
        <v>TMS</v>
      </c>
      <c r="B2944" s="1824" t="str">
        <f>'4S'!CB12</f>
        <v>STWDP057</v>
      </c>
      <c r="C2944" s="1788" t="str">
        <f>'4S'!$C12&amp;" - "&amp;'4S'!$P$4&amp;" - "&amp;'4S'!P$5</f>
        <v>Load received by STWs in size band 5 - Phosphorus - &lt;=0.5mg/l</v>
      </c>
      <c r="D2944" s="1620" t="str">
        <f t="shared" si="65"/>
        <v>kg BOD5/day</v>
      </c>
      <c r="E2944" s="1636" t="s">
        <v>9</v>
      </c>
      <c r="F2944" s="1788"/>
      <c r="G2944" s="1792">
        <f>'4S'!P12</f>
        <v>0</v>
      </c>
      <c r="H2944" s="1636"/>
    </row>
    <row r="2945" spans="1:8">
      <c r="A2945" s="1620" t="str">
        <f>INDEX(Lists!$C$4:$C$24,MATCH(Validation!$B$3,Lists!$B$4:$B$24,0))</f>
        <v>TMS</v>
      </c>
      <c r="B2945" s="1824" t="str">
        <f>'4S'!CB13</f>
        <v>STWDP101</v>
      </c>
      <c r="C2945" s="1788" t="str">
        <f>'4S'!$C13&amp;" - "&amp;'4S'!$P$4&amp;" - "&amp;'4S'!P$5</f>
        <v>Load received by STWs above size band 5 - Phosphorus - &lt;=0.5mg/l</v>
      </c>
      <c r="D2945" s="1620" t="str">
        <f t="shared" si="65"/>
        <v>kg BOD5/day</v>
      </c>
      <c r="E2945" s="1636" t="s">
        <v>9</v>
      </c>
      <c r="F2945" s="1788"/>
      <c r="G2945" s="1792">
        <f>'4S'!P13</f>
        <v>0</v>
      </c>
      <c r="H2945" s="1636"/>
    </row>
    <row r="2946" spans="1:8">
      <c r="A2946" s="1620" t="str">
        <f>INDEX(Lists!$C$4:$C$24,MATCH(Validation!$B$3,Lists!$B$4:$B$24,0))</f>
        <v>TMS</v>
      </c>
      <c r="B2946" s="1824" t="str">
        <f>'4S'!CB18</f>
        <v>STWCP001</v>
      </c>
      <c r="C2946" s="1788" t="str">
        <f>'4S'!$C18&amp;" - "&amp;'4S'!$P$4&amp;" - "&amp;'4S'!P$5</f>
        <v>STWs in size band 1 - Phosphorus - &lt;=0.5mg/l</v>
      </c>
      <c r="D2946" s="1620" t="str">
        <f t="shared" si="65"/>
        <v>nr</v>
      </c>
      <c r="E2946" s="1636" t="s">
        <v>9</v>
      </c>
      <c r="F2946" s="1788"/>
      <c r="G2946" s="1792">
        <f>'4S'!P18</f>
        <v>0</v>
      </c>
      <c r="H2946" s="1636"/>
    </row>
    <row r="2947" spans="1:8">
      <c r="A2947" s="1620" t="str">
        <f>INDEX(Lists!$C$4:$C$24,MATCH(Validation!$B$3,Lists!$B$4:$B$24,0))</f>
        <v>TMS</v>
      </c>
      <c r="B2947" s="1824" t="str">
        <f>'4S'!CB19</f>
        <v>STWCP015</v>
      </c>
      <c r="C2947" s="1788" t="str">
        <f>'4S'!$C19&amp;" - "&amp;'4S'!$P$4&amp;" - "&amp;'4S'!P$5</f>
        <v>STWs in size band 2 - Phosphorus - &lt;=0.5mg/l</v>
      </c>
      <c r="D2947" s="1620" t="str">
        <f t="shared" si="65"/>
        <v>nr</v>
      </c>
      <c r="E2947" s="1636" t="s">
        <v>9</v>
      </c>
      <c r="F2947" s="1788"/>
      <c r="G2947" s="1792">
        <f>'4S'!P19</f>
        <v>0</v>
      </c>
      <c r="H2947" s="1636"/>
    </row>
    <row r="2948" spans="1:8">
      <c r="A2948" s="1620" t="str">
        <f>INDEX(Lists!$C$4:$C$24,MATCH(Validation!$B$3,Lists!$B$4:$B$24,0))</f>
        <v>TMS</v>
      </c>
      <c r="B2948" s="1824" t="str">
        <f>'4S'!CB20</f>
        <v>STWCP029</v>
      </c>
      <c r="C2948" s="1788" t="str">
        <f>'4S'!$C20&amp;" - "&amp;'4S'!$P$4&amp;" - "&amp;'4S'!P$5</f>
        <v>STWs in size band 3 - Phosphorus - &lt;=0.5mg/l</v>
      </c>
      <c r="D2948" s="1620" t="str">
        <f t="shared" si="65"/>
        <v>nr</v>
      </c>
      <c r="E2948" s="1636" t="s">
        <v>9</v>
      </c>
      <c r="F2948" s="1788"/>
      <c r="G2948" s="1792">
        <f>'4S'!P20</f>
        <v>0</v>
      </c>
      <c r="H2948" s="1636"/>
    </row>
    <row r="2949" spans="1:8">
      <c r="A2949" s="1620" t="str">
        <f>INDEX(Lists!$C$4:$C$24,MATCH(Validation!$B$3,Lists!$B$4:$B$24,0))</f>
        <v>TMS</v>
      </c>
      <c r="B2949" s="1824" t="str">
        <f>'4S'!CB21</f>
        <v>STWCP043</v>
      </c>
      <c r="C2949" s="1788" t="str">
        <f>'4S'!$C21&amp;" - "&amp;'4S'!$P$4&amp;" - "&amp;'4S'!P$5</f>
        <v>STWs in size band 4 - Phosphorus - &lt;=0.5mg/l</v>
      </c>
      <c r="D2949" s="1620" t="str">
        <f t="shared" si="65"/>
        <v>nr</v>
      </c>
      <c r="E2949" s="1636" t="s">
        <v>9</v>
      </c>
      <c r="F2949" s="1788"/>
      <c r="G2949" s="1792">
        <f>'4S'!P21</f>
        <v>0</v>
      </c>
      <c r="H2949" s="1636"/>
    </row>
    <row r="2950" spans="1:8">
      <c r="A2950" s="1620" t="str">
        <f>INDEX(Lists!$C$4:$C$24,MATCH(Validation!$B$3,Lists!$B$4:$B$24,0))</f>
        <v>TMS</v>
      </c>
      <c r="B2950" s="1824" t="str">
        <f>'4S'!CB22</f>
        <v>STWCP057</v>
      </c>
      <c r="C2950" s="1788" t="str">
        <f>'4S'!$C22&amp;" - "&amp;'4S'!$P$4&amp;" - "&amp;'4S'!P$5</f>
        <v>STWs in size band 5 - Phosphorus - &lt;=0.5mg/l</v>
      </c>
      <c r="D2950" s="1620" t="str">
        <f t="shared" si="65"/>
        <v>nr</v>
      </c>
      <c r="E2950" s="1636" t="s">
        <v>9</v>
      </c>
      <c r="F2950" s="1788"/>
      <c r="G2950" s="1792">
        <f>'4S'!P22</f>
        <v>0</v>
      </c>
      <c r="H2950" s="1636"/>
    </row>
    <row r="2951" spans="1:8">
      <c r="A2951" s="1730" t="str">
        <f>INDEX(Lists!$C$4:$C$24,MATCH(Validation!$B$3,Lists!$B$4:$B$24,0))</f>
        <v>TMS</v>
      </c>
      <c r="B2951" s="1828" t="str">
        <f>'4S'!CB23</f>
        <v>STWCP101</v>
      </c>
      <c r="C2951" s="1825" t="str">
        <f>'4S'!$C23&amp;" - "&amp;'4S'!$P$4&amp;" - "&amp;'4S'!P$5</f>
        <v>STWs above size band 5 - Phosphorus - &lt;=0.5mg/l</v>
      </c>
      <c r="D2951" s="1730" t="str">
        <f t="shared" si="65"/>
        <v>nr</v>
      </c>
      <c r="E2951" s="1652" t="s">
        <v>9</v>
      </c>
      <c r="F2951" s="1825"/>
      <c r="G2951" s="1826">
        <f>'4S'!P23</f>
        <v>0</v>
      </c>
      <c r="H2951" s="1652"/>
    </row>
    <row r="2952" spans="1:8">
      <c r="A2952" s="1620" t="str">
        <f>INDEX(Lists!$C$4:$C$24,MATCH(Validation!$B$3,Lists!$B$4:$B$24,0))</f>
        <v>TMS</v>
      </c>
      <c r="B2952" s="1824" t="str">
        <f>'4S'!CC8</f>
        <v>STWDP002</v>
      </c>
      <c r="C2952" s="1788" t="str">
        <f>'4S'!$C8&amp;" - "&amp;'4S'!$P$4&amp;" - "&amp;'4S'!Q$5</f>
        <v>Load received by STWs in size band 1 - Phosphorus - &gt;0.5 to &lt;=1mg/l</v>
      </c>
      <c r="D2952" s="1620" t="str">
        <f t="shared" si="64"/>
        <v>kg BOD5/day</v>
      </c>
      <c r="E2952" s="1636" t="s">
        <v>9</v>
      </c>
      <c r="F2952"/>
      <c r="G2952" s="1792">
        <f>'4S'!Q8</f>
        <v>0</v>
      </c>
      <c r="H2952" s="1636"/>
    </row>
    <row r="2953" spans="1:8">
      <c r="A2953" s="1620" t="str">
        <f>INDEX(Lists!$C$4:$C$24,MATCH(Validation!$B$3,Lists!$B$4:$B$24,0))</f>
        <v>TMS</v>
      </c>
      <c r="B2953" s="1824" t="str">
        <f>'4S'!CC9</f>
        <v>STWDP016</v>
      </c>
      <c r="C2953" s="1788" t="str">
        <f>'4S'!$C9&amp;" - "&amp;'4S'!$P$4&amp;" - "&amp;'4S'!Q$5</f>
        <v>Load received by STWs in size band 2 - Phosphorus - &gt;0.5 to &lt;=1mg/l</v>
      </c>
      <c r="D2953" s="1620" t="str">
        <f t="shared" si="64"/>
        <v>kg BOD5/day</v>
      </c>
      <c r="E2953" s="1636" t="s">
        <v>9</v>
      </c>
      <c r="F2953"/>
      <c r="G2953" s="1792">
        <f>'4S'!Q9</f>
        <v>0</v>
      </c>
      <c r="H2953" s="1636"/>
    </row>
    <row r="2954" spans="1:8">
      <c r="A2954" s="1620" t="str">
        <f>INDEX(Lists!$C$4:$C$24,MATCH(Validation!$B$3,Lists!$B$4:$B$24,0))</f>
        <v>TMS</v>
      </c>
      <c r="B2954" s="1824" t="str">
        <f>'4S'!CC10</f>
        <v>STWDP030</v>
      </c>
      <c r="C2954" s="1788" t="str">
        <f>'4S'!$C10&amp;" - "&amp;'4S'!$P$4&amp;" - "&amp;'4S'!Q$5</f>
        <v>Load received by STWs in size band 3 - Phosphorus - &gt;0.5 to &lt;=1mg/l</v>
      </c>
      <c r="D2954" s="1620" t="str">
        <f t="shared" si="64"/>
        <v>kg BOD5/day</v>
      </c>
      <c r="E2954" s="1636" t="s">
        <v>9</v>
      </c>
      <c r="F2954"/>
      <c r="G2954" s="1792">
        <f>'4S'!Q10</f>
        <v>0</v>
      </c>
      <c r="H2954" s="1636"/>
    </row>
    <row r="2955" spans="1:8">
      <c r="A2955" s="1620" t="str">
        <f>INDEX(Lists!$C$4:$C$24,MATCH(Validation!$B$3,Lists!$B$4:$B$24,0))</f>
        <v>TMS</v>
      </c>
      <c r="B2955" s="1824" t="str">
        <f>'4S'!CC11</f>
        <v>STWDP044</v>
      </c>
      <c r="C2955" s="1788" t="str">
        <f>'4S'!$C11&amp;" - "&amp;'4S'!$P$4&amp;" - "&amp;'4S'!Q$5</f>
        <v>Load received by STWs in size band 4 - Phosphorus - &gt;0.5 to &lt;=1mg/l</v>
      </c>
      <c r="D2955" s="1620" t="str">
        <f t="shared" si="64"/>
        <v>kg BOD5/day</v>
      </c>
      <c r="E2955" s="1636" t="s">
        <v>9</v>
      </c>
      <c r="F2955"/>
      <c r="G2955" s="1792">
        <f>'4S'!Q11</f>
        <v>0</v>
      </c>
      <c r="H2955" s="1636"/>
    </row>
    <row r="2956" spans="1:8">
      <c r="A2956" s="1620" t="str">
        <f>INDEX(Lists!$C$4:$C$24,MATCH(Validation!$B$3,Lists!$B$4:$B$24,0))</f>
        <v>TMS</v>
      </c>
      <c r="B2956" s="1824" t="str">
        <f>'4S'!CC12</f>
        <v>STWDP058</v>
      </c>
      <c r="C2956" s="1788" t="str">
        <f>'4S'!$C12&amp;" - "&amp;'4S'!$P$4&amp;" - "&amp;'4S'!Q$5</f>
        <v>Load received by STWs in size band 5 - Phosphorus - &gt;0.5 to &lt;=1mg/l</v>
      </c>
      <c r="D2956" s="1620" t="str">
        <f t="shared" si="64"/>
        <v>kg BOD5/day</v>
      </c>
      <c r="E2956" s="1636" t="s">
        <v>9</v>
      </c>
      <c r="F2956"/>
      <c r="G2956" s="1792">
        <f>'4S'!Q12</f>
        <v>0</v>
      </c>
      <c r="H2956" s="1636"/>
    </row>
    <row r="2957" spans="1:8">
      <c r="A2957" s="1620" t="str">
        <f>INDEX(Lists!$C$4:$C$24,MATCH(Validation!$B$3,Lists!$B$4:$B$24,0))</f>
        <v>TMS</v>
      </c>
      <c r="B2957" s="1824" t="str">
        <f>'4S'!CC13</f>
        <v>STWDP102</v>
      </c>
      <c r="C2957" s="1788" t="str">
        <f>'4S'!$C13&amp;" - "&amp;'4S'!$P$4&amp;" - "&amp;'4S'!Q$5</f>
        <v>Load received by STWs above size band 5 - Phosphorus - &gt;0.5 to &lt;=1mg/l</v>
      </c>
      <c r="D2957" s="1620" t="str">
        <f t="shared" si="64"/>
        <v>kg BOD5/day</v>
      </c>
      <c r="E2957" s="1636" t="s">
        <v>9</v>
      </c>
      <c r="F2957"/>
      <c r="G2957" s="1792">
        <f>'4S'!Q13</f>
        <v>258333.2174394475</v>
      </c>
      <c r="H2957" s="1636"/>
    </row>
    <row r="2958" spans="1:8">
      <c r="A2958" s="1620" t="str">
        <f>INDEX(Lists!$C$4:$C$24,MATCH(Validation!$B$3,Lists!$B$4:$B$24,0))</f>
        <v>TMS</v>
      </c>
      <c r="B2958" s="1824" t="str">
        <f>'4S'!CC18</f>
        <v>STWCP002</v>
      </c>
      <c r="C2958" s="1788" t="str">
        <f>'4S'!$C18&amp;" - "&amp;'4S'!$P$4&amp;" - "&amp;'4S'!Q$5</f>
        <v>STWs in size band 1 - Phosphorus - &gt;0.5 to &lt;=1mg/l</v>
      </c>
      <c r="D2958" s="1620" t="str">
        <f t="shared" si="64"/>
        <v>nr</v>
      </c>
      <c r="E2958" s="1636" t="s">
        <v>9</v>
      </c>
      <c r="F2958"/>
      <c r="G2958" s="1792">
        <f>'4S'!Q18</f>
        <v>0</v>
      </c>
      <c r="H2958" s="1636"/>
    </row>
    <row r="2959" spans="1:8">
      <c r="A2959" s="1620" t="str">
        <f>INDEX(Lists!$C$4:$C$24,MATCH(Validation!$B$3,Lists!$B$4:$B$24,0))</f>
        <v>TMS</v>
      </c>
      <c r="B2959" s="1824" t="str">
        <f>'4S'!CC19</f>
        <v>STWCP016</v>
      </c>
      <c r="C2959" s="1788" t="str">
        <f>'4S'!$C19&amp;" - "&amp;'4S'!$P$4&amp;" - "&amp;'4S'!Q$5</f>
        <v>STWs in size band 2 - Phosphorus - &gt;0.5 to &lt;=1mg/l</v>
      </c>
      <c r="D2959" s="1620" t="str">
        <f t="shared" si="64"/>
        <v>nr</v>
      </c>
      <c r="E2959" s="1636" t="s">
        <v>9</v>
      </c>
      <c r="F2959"/>
      <c r="G2959" s="1792">
        <f>'4S'!Q19</f>
        <v>0</v>
      </c>
      <c r="H2959" s="1636"/>
    </row>
    <row r="2960" spans="1:8">
      <c r="A2960" s="1620" t="str">
        <f>INDEX(Lists!$C$4:$C$24,MATCH(Validation!$B$3,Lists!$B$4:$B$24,0))</f>
        <v>TMS</v>
      </c>
      <c r="B2960" s="1824" t="str">
        <f>'4S'!CC20</f>
        <v>STWCP030</v>
      </c>
      <c r="C2960" s="1788" t="str">
        <f>'4S'!$C20&amp;" - "&amp;'4S'!$P$4&amp;" - "&amp;'4S'!Q$5</f>
        <v>STWs in size band 3 - Phosphorus - &gt;0.5 to &lt;=1mg/l</v>
      </c>
      <c r="D2960" s="1620" t="str">
        <f t="shared" si="64"/>
        <v>nr</v>
      </c>
      <c r="E2960" s="1636" t="s">
        <v>9</v>
      </c>
      <c r="F2960"/>
      <c r="G2960" s="1792">
        <f>'4S'!Q20</f>
        <v>0</v>
      </c>
      <c r="H2960" s="1636"/>
    </row>
    <row r="2961" spans="1:8">
      <c r="A2961" s="1620" t="str">
        <f>INDEX(Lists!$C$4:$C$24,MATCH(Validation!$B$3,Lists!$B$4:$B$24,0))</f>
        <v>TMS</v>
      </c>
      <c r="B2961" s="1824" t="str">
        <f>'4S'!CC21</f>
        <v>STWCP044</v>
      </c>
      <c r="C2961" s="1788" t="str">
        <f>'4S'!$C21&amp;" - "&amp;'4S'!$P$4&amp;" - "&amp;'4S'!Q$5</f>
        <v>STWs in size band 4 - Phosphorus - &gt;0.5 to &lt;=1mg/l</v>
      </c>
      <c r="D2961" s="1620" t="str">
        <f t="shared" si="64"/>
        <v>nr</v>
      </c>
      <c r="E2961" s="1636" t="s">
        <v>9</v>
      </c>
      <c r="F2961"/>
      <c r="G2961" s="1792">
        <f>'4S'!Q21</f>
        <v>0</v>
      </c>
      <c r="H2961" s="1636"/>
    </row>
    <row r="2962" spans="1:8">
      <c r="A2962" s="1620" t="str">
        <f>INDEX(Lists!$C$4:$C$24,MATCH(Validation!$B$3,Lists!$B$4:$B$24,0))</f>
        <v>TMS</v>
      </c>
      <c r="B2962" s="1824" t="str">
        <f>'4S'!CC22</f>
        <v>STWCP058</v>
      </c>
      <c r="C2962" s="1788" t="str">
        <f>'4S'!$C22&amp;" - "&amp;'4S'!$P$4&amp;" - "&amp;'4S'!Q$5</f>
        <v>STWs in size band 5 - Phosphorus - &gt;0.5 to &lt;=1mg/l</v>
      </c>
      <c r="D2962" s="1620" t="str">
        <f t="shared" si="64"/>
        <v>nr</v>
      </c>
      <c r="E2962" s="1636" t="s">
        <v>9</v>
      </c>
      <c r="F2962"/>
      <c r="G2962" s="1792">
        <f>'4S'!Q22</f>
        <v>0</v>
      </c>
      <c r="H2962" s="1636"/>
    </row>
    <row r="2963" spans="1:8">
      <c r="A2963" s="1730" t="str">
        <f>INDEX(Lists!$C$4:$C$24,MATCH(Validation!$B$3,Lists!$B$4:$B$24,0))</f>
        <v>TMS</v>
      </c>
      <c r="B2963" s="1828" t="str">
        <f>'4S'!CC23</f>
        <v>STWCP102</v>
      </c>
      <c r="C2963" s="1825" t="str">
        <f>'4S'!$C23&amp;" - "&amp;'4S'!$P$4&amp;" - "&amp;'4S'!Q$5</f>
        <v>STWs above size band 5 - Phosphorus - &gt;0.5 to &lt;=1mg/l</v>
      </c>
      <c r="D2963" s="1730" t="str">
        <f t="shared" si="64"/>
        <v>nr</v>
      </c>
      <c r="E2963" s="1652" t="s">
        <v>9</v>
      </c>
      <c r="F2963" s="1819"/>
      <c r="G2963" s="1826">
        <f>'4S'!Q23</f>
        <v>18</v>
      </c>
      <c r="H2963" s="1652"/>
    </row>
    <row r="2964" spans="1:8">
      <c r="A2964" s="1620" t="str">
        <f>INDEX(Lists!$C$4:$C$24,MATCH(Validation!$B$3,Lists!$B$4:$B$24,0))</f>
        <v>TMS</v>
      </c>
      <c r="B2964" s="1824" t="str">
        <f>'4S'!CD8</f>
        <v>STWDP003</v>
      </c>
      <c r="C2964" s="1788" t="str">
        <f>'4S'!$C8&amp;" - "&amp;'4S'!$P$4&amp;" - "&amp;'4S'!R$5</f>
        <v>Load received by STWs in size band 1 - Phosphorus - &gt;1mg/l</v>
      </c>
      <c r="D2964" s="1620" t="str">
        <f t="shared" si="64"/>
        <v>kg BOD5/day</v>
      </c>
      <c r="E2964" s="1636" t="s">
        <v>9</v>
      </c>
      <c r="F2964"/>
      <c r="G2964" s="1792">
        <f>'4S'!R8</f>
        <v>0</v>
      </c>
      <c r="H2964" s="1636"/>
    </row>
    <row r="2965" spans="1:8">
      <c r="A2965" s="1620" t="str">
        <f>INDEX(Lists!$C$4:$C$24,MATCH(Validation!$B$3,Lists!$B$4:$B$24,0))</f>
        <v>TMS</v>
      </c>
      <c r="B2965" s="1824" t="str">
        <f>'4S'!CD9</f>
        <v>STWDP017</v>
      </c>
      <c r="C2965" s="1788" t="str">
        <f>'4S'!$C9&amp;" - "&amp;'4S'!$P$4&amp;" - "&amp;'4S'!R$5</f>
        <v>Load received by STWs in size band 2 - Phosphorus - &gt;1mg/l</v>
      </c>
      <c r="D2965" s="1620" t="str">
        <f t="shared" si="64"/>
        <v>kg BOD5/day</v>
      </c>
      <c r="E2965" s="1636" t="s">
        <v>9</v>
      </c>
      <c r="F2965"/>
      <c r="G2965" s="1792">
        <f>'4S'!R9</f>
        <v>0</v>
      </c>
      <c r="H2965" s="1636"/>
    </row>
    <row r="2966" spans="1:8">
      <c r="A2966" s="1620" t="str">
        <f>INDEX(Lists!$C$4:$C$24,MATCH(Validation!$B$3,Lists!$B$4:$B$24,0))</f>
        <v>TMS</v>
      </c>
      <c r="B2966" s="1824" t="str">
        <f>'4S'!CD10</f>
        <v>STWDP031</v>
      </c>
      <c r="C2966" s="1788" t="str">
        <f>'4S'!$C10&amp;" - "&amp;'4S'!$P$4&amp;" - "&amp;'4S'!R$5</f>
        <v>Load received by STWs in size band 3 - Phosphorus - &gt;1mg/l</v>
      </c>
      <c r="D2966" s="1620" t="str">
        <f t="shared" si="64"/>
        <v>kg BOD5/day</v>
      </c>
      <c r="E2966" s="1636" t="s">
        <v>9</v>
      </c>
      <c r="F2966"/>
      <c r="G2966" s="1792">
        <f>'4S'!R10</f>
        <v>0</v>
      </c>
      <c r="H2966" s="1636"/>
    </row>
    <row r="2967" spans="1:8">
      <c r="A2967" s="1620" t="str">
        <f>INDEX(Lists!$C$4:$C$24,MATCH(Validation!$B$3,Lists!$B$4:$B$24,0))</f>
        <v>TMS</v>
      </c>
      <c r="B2967" s="1824" t="str">
        <f>'4S'!CD11</f>
        <v>STWDP045</v>
      </c>
      <c r="C2967" s="1788" t="str">
        <f>'4S'!$C11&amp;" - "&amp;'4S'!$P$4&amp;" - "&amp;'4S'!R$5</f>
        <v>Load received by STWs in size band 4 - Phosphorus - &gt;1mg/l</v>
      </c>
      <c r="D2967" s="1620" t="str">
        <f t="shared" si="64"/>
        <v>kg BOD5/day</v>
      </c>
      <c r="E2967" s="1636" t="s">
        <v>9</v>
      </c>
      <c r="F2967"/>
      <c r="G2967" s="1792">
        <f>'4S'!R11</f>
        <v>0</v>
      </c>
      <c r="H2967" s="1636"/>
    </row>
    <row r="2968" spans="1:8">
      <c r="A2968" s="1620" t="str">
        <f>INDEX(Lists!$C$4:$C$24,MATCH(Validation!$B$3,Lists!$B$4:$B$24,0))</f>
        <v>TMS</v>
      </c>
      <c r="B2968" s="1824" t="str">
        <f>'4S'!CD12</f>
        <v>STWDP059</v>
      </c>
      <c r="C2968" s="1788" t="str">
        <f>'4S'!$C12&amp;" - "&amp;'4S'!$P$4&amp;" - "&amp;'4S'!R$5</f>
        <v>Load received by STWs in size band 5 - Phosphorus - &gt;1mg/l</v>
      </c>
      <c r="D2968" s="1620" t="str">
        <f t="shared" si="64"/>
        <v>kg BOD5/day</v>
      </c>
      <c r="E2968" s="1636" t="s">
        <v>9</v>
      </c>
      <c r="F2968"/>
      <c r="G2968" s="1792">
        <f>'4S'!R12</f>
        <v>27107.503191738135</v>
      </c>
      <c r="H2968" s="1636"/>
    </row>
    <row r="2969" spans="1:8">
      <c r="A2969" s="1620" t="str">
        <f>INDEX(Lists!$C$4:$C$24,MATCH(Validation!$B$3,Lists!$B$4:$B$24,0))</f>
        <v>TMS</v>
      </c>
      <c r="B2969" s="1824" t="str">
        <f>'4S'!CD13</f>
        <v>STWDP103</v>
      </c>
      <c r="C2969" s="1788" t="str">
        <f>'4S'!$C13&amp;" - "&amp;'4S'!$P$4&amp;" - "&amp;'4S'!R$5</f>
        <v>Load received by STWs above size band 5 - Phosphorus - &gt;1mg/l</v>
      </c>
      <c r="D2969" s="1620" t="str">
        <f t="shared" si="64"/>
        <v>kg BOD5/day</v>
      </c>
      <c r="E2969" s="1636" t="s">
        <v>9</v>
      </c>
      <c r="F2969"/>
      <c r="G2969" s="1792">
        <f>'4S'!R13</f>
        <v>87648.844917005787</v>
      </c>
      <c r="H2969" s="1636"/>
    </row>
    <row r="2970" spans="1:8">
      <c r="A2970" s="1620" t="str">
        <f>INDEX(Lists!$C$4:$C$24,MATCH(Validation!$B$3,Lists!$B$4:$B$24,0))</f>
        <v>TMS</v>
      </c>
      <c r="B2970" s="1824" t="str">
        <f>'4S'!CD18</f>
        <v>STWCP003</v>
      </c>
      <c r="C2970" s="1788" t="str">
        <f>'4S'!$C18&amp;" - "&amp;'4S'!$P$4&amp;" - "&amp;'4S'!R$5</f>
        <v>STWs in size band 1 - Phosphorus - &gt;1mg/l</v>
      </c>
      <c r="D2970" s="1620" t="str">
        <f t="shared" si="64"/>
        <v>nr</v>
      </c>
      <c r="E2970" s="1636" t="s">
        <v>9</v>
      </c>
      <c r="F2970"/>
      <c r="G2970" s="1792">
        <f>'4S'!R18</f>
        <v>0</v>
      </c>
      <c r="H2970" s="1636"/>
    </row>
    <row r="2971" spans="1:8">
      <c r="A2971" s="1620" t="str">
        <f>INDEX(Lists!$C$4:$C$24,MATCH(Validation!$B$3,Lists!$B$4:$B$24,0))</f>
        <v>TMS</v>
      </c>
      <c r="B2971" s="1824" t="str">
        <f>'4S'!CD19</f>
        <v>STWCP017</v>
      </c>
      <c r="C2971" s="1788" t="str">
        <f>'4S'!$C19&amp;" - "&amp;'4S'!$P$4&amp;" - "&amp;'4S'!R$5</f>
        <v>STWs in size band 2 - Phosphorus - &gt;1mg/l</v>
      </c>
      <c r="D2971" s="1620" t="str">
        <f t="shared" si="64"/>
        <v>nr</v>
      </c>
      <c r="E2971" s="1636" t="s">
        <v>9</v>
      </c>
      <c r="F2971"/>
      <c r="G2971" s="1792">
        <f>'4S'!R19</f>
        <v>0</v>
      </c>
      <c r="H2971" s="1636"/>
    </row>
    <row r="2972" spans="1:8">
      <c r="A2972" s="1620" t="str">
        <f>INDEX(Lists!$C$4:$C$24,MATCH(Validation!$B$3,Lists!$B$4:$B$24,0))</f>
        <v>TMS</v>
      </c>
      <c r="B2972" s="1824" t="str">
        <f>'4S'!CD20</f>
        <v>STWCP031</v>
      </c>
      <c r="C2972" s="1788" t="str">
        <f>'4S'!$C20&amp;" - "&amp;'4S'!$P$4&amp;" - "&amp;'4S'!R$5</f>
        <v>STWs in size band 3 - Phosphorus - &gt;1mg/l</v>
      </c>
      <c r="D2972" s="1620" t="str">
        <f t="shared" si="64"/>
        <v>nr</v>
      </c>
      <c r="E2972" s="1636" t="s">
        <v>9</v>
      </c>
      <c r="F2972"/>
      <c r="G2972" s="1792">
        <f>'4S'!R20</f>
        <v>0</v>
      </c>
      <c r="H2972" s="1636"/>
    </row>
    <row r="2973" spans="1:8">
      <c r="A2973" s="1620" t="str">
        <f>INDEX(Lists!$C$4:$C$24,MATCH(Validation!$B$3,Lists!$B$4:$B$24,0))</f>
        <v>TMS</v>
      </c>
      <c r="B2973" s="1824" t="str">
        <f>'4S'!CD21</f>
        <v>STWCP045</v>
      </c>
      <c r="C2973" s="1788" t="str">
        <f>'4S'!$C21&amp;" - "&amp;'4S'!$P$4&amp;" - "&amp;'4S'!R$5</f>
        <v>STWs in size band 4 - Phosphorus - &gt;1mg/l</v>
      </c>
      <c r="D2973" s="1620" t="str">
        <f t="shared" si="64"/>
        <v>nr</v>
      </c>
      <c r="E2973" s="1636" t="s">
        <v>9</v>
      </c>
      <c r="F2973"/>
      <c r="G2973" s="1792">
        <f>'4S'!R21</f>
        <v>0</v>
      </c>
      <c r="H2973" s="1636"/>
    </row>
    <row r="2974" spans="1:8">
      <c r="A2974" s="1620" t="str">
        <f>INDEX(Lists!$C$4:$C$24,MATCH(Validation!$B$3,Lists!$B$4:$B$24,0))</f>
        <v>TMS</v>
      </c>
      <c r="B2974" s="1824" t="str">
        <f>'4S'!CD22</f>
        <v>STWCP059</v>
      </c>
      <c r="C2974" s="1788" t="str">
        <f>'4S'!$C22&amp;" - "&amp;'4S'!$P$4&amp;" - "&amp;'4S'!R$5</f>
        <v>STWs in size band 5 - Phosphorus - &gt;1mg/l</v>
      </c>
      <c r="D2974" s="1620" t="str">
        <f t="shared" si="64"/>
        <v>nr</v>
      </c>
      <c r="E2974" s="1636" t="s">
        <v>9</v>
      </c>
      <c r="F2974"/>
      <c r="G2974" s="1792">
        <f>'4S'!R22</f>
        <v>27</v>
      </c>
      <c r="H2974" s="1636"/>
    </row>
    <row r="2975" spans="1:8">
      <c r="A2975" s="1730" t="str">
        <f>INDEX(Lists!$C$4:$C$24,MATCH(Validation!$B$3,Lists!$B$4:$B$24,0))</f>
        <v>TMS</v>
      </c>
      <c r="B2975" s="1828" t="str">
        <f>'4S'!CD23</f>
        <v>STWCP103</v>
      </c>
      <c r="C2975" s="1825" t="str">
        <f>'4S'!$C23&amp;" - "&amp;'4S'!$P$4&amp;" - "&amp;'4S'!R$5</f>
        <v>STWs above size band 5 - Phosphorus - &gt;1mg/l</v>
      </c>
      <c r="D2975" s="1730" t="str">
        <f t="shared" si="64"/>
        <v>nr</v>
      </c>
      <c r="E2975" s="1652" t="s">
        <v>9</v>
      </c>
      <c r="F2975" s="1819"/>
      <c r="G2975" s="1826">
        <f>'4S'!R23</f>
        <v>28</v>
      </c>
      <c r="H2975" s="1652"/>
    </row>
    <row r="2976" spans="1:8">
      <c r="A2976" s="1620" t="str">
        <f>INDEX(Lists!$C$4:$C$24,MATCH(Validation!$B$3,Lists!$B$4:$B$24,0))</f>
        <v>TMS</v>
      </c>
      <c r="B2976" s="1824" t="str">
        <f>'4S'!CE8</f>
        <v>STWDP004</v>
      </c>
      <c r="C2976" s="1788" t="str">
        <f>'4S'!$C8&amp;" - "&amp;'4S'!$P$4&amp;" - "&amp;'4S'!S$5</f>
        <v>Load received by STWs in size band 1 - Phosphorus - No permit</v>
      </c>
      <c r="D2976" s="1620" t="str">
        <f t="shared" si="64"/>
        <v>kg BOD5/day</v>
      </c>
      <c r="E2976" s="1636" t="s">
        <v>9</v>
      </c>
      <c r="F2976"/>
      <c r="G2976" s="1792">
        <f>'4S'!S8</f>
        <v>468.03716342750386</v>
      </c>
      <c r="H2976" s="1636"/>
    </row>
    <row r="2977" spans="1:8">
      <c r="A2977" s="1620" t="str">
        <f>INDEX(Lists!$C$4:$C$24,MATCH(Validation!$B$3,Lists!$B$4:$B$24,0))</f>
        <v>TMS</v>
      </c>
      <c r="B2977" s="1824" t="str">
        <f>'4S'!CE9</f>
        <v>STWDP018</v>
      </c>
      <c r="C2977" s="1788" t="str">
        <f>'4S'!$C9&amp;" - "&amp;'4S'!$P$4&amp;" - "&amp;'4S'!S$5</f>
        <v>Load received by STWs in size band 2 - Phosphorus - No permit</v>
      </c>
      <c r="D2977" s="1620" t="str">
        <f t="shared" si="64"/>
        <v>kg BOD5/day</v>
      </c>
      <c r="E2977" s="1636" t="s">
        <v>9</v>
      </c>
      <c r="F2977"/>
      <c r="G2977" s="1792">
        <f>'4S'!S9</f>
        <v>1075.557031776515</v>
      </c>
      <c r="H2977" s="1636"/>
    </row>
    <row r="2978" spans="1:8">
      <c r="A2978" s="1620" t="str">
        <f>INDEX(Lists!$C$4:$C$24,MATCH(Validation!$B$3,Lists!$B$4:$B$24,0))</f>
        <v>TMS</v>
      </c>
      <c r="B2978" s="1824" t="str">
        <f>'4S'!CE10</f>
        <v>STWDP032</v>
      </c>
      <c r="C2978" s="1788" t="str">
        <f>'4S'!$C10&amp;" - "&amp;'4S'!$P$4&amp;" - "&amp;'4S'!S$5</f>
        <v>Load received by STWs in size band 3 - Phosphorus - No permit</v>
      </c>
      <c r="D2978" s="1620" t="str">
        <f t="shared" si="64"/>
        <v>kg BOD5/day</v>
      </c>
      <c r="E2978" s="1636" t="s">
        <v>9</v>
      </c>
      <c r="F2978"/>
      <c r="G2978" s="1792">
        <f>'4S'!S10</f>
        <v>5029.2989579193609</v>
      </c>
      <c r="H2978" s="1636"/>
    </row>
    <row r="2979" spans="1:8">
      <c r="A2979" s="1620" t="str">
        <f>INDEX(Lists!$C$4:$C$24,MATCH(Validation!$B$3,Lists!$B$4:$B$24,0))</f>
        <v>TMS</v>
      </c>
      <c r="B2979" s="1824" t="str">
        <f>'4S'!CE11</f>
        <v>STWDP046</v>
      </c>
      <c r="C2979" s="1788" t="str">
        <f>'4S'!$C11&amp;" - "&amp;'4S'!$P$4&amp;" - "&amp;'4S'!S$5</f>
        <v>Load received by STWs in size band 4 - Phosphorus - No permit</v>
      </c>
      <c r="D2979" s="1620" t="str">
        <f t="shared" si="64"/>
        <v>kg BOD5/day</v>
      </c>
      <c r="E2979" s="1636" t="s">
        <v>9</v>
      </c>
      <c r="F2979"/>
      <c r="G2979" s="1792">
        <f>'4S'!S11</f>
        <v>21327.226874970409</v>
      </c>
      <c r="H2979" s="1636"/>
    </row>
    <row r="2980" spans="1:8">
      <c r="A2980" s="1620" t="str">
        <f>INDEX(Lists!$C$4:$C$24,MATCH(Validation!$B$3,Lists!$B$4:$B$24,0))</f>
        <v>TMS</v>
      </c>
      <c r="B2980" s="1824" t="str">
        <f>'4S'!CE12</f>
        <v>STWDP060</v>
      </c>
      <c r="C2980" s="1788" t="str">
        <f>'4S'!$C12&amp;" - "&amp;'4S'!$P$4&amp;" - "&amp;'4S'!S$5</f>
        <v>Load received by STWs in size band 5 - Phosphorus - No permit</v>
      </c>
      <c r="D2980" s="1620" t="str">
        <f t="shared" si="64"/>
        <v>kg BOD5/day</v>
      </c>
      <c r="E2980" s="1636" t="s">
        <v>9</v>
      </c>
      <c r="F2980"/>
      <c r="G2980" s="1792">
        <f>'4S'!S12</f>
        <v>2076.9216544012997</v>
      </c>
      <c r="H2980" s="1636"/>
    </row>
    <row r="2981" spans="1:8">
      <c r="A2981" s="1620" t="str">
        <f>INDEX(Lists!$C$4:$C$24,MATCH(Validation!$B$3,Lists!$B$4:$B$24,0))</f>
        <v>TMS</v>
      </c>
      <c r="B2981" s="1824" t="str">
        <f>'4S'!CE13</f>
        <v>STWDP104</v>
      </c>
      <c r="C2981" s="1788" t="str">
        <f>'4S'!$C13&amp;" - "&amp;'4S'!$P$4&amp;" - "&amp;'4S'!S$5</f>
        <v>Load received by STWs above size band 5 - Phosphorus - No permit</v>
      </c>
      <c r="D2981" s="1620" t="str">
        <f t="shared" si="64"/>
        <v>kg BOD5/day</v>
      </c>
      <c r="E2981" s="1636" t="s">
        <v>9</v>
      </c>
      <c r="F2981"/>
      <c r="G2981" s="1792">
        <f>'4S'!S13</f>
        <v>567077.37783904595</v>
      </c>
      <c r="H2981" s="1636"/>
    </row>
    <row r="2982" spans="1:8">
      <c r="A2982" s="1620" t="str">
        <f>INDEX(Lists!$C$4:$C$24,MATCH(Validation!$B$3,Lists!$B$4:$B$24,0))</f>
        <v>TMS</v>
      </c>
      <c r="B2982" s="1824" t="str">
        <f>'4S'!CE18</f>
        <v>STWCP004</v>
      </c>
      <c r="C2982" s="1788" t="str">
        <f>'4S'!$C18&amp;" - "&amp;'4S'!$P$4&amp;" - "&amp;'4S'!S$5</f>
        <v>STWs in size band 1 - Phosphorus - No permit</v>
      </c>
      <c r="D2982" s="1620" t="str">
        <f t="shared" si="64"/>
        <v>nr</v>
      </c>
      <c r="E2982" s="1636" t="s">
        <v>9</v>
      </c>
      <c r="F2982"/>
      <c r="G2982" s="1792">
        <f>'4S'!S18</f>
        <v>70</v>
      </c>
      <c r="H2982" s="1636"/>
    </row>
    <row r="2983" spans="1:8">
      <c r="A2983" s="1620" t="str">
        <f>INDEX(Lists!$C$4:$C$24,MATCH(Validation!$B$3,Lists!$B$4:$B$24,0))</f>
        <v>TMS</v>
      </c>
      <c r="B2983" s="1824" t="str">
        <f>'4S'!CE19</f>
        <v>STWCP018</v>
      </c>
      <c r="C2983" s="1788" t="str">
        <f>'4S'!$C19&amp;" - "&amp;'4S'!$P$4&amp;" - "&amp;'4S'!S$5</f>
        <v>STWs in size band 2 - Phosphorus - No permit</v>
      </c>
      <c r="D2983" s="1620" t="str">
        <f t="shared" si="64"/>
        <v>nr</v>
      </c>
      <c r="E2983" s="1636" t="s">
        <v>9</v>
      </c>
      <c r="F2983"/>
      <c r="G2983" s="1792">
        <f>'4S'!S19</f>
        <v>46</v>
      </c>
      <c r="H2983" s="1636"/>
    </row>
    <row r="2984" spans="1:8">
      <c r="A2984" s="1620" t="str">
        <f>INDEX(Lists!$C$4:$C$24,MATCH(Validation!$B$3,Lists!$B$4:$B$24,0))</f>
        <v>TMS</v>
      </c>
      <c r="B2984" s="1824" t="str">
        <f>'4S'!CE20</f>
        <v>STWCP032</v>
      </c>
      <c r="C2984" s="1788" t="str">
        <f>'4S'!$C20&amp;" - "&amp;'4S'!$P$4&amp;" - "&amp;'4S'!S$5</f>
        <v>STWs in size band 3 - Phosphorus - No permit</v>
      </c>
      <c r="D2984" s="1620" t="str">
        <f t="shared" si="64"/>
        <v>nr</v>
      </c>
      <c r="E2984" s="1636" t="s">
        <v>9</v>
      </c>
      <c r="F2984"/>
      <c r="G2984" s="1792">
        <f>'4S'!S20</f>
        <v>80</v>
      </c>
      <c r="H2984" s="1636"/>
    </row>
    <row r="2985" spans="1:8">
      <c r="A2985" s="1620" t="str">
        <f>INDEX(Lists!$C$4:$C$24,MATCH(Validation!$B$3,Lists!$B$4:$B$24,0))</f>
        <v>TMS</v>
      </c>
      <c r="B2985" s="1824" t="str">
        <f>'4S'!CE21</f>
        <v>STWCP046</v>
      </c>
      <c r="C2985" s="1788" t="str">
        <f>'4S'!$C21&amp;" - "&amp;'4S'!$P$4&amp;" - "&amp;'4S'!S$5</f>
        <v>STWs in size band 4 - Phosphorus - No permit</v>
      </c>
      <c r="D2985" s="1620" t="str">
        <f t="shared" si="64"/>
        <v>nr</v>
      </c>
      <c r="E2985" s="1636" t="s">
        <v>9</v>
      </c>
      <c r="F2985"/>
      <c r="G2985" s="1792">
        <f>'4S'!S21</f>
        <v>74</v>
      </c>
      <c r="H2985" s="1636"/>
    </row>
    <row r="2986" spans="1:8">
      <c r="A2986" s="1620" t="str">
        <f>INDEX(Lists!$C$4:$C$24,MATCH(Validation!$B$3,Lists!$B$4:$B$24,0))</f>
        <v>TMS</v>
      </c>
      <c r="B2986" s="1824" t="str">
        <f>'4S'!CE22</f>
        <v>STWCP060</v>
      </c>
      <c r="C2986" s="1788" t="str">
        <f>'4S'!$C22&amp;" - "&amp;'4S'!$P$4&amp;" - "&amp;'4S'!S$5</f>
        <v>STWs in size band 5 - Phosphorus - No permit</v>
      </c>
      <c r="D2986" s="1620" t="str">
        <f t="shared" si="64"/>
        <v>nr</v>
      </c>
      <c r="E2986" s="1636" t="s">
        <v>9</v>
      </c>
      <c r="F2986"/>
      <c r="G2986" s="1792">
        <f>'4S'!S22</f>
        <v>3</v>
      </c>
      <c r="H2986" s="1636"/>
    </row>
    <row r="2987" spans="1:8">
      <c r="A2987" s="1730" t="str">
        <f>INDEX(Lists!$C$4:$C$24,MATCH(Validation!$B$3,Lists!$B$4:$B$24,0))</f>
        <v>TMS</v>
      </c>
      <c r="B2987" s="1828" t="str">
        <f>'4S'!CE23</f>
        <v>STWCP104</v>
      </c>
      <c r="C2987" s="1825" t="str">
        <f>'4S'!$C23&amp;" - "&amp;'4S'!$P$4&amp;" - "&amp;'4S'!S$5</f>
        <v>STWs above size band 5 - Phosphorus - No permit</v>
      </c>
      <c r="D2987" s="1730" t="str">
        <f t="shared" si="64"/>
        <v>nr</v>
      </c>
      <c r="E2987" s="1652" t="s">
        <v>9</v>
      </c>
      <c r="F2987" s="1819"/>
      <c r="G2987" s="1826">
        <f>'4S'!S23</f>
        <v>7</v>
      </c>
      <c r="H2987" s="1652"/>
    </row>
    <row r="2988" spans="1:8">
      <c r="A2988" s="1620" t="str">
        <f>INDEX(Lists!$C$4:$C$24,MATCH(Validation!$B$3,Lists!$B$4:$B$24,0))</f>
        <v>TMS</v>
      </c>
      <c r="B2988" s="1824" t="str">
        <f>'4S'!CG8</f>
        <v>STWDB001</v>
      </c>
      <c r="C2988" s="1788" t="str">
        <f>'4S'!$C8&amp;" - "&amp;'4S'!$U$4&amp;" - "&amp;'4S'!U$5</f>
        <v>Load received by STWs in size band 1 - BOD5 - &lt;=7mg/l</v>
      </c>
      <c r="D2988" s="1620" t="str">
        <f t="shared" si="64"/>
        <v>kg BOD5/day</v>
      </c>
      <c r="E2988" s="1636" t="s">
        <v>9</v>
      </c>
      <c r="F2988" s="1788"/>
      <c r="G2988" s="1792">
        <f>'4S'!U8</f>
        <v>0</v>
      </c>
      <c r="H2988" s="1636"/>
    </row>
    <row r="2989" spans="1:8">
      <c r="A2989" s="1620" t="str">
        <f>INDEX(Lists!$C$4:$C$24,MATCH(Validation!$B$3,Lists!$B$4:$B$24,0))</f>
        <v>TMS</v>
      </c>
      <c r="B2989" s="1824" t="str">
        <f>'4S'!CG9</f>
        <v>STWDB015</v>
      </c>
      <c r="C2989" s="1788" t="str">
        <f>'4S'!$C9&amp;" - "&amp;'4S'!$U$4&amp;" - "&amp;'4S'!U$5</f>
        <v>Load received by STWs in size band 2 - BOD5 - &lt;=7mg/l</v>
      </c>
      <c r="D2989" s="1620" t="str">
        <f t="shared" si="64"/>
        <v>kg BOD5/day</v>
      </c>
      <c r="E2989" s="1636" t="s">
        <v>9</v>
      </c>
      <c r="F2989" s="1788"/>
      <c r="G2989" s="1792">
        <f>'4S'!U9</f>
        <v>0</v>
      </c>
      <c r="H2989" s="1636"/>
    </row>
    <row r="2990" spans="1:8">
      <c r="A2990" s="1620" t="str">
        <f>INDEX(Lists!$C$4:$C$24,MATCH(Validation!$B$3,Lists!$B$4:$B$24,0))</f>
        <v>TMS</v>
      </c>
      <c r="B2990" s="1824" t="str">
        <f>'4S'!CG10</f>
        <v>STWDB029</v>
      </c>
      <c r="C2990" s="1788" t="str">
        <f>'4S'!$C10&amp;" - "&amp;'4S'!$U$4&amp;" - "&amp;'4S'!U$5</f>
        <v>Load received by STWs in size band 3 - BOD5 - &lt;=7mg/l</v>
      </c>
      <c r="D2990" s="1620" t="str">
        <f t="shared" si="64"/>
        <v>kg BOD5/day</v>
      </c>
      <c r="E2990" s="1636" t="s">
        <v>9</v>
      </c>
      <c r="F2990" s="1788"/>
      <c r="G2990" s="1792">
        <f>'4S'!U10</f>
        <v>0</v>
      </c>
      <c r="H2990" s="1636"/>
    </row>
    <row r="2991" spans="1:8">
      <c r="A2991" s="1620" t="str">
        <f>INDEX(Lists!$C$4:$C$24,MATCH(Validation!$B$3,Lists!$B$4:$B$24,0))</f>
        <v>TMS</v>
      </c>
      <c r="B2991" s="1824" t="str">
        <f>'4S'!CG11</f>
        <v>STWDB043</v>
      </c>
      <c r="C2991" s="1788" t="str">
        <f>'4S'!$C11&amp;" - "&amp;'4S'!$U$4&amp;" - "&amp;'4S'!U$5</f>
        <v>Load received by STWs in size band 4 - BOD5 - &lt;=7mg/l</v>
      </c>
      <c r="D2991" s="1620" t="str">
        <f t="shared" si="64"/>
        <v>kg BOD5/day</v>
      </c>
      <c r="E2991" s="1636" t="s">
        <v>9</v>
      </c>
      <c r="F2991" s="1788"/>
      <c r="G2991" s="1792">
        <f>'4S'!U11</f>
        <v>1495.7291404567486</v>
      </c>
      <c r="H2991" s="1636"/>
    </row>
    <row r="2992" spans="1:8">
      <c r="A2992" s="1620" t="str">
        <f>INDEX(Lists!$C$4:$C$24,MATCH(Validation!$B$3,Lists!$B$4:$B$24,0))</f>
        <v>TMS</v>
      </c>
      <c r="B2992" s="1824" t="str">
        <f>'4S'!CG12</f>
        <v>STWDB057</v>
      </c>
      <c r="C2992" s="1788" t="str">
        <f>'4S'!$C12&amp;" - "&amp;'4S'!$U$4&amp;" - "&amp;'4S'!U$5</f>
        <v>Load received by STWs in size band 5 - BOD5 - &lt;=7mg/l</v>
      </c>
      <c r="D2992" s="1620" t="str">
        <f t="shared" si="64"/>
        <v>kg BOD5/day</v>
      </c>
      <c r="E2992" s="1636" t="s">
        <v>9</v>
      </c>
      <c r="F2992" s="1788"/>
      <c r="G2992" s="1792">
        <f>'4S'!U12</f>
        <v>2187.3668935117394</v>
      </c>
      <c r="H2992" s="1636"/>
    </row>
    <row r="2993" spans="1:8">
      <c r="A2993" s="1620" t="str">
        <f>INDEX(Lists!$C$4:$C$24,MATCH(Validation!$B$3,Lists!$B$4:$B$24,0))</f>
        <v>TMS</v>
      </c>
      <c r="B2993" s="1824" t="str">
        <f>'4S'!CG13</f>
        <v>STWDB101</v>
      </c>
      <c r="C2993" s="1788" t="str">
        <f>'4S'!$C13&amp;" - "&amp;'4S'!$U$4&amp;" - "&amp;'4S'!U$5</f>
        <v>Load received by STWs above size band 5 - BOD5 - &lt;=7mg/l</v>
      </c>
      <c r="D2993" s="1620" t="str">
        <f t="shared" si="64"/>
        <v>kg BOD5/day</v>
      </c>
      <c r="E2993" s="1636" t="s">
        <v>9</v>
      </c>
      <c r="F2993" s="1788"/>
      <c r="G2993" s="1792">
        <f>'4S'!U13</f>
        <v>108559.08999963658</v>
      </c>
      <c r="H2993" s="1636"/>
    </row>
    <row r="2994" spans="1:8">
      <c r="A2994" s="1620" t="str">
        <f>INDEX(Lists!$C$4:$C$24,MATCH(Validation!$B$3,Lists!$B$4:$B$24,0))</f>
        <v>TMS</v>
      </c>
      <c r="B2994" s="1824" t="str">
        <f>'4S'!CG18</f>
        <v>STWCB001</v>
      </c>
      <c r="C2994" s="1788" t="str">
        <f>'4S'!$C18&amp;" - "&amp;'4S'!$U$4&amp;" - "&amp;'4S'!U$5</f>
        <v>STWs in size band 1 - BOD5 - &lt;=7mg/l</v>
      </c>
      <c r="D2994" s="1620" t="str">
        <f t="shared" si="64"/>
        <v>nr</v>
      </c>
      <c r="E2994" s="1636" t="s">
        <v>9</v>
      </c>
      <c r="F2994" s="1788"/>
      <c r="G2994" s="1792">
        <f>'4S'!U18</f>
        <v>0</v>
      </c>
      <c r="H2994" s="1636"/>
    </row>
    <row r="2995" spans="1:8">
      <c r="A2995" s="1620" t="str">
        <f>INDEX(Lists!$C$4:$C$24,MATCH(Validation!$B$3,Lists!$B$4:$B$24,0))</f>
        <v>TMS</v>
      </c>
      <c r="B2995" s="1824" t="str">
        <f>'4S'!CG19</f>
        <v>STWCB015</v>
      </c>
      <c r="C2995" s="1788" t="str">
        <f>'4S'!$C19&amp;" - "&amp;'4S'!$U$4&amp;" - "&amp;'4S'!U$5</f>
        <v>STWs in size band 2 - BOD5 - &lt;=7mg/l</v>
      </c>
      <c r="D2995" s="1620" t="str">
        <f t="shared" si="64"/>
        <v>nr</v>
      </c>
      <c r="E2995" s="1636" t="s">
        <v>9</v>
      </c>
      <c r="F2995" s="1788"/>
      <c r="G2995" s="1792">
        <f>'4S'!U19</f>
        <v>0</v>
      </c>
      <c r="H2995" s="1636"/>
    </row>
    <row r="2996" spans="1:8">
      <c r="A2996" s="1620" t="str">
        <f>INDEX(Lists!$C$4:$C$24,MATCH(Validation!$B$3,Lists!$B$4:$B$24,0))</f>
        <v>TMS</v>
      </c>
      <c r="B2996" s="1824" t="str">
        <f>'4S'!CG20</f>
        <v>STWCB029</v>
      </c>
      <c r="C2996" s="1788" t="str">
        <f>'4S'!$C20&amp;" - "&amp;'4S'!$U$4&amp;" - "&amp;'4S'!U$5</f>
        <v>STWs in size band 3 - BOD5 - &lt;=7mg/l</v>
      </c>
      <c r="D2996" s="1620" t="str">
        <f t="shared" ref="D2996:D3059" si="66">+D2984</f>
        <v>nr</v>
      </c>
      <c r="E2996" s="1636" t="s">
        <v>9</v>
      </c>
      <c r="F2996" s="1788"/>
      <c r="G2996" s="1792">
        <f>'4S'!U20</f>
        <v>0</v>
      </c>
      <c r="H2996" s="1636"/>
    </row>
    <row r="2997" spans="1:8">
      <c r="A2997" s="1620" t="str">
        <f>INDEX(Lists!$C$4:$C$24,MATCH(Validation!$B$3,Lists!$B$4:$B$24,0))</f>
        <v>TMS</v>
      </c>
      <c r="B2997" s="1824" t="str">
        <f>'4S'!CG21</f>
        <v>STWCB043</v>
      </c>
      <c r="C2997" s="1788" t="str">
        <f>'4S'!$C21&amp;" - "&amp;'4S'!$U$4&amp;" - "&amp;'4S'!U$5</f>
        <v>STWs in size band 4 - BOD5 - &lt;=7mg/l</v>
      </c>
      <c r="D2997" s="1620" t="str">
        <f t="shared" si="66"/>
        <v>nr</v>
      </c>
      <c r="E2997" s="1636" t="s">
        <v>9</v>
      </c>
      <c r="F2997" s="1788"/>
      <c r="G2997" s="1792">
        <f>'4S'!U21</f>
        <v>4</v>
      </c>
      <c r="H2997" s="1636"/>
    </row>
    <row r="2998" spans="1:8">
      <c r="A2998" s="1620" t="str">
        <f>INDEX(Lists!$C$4:$C$24,MATCH(Validation!$B$3,Lists!$B$4:$B$24,0))</f>
        <v>TMS</v>
      </c>
      <c r="B2998" s="1824" t="str">
        <f>'4S'!CG22</f>
        <v>STWCB057</v>
      </c>
      <c r="C2998" s="1788" t="str">
        <f>'4S'!$C22&amp;" - "&amp;'4S'!$U$4&amp;" - "&amp;'4S'!U$5</f>
        <v>STWs in size band 5 - BOD5 - &lt;=7mg/l</v>
      </c>
      <c r="D2998" s="1620" t="str">
        <f t="shared" si="66"/>
        <v>nr</v>
      </c>
      <c r="E2998" s="1636" t="s">
        <v>9</v>
      </c>
      <c r="F2998" s="1788"/>
      <c r="G2998" s="1792">
        <f>'4S'!U22</f>
        <v>2</v>
      </c>
      <c r="H2998" s="1636"/>
    </row>
    <row r="2999" spans="1:8">
      <c r="A2999" s="1620" t="str">
        <f>INDEX(Lists!$C$4:$C$24,MATCH(Validation!$B$3,Lists!$B$4:$B$24,0))</f>
        <v>TMS</v>
      </c>
      <c r="B2999" s="1824" t="str">
        <f>'4S'!CG23</f>
        <v>STWCB101</v>
      </c>
      <c r="C2999" s="1788" t="str">
        <f>'4S'!$C23&amp;" - "&amp;'4S'!$U$4&amp;" - "&amp;'4S'!U$5</f>
        <v>STWs above size band 5 - BOD5 - &lt;=7mg/l</v>
      </c>
      <c r="D2999" s="1620" t="str">
        <f t="shared" si="66"/>
        <v>nr</v>
      </c>
      <c r="E2999" s="1636" t="s">
        <v>9</v>
      </c>
      <c r="F2999" s="1788"/>
      <c r="G2999" s="1792">
        <f>'4S'!U23</f>
        <v>6</v>
      </c>
      <c r="H2999" s="1636"/>
    </row>
    <row r="3000" spans="1:8">
      <c r="A3000" s="1620" t="str">
        <f>INDEX(Lists!$C$4:$C$24,MATCH(Validation!$B$3,Lists!$B$4:$B$24,0))</f>
        <v>TMS</v>
      </c>
      <c r="B3000" s="1824" t="str">
        <f>'4S'!CH8</f>
        <v>STWDB002</v>
      </c>
      <c r="C3000" s="1788" t="str">
        <f>'4S'!$C8&amp;" - "&amp;'4S'!$U$4&amp;" - "&amp;'4S'!V$5</f>
        <v>Load received by STWs in size band 1 - BOD5 - &gt;7 to &lt;=10mg/l</v>
      </c>
      <c r="D3000" s="1620" t="str">
        <f t="shared" si="66"/>
        <v>kg BOD5/day</v>
      </c>
      <c r="E3000" s="1636" t="s">
        <v>9</v>
      </c>
      <c r="F3000"/>
      <c r="G3000" s="1792">
        <f>'4S'!V8</f>
        <v>4.6382075627474899</v>
      </c>
      <c r="H3000" s="1636"/>
    </row>
    <row r="3001" spans="1:8">
      <c r="A3001" s="1620" t="str">
        <f>INDEX(Lists!$C$4:$C$24,MATCH(Validation!$B$3,Lists!$B$4:$B$24,0))</f>
        <v>TMS</v>
      </c>
      <c r="B3001" s="1824" t="str">
        <f>'4S'!CH9</f>
        <v>STWDB016</v>
      </c>
      <c r="C3001" s="1788" t="str">
        <f>'4S'!$C9&amp;" - "&amp;'4S'!$U$4&amp;" - "&amp;'4S'!V$5</f>
        <v>Load received by STWs in size band 2 - BOD5 - &gt;7 to &lt;=10mg/l</v>
      </c>
      <c r="D3001" s="1620" t="str">
        <f t="shared" si="66"/>
        <v>kg BOD5/day</v>
      </c>
      <c r="E3001" s="1636" t="s">
        <v>9</v>
      </c>
      <c r="F3001"/>
      <c r="G3001" s="1792">
        <f>'4S'!V9</f>
        <v>44.185553383988562</v>
      </c>
      <c r="H3001" s="1636"/>
    </row>
    <row r="3002" spans="1:8">
      <c r="A3002" s="1620" t="str">
        <f>INDEX(Lists!$C$4:$C$24,MATCH(Validation!$B$3,Lists!$B$4:$B$24,0))</f>
        <v>TMS</v>
      </c>
      <c r="B3002" s="1824" t="str">
        <f>'4S'!CH10</f>
        <v>STWDB030</v>
      </c>
      <c r="C3002" s="1788" t="str">
        <f>'4S'!$C10&amp;" - "&amp;'4S'!$U$4&amp;" - "&amp;'4S'!V$5</f>
        <v>Load received by STWs in size band 3 - BOD5 - &gt;7 to &lt;=10mg/l</v>
      </c>
      <c r="D3002" s="1620" t="str">
        <f t="shared" si="66"/>
        <v>kg BOD5/day</v>
      </c>
      <c r="E3002" s="1636" t="s">
        <v>9</v>
      </c>
      <c r="F3002"/>
      <c r="G3002" s="1792">
        <f>'4S'!V10</f>
        <v>688.21766584522288</v>
      </c>
      <c r="H3002" s="1636"/>
    </row>
    <row r="3003" spans="1:8">
      <c r="A3003" s="1620" t="str">
        <f>INDEX(Lists!$C$4:$C$24,MATCH(Validation!$B$3,Lists!$B$4:$B$24,0))</f>
        <v>TMS</v>
      </c>
      <c r="B3003" s="1824" t="str">
        <f>'4S'!CH11</f>
        <v>STWDB044</v>
      </c>
      <c r="C3003" s="1788" t="str">
        <f>'4S'!$C11&amp;" - "&amp;'4S'!$U$4&amp;" - "&amp;'4S'!V$5</f>
        <v>Load received by STWs in size band 4 - BOD5 - &gt;7 to &lt;=10mg/l</v>
      </c>
      <c r="D3003" s="1620" t="str">
        <f t="shared" si="66"/>
        <v>kg BOD5/day</v>
      </c>
      <c r="E3003" s="1636" t="s">
        <v>9</v>
      </c>
      <c r="F3003"/>
      <c r="G3003" s="1792">
        <f>'4S'!V11</f>
        <v>4161.392703126895</v>
      </c>
      <c r="H3003" s="1636"/>
    </row>
    <row r="3004" spans="1:8">
      <c r="A3004" s="1620" t="str">
        <f>INDEX(Lists!$C$4:$C$24,MATCH(Validation!$B$3,Lists!$B$4:$B$24,0))</f>
        <v>TMS</v>
      </c>
      <c r="B3004" s="1824" t="str">
        <f>'4S'!CH12</f>
        <v>STWDB058</v>
      </c>
      <c r="C3004" s="1788" t="str">
        <f>'4S'!$C12&amp;" - "&amp;'4S'!$U$4&amp;" - "&amp;'4S'!V$5</f>
        <v>Load received by STWs in size band 5 - BOD5 - &gt;7 to &lt;=10mg/l</v>
      </c>
      <c r="D3004" s="1620" t="str">
        <f t="shared" si="66"/>
        <v>kg BOD5/day</v>
      </c>
      <c r="E3004" s="1636" t="s">
        <v>9</v>
      </c>
      <c r="F3004"/>
      <c r="G3004" s="1792">
        <f>'4S'!V12</f>
        <v>13162.212656228432</v>
      </c>
      <c r="H3004" s="1636"/>
    </row>
    <row r="3005" spans="1:8">
      <c r="A3005" s="1620" t="str">
        <f>INDEX(Lists!$C$4:$C$24,MATCH(Validation!$B$3,Lists!$B$4:$B$24,0))</f>
        <v>TMS</v>
      </c>
      <c r="B3005" s="1824" t="str">
        <f>'4S'!CH13</f>
        <v>STWDB102</v>
      </c>
      <c r="C3005" s="1788" t="str">
        <f>'4S'!$C13&amp;" - "&amp;'4S'!$U$4&amp;" - "&amp;'4S'!V$5</f>
        <v>Load received by STWs above size band 5 - BOD5 - &gt;7 to &lt;=10mg/l</v>
      </c>
      <c r="D3005" s="1620" t="str">
        <f t="shared" si="66"/>
        <v>kg BOD5/day</v>
      </c>
      <c r="E3005" s="1636" t="s">
        <v>9</v>
      </c>
      <c r="F3005"/>
      <c r="G3005" s="1792">
        <f>'4S'!V13</f>
        <v>151354.28677417219</v>
      </c>
      <c r="H3005" s="1636"/>
    </row>
    <row r="3006" spans="1:8">
      <c r="A3006" s="1620" t="str">
        <f>INDEX(Lists!$C$4:$C$24,MATCH(Validation!$B$3,Lists!$B$4:$B$24,0))</f>
        <v>TMS</v>
      </c>
      <c r="B3006" s="1824" t="str">
        <f>'4S'!CH18</f>
        <v>STWCB002</v>
      </c>
      <c r="C3006" s="1788" t="str">
        <f>'4S'!$C18&amp;" - "&amp;'4S'!$U$4&amp;" - "&amp;'4S'!V$5</f>
        <v>STWs in size band 1 - BOD5 - &gt;7 to &lt;=10mg/l</v>
      </c>
      <c r="D3006" s="1620" t="str">
        <f t="shared" si="66"/>
        <v>nr</v>
      </c>
      <c r="E3006" s="1636" t="s">
        <v>9</v>
      </c>
      <c r="F3006"/>
      <c r="G3006" s="1792">
        <f>'4S'!V18</f>
        <v>1</v>
      </c>
      <c r="H3006" s="1636"/>
    </row>
    <row r="3007" spans="1:8">
      <c r="A3007" s="1620" t="str">
        <f>INDEX(Lists!$C$4:$C$24,MATCH(Validation!$B$3,Lists!$B$4:$B$24,0))</f>
        <v>TMS</v>
      </c>
      <c r="B3007" s="1824" t="str">
        <f>'4S'!CH19</f>
        <v>STWCB016</v>
      </c>
      <c r="C3007" s="1788" t="str">
        <f>'4S'!$C19&amp;" - "&amp;'4S'!$U$4&amp;" - "&amp;'4S'!V$5</f>
        <v>STWs in size band 2 - BOD5 - &gt;7 to &lt;=10mg/l</v>
      </c>
      <c r="D3007" s="1620" t="str">
        <f t="shared" si="66"/>
        <v>nr</v>
      </c>
      <c r="E3007" s="1636" t="s">
        <v>9</v>
      </c>
      <c r="F3007"/>
      <c r="G3007" s="1792">
        <f>'4S'!V19</f>
        <v>2</v>
      </c>
      <c r="H3007" s="1636"/>
    </row>
    <row r="3008" spans="1:8">
      <c r="A3008" s="1620" t="str">
        <f>INDEX(Lists!$C$4:$C$24,MATCH(Validation!$B$3,Lists!$B$4:$B$24,0))</f>
        <v>TMS</v>
      </c>
      <c r="B3008" s="1824" t="str">
        <f>'4S'!CH20</f>
        <v>STWCB030</v>
      </c>
      <c r="C3008" s="1788" t="str">
        <f>'4S'!$C20&amp;" - "&amp;'4S'!$U$4&amp;" - "&amp;'4S'!V$5</f>
        <v>STWs in size band 3 - BOD5 - &gt;7 to &lt;=10mg/l</v>
      </c>
      <c r="D3008" s="1620" t="str">
        <f t="shared" si="66"/>
        <v>nr</v>
      </c>
      <c r="E3008" s="1636" t="s">
        <v>9</v>
      </c>
      <c r="F3008"/>
      <c r="G3008" s="1792">
        <f>'4S'!V20</f>
        <v>10</v>
      </c>
      <c r="H3008" s="1636"/>
    </row>
    <row r="3009" spans="1:8">
      <c r="A3009" s="1620" t="str">
        <f>INDEX(Lists!$C$4:$C$24,MATCH(Validation!$B$3,Lists!$B$4:$B$24,0))</f>
        <v>TMS</v>
      </c>
      <c r="B3009" s="1824" t="str">
        <f>'4S'!CH21</f>
        <v>STWCB044</v>
      </c>
      <c r="C3009" s="1788" t="str">
        <f>'4S'!$C21&amp;" - "&amp;'4S'!$U$4&amp;" - "&amp;'4S'!V$5</f>
        <v>STWs in size band 4 - BOD5 - &gt;7 to &lt;=10mg/l</v>
      </c>
      <c r="D3009" s="1620" t="str">
        <f t="shared" si="66"/>
        <v>nr</v>
      </c>
      <c r="E3009" s="1636" t="s">
        <v>9</v>
      </c>
      <c r="F3009"/>
      <c r="G3009" s="1792">
        <f>'4S'!V21</f>
        <v>13</v>
      </c>
      <c r="H3009" s="1636"/>
    </row>
    <row r="3010" spans="1:8">
      <c r="A3010" s="1620" t="str">
        <f>INDEX(Lists!$C$4:$C$24,MATCH(Validation!$B$3,Lists!$B$4:$B$24,0))</f>
        <v>TMS</v>
      </c>
      <c r="B3010" s="1824" t="str">
        <f>'4S'!CH22</f>
        <v>STWCB058</v>
      </c>
      <c r="C3010" s="1788" t="str">
        <f>'4S'!$C22&amp;" - "&amp;'4S'!$U$4&amp;" - "&amp;'4S'!V$5</f>
        <v>STWs in size band 5 - BOD5 - &gt;7 to &lt;=10mg/l</v>
      </c>
      <c r="D3010" s="1620" t="str">
        <f t="shared" si="66"/>
        <v>nr</v>
      </c>
      <c r="E3010" s="1636" t="s">
        <v>9</v>
      </c>
      <c r="F3010"/>
      <c r="G3010" s="1792">
        <f>'4S'!V22</f>
        <v>13</v>
      </c>
      <c r="H3010" s="1636"/>
    </row>
    <row r="3011" spans="1:8">
      <c r="A3011" s="1730" t="str">
        <f>INDEX(Lists!$C$4:$C$24,MATCH(Validation!$B$3,Lists!$B$4:$B$24,0))</f>
        <v>TMS</v>
      </c>
      <c r="B3011" s="1828" t="str">
        <f>'4S'!CH23</f>
        <v>STWCB102</v>
      </c>
      <c r="C3011" s="1825" t="str">
        <f>'4S'!$C23&amp;" - "&amp;'4S'!$U$4&amp;" - "&amp;'4S'!V$5</f>
        <v>STWs above size band 5 - BOD5 - &gt;7 to &lt;=10mg/l</v>
      </c>
      <c r="D3011" s="1730" t="str">
        <f t="shared" si="66"/>
        <v>nr</v>
      </c>
      <c r="E3011" s="1652" t="s">
        <v>9</v>
      </c>
      <c r="F3011" s="1819"/>
      <c r="G3011" s="1826">
        <f>'4S'!V23</f>
        <v>24</v>
      </c>
      <c r="H3011" s="1652"/>
    </row>
    <row r="3012" spans="1:8">
      <c r="A3012" s="1620" t="str">
        <f>INDEX(Lists!$C$4:$C$24,MATCH(Validation!$B$3,Lists!$B$4:$B$24,0))</f>
        <v>TMS</v>
      </c>
      <c r="B3012" s="1824" t="str">
        <f>'4S'!CI8</f>
        <v>STWDB003</v>
      </c>
      <c r="C3012" s="1788" t="str">
        <f>'4S'!$C8&amp;" - "&amp;'4S'!$U$4&amp;" - "&amp;'4S'!W$5</f>
        <v>Load received by STWs in size band 1 - BOD5 - &gt;10 to &lt;=20mg/l</v>
      </c>
      <c r="D3012" s="1620" t="str">
        <f t="shared" si="66"/>
        <v>kg BOD5/day</v>
      </c>
      <c r="E3012" s="1636" t="s">
        <v>9</v>
      </c>
      <c r="F3012"/>
      <c r="G3012" s="1792">
        <f>'4S'!W8</f>
        <v>44.84514562293613</v>
      </c>
      <c r="H3012" s="1636"/>
    </row>
    <row r="3013" spans="1:8">
      <c r="A3013" s="1620" t="str">
        <f>INDEX(Lists!$C$4:$C$24,MATCH(Validation!$B$3,Lists!$B$4:$B$24,0))</f>
        <v>TMS</v>
      </c>
      <c r="B3013" s="1824" t="str">
        <f>'4S'!CI9</f>
        <v>STWDB017</v>
      </c>
      <c r="C3013" s="1788" t="str">
        <f>'4S'!$C9&amp;" - "&amp;'4S'!$U$4&amp;" - "&amp;'4S'!W$5</f>
        <v>Load received by STWs in size band 2 - BOD5 - &gt;10 to &lt;=20mg/l</v>
      </c>
      <c r="D3013" s="1620" t="str">
        <f t="shared" si="66"/>
        <v>kg BOD5/day</v>
      </c>
      <c r="E3013" s="1636" t="s">
        <v>9</v>
      </c>
      <c r="F3013"/>
      <c r="G3013" s="1792">
        <f>'4S'!W9</f>
        <v>339.28341197492216</v>
      </c>
      <c r="H3013" s="1636"/>
    </row>
    <row r="3014" spans="1:8">
      <c r="A3014" s="1620" t="str">
        <f>INDEX(Lists!$C$4:$C$24,MATCH(Validation!$B$3,Lists!$B$4:$B$24,0))</f>
        <v>TMS</v>
      </c>
      <c r="B3014" s="1824" t="str">
        <f>'4S'!CI10</f>
        <v>STWDB031</v>
      </c>
      <c r="C3014" s="1788" t="str">
        <f>'4S'!$C10&amp;" - "&amp;'4S'!$U$4&amp;" - "&amp;'4S'!W$5</f>
        <v>Load received by STWs in size band 3 - BOD5 - &gt;10 to &lt;=20mg/l</v>
      </c>
      <c r="D3014" s="1620" t="str">
        <f t="shared" si="66"/>
        <v>kg BOD5/day</v>
      </c>
      <c r="E3014" s="1636" t="s">
        <v>9</v>
      </c>
      <c r="F3014"/>
      <c r="G3014" s="1792">
        <f>'4S'!W10</f>
        <v>1653.3585415471944</v>
      </c>
      <c r="H3014" s="1636"/>
    </row>
    <row r="3015" spans="1:8">
      <c r="A3015" s="1620" t="str">
        <f>INDEX(Lists!$C$4:$C$24,MATCH(Validation!$B$3,Lists!$B$4:$B$24,0))</f>
        <v>TMS</v>
      </c>
      <c r="B3015" s="1824" t="str">
        <f>'4S'!CI11</f>
        <v>STWDB045</v>
      </c>
      <c r="C3015" s="1788" t="str">
        <f>'4S'!$C11&amp;" - "&amp;'4S'!$U$4&amp;" - "&amp;'4S'!W$5</f>
        <v>Load received by STWs in size band 4 - BOD5 - &gt;10 to &lt;=20mg/l</v>
      </c>
      <c r="D3015" s="1620" t="str">
        <f t="shared" si="66"/>
        <v>kg BOD5/day</v>
      </c>
      <c r="E3015" s="1636" t="s">
        <v>9</v>
      </c>
      <c r="F3015"/>
      <c r="G3015" s="1792">
        <f>'4S'!W11</f>
        <v>12315.666184495223</v>
      </c>
      <c r="H3015" s="1636"/>
    </row>
    <row r="3016" spans="1:8">
      <c r="A3016" s="1620" t="str">
        <f>INDEX(Lists!$C$4:$C$24,MATCH(Validation!$B$3,Lists!$B$4:$B$24,0))</f>
        <v>TMS</v>
      </c>
      <c r="B3016" s="1824" t="str">
        <f>'4S'!CI12</f>
        <v>STWDB059</v>
      </c>
      <c r="C3016" s="1788" t="str">
        <f>'4S'!$C12&amp;" - "&amp;'4S'!$U$4&amp;" - "&amp;'4S'!W$5</f>
        <v>Load received by STWs in size band 5 - BOD5 - &gt;10 to &lt;=20mg/l</v>
      </c>
      <c r="D3016" s="1620" t="str">
        <f t="shared" si="66"/>
        <v>kg BOD5/day</v>
      </c>
      <c r="E3016" s="1636" t="s">
        <v>9</v>
      </c>
      <c r="F3016"/>
      <c r="G3016" s="1792">
        <f>'4S'!W12</f>
        <v>12557.093557900835</v>
      </c>
      <c r="H3016" s="1636"/>
    </row>
    <row r="3017" spans="1:8">
      <c r="A3017" s="1620" t="str">
        <f>INDEX(Lists!$C$4:$C$24,MATCH(Validation!$B$3,Lists!$B$4:$B$24,0))</f>
        <v>TMS</v>
      </c>
      <c r="B3017" s="1824" t="str">
        <f>'4S'!CI13</f>
        <v>STWDB103</v>
      </c>
      <c r="C3017" s="1788" t="str">
        <f>'4S'!$C13&amp;" - "&amp;'4S'!$U$4&amp;" - "&amp;'4S'!W$5</f>
        <v>Load received by STWs above size band 5 - BOD5 - &gt;10 to &lt;=20mg/l</v>
      </c>
      <c r="D3017" s="1620" t="str">
        <f t="shared" si="66"/>
        <v>kg BOD5/day</v>
      </c>
      <c r="E3017" s="1636" t="s">
        <v>9</v>
      </c>
      <c r="F3017"/>
      <c r="G3017" s="1792">
        <f>'4S'!W13</f>
        <v>592868.45401694882</v>
      </c>
      <c r="H3017" s="1636"/>
    </row>
    <row r="3018" spans="1:8">
      <c r="A3018" s="1620" t="str">
        <f>INDEX(Lists!$C$4:$C$24,MATCH(Validation!$B$3,Lists!$B$4:$B$24,0))</f>
        <v>TMS</v>
      </c>
      <c r="B3018" s="1824" t="str">
        <f>'4S'!CI18</f>
        <v>STWCB003</v>
      </c>
      <c r="C3018" s="1788" t="str">
        <f>'4S'!$C18&amp;" - "&amp;'4S'!$U$4&amp;" - "&amp;'4S'!W$5</f>
        <v>STWs in size band 1 - BOD5 - &gt;10 to &lt;=20mg/l</v>
      </c>
      <c r="D3018" s="1620" t="str">
        <f t="shared" si="66"/>
        <v>nr</v>
      </c>
      <c r="E3018" s="1636" t="s">
        <v>9</v>
      </c>
      <c r="F3018"/>
      <c r="G3018" s="1792">
        <f>'4S'!W18</f>
        <v>9</v>
      </c>
      <c r="H3018" s="1636"/>
    </row>
    <row r="3019" spans="1:8">
      <c r="A3019" s="1620" t="str">
        <f>INDEX(Lists!$C$4:$C$24,MATCH(Validation!$B$3,Lists!$B$4:$B$24,0))</f>
        <v>TMS</v>
      </c>
      <c r="B3019" s="1824" t="str">
        <f>'4S'!CI19</f>
        <v>STWCB017</v>
      </c>
      <c r="C3019" s="1788" t="str">
        <f>'4S'!$C19&amp;" - "&amp;'4S'!$U$4&amp;" - "&amp;'4S'!W$5</f>
        <v>STWs in size band 2 - BOD5 - &gt;10 to &lt;=20mg/l</v>
      </c>
      <c r="D3019" s="1620" t="str">
        <f t="shared" si="66"/>
        <v>nr</v>
      </c>
      <c r="E3019" s="1636" t="s">
        <v>9</v>
      </c>
      <c r="F3019"/>
      <c r="G3019" s="1792">
        <f>'4S'!W19</f>
        <v>11</v>
      </c>
      <c r="H3019" s="1636"/>
    </row>
    <row r="3020" spans="1:8">
      <c r="A3020" s="1620" t="str">
        <f>INDEX(Lists!$C$4:$C$24,MATCH(Validation!$B$3,Lists!$B$4:$B$24,0))</f>
        <v>TMS</v>
      </c>
      <c r="B3020" s="1824" t="str">
        <f>'4S'!CI20</f>
        <v>STWCB031</v>
      </c>
      <c r="C3020" s="1788" t="str">
        <f>'4S'!$C20&amp;" - "&amp;'4S'!$U$4&amp;" - "&amp;'4S'!W$5</f>
        <v>STWs in size band 3 - BOD5 - &gt;10 to &lt;=20mg/l</v>
      </c>
      <c r="D3020" s="1620" t="str">
        <f t="shared" si="66"/>
        <v>nr</v>
      </c>
      <c r="E3020" s="1636" t="s">
        <v>9</v>
      </c>
      <c r="F3020"/>
      <c r="G3020" s="1792">
        <f>'4S'!W20</f>
        <v>25</v>
      </c>
      <c r="H3020" s="1636"/>
    </row>
    <row r="3021" spans="1:8">
      <c r="A3021" s="1620" t="str">
        <f>INDEX(Lists!$C$4:$C$24,MATCH(Validation!$B$3,Lists!$B$4:$B$24,0))</f>
        <v>TMS</v>
      </c>
      <c r="B3021" s="1824" t="str">
        <f>'4S'!CI21</f>
        <v>STWCB045</v>
      </c>
      <c r="C3021" s="1788" t="str">
        <f>'4S'!$C21&amp;" - "&amp;'4S'!$U$4&amp;" - "&amp;'4S'!W$5</f>
        <v>STWs in size band 4 - BOD5 - &gt;10 to &lt;=20mg/l</v>
      </c>
      <c r="D3021" s="1620" t="str">
        <f t="shared" si="66"/>
        <v>nr</v>
      </c>
      <c r="E3021" s="1636" t="s">
        <v>9</v>
      </c>
      <c r="F3021"/>
      <c r="G3021" s="1792">
        <f>'4S'!W21</f>
        <v>42</v>
      </c>
      <c r="H3021" s="1636"/>
    </row>
    <row r="3022" spans="1:8">
      <c r="A3022" s="1620" t="str">
        <f>INDEX(Lists!$C$4:$C$24,MATCH(Validation!$B$3,Lists!$B$4:$B$24,0))</f>
        <v>TMS</v>
      </c>
      <c r="B3022" s="1824" t="str">
        <f>'4S'!CI22</f>
        <v>STWCB059</v>
      </c>
      <c r="C3022" s="1788" t="str">
        <f>'4S'!$C22&amp;" - "&amp;'4S'!$U$4&amp;" - "&amp;'4S'!W$5</f>
        <v>STWs in size band 5 - BOD5 - &gt;10 to &lt;=20mg/l</v>
      </c>
      <c r="D3022" s="1620" t="str">
        <f t="shared" si="66"/>
        <v>nr</v>
      </c>
      <c r="E3022" s="1636" t="s">
        <v>9</v>
      </c>
      <c r="F3022"/>
      <c r="G3022" s="1792">
        <f>'4S'!W22</f>
        <v>14</v>
      </c>
      <c r="H3022" s="1636"/>
    </row>
    <row r="3023" spans="1:8">
      <c r="A3023" s="1730" t="str">
        <f>INDEX(Lists!$C$4:$C$24,MATCH(Validation!$B$3,Lists!$B$4:$B$24,0))</f>
        <v>TMS</v>
      </c>
      <c r="B3023" s="1828" t="str">
        <f>'4S'!CI23</f>
        <v>STWCB103</v>
      </c>
      <c r="C3023" s="1825" t="str">
        <f>'4S'!$C23&amp;" - "&amp;'4S'!$U$4&amp;" - "&amp;'4S'!W$5</f>
        <v>STWs above size band 5 - BOD5 - &gt;10 to &lt;=20mg/l</v>
      </c>
      <c r="D3023" s="1730" t="str">
        <f t="shared" si="66"/>
        <v>nr</v>
      </c>
      <c r="E3023" s="1652" t="s">
        <v>9</v>
      </c>
      <c r="F3023" s="1819"/>
      <c r="G3023" s="1826">
        <f>'4S'!W23</f>
        <v>19</v>
      </c>
      <c r="H3023" s="1652"/>
    </row>
    <row r="3024" spans="1:8">
      <c r="A3024" s="1620" t="str">
        <f>INDEX(Lists!$C$4:$C$24,MATCH(Validation!$B$3,Lists!$B$4:$B$24,0))</f>
        <v>TMS</v>
      </c>
      <c r="B3024" s="1824" t="str">
        <f>'4S'!CJ8</f>
        <v>STWDB004</v>
      </c>
      <c r="C3024" s="1788" t="str">
        <f>'4S'!$C8&amp;" - "&amp;'4S'!$U$4&amp;" - "&amp;'4S'!X$5</f>
        <v>Load received by STWs in size band 1 - BOD5 - &gt;20mg/l</v>
      </c>
      <c r="D3024" s="1620" t="str">
        <f t="shared" si="66"/>
        <v>kg BOD5/day</v>
      </c>
      <c r="E3024" s="1636" t="s">
        <v>9</v>
      </c>
      <c r="F3024"/>
      <c r="G3024" s="1792">
        <f>'4S'!X8</f>
        <v>379.54475389390552</v>
      </c>
      <c r="H3024" s="1636"/>
    </row>
    <row r="3025" spans="1:8">
      <c r="A3025" s="1620" t="str">
        <f>INDEX(Lists!$C$4:$C$24,MATCH(Validation!$B$3,Lists!$B$4:$B$24,0))</f>
        <v>TMS</v>
      </c>
      <c r="B3025" s="1824" t="str">
        <f>'4S'!CJ9</f>
        <v>STWDB018</v>
      </c>
      <c r="C3025" s="1788" t="str">
        <f>'4S'!$C9&amp;" - "&amp;'4S'!$U$4&amp;" - "&amp;'4S'!X$5</f>
        <v>Load received by STWs in size band 2 - BOD5 - &gt;20mg/l</v>
      </c>
      <c r="D3025" s="1620" t="str">
        <f t="shared" si="66"/>
        <v>kg BOD5/day</v>
      </c>
      <c r="E3025" s="1636" t="s">
        <v>9</v>
      </c>
      <c r="F3025"/>
      <c r="G3025" s="1792">
        <f>'4S'!X9</f>
        <v>675.04265362450724</v>
      </c>
      <c r="H3025" s="1636"/>
    </row>
    <row r="3026" spans="1:8">
      <c r="A3026" s="1620" t="str">
        <f>INDEX(Lists!$C$4:$C$24,MATCH(Validation!$B$3,Lists!$B$4:$B$24,0))</f>
        <v>TMS</v>
      </c>
      <c r="B3026" s="1824" t="str">
        <f>'4S'!CJ10</f>
        <v>STWDB032</v>
      </c>
      <c r="C3026" s="1788" t="str">
        <f>'4S'!$C10&amp;" - "&amp;'4S'!$U$4&amp;" - "&amp;'4S'!X$5</f>
        <v>Load received by STWs in size band 3 - BOD5 - &gt;20mg/l</v>
      </c>
      <c r="D3026" s="1620" t="str">
        <f t="shared" si="66"/>
        <v>kg BOD5/day</v>
      </c>
      <c r="E3026" s="1636" t="s">
        <v>9</v>
      </c>
      <c r="F3026"/>
      <c r="G3026" s="1792">
        <f>'4S'!X10</f>
        <v>2687.7227505269439</v>
      </c>
      <c r="H3026" s="1636"/>
    </row>
    <row r="3027" spans="1:8">
      <c r="A3027" s="1620" t="str">
        <f>INDEX(Lists!$C$4:$C$24,MATCH(Validation!$B$3,Lists!$B$4:$B$24,0))</f>
        <v>TMS</v>
      </c>
      <c r="B3027" s="1824" t="str">
        <f>'4S'!CJ11</f>
        <v>STWDB046</v>
      </c>
      <c r="C3027" s="1788" t="str">
        <f>'4S'!$C11&amp;" - "&amp;'4S'!$U$4&amp;" - "&amp;'4S'!X$5</f>
        <v>Load received by STWs in size band 4 - BOD5 - &gt;20mg/l</v>
      </c>
      <c r="D3027" s="1620" t="str">
        <f t="shared" si="66"/>
        <v>kg BOD5/day</v>
      </c>
      <c r="E3027" s="1636" t="s">
        <v>9</v>
      </c>
      <c r="F3027"/>
      <c r="G3027" s="1792">
        <f>'4S'!X11</f>
        <v>3354.4388468915381</v>
      </c>
      <c r="H3027" s="1636"/>
    </row>
    <row r="3028" spans="1:8">
      <c r="A3028" s="1620" t="str">
        <f>INDEX(Lists!$C$4:$C$24,MATCH(Validation!$B$3,Lists!$B$4:$B$24,0))</f>
        <v>TMS</v>
      </c>
      <c r="B3028" s="1824" t="str">
        <f>'4S'!CJ12</f>
        <v>STWDB060</v>
      </c>
      <c r="C3028" s="1788" t="str">
        <f>'4S'!$C12&amp;" - "&amp;'4S'!$U$4&amp;" - "&amp;'4S'!X$5</f>
        <v>Load received by STWs in size band 5 - BOD5 - &gt;20mg/l</v>
      </c>
      <c r="D3028" s="1620" t="str">
        <f t="shared" si="66"/>
        <v>kg BOD5/day</v>
      </c>
      <c r="E3028" s="1636" t="s">
        <v>9</v>
      </c>
      <c r="F3028"/>
      <c r="G3028" s="1792">
        <f>'4S'!X12</f>
        <v>1277.7517384984274</v>
      </c>
      <c r="H3028" s="1636"/>
    </row>
    <row r="3029" spans="1:8">
      <c r="A3029" s="1620" t="str">
        <f>INDEX(Lists!$C$4:$C$24,MATCH(Validation!$B$3,Lists!$B$4:$B$24,0))</f>
        <v>TMS</v>
      </c>
      <c r="B3029" s="1824" t="str">
        <f>'4S'!CJ13</f>
        <v>STWDB104</v>
      </c>
      <c r="C3029" s="1788" t="str">
        <f>'4S'!$C13&amp;" - "&amp;'4S'!$U$4&amp;" - "&amp;'4S'!X$5</f>
        <v>Load received by STWs above size band 5 - BOD5 - &gt;20mg/l</v>
      </c>
      <c r="D3029" s="1620" t="str">
        <f t="shared" si="66"/>
        <v>kg BOD5/day</v>
      </c>
      <c r="E3029" s="1636" t="s">
        <v>9</v>
      </c>
      <c r="F3029"/>
      <c r="G3029" s="1792">
        <f>'4S'!X13</f>
        <v>60277.609404741794</v>
      </c>
      <c r="H3029" s="1636"/>
    </row>
    <row r="3030" spans="1:8">
      <c r="A3030" s="1620" t="str">
        <f>INDEX(Lists!$C$4:$C$24,MATCH(Validation!$B$3,Lists!$B$4:$B$24,0))</f>
        <v>TMS</v>
      </c>
      <c r="B3030" s="1824" t="str">
        <f>'4S'!CJ18</f>
        <v>STWCB004</v>
      </c>
      <c r="C3030" s="1788" t="str">
        <f>'4S'!$C18&amp;" - "&amp;'4S'!$U$4&amp;" - "&amp;'4S'!X$5</f>
        <v>STWs in size band 1 - BOD5 - &gt;20mg/l</v>
      </c>
      <c r="D3030" s="1620" t="str">
        <f t="shared" si="66"/>
        <v>nr</v>
      </c>
      <c r="E3030" s="1636" t="s">
        <v>9</v>
      </c>
      <c r="F3030"/>
      <c r="G3030" s="1792">
        <f>'4S'!X18</f>
        <v>51</v>
      </c>
      <c r="H3030" s="1636"/>
    </row>
    <row r="3031" spans="1:8">
      <c r="A3031" s="1620" t="str">
        <f>INDEX(Lists!$C$4:$C$24,MATCH(Validation!$B$3,Lists!$B$4:$B$24,0))</f>
        <v>TMS</v>
      </c>
      <c r="B3031" s="1824" t="str">
        <f>'4S'!CJ19</f>
        <v>STWCB018</v>
      </c>
      <c r="C3031" s="1788" t="str">
        <f>'4S'!$C19&amp;" - "&amp;'4S'!$U$4&amp;" - "&amp;'4S'!X$5</f>
        <v>STWs in size band 2 - BOD5 - &gt;20mg/l</v>
      </c>
      <c r="D3031" s="1620" t="str">
        <f t="shared" si="66"/>
        <v>nr</v>
      </c>
      <c r="E3031" s="1636" t="s">
        <v>9</v>
      </c>
      <c r="F3031"/>
      <c r="G3031" s="1792">
        <f>'4S'!X19</f>
        <v>32</v>
      </c>
      <c r="H3031" s="1636"/>
    </row>
    <row r="3032" spans="1:8">
      <c r="A3032" s="1620" t="str">
        <f>INDEX(Lists!$C$4:$C$24,MATCH(Validation!$B$3,Lists!$B$4:$B$24,0))</f>
        <v>TMS</v>
      </c>
      <c r="B3032" s="1824" t="str">
        <f>'4S'!CJ20</f>
        <v>STWCB032</v>
      </c>
      <c r="C3032" s="1788" t="str">
        <f>'4S'!$C20&amp;" - "&amp;'4S'!$U$4&amp;" - "&amp;'4S'!X$5</f>
        <v>STWs in size band 3 - BOD5 - &gt;20mg/l</v>
      </c>
      <c r="D3032" s="1620" t="str">
        <f t="shared" si="66"/>
        <v>nr</v>
      </c>
      <c r="E3032" s="1636" t="s">
        <v>9</v>
      </c>
      <c r="F3032"/>
      <c r="G3032" s="1792">
        <f>'4S'!X20</f>
        <v>45</v>
      </c>
      <c r="H3032" s="1636"/>
    </row>
    <row r="3033" spans="1:8">
      <c r="A3033" s="1620" t="str">
        <f>INDEX(Lists!$C$4:$C$24,MATCH(Validation!$B$3,Lists!$B$4:$B$24,0))</f>
        <v>TMS</v>
      </c>
      <c r="B3033" s="1824" t="str">
        <f>'4S'!CJ21</f>
        <v>STWCB046</v>
      </c>
      <c r="C3033" s="1788" t="str">
        <f>'4S'!$C21&amp;" - "&amp;'4S'!$U$4&amp;" - "&amp;'4S'!X$5</f>
        <v>STWs in size band 4 - BOD5 - &gt;20mg/l</v>
      </c>
      <c r="D3033" s="1620" t="str">
        <f t="shared" si="66"/>
        <v>nr</v>
      </c>
      <c r="E3033" s="1636" t="s">
        <v>9</v>
      </c>
      <c r="F3033"/>
      <c r="G3033" s="1792">
        <f>'4S'!X21</f>
        <v>15</v>
      </c>
      <c r="H3033" s="1636"/>
    </row>
    <row r="3034" spans="1:8">
      <c r="A3034" s="1620" t="str">
        <f>INDEX(Lists!$C$4:$C$24,MATCH(Validation!$B$3,Lists!$B$4:$B$24,0))</f>
        <v>TMS</v>
      </c>
      <c r="B3034" s="1824" t="str">
        <f>'4S'!CJ22</f>
        <v>STWCB060</v>
      </c>
      <c r="C3034" s="1788" t="str">
        <f>'4S'!$C22&amp;" - "&amp;'4S'!$U$4&amp;" - "&amp;'4S'!X$5</f>
        <v>STWs in size band 5 - BOD5 - &gt;20mg/l</v>
      </c>
      <c r="D3034" s="1620" t="str">
        <f t="shared" si="66"/>
        <v>nr</v>
      </c>
      <c r="E3034" s="1636" t="s">
        <v>9</v>
      </c>
      <c r="F3034"/>
      <c r="G3034" s="1792">
        <f>'4S'!X22</f>
        <v>1</v>
      </c>
      <c r="H3034" s="1636"/>
    </row>
    <row r="3035" spans="1:8">
      <c r="A3035" s="1730" t="str">
        <f>INDEX(Lists!$C$4:$C$24,MATCH(Validation!$B$3,Lists!$B$4:$B$24,0))</f>
        <v>TMS</v>
      </c>
      <c r="B3035" s="1828" t="str">
        <f>'4S'!CJ23</f>
        <v>STWCB104</v>
      </c>
      <c r="C3035" s="1825" t="str">
        <f>'4S'!$C23&amp;" - "&amp;'4S'!$U$4&amp;" - "&amp;'4S'!X$5</f>
        <v>STWs above size band 5 - BOD5 - &gt;20mg/l</v>
      </c>
      <c r="D3035" s="1730" t="str">
        <f t="shared" si="66"/>
        <v>nr</v>
      </c>
      <c r="E3035" s="1652" t="s">
        <v>9</v>
      </c>
      <c r="F3035" s="1819"/>
      <c r="G3035" s="1826">
        <f>'4S'!X23</f>
        <v>4</v>
      </c>
      <c r="H3035" s="1652"/>
    </row>
    <row r="3036" spans="1:8">
      <c r="A3036" s="1620" t="str">
        <f>INDEX(Lists!$C$4:$C$24,MATCH(Validation!$B$3,Lists!$B$4:$B$24,0))</f>
        <v>TMS</v>
      </c>
      <c r="B3036" s="1824" t="str">
        <f>'4S'!CK8</f>
        <v>STWDB005</v>
      </c>
      <c r="C3036" s="1788" t="str">
        <f>'4S'!$C8&amp;" - "&amp;'4S'!$U$4&amp;" - "&amp;'4S'!Y$5</f>
        <v>Load received by STWs in size band 1 - BOD5 - No permit</v>
      </c>
      <c r="D3036" s="1620" t="str">
        <f t="shared" si="66"/>
        <v>kg BOD5/day</v>
      </c>
      <c r="E3036" s="1636" t="s">
        <v>9</v>
      </c>
      <c r="F3036"/>
      <c r="G3036" s="1792">
        <f>'4S'!Y8</f>
        <v>39.009056347914758</v>
      </c>
      <c r="H3036" s="1636"/>
    </row>
    <row r="3037" spans="1:8">
      <c r="A3037" s="1620" t="str">
        <f>INDEX(Lists!$C$4:$C$24,MATCH(Validation!$B$3,Lists!$B$4:$B$24,0))</f>
        <v>TMS</v>
      </c>
      <c r="B3037" s="1824" t="str">
        <f>'4S'!CK9</f>
        <v>STWDB019</v>
      </c>
      <c r="C3037" s="1788" t="str">
        <f>'4S'!$C9&amp;" - "&amp;'4S'!$U$4&amp;" - "&amp;'4S'!Y$5</f>
        <v>Load received by STWs in size band 2 - BOD5 - No permit</v>
      </c>
      <c r="D3037" s="1620" t="str">
        <f t="shared" si="66"/>
        <v>kg BOD5/day</v>
      </c>
      <c r="E3037" s="1636" t="s">
        <v>9</v>
      </c>
      <c r="F3037"/>
      <c r="G3037" s="1792">
        <f>'4S'!Y9</f>
        <v>17.045412793097025</v>
      </c>
      <c r="H3037" s="1636"/>
    </row>
    <row r="3038" spans="1:8">
      <c r="A3038" s="1620" t="str">
        <f>INDEX(Lists!$C$4:$C$24,MATCH(Validation!$B$3,Lists!$B$4:$B$24,0))</f>
        <v>TMS</v>
      </c>
      <c r="B3038" s="1824" t="str">
        <f>'4S'!CK10</f>
        <v>STWDB033</v>
      </c>
      <c r="C3038" s="1788" t="str">
        <f>'4S'!$C10&amp;" - "&amp;'4S'!$U$4&amp;" - "&amp;'4S'!Y$5</f>
        <v>Load received by STWs in size band 3 - BOD5 - No permit</v>
      </c>
      <c r="D3038" s="1620" t="str">
        <f t="shared" si="66"/>
        <v>kg BOD5/day</v>
      </c>
      <c r="E3038" s="1636" t="s">
        <v>9</v>
      </c>
      <c r="F3038"/>
      <c r="G3038" s="1792">
        <f>'4S'!Y10</f>
        <v>0</v>
      </c>
      <c r="H3038" s="1636"/>
    </row>
    <row r="3039" spans="1:8">
      <c r="A3039" s="1620" t="str">
        <f>INDEX(Lists!$C$4:$C$24,MATCH(Validation!$B$3,Lists!$B$4:$B$24,0))</f>
        <v>TMS</v>
      </c>
      <c r="B3039" s="1824" t="str">
        <f>'4S'!CK11</f>
        <v>STWDB047</v>
      </c>
      <c r="C3039" s="1788" t="str">
        <f>'4S'!$C11&amp;" - "&amp;'4S'!$U$4&amp;" - "&amp;'4S'!Y$5</f>
        <v>Load received by STWs in size band 4 - BOD5 - No permit</v>
      </c>
      <c r="D3039" s="1620" t="str">
        <f t="shared" si="66"/>
        <v>kg BOD5/day</v>
      </c>
      <c r="E3039" s="1636" t="s">
        <v>9</v>
      </c>
      <c r="F3039"/>
      <c r="G3039" s="1792">
        <f>'4S'!Y11</f>
        <v>0</v>
      </c>
      <c r="H3039" s="1636"/>
    </row>
    <row r="3040" spans="1:8">
      <c r="A3040" s="1620" t="str">
        <f>INDEX(Lists!$C$4:$C$24,MATCH(Validation!$B$3,Lists!$B$4:$B$24,0))</f>
        <v>TMS</v>
      </c>
      <c r="B3040" s="1824" t="str">
        <f>'4S'!CK12</f>
        <v>STWDB061</v>
      </c>
      <c r="C3040" s="1788" t="str">
        <f>'4S'!$C12&amp;" - "&amp;'4S'!$U$4&amp;" - "&amp;'4S'!Y$5</f>
        <v>Load received by STWs in size band 5 - BOD5 - No permit</v>
      </c>
      <c r="D3040" s="1620" t="str">
        <f t="shared" si="66"/>
        <v>kg BOD5/day</v>
      </c>
      <c r="E3040" s="1636" t="s">
        <v>9</v>
      </c>
      <c r="F3040"/>
      <c r="G3040" s="1792">
        <f>'4S'!Y12</f>
        <v>0</v>
      </c>
      <c r="H3040" s="1636"/>
    </row>
    <row r="3041" spans="1:8">
      <c r="A3041" s="1620" t="str">
        <f>INDEX(Lists!$C$4:$C$24,MATCH(Validation!$B$3,Lists!$B$4:$B$24,0))</f>
        <v>TMS</v>
      </c>
      <c r="B3041" s="1824" t="str">
        <f>'4S'!CK13</f>
        <v>STWDB105</v>
      </c>
      <c r="C3041" s="1788" t="str">
        <f>'4S'!$C13&amp;" - "&amp;'4S'!$U$4&amp;" - "&amp;'4S'!Y$5</f>
        <v>Load received by STWs above size band 5 - BOD5 - No permit</v>
      </c>
      <c r="D3041" s="1620" t="str">
        <f t="shared" si="66"/>
        <v>kg BOD5/day</v>
      </c>
      <c r="E3041" s="1636" t="s">
        <v>9</v>
      </c>
      <c r="F3041"/>
      <c r="G3041" s="1792">
        <f>'4S'!Y13</f>
        <v>0</v>
      </c>
      <c r="H3041" s="1636"/>
    </row>
    <row r="3042" spans="1:8">
      <c r="A3042" s="1620" t="str">
        <f>INDEX(Lists!$C$4:$C$24,MATCH(Validation!$B$3,Lists!$B$4:$B$24,0))</f>
        <v>TMS</v>
      </c>
      <c r="B3042" s="1824" t="str">
        <f>'4S'!CK18</f>
        <v>STWCB005</v>
      </c>
      <c r="C3042" s="1788" t="str">
        <f>'4S'!$C18&amp;" - "&amp;'4S'!$U$4&amp;" - "&amp;'4S'!Y$5</f>
        <v>STWs in size band 1 - BOD5 - No permit</v>
      </c>
      <c r="D3042" s="1620" t="str">
        <f t="shared" si="66"/>
        <v>nr</v>
      </c>
      <c r="E3042" s="1636" t="s">
        <v>9</v>
      </c>
      <c r="F3042"/>
      <c r="G3042" s="1792">
        <f>'4S'!Y18</f>
        <v>9</v>
      </c>
      <c r="H3042" s="1636"/>
    </row>
    <row r="3043" spans="1:8">
      <c r="A3043" s="1620" t="str">
        <f>INDEX(Lists!$C$4:$C$24,MATCH(Validation!$B$3,Lists!$B$4:$B$24,0))</f>
        <v>TMS</v>
      </c>
      <c r="B3043" s="1824" t="str">
        <f>'4S'!CK19</f>
        <v>STWCB019</v>
      </c>
      <c r="C3043" s="1788" t="str">
        <f>'4S'!$C19&amp;" - "&amp;'4S'!$U$4&amp;" - "&amp;'4S'!Y$5</f>
        <v>STWs in size band 2 - BOD5 - No permit</v>
      </c>
      <c r="D3043" s="1620" t="str">
        <f t="shared" si="66"/>
        <v>nr</v>
      </c>
      <c r="E3043" s="1636" t="s">
        <v>9</v>
      </c>
      <c r="F3043"/>
      <c r="G3043" s="1792">
        <f>'4S'!Y19</f>
        <v>1</v>
      </c>
      <c r="H3043" s="1636"/>
    </row>
    <row r="3044" spans="1:8">
      <c r="A3044" s="1620" t="str">
        <f>INDEX(Lists!$C$4:$C$24,MATCH(Validation!$B$3,Lists!$B$4:$B$24,0))</f>
        <v>TMS</v>
      </c>
      <c r="B3044" s="1824" t="str">
        <f>'4S'!CK20</f>
        <v>STWCB033</v>
      </c>
      <c r="C3044" s="1788" t="str">
        <f>'4S'!$C20&amp;" - "&amp;'4S'!$U$4&amp;" - "&amp;'4S'!Y$5</f>
        <v>STWs in size band 3 - BOD5 - No permit</v>
      </c>
      <c r="D3044" s="1620" t="str">
        <f t="shared" si="66"/>
        <v>nr</v>
      </c>
      <c r="E3044" s="1636" t="s">
        <v>9</v>
      </c>
      <c r="F3044"/>
      <c r="G3044" s="1792">
        <f>'4S'!Y20</f>
        <v>0</v>
      </c>
      <c r="H3044" s="1636"/>
    </row>
    <row r="3045" spans="1:8">
      <c r="A3045" s="1620" t="str">
        <f>INDEX(Lists!$C$4:$C$24,MATCH(Validation!$B$3,Lists!$B$4:$B$24,0))</f>
        <v>TMS</v>
      </c>
      <c r="B3045" s="1824" t="str">
        <f>'4S'!CK21</f>
        <v>STWCB047</v>
      </c>
      <c r="C3045" s="1788" t="str">
        <f>'4S'!$C21&amp;" - "&amp;'4S'!$U$4&amp;" - "&amp;'4S'!Y$5</f>
        <v>STWs in size band 4 - BOD5 - No permit</v>
      </c>
      <c r="D3045" s="1620" t="str">
        <f t="shared" si="66"/>
        <v>nr</v>
      </c>
      <c r="E3045" s="1636" t="s">
        <v>9</v>
      </c>
      <c r="F3045"/>
      <c r="G3045" s="1792">
        <f>'4S'!Y21</f>
        <v>0</v>
      </c>
      <c r="H3045" s="1636"/>
    </row>
    <row r="3046" spans="1:8">
      <c r="A3046" s="1620" t="str">
        <f>INDEX(Lists!$C$4:$C$24,MATCH(Validation!$B$3,Lists!$B$4:$B$24,0))</f>
        <v>TMS</v>
      </c>
      <c r="B3046" s="1824" t="str">
        <f>'4S'!CK22</f>
        <v>STWCB061</v>
      </c>
      <c r="C3046" s="1788" t="str">
        <f>'4S'!$C22&amp;" - "&amp;'4S'!$U$4&amp;" - "&amp;'4S'!Y$5</f>
        <v>STWs in size band 5 - BOD5 - No permit</v>
      </c>
      <c r="D3046" s="1620" t="str">
        <f t="shared" si="66"/>
        <v>nr</v>
      </c>
      <c r="E3046" s="1636" t="s">
        <v>9</v>
      </c>
      <c r="F3046"/>
      <c r="G3046" s="1792">
        <f>'4S'!Y22</f>
        <v>0</v>
      </c>
      <c r="H3046" s="1636"/>
    </row>
    <row r="3047" spans="1:8">
      <c r="A3047" s="1730" t="str">
        <f>INDEX(Lists!$C$4:$C$24,MATCH(Validation!$B$3,Lists!$B$4:$B$24,0))</f>
        <v>TMS</v>
      </c>
      <c r="B3047" s="1828" t="str">
        <f>'4S'!CK23</f>
        <v>STWCB105</v>
      </c>
      <c r="C3047" s="1825" t="str">
        <f>'4S'!$C23&amp;" - "&amp;'4S'!$U$4&amp;" - "&amp;'4S'!Y$5</f>
        <v>STWs above size band 5 - BOD5 - No permit</v>
      </c>
      <c r="D3047" s="1730" t="str">
        <f t="shared" si="66"/>
        <v>nr</v>
      </c>
      <c r="E3047" s="1652" t="s">
        <v>9</v>
      </c>
      <c r="F3047" s="1819"/>
      <c r="G3047" s="1826">
        <f>'4S'!Y23</f>
        <v>0</v>
      </c>
      <c r="H3047" s="1652"/>
    </row>
    <row r="3048" spans="1:8">
      <c r="A3048" s="1620" t="str">
        <f>INDEX(Lists!$C$4:$C$24,MATCH(Validation!$B$3,Lists!$B$4:$B$24,0))</f>
        <v>TMS</v>
      </c>
      <c r="B3048" s="1824" t="str">
        <f>'4S'!CM8</f>
        <v>STWDA001</v>
      </c>
      <c r="C3048" s="1788" t="str">
        <f>'4S'!$C8&amp;" - "&amp;'4S'!$AA$4&amp;" - "&amp;'4S'!AA$5</f>
        <v>Load received by STWs in size band 1 - Ammonia - &lt;=1mg/l</v>
      </c>
      <c r="D3048" s="1620" t="str">
        <f t="shared" si="66"/>
        <v>kg BOD5/day</v>
      </c>
      <c r="E3048" s="1636" t="s">
        <v>9</v>
      </c>
      <c r="F3048"/>
      <c r="G3048" s="1792">
        <f>'4S'!AA8</f>
        <v>0</v>
      </c>
      <c r="H3048" s="1636"/>
    </row>
    <row r="3049" spans="1:8">
      <c r="A3049" s="1620" t="str">
        <f>INDEX(Lists!$C$4:$C$24,MATCH(Validation!$B$3,Lists!$B$4:$B$24,0))</f>
        <v>TMS</v>
      </c>
      <c r="B3049" s="1824" t="str">
        <f>'4S'!CM9</f>
        <v>STWDA015</v>
      </c>
      <c r="C3049" s="1788" t="str">
        <f>'4S'!$C9&amp;" - "&amp;'4S'!$AA$4&amp;" - "&amp;'4S'!AA$5</f>
        <v>Load received by STWs in size band 2 - Ammonia - &lt;=1mg/l</v>
      </c>
      <c r="D3049" s="1620" t="str">
        <f t="shared" si="66"/>
        <v>kg BOD5/day</v>
      </c>
      <c r="E3049" s="1636" t="s">
        <v>9</v>
      </c>
      <c r="F3049"/>
      <c r="G3049" s="1792">
        <f>'4S'!AA9</f>
        <v>0</v>
      </c>
      <c r="H3049" s="1636"/>
    </row>
    <row r="3050" spans="1:8">
      <c r="A3050" s="1620" t="str">
        <f>INDEX(Lists!$C$4:$C$24,MATCH(Validation!$B$3,Lists!$B$4:$B$24,0))</f>
        <v>TMS</v>
      </c>
      <c r="B3050" s="1824" t="str">
        <f>'4S'!CM10</f>
        <v>STWDA029</v>
      </c>
      <c r="C3050" s="1788" t="str">
        <f>'4S'!$C10&amp;" - "&amp;'4S'!$AA$4&amp;" - "&amp;'4S'!AA$5</f>
        <v>Load received by STWs in size band 3 - Ammonia - &lt;=1mg/l</v>
      </c>
      <c r="D3050" s="1620" t="str">
        <f t="shared" si="66"/>
        <v>kg BOD5/day</v>
      </c>
      <c r="E3050" s="1636" t="s">
        <v>9</v>
      </c>
      <c r="F3050"/>
      <c r="G3050" s="1792">
        <f>'4S'!AA10</f>
        <v>0</v>
      </c>
      <c r="H3050" s="1636"/>
    </row>
    <row r="3051" spans="1:8">
      <c r="A3051" s="1620" t="str">
        <f>INDEX(Lists!$C$4:$C$24,MATCH(Validation!$B$3,Lists!$B$4:$B$24,0))</f>
        <v>TMS</v>
      </c>
      <c r="B3051" s="1824" t="str">
        <f>'4S'!CM11</f>
        <v>STWDA043</v>
      </c>
      <c r="C3051" s="1788" t="str">
        <f>'4S'!$C11&amp;" - "&amp;'4S'!$AA$4&amp;" - "&amp;'4S'!AA$5</f>
        <v>Load received by STWs in size band 4 - Ammonia - &lt;=1mg/l</v>
      </c>
      <c r="D3051" s="1620" t="str">
        <f t="shared" si="66"/>
        <v>kg BOD5/day</v>
      </c>
      <c r="E3051" s="1636" t="s">
        <v>9</v>
      </c>
      <c r="F3051"/>
      <c r="G3051" s="1792">
        <f>'4S'!AA11</f>
        <v>0</v>
      </c>
      <c r="H3051" s="1636"/>
    </row>
    <row r="3052" spans="1:8">
      <c r="A3052" s="1620" t="str">
        <f>INDEX(Lists!$C$4:$C$24,MATCH(Validation!$B$3,Lists!$B$4:$B$24,0))</f>
        <v>TMS</v>
      </c>
      <c r="B3052" s="1824" t="str">
        <f>'4S'!CM12</f>
        <v>STWDA057</v>
      </c>
      <c r="C3052" s="1788" t="str">
        <f>'4S'!$C12&amp;" - "&amp;'4S'!$AA$4&amp;" - "&amp;'4S'!AA$5</f>
        <v>Load received by STWs in size band 5 - Ammonia - &lt;=1mg/l</v>
      </c>
      <c r="D3052" s="1620" t="str">
        <f t="shared" si="66"/>
        <v>kg BOD5/day</v>
      </c>
      <c r="E3052" s="1636" t="s">
        <v>9</v>
      </c>
      <c r="F3052"/>
      <c r="G3052" s="1792">
        <f>'4S'!AA12</f>
        <v>0</v>
      </c>
      <c r="H3052" s="1636"/>
    </row>
    <row r="3053" spans="1:8">
      <c r="A3053" s="1620" t="str">
        <f>INDEX(Lists!$C$4:$C$24,MATCH(Validation!$B$3,Lists!$B$4:$B$24,0))</f>
        <v>TMS</v>
      </c>
      <c r="B3053" s="1824" t="str">
        <f>'4S'!CM13</f>
        <v>STWDA101</v>
      </c>
      <c r="C3053" s="1788" t="str">
        <f>'4S'!$C13&amp;" - "&amp;'4S'!$AA$4&amp;" - "&amp;'4S'!AA$5</f>
        <v>Load received by STWs above size band 5 - Ammonia - &lt;=1mg/l</v>
      </c>
      <c r="D3053" s="1620" t="str">
        <f t="shared" si="66"/>
        <v>kg BOD5/day</v>
      </c>
      <c r="E3053" s="1636" t="s">
        <v>9</v>
      </c>
      <c r="F3053"/>
      <c r="G3053" s="1792">
        <f>'4S'!AA13</f>
        <v>106341.71815723521</v>
      </c>
      <c r="H3053" s="1636"/>
    </row>
    <row r="3054" spans="1:8">
      <c r="A3054" s="1620" t="str">
        <f>INDEX(Lists!$C$4:$C$24,MATCH(Validation!$B$3,Lists!$B$4:$B$24,0))</f>
        <v>TMS</v>
      </c>
      <c r="B3054" s="1824" t="str">
        <f>'4S'!CM18</f>
        <v>STWCA001</v>
      </c>
      <c r="C3054" s="1788" t="str">
        <f>'4S'!$C18&amp;" - "&amp;'4S'!$AA$4&amp;" - "&amp;'4S'!AA$5</f>
        <v>STWs in size band 1 - Ammonia - &lt;=1mg/l</v>
      </c>
      <c r="D3054" s="1620" t="str">
        <f t="shared" si="66"/>
        <v>nr</v>
      </c>
      <c r="E3054" s="1636" t="s">
        <v>9</v>
      </c>
      <c r="F3054"/>
      <c r="G3054" s="1792">
        <f>'4S'!AA18</f>
        <v>0</v>
      </c>
      <c r="H3054" s="1636"/>
    </row>
    <row r="3055" spans="1:8">
      <c r="A3055" s="1620" t="str">
        <f>INDEX(Lists!$C$4:$C$24,MATCH(Validation!$B$3,Lists!$B$4:$B$24,0))</f>
        <v>TMS</v>
      </c>
      <c r="B3055" s="1824" t="str">
        <f>'4S'!CM19</f>
        <v>STWCA015</v>
      </c>
      <c r="C3055" s="1788" t="str">
        <f>'4S'!$C19&amp;" - "&amp;'4S'!$AA$4&amp;" - "&amp;'4S'!AA$5</f>
        <v>STWs in size band 2 - Ammonia - &lt;=1mg/l</v>
      </c>
      <c r="D3055" s="1620" t="str">
        <f t="shared" si="66"/>
        <v>nr</v>
      </c>
      <c r="E3055" s="1636" t="s">
        <v>9</v>
      </c>
      <c r="F3055"/>
      <c r="G3055" s="1792">
        <f>'4S'!AA19</f>
        <v>0</v>
      </c>
      <c r="H3055" s="1636"/>
    </row>
    <row r="3056" spans="1:8">
      <c r="A3056" s="1620" t="str">
        <f>INDEX(Lists!$C$4:$C$24,MATCH(Validation!$B$3,Lists!$B$4:$B$24,0))</f>
        <v>TMS</v>
      </c>
      <c r="B3056" s="1824" t="str">
        <f>'4S'!CM20</f>
        <v>STWCA029</v>
      </c>
      <c r="C3056" s="1788" t="str">
        <f>'4S'!$C20&amp;" - "&amp;'4S'!$AA$4&amp;" - "&amp;'4S'!AA$5</f>
        <v>STWs in size band 3 - Ammonia - &lt;=1mg/l</v>
      </c>
      <c r="D3056" s="1620" t="str">
        <f t="shared" si="66"/>
        <v>nr</v>
      </c>
      <c r="E3056" s="1636" t="s">
        <v>9</v>
      </c>
      <c r="F3056"/>
      <c r="G3056" s="1792">
        <f>'4S'!AA20</f>
        <v>0</v>
      </c>
      <c r="H3056" s="1636"/>
    </row>
    <row r="3057" spans="1:8">
      <c r="A3057" s="1620" t="str">
        <f>INDEX(Lists!$C$4:$C$24,MATCH(Validation!$B$3,Lists!$B$4:$B$24,0))</f>
        <v>TMS</v>
      </c>
      <c r="B3057" s="1824" t="str">
        <f>'4S'!CM21</f>
        <v>STWCA043</v>
      </c>
      <c r="C3057" s="1788" t="str">
        <f>'4S'!$C21&amp;" - "&amp;'4S'!$AA$4&amp;" - "&amp;'4S'!AA$5</f>
        <v>STWs in size band 4 - Ammonia - &lt;=1mg/l</v>
      </c>
      <c r="D3057" s="1620" t="str">
        <f t="shared" si="66"/>
        <v>nr</v>
      </c>
      <c r="E3057" s="1636" t="s">
        <v>9</v>
      </c>
      <c r="F3057"/>
      <c r="G3057" s="1792">
        <f>'4S'!AA21</f>
        <v>0</v>
      </c>
      <c r="H3057" s="1636"/>
    </row>
    <row r="3058" spans="1:8">
      <c r="A3058" s="1620" t="str">
        <f>INDEX(Lists!$C$4:$C$24,MATCH(Validation!$B$3,Lists!$B$4:$B$24,0))</f>
        <v>TMS</v>
      </c>
      <c r="B3058" s="1824" t="str">
        <f>'4S'!CM22</f>
        <v>STWCA057</v>
      </c>
      <c r="C3058" s="1788" t="str">
        <f>'4S'!$C22&amp;" - "&amp;'4S'!$AA$4&amp;" - "&amp;'4S'!AA$5</f>
        <v>STWs in size band 5 - Ammonia - &lt;=1mg/l</v>
      </c>
      <c r="D3058" s="1620" t="str">
        <f t="shared" si="66"/>
        <v>nr</v>
      </c>
      <c r="E3058" s="1636" t="s">
        <v>9</v>
      </c>
      <c r="F3058"/>
      <c r="G3058" s="1792">
        <f>'4S'!AA22</f>
        <v>0</v>
      </c>
      <c r="H3058" s="1636"/>
    </row>
    <row r="3059" spans="1:8">
      <c r="A3059" s="1730" t="str">
        <f>INDEX(Lists!$C$4:$C$24,MATCH(Validation!$B$3,Lists!$B$4:$B$24,0))</f>
        <v>TMS</v>
      </c>
      <c r="B3059" s="1828" t="str">
        <f>'4S'!CM23</f>
        <v>STWCA101</v>
      </c>
      <c r="C3059" s="1825" t="str">
        <f>'4S'!$C23&amp;" - "&amp;'4S'!$AA$4&amp;" - "&amp;'4S'!AA$5</f>
        <v>STWs above size band 5 - Ammonia - &lt;=1mg/l</v>
      </c>
      <c r="D3059" s="1730" t="str">
        <f t="shared" si="66"/>
        <v>nr</v>
      </c>
      <c r="E3059" s="1652" t="s">
        <v>9</v>
      </c>
      <c r="F3059" s="1819"/>
      <c r="G3059" s="1826">
        <f>'4S'!AA23</f>
        <v>4</v>
      </c>
      <c r="H3059" s="1652"/>
    </row>
    <row r="3060" spans="1:8">
      <c r="A3060" s="1620" t="str">
        <f>INDEX(Lists!$C$4:$C$24,MATCH(Validation!$B$3,Lists!$B$4:$B$24,0))</f>
        <v>TMS</v>
      </c>
      <c r="B3060" s="1824" t="str">
        <f>'4S'!CN8</f>
        <v>STWDA002</v>
      </c>
      <c r="C3060" s="1788" t="str">
        <f>'4S'!$C8&amp;" - "&amp;'4S'!$AA$4&amp;" - "&amp;'4S'!AB$5</f>
        <v>Load received by STWs in size band 1 - Ammonia - &gt;1 to &lt;=3mg/l</v>
      </c>
      <c r="D3060" s="1620" t="str">
        <f t="shared" ref="D3060:D3107" si="67">+D3048</f>
        <v>kg BOD5/day</v>
      </c>
      <c r="E3060" s="1636" t="s">
        <v>9</v>
      </c>
      <c r="F3060" s="1788"/>
      <c r="G3060" s="1792">
        <f>'4S'!AB8</f>
        <v>0</v>
      </c>
      <c r="H3060" s="1636"/>
    </row>
    <row r="3061" spans="1:8">
      <c r="A3061" s="1620" t="str">
        <f>INDEX(Lists!$C$4:$C$24,MATCH(Validation!$B$3,Lists!$B$4:$B$24,0))</f>
        <v>TMS</v>
      </c>
      <c r="B3061" s="1824" t="str">
        <f>'4S'!CN9</f>
        <v>STWDA016</v>
      </c>
      <c r="C3061" s="1788" t="str">
        <f>'4S'!$C9&amp;" - "&amp;'4S'!$AA$4&amp;" - "&amp;'4S'!AB$5</f>
        <v>Load received by STWs in size band 2 - Ammonia - &gt;1 to &lt;=3mg/l</v>
      </c>
      <c r="D3061" s="1620" t="str">
        <f t="shared" si="67"/>
        <v>kg BOD5/day</v>
      </c>
      <c r="E3061" s="1636" t="s">
        <v>9</v>
      </c>
      <c r="F3061" s="1788"/>
      <c r="G3061" s="1792">
        <f>'4S'!AB9</f>
        <v>44.185553383988562</v>
      </c>
      <c r="H3061" s="1636"/>
    </row>
    <row r="3062" spans="1:8">
      <c r="A3062" s="1620" t="str">
        <f>INDEX(Lists!$C$4:$C$24,MATCH(Validation!$B$3,Lists!$B$4:$B$24,0))</f>
        <v>TMS</v>
      </c>
      <c r="B3062" s="1824" t="str">
        <f>'4S'!CN10</f>
        <v>STWDA030</v>
      </c>
      <c r="C3062" s="1788" t="str">
        <f>'4S'!$C10&amp;" - "&amp;'4S'!$AA$4&amp;" - "&amp;'4S'!AB$5</f>
        <v>Load received by STWs in size band 3 - Ammonia - &gt;1 to &lt;=3mg/l</v>
      </c>
      <c r="D3062" s="1620" t="str">
        <f t="shared" si="67"/>
        <v>kg BOD5/day</v>
      </c>
      <c r="E3062" s="1636" t="s">
        <v>9</v>
      </c>
      <c r="F3062" s="1788"/>
      <c r="G3062" s="1792">
        <f>'4S'!AB10</f>
        <v>493.27280561635109</v>
      </c>
      <c r="H3062" s="1636"/>
    </row>
    <row r="3063" spans="1:8">
      <c r="A3063" s="1620" t="str">
        <f>INDEX(Lists!$C$4:$C$24,MATCH(Validation!$B$3,Lists!$B$4:$B$24,0))</f>
        <v>TMS</v>
      </c>
      <c r="B3063" s="1824" t="str">
        <f>'4S'!CN11</f>
        <v>STWDA044</v>
      </c>
      <c r="C3063" s="1788" t="str">
        <f>'4S'!$C11&amp;" - "&amp;'4S'!$AA$4&amp;" - "&amp;'4S'!AB$5</f>
        <v>Load received by STWs in size band 4 - Ammonia - &gt;1 to &lt;=3mg/l</v>
      </c>
      <c r="D3063" s="1620" t="str">
        <f t="shared" si="67"/>
        <v>kg BOD5/day</v>
      </c>
      <c r="E3063" s="1636" t="s">
        <v>9</v>
      </c>
      <c r="F3063" s="1788"/>
      <c r="G3063" s="1792">
        <f>'4S'!AB11</f>
        <v>7985.4164881839506</v>
      </c>
      <c r="H3063" s="1636"/>
    </row>
    <row r="3064" spans="1:8">
      <c r="A3064" s="1620" t="str">
        <f>INDEX(Lists!$C$4:$C$24,MATCH(Validation!$B$3,Lists!$B$4:$B$24,0))</f>
        <v>TMS</v>
      </c>
      <c r="B3064" s="1824" t="str">
        <f>'4S'!CN12</f>
        <v>STWDA058</v>
      </c>
      <c r="C3064" s="1788" t="str">
        <f>'4S'!$C12&amp;" - "&amp;'4S'!$AA$4&amp;" - "&amp;'4S'!AB$5</f>
        <v>Load received by STWs in size band 5 - Ammonia - &gt;1 to &lt;=3mg/l</v>
      </c>
      <c r="D3064" s="1620" t="str">
        <f t="shared" si="67"/>
        <v>kg BOD5/day</v>
      </c>
      <c r="E3064" s="1636" t="s">
        <v>9</v>
      </c>
      <c r="F3064" s="1788"/>
      <c r="G3064" s="1792">
        <f>'4S'!AB12</f>
        <v>14117.939053241869</v>
      </c>
      <c r="H3064" s="1636"/>
    </row>
    <row r="3065" spans="1:8">
      <c r="A3065" s="1620" t="str">
        <f>INDEX(Lists!$C$4:$C$24,MATCH(Validation!$B$3,Lists!$B$4:$B$24,0))</f>
        <v>TMS</v>
      </c>
      <c r="B3065" s="1824" t="str">
        <f>'4S'!CN13</f>
        <v>STWDA102</v>
      </c>
      <c r="C3065" s="1788" t="str">
        <f>'4S'!$C13&amp;" - "&amp;'4S'!$AA$4&amp;" - "&amp;'4S'!AB$5</f>
        <v>Load received by STWs above size band 5 - Ammonia - &gt;1 to &lt;=3mg/l</v>
      </c>
      <c r="D3065" s="1620" t="str">
        <f t="shared" si="67"/>
        <v>kg BOD5/day</v>
      </c>
      <c r="E3065" s="1636" t="s">
        <v>9</v>
      </c>
      <c r="F3065" s="1788"/>
      <c r="G3065" s="1792">
        <f>'4S'!AB13</f>
        <v>703876.50485390658</v>
      </c>
      <c r="H3065" s="1636"/>
    </row>
    <row r="3066" spans="1:8">
      <c r="A3066" s="1620" t="str">
        <f>INDEX(Lists!$C$4:$C$24,MATCH(Validation!$B$3,Lists!$B$4:$B$24,0))</f>
        <v>TMS</v>
      </c>
      <c r="B3066" s="1824" t="str">
        <f>'4S'!CN18</f>
        <v>STWCA002</v>
      </c>
      <c r="C3066" s="1788" t="str">
        <f>'4S'!$C18&amp;" - "&amp;'4S'!$AA$4&amp;" - "&amp;'4S'!AB$5</f>
        <v>STWs in size band 1 - Ammonia - &gt;1 to &lt;=3mg/l</v>
      </c>
      <c r="D3066" s="1620" t="str">
        <f t="shared" si="67"/>
        <v>nr</v>
      </c>
      <c r="E3066" s="1636" t="s">
        <v>9</v>
      </c>
      <c r="F3066" s="1788"/>
      <c r="G3066" s="1792">
        <f>'4S'!AB18</f>
        <v>0</v>
      </c>
      <c r="H3066" s="1636"/>
    </row>
    <row r="3067" spans="1:8">
      <c r="A3067" s="1620" t="str">
        <f>INDEX(Lists!$C$4:$C$24,MATCH(Validation!$B$3,Lists!$B$4:$B$24,0))</f>
        <v>TMS</v>
      </c>
      <c r="B3067" s="1824" t="str">
        <f>'4S'!CN19</f>
        <v>STWCA016</v>
      </c>
      <c r="C3067" s="1788" t="str">
        <f>'4S'!$C19&amp;" - "&amp;'4S'!$AA$4&amp;" - "&amp;'4S'!AB$5</f>
        <v>STWs in size band 2 - Ammonia - &gt;1 to &lt;=3mg/l</v>
      </c>
      <c r="D3067" s="1620" t="str">
        <f t="shared" si="67"/>
        <v>nr</v>
      </c>
      <c r="E3067" s="1636" t="s">
        <v>9</v>
      </c>
      <c r="F3067" s="1788"/>
      <c r="G3067" s="1792">
        <f>'4S'!AB19</f>
        <v>2</v>
      </c>
      <c r="H3067" s="1636"/>
    </row>
    <row r="3068" spans="1:8">
      <c r="A3068" s="1620" t="str">
        <f>INDEX(Lists!$C$4:$C$24,MATCH(Validation!$B$3,Lists!$B$4:$B$24,0))</f>
        <v>TMS</v>
      </c>
      <c r="B3068" s="1824" t="str">
        <f>'4S'!CN20</f>
        <v>STWCA030</v>
      </c>
      <c r="C3068" s="1788" t="str">
        <f>'4S'!$C20&amp;" - "&amp;'4S'!$AA$4&amp;" - "&amp;'4S'!AB$5</f>
        <v>STWs in size band 3 - Ammonia - &gt;1 to &lt;=3mg/l</v>
      </c>
      <c r="D3068" s="1620" t="str">
        <f t="shared" si="67"/>
        <v>nr</v>
      </c>
      <c r="E3068" s="1636" t="s">
        <v>9</v>
      </c>
      <c r="F3068" s="1788"/>
      <c r="G3068" s="1792">
        <f>'4S'!AB20</f>
        <v>7</v>
      </c>
      <c r="H3068" s="1636"/>
    </row>
    <row r="3069" spans="1:8">
      <c r="A3069" s="1620" t="str">
        <f>INDEX(Lists!$C$4:$C$24,MATCH(Validation!$B$3,Lists!$B$4:$B$24,0))</f>
        <v>TMS</v>
      </c>
      <c r="B3069" s="1824" t="str">
        <f>'4S'!CN21</f>
        <v>STWCA044</v>
      </c>
      <c r="C3069" s="1788" t="str">
        <f>'4S'!$C21&amp;" - "&amp;'4S'!$AA$4&amp;" - "&amp;'4S'!AB$5</f>
        <v>STWs in size band 4 - Ammonia - &gt;1 to &lt;=3mg/l</v>
      </c>
      <c r="D3069" s="1620" t="str">
        <f t="shared" si="67"/>
        <v>nr</v>
      </c>
      <c r="E3069" s="1636" t="s">
        <v>9</v>
      </c>
      <c r="F3069" s="1788"/>
      <c r="G3069" s="1792">
        <f>'4S'!AB21</f>
        <v>25</v>
      </c>
      <c r="H3069" s="1636"/>
    </row>
    <row r="3070" spans="1:8">
      <c r="A3070" s="1620" t="str">
        <f>INDEX(Lists!$C$4:$C$24,MATCH(Validation!$B$3,Lists!$B$4:$B$24,0))</f>
        <v>TMS</v>
      </c>
      <c r="B3070" s="1824" t="str">
        <f>'4S'!CN22</f>
        <v>STWCA058</v>
      </c>
      <c r="C3070" s="1788" t="str">
        <f>'4S'!$C22&amp;" - "&amp;'4S'!$AA$4&amp;" - "&amp;'4S'!AB$5</f>
        <v>STWs in size band 5 - Ammonia - &gt;1 to &lt;=3mg/l</v>
      </c>
      <c r="D3070" s="1620" t="str">
        <f t="shared" si="67"/>
        <v>nr</v>
      </c>
      <c r="E3070" s="1636" t="s">
        <v>9</v>
      </c>
      <c r="F3070" s="1788"/>
      <c r="G3070" s="1792">
        <f>'4S'!AB22</f>
        <v>15</v>
      </c>
      <c r="H3070" s="1636"/>
    </row>
    <row r="3071" spans="1:8">
      <c r="A3071" s="1730" t="str">
        <f>INDEX(Lists!$C$4:$C$24,MATCH(Validation!$B$3,Lists!$B$4:$B$24,0))</f>
        <v>TMS</v>
      </c>
      <c r="B3071" s="1828" t="str">
        <f>'4S'!CN23</f>
        <v>STWCA102</v>
      </c>
      <c r="C3071" s="1825" t="str">
        <f>'4S'!$C23&amp;" - "&amp;'4S'!$AA$4&amp;" - "&amp;'4S'!AB$5</f>
        <v>STWs above size band 5 - Ammonia - &gt;1 to &lt;=3mg/l</v>
      </c>
      <c r="D3071" s="1730" t="str">
        <f t="shared" si="67"/>
        <v>nr</v>
      </c>
      <c r="E3071" s="1652" t="s">
        <v>9</v>
      </c>
      <c r="F3071" s="1825"/>
      <c r="G3071" s="1826">
        <f>'4S'!AB23</f>
        <v>32</v>
      </c>
      <c r="H3071" s="1652"/>
    </row>
    <row r="3072" spans="1:8">
      <c r="A3072" s="1620" t="str">
        <f>INDEX(Lists!$C$4:$C$24,MATCH(Validation!$B$3,Lists!$B$4:$B$24,0))</f>
        <v>TMS</v>
      </c>
      <c r="B3072" s="1824" t="str">
        <f>'4S'!CO8</f>
        <v>STWDA003</v>
      </c>
      <c r="C3072" s="1788" t="str">
        <f>'4S'!$C8&amp;" - "&amp;'4S'!$AA$4&amp;" - "&amp;'4S'!AC$5</f>
        <v>Load received by STWs in size band 1 - Ammonia - &gt;3 to &lt;=10mg/l</v>
      </c>
      <c r="D3072" s="1620" t="str">
        <f t="shared" si="67"/>
        <v>kg BOD5/day</v>
      </c>
      <c r="E3072" s="1636" t="s">
        <v>9</v>
      </c>
      <c r="F3072"/>
      <c r="G3072" s="1792">
        <f>'4S'!AC8</f>
        <v>61.827548315912892</v>
      </c>
      <c r="H3072" s="1636"/>
    </row>
    <row r="3073" spans="1:8">
      <c r="A3073" s="1620" t="str">
        <f>INDEX(Lists!$C$4:$C$24,MATCH(Validation!$B$3,Lists!$B$4:$B$24,0))</f>
        <v>TMS</v>
      </c>
      <c r="B3073" s="1824" t="str">
        <f>'4S'!CO9</f>
        <v>STWDA017</v>
      </c>
      <c r="C3073" s="1788" t="str">
        <f>'4S'!$C9&amp;" - "&amp;'4S'!$AA$4&amp;" - "&amp;'4S'!AC$5</f>
        <v>Load received by STWs in size band 2 - Ammonia - &gt;3 to &lt;=10mg/l</v>
      </c>
      <c r="D3073" s="1620" t="str">
        <f t="shared" si="67"/>
        <v>kg BOD5/day</v>
      </c>
      <c r="E3073" s="1636" t="s">
        <v>9</v>
      </c>
      <c r="F3073"/>
      <c r="G3073" s="1792">
        <f>'4S'!AC9</f>
        <v>414.83560681729057</v>
      </c>
      <c r="H3073" s="1636"/>
    </row>
    <row r="3074" spans="1:8">
      <c r="A3074" s="1620" t="str">
        <f>INDEX(Lists!$C$4:$C$24,MATCH(Validation!$B$3,Lists!$B$4:$B$24,0))</f>
        <v>TMS</v>
      </c>
      <c r="B3074" s="1824" t="str">
        <f>'4S'!CO10</f>
        <v>STWDA031</v>
      </c>
      <c r="C3074" s="1788" t="str">
        <f>'4S'!$C10&amp;" - "&amp;'4S'!$AA$4&amp;" - "&amp;'4S'!AC$5</f>
        <v>Load received by STWs in size band 3 - Ammonia - &gt;3 to &lt;=10mg/l</v>
      </c>
      <c r="D3074" s="1620" t="str">
        <f t="shared" si="67"/>
        <v>kg BOD5/day</v>
      </c>
      <c r="E3074" s="1636" t="s">
        <v>9</v>
      </c>
      <c r="F3074"/>
      <c r="G3074" s="1792">
        <f>'4S'!AC10</f>
        <v>2388.4744218432011</v>
      </c>
      <c r="H3074" s="1636"/>
    </row>
    <row r="3075" spans="1:8">
      <c r="A3075" s="1620" t="str">
        <f>INDEX(Lists!$C$4:$C$24,MATCH(Validation!$B$3,Lists!$B$4:$B$24,0))</f>
        <v>TMS</v>
      </c>
      <c r="B3075" s="1824" t="str">
        <f>'4S'!CO11</f>
        <v>STWDA045</v>
      </c>
      <c r="C3075" s="1788" t="str">
        <f>'4S'!$C11&amp;" - "&amp;'4S'!$AA$4&amp;" - "&amp;'4S'!AC$5</f>
        <v>Load received by STWs in size band 4 - Ammonia - &gt;3 to &lt;=10mg/l</v>
      </c>
      <c r="D3075" s="1620" t="str">
        <f t="shared" si="67"/>
        <v>kg BOD5/day</v>
      </c>
      <c r="E3075" s="1636" t="s">
        <v>9</v>
      </c>
      <c r="F3075"/>
      <c r="G3075" s="1792">
        <f>'4S'!AC11</f>
        <v>10885.174308898375</v>
      </c>
      <c r="H3075" s="1636"/>
    </row>
    <row r="3076" spans="1:8">
      <c r="A3076" s="1620" t="str">
        <f>INDEX(Lists!$C$4:$C$24,MATCH(Validation!$B$3,Lists!$B$4:$B$24,0))</f>
        <v>TMS</v>
      </c>
      <c r="B3076" s="1824" t="str">
        <f>'4S'!CO12</f>
        <v>STWDA059</v>
      </c>
      <c r="C3076" s="1788" t="str">
        <f>'4S'!$C12&amp;" - "&amp;'4S'!$AA$4&amp;" - "&amp;'4S'!AC$5</f>
        <v>Load received by STWs in size band 5 - Ammonia - &gt;3 to &lt;=10mg/l</v>
      </c>
      <c r="D3076" s="1620" t="str">
        <f t="shared" si="67"/>
        <v>kg BOD5/day</v>
      </c>
      <c r="E3076" s="1636" t="s">
        <v>9</v>
      </c>
      <c r="F3076"/>
      <c r="G3076" s="1792">
        <f>'4S'!AC12</f>
        <v>14240.074061589856</v>
      </c>
      <c r="H3076" s="1636"/>
    </row>
    <row r="3077" spans="1:8">
      <c r="A3077" s="1620" t="str">
        <f>INDEX(Lists!$C$4:$C$24,MATCH(Validation!$B$3,Lists!$B$4:$B$24,0))</f>
        <v>TMS</v>
      </c>
      <c r="B3077" s="1824" t="str">
        <f>'4S'!CO13</f>
        <v>STWDA103</v>
      </c>
      <c r="C3077" s="1788" t="str">
        <f>'4S'!$C13&amp;" - "&amp;'4S'!$AA$4&amp;" - "&amp;'4S'!AC$5</f>
        <v>Load received by STWs above size band 5 - Ammonia - &gt;3 to &lt;=10mg/l</v>
      </c>
      <c r="D3077" s="1620" t="str">
        <f t="shared" si="67"/>
        <v>kg BOD5/day</v>
      </c>
      <c r="E3077" s="1636" t="s">
        <v>9</v>
      </c>
      <c r="F3077"/>
      <c r="G3077" s="1792">
        <f>'4S'!AC13</f>
        <v>95653.926314788099</v>
      </c>
      <c r="H3077" s="1636"/>
    </row>
    <row r="3078" spans="1:8">
      <c r="A3078" s="1620" t="str">
        <f>INDEX(Lists!$C$4:$C$24,MATCH(Validation!$B$3,Lists!$B$4:$B$24,0))</f>
        <v>TMS</v>
      </c>
      <c r="B3078" s="1824" t="str">
        <f>'4S'!CO18</f>
        <v>STWCA003</v>
      </c>
      <c r="C3078" s="1788" t="str">
        <f>'4S'!$C18&amp;" - "&amp;'4S'!$AA$4&amp;" - "&amp;'4S'!AC$5</f>
        <v>STWs in size band 1 - Ammonia - &gt;3 to &lt;=10mg/l</v>
      </c>
      <c r="D3078" s="1620" t="str">
        <f t="shared" si="67"/>
        <v>nr</v>
      </c>
      <c r="E3078" s="1636" t="s">
        <v>9</v>
      </c>
      <c r="F3078"/>
      <c r="G3078" s="1792">
        <f>'4S'!AC18</f>
        <v>9</v>
      </c>
      <c r="H3078" s="1636"/>
    </row>
    <row r="3079" spans="1:8">
      <c r="A3079" s="1620" t="str">
        <f>INDEX(Lists!$C$4:$C$24,MATCH(Validation!$B$3,Lists!$B$4:$B$24,0))</f>
        <v>TMS</v>
      </c>
      <c r="B3079" s="1824" t="str">
        <f>'4S'!CO19</f>
        <v>STWCA017</v>
      </c>
      <c r="C3079" s="1788" t="str">
        <f>'4S'!$C19&amp;" - "&amp;'4S'!$AA$4&amp;" - "&amp;'4S'!AC$5</f>
        <v>STWs in size band 2 - Ammonia - &gt;3 to &lt;=10mg/l</v>
      </c>
      <c r="D3079" s="1620" t="str">
        <f t="shared" si="67"/>
        <v>nr</v>
      </c>
      <c r="E3079" s="1636" t="s">
        <v>9</v>
      </c>
      <c r="F3079"/>
      <c r="G3079" s="1792">
        <f>'4S'!AC19</f>
        <v>14</v>
      </c>
      <c r="H3079" s="1636"/>
    </row>
    <row r="3080" spans="1:8">
      <c r="A3080" s="1620" t="str">
        <f>INDEX(Lists!$C$4:$C$24,MATCH(Validation!$B$3,Lists!$B$4:$B$24,0))</f>
        <v>TMS</v>
      </c>
      <c r="B3080" s="1824" t="str">
        <f>'4S'!CO20</f>
        <v>STWCA031</v>
      </c>
      <c r="C3080" s="1788" t="str">
        <f>'4S'!$C20&amp;" - "&amp;'4S'!$AA$4&amp;" - "&amp;'4S'!AC$5</f>
        <v>STWs in size band 3 - Ammonia - &gt;3 to &lt;=10mg/l</v>
      </c>
      <c r="D3080" s="1620" t="str">
        <f t="shared" si="67"/>
        <v>nr</v>
      </c>
      <c r="E3080" s="1636" t="s">
        <v>9</v>
      </c>
      <c r="F3080"/>
      <c r="G3080" s="1792">
        <f>'4S'!AC20</f>
        <v>34</v>
      </c>
      <c r="H3080" s="1636"/>
    </row>
    <row r="3081" spans="1:8">
      <c r="A3081" s="1620" t="str">
        <f>INDEX(Lists!$C$4:$C$24,MATCH(Validation!$B$3,Lists!$B$4:$B$24,0))</f>
        <v>TMS</v>
      </c>
      <c r="B3081" s="1824" t="str">
        <f>'4S'!CO21</f>
        <v>STWCA045</v>
      </c>
      <c r="C3081" s="1788" t="str">
        <f>'4S'!$C21&amp;" - "&amp;'4S'!$AA$4&amp;" - "&amp;'4S'!AC$5</f>
        <v>STWs in size band 4 - Ammonia - &gt;3 to &lt;=10mg/l</v>
      </c>
      <c r="D3081" s="1620" t="str">
        <f t="shared" si="67"/>
        <v>nr</v>
      </c>
      <c r="E3081" s="1636" t="s">
        <v>9</v>
      </c>
      <c r="F3081"/>
      <c r="G3081" s="1792">
        <f>'4S'!AC21</f>
        <v>39</v>
      </c>
      <c r="H3081" s="1636"/>
    </row>
    <row r="3082" spans="1:8">
      <c r="A3082" s="1620" t="str">
        <f>INDEX(Lists!$C$4:$C$24,MATCH(Validation!$B$3,Lists!$B$4:$B$24,0))</f>
        <v>TMS</v>
      </c>
      <c r="B3082" s="1824" t="str">
        <f>'4S'!CO22</f>
        <v>STWCA059</v>
      </c>
      <c r="C3082" s="1788" t="str">
        <f>'4S'!$C22&amp;" - "&amp;'4S'!$AA$4&amp;" - "&amp;'4S'!AC$5</f>
        <v>STWs in size band 5 - Ammonia - &gt;3 to &lt;=10mg/l</v>
      </c>
      <c r="D3082" s="1620" t="str">
        <f t="shared" si="67"/>
        <v>nr</v>
      </c>
      <c r="E3082" s="1636" t="s">
        <v>9</v>
      </c>
      <c r="F3082"/>
      <c r="G3082" s="1792">
        <f>'4S'!AC22</f>
        <v>14</v>
      </c>
      <c r="H3082" s="1636"/>
    </row>
    <row r="3083" spans="1:8">
      <c r="A3083" s="1730" t="str">
        <f>INDEX(Lists!$C$4:$C$24,MATCH(Validation!$B$3,Lists!$B$4:$B$24,0))</f>
        <v>TMS</v>
      </c>
      <c r="B3083" s="1828" t="str">
        <f>'4S'!CO23</f>
        <v>STWCA103</v>
      </c>
      <c r="C3083" s="1825" t="str">
        <f>'4S'!$C23&amp;" - "&amp;'4S'!$AA$4&amp;" - "&amp;'4S'!AC$5</f>
        <v>STWs above size band 5 - Ammonia - &gt;3 to &lt;=10mg/l</v>
      </c>
      <c r="D3083" s="1730" t="str">
        <f t="shared" si="67"/>
        <v>nr</v>
      </c>
      <c r="E3083" s="1652" t="s">
        <v>9</v>
      </c>
      <c r="F3083" s="1819"/>
      <c r="G3083" s="1826">
        <f>'4S'!AC23</f>
        <v>16</v>
      </c>
      <c r="H3083" s="1652"/>
    </row>
    <row r="3084" spans="1:8">
      <c r="A3084" s="1620" t="str">
        <f>INDEX(Lists!$C$4:$C$24,MATCH(Validation!$B$3,Lists!$B$4:$B$24,0))</f>
        <v>TMS</v>
      </c>
      <c r="B3084" s="1824" t="str">
        <f>'4S'!CP8</f>
        <v>STWDA004</v>
      </c>
      <c r="C3084" s="1788" t="str">
        <f>'4S'!$C8&amp;" - "&amp;'4S'!$AA$4&amp;" - "&amp;'4S'!AD$5</f>
        <v>Load received by STWs in size band 1 - Ammonia - &gt;10mg/l</v>
      </c>
      <c r="D3084" s="1620" t="str">
        <f t="shared" si="67"/>
        <v>kg BOD5/day</v>
      </c>
      <c r="E3084" s="1636" t="s">
        <v>9</v>
      </c>
      <c r="F3084"/>
      <c r="G3084" s="1792">
        <f>'4S'!AD8</f>
        <v>71.318748834056464</v>
      </c>
      <c r="H3084" s="1636"/>
    </row>
    <row r="3085" spans="1:8">
      <c r="A3085" s="1620" t="str">
        <f>INDEX(Lists!$C$4:$C$24,MATCH(Validation!$B$3,Lists!$B$4:$B$24,0))</f>
        <v>TMS</v>
      </c>
      <c r="B3085" s="1824" t="str">
        <f>'4S'!CP9</f>
        <v>STWDA018</v>
      </c>
      <c r="C3085" s="1788" t="str">
        <f>'4S'!$C9&amp;" - "&amp;'4S'!$AA$4&amp;" - "&amp;'4S'!AD$5</f>
        <v>Load received by STWs in size band 2 - Ammonia - &gt;10mg/l</v>
      </c>
      <c r="D3085" s="1620" t="str">
        <f t="shared" si="67"/>
        <v>kg BOD5/day</v>
      </c>
      <c r="E3085" s="1636" t="s">
        <v>9</v>
      </c>
      <c r="F3085"/>
      <c r="G3085" s="1792">
        <f>'4S'!AD9</f>
        <v>166.56983795155591</v>
      </c>
      <c r="H3085" s="1636"/>
    </row>
    <row r="3086" spans="1:8">
      <c r="A3086" s="1620" t="str">
        <f>INDEX(Lists!$C$4:$C$24,MATCH(Validation!$B$3,Lists!$B$4:$B$24,0))</f>
        <v>TMS</v>
      </c>
      <c r="B3086" s="1824" t="str">
        <f>'4S'!CP10</f>
        <v>STWDA032</v>
      </c>
      <c r="C3086" s="1788" t="str">
        <f>'4S'!$C10&amp;" - "&amp;'4S'!$AA$4&amp;" - "&amp;'4S'!AD$5</f>
        <v>Load received by STWs in size band 3 - Ammonia - &gt;10mg/l</v>
      </c>
      <c r="D3086" s="1620" t="str">
        <f t="shared" si="67"/>
        <v>kg BOD5/day</v>
      </c>
      <c r="E3086" s="1636" t="s">
        <v>9</v>
      </c>
      <c r="F3086"/>
      <c r="G3086" s="1792">
        <f>'4S'!AD10</f>
        <v>745.65156443822411</v>
      </c>
      <c r="H3086" s="1636"/>
    </row>
    <row r="3087" spans="1:8">
      <c r="A3087" s="1620" t="str">
        <f>INDEX(Lists!$C$4:$C$24,MATCH(Validation!$B$3,Lists!$B$4:$B$24,0))</f>
        <v>TMS</v>
      </c>
      <c r="B3087" s="1824" t="str">
        <f>'4S'!CP11</f>
        <v>STWDA046</v>
      </c>
      <c r="C3087" s="1788" t="str">
        <f>'4S'!$C11&amp;" - "&amp;'4S'!$AA$4&amp;" - "&amp;'4S'!AD$5</f>
        <v>Load received by STWs in size band 4 - Ammonia - &gt;10mg/l</v>
      </c>
      <c r="D3087" s="1620" t="str">
        <f t="shared" si="67"/>
        <v>kg BOD5/day</v>
      </c>
      <c r="E3087" s="1636" t="s">
        <v>9</v>
      </c>
      <c r="F3087"/>
      <c r="G3087" s="1792">
        <f>'4S'!AD11</f>
        <v>1200.230443071918</v>
      </c>
      <c r="H3087" s="1636"/>
    </row>
    <row r="3088" spans="1:8">
      <c r="A3088" s="1620" t="str">
        <f>INDEX(Lists!$C$4:$C$24,MATCH(Validation!$B$3,Lists!$B$4:$B$24,0))</f>
        <v>TMS</v>
      </c>
      <c r="B3088" s="1824" t="str">
        <f>'4S'!CP12</f>
        <v>STWDA060</v>
      </c>
      <c r="C3088" s="1788" t="str">
        <f>'4S'!$C12&amp;" - "&amp;'4S'!$AA$4&amp;" - "&amp;'4S'!AD$5</f>
        <v>Load received by STWs in size band 5 - Ammonia - &gt;10mg/l</v>
      </c>
      <c r="D3088" s="1620" t="str">
        <f t="shared" si="67"/>
        <v>kg BOD5/day</v>
      </c>
      <c r="E3088" s="1636" t="s">
        <v>9</v>
      </c>
      <c r="F3088"/>
      <c r="G3088" s="1792">
        <f>'4S'!AD12</f>
        <v>826.41173130770858</v>
      </c>
      <c r="H3088" s="1636"/>
    </row>
    <row r="3089" spans="1:8">
      <c r="A3089" s="1620" t="str">
        <f>INDEX(Lists!$C$4:$C$24,MATCH(Validation!$B$3,Lists!$B$4:$B$24,0))</f>
        <v>TMS</v>
      </c>
      <c r="B3089" s="1824" t="str">
        <f>'4S'!CP13</f>
        <v>STWDA104</v>
      </c>
      <c r="C3089" s="1788" t="str">
        <f>'4S'!$C13&amp;" - "&amp;'4S'!$AA$4&amp;" - "&amp;'4S'!AD$5</f>
        <v>Load received by STWs above size band 5 - Ammonia - &gt;10mg/l</v>
      </c>
      <c r="D3089" s="1620" t="str">
        <f t="shared" si="67"/>
        <v>kg BOD5/day</v>
      </c>
      <c r="E3089" s="1636" t="s">
        <v>9</v>
      </c>
      <c r="F3089"/>
      <c r="G3089" s="1792">
        <f>'4S'!AD13</f>
        <v>7187.2908695696278</v>
      </c>
      <c r="H3089" s="1636"/>
    </row>
    <row r="3090" spans="1:8">
      <c r="A3090" s="1620" t="str">
        <f>INDEX(Lists!$C$4:$C$24,MATCH(Validation!$B$3,Lists!$B$4:$B$24,0))</f>
        <v>TMS</v>
      </c>
      <c r="B3090" s="1824" t="str">
        <f>'4S'!CP18</f>
        <v>STWCA004</v>
      </c>
      <c r="C3090" s="1788" t="str">
        <f>'4S'!$C18&amp;" - "&amp;'4S'!$AA$4&amp;" - "&amp;'4S'!AD$5</f>
        <v>STWs in size band 1 - Ammonia - &gt;10mg/l</v>
      </c>
      <c r="D3090" s="1620" t="str">
        <f t="shared" si="67"/>
        <v>nr</v>
      </c>
      <c r="E3090" s="1636" t="s">
        <v>9</v>
      </c>
      <c r="F3090"/>
      <c r="G3090" s="1792">
        <f>'4S'!AD18</f>
        <v>9</v>
      </c>
      <c r="H3090" s="1636"/>
    </row>
    <row r="3091" spans="1:8">
      <c r="A3091" s="1620" t="str">
        <f>INDEX(Lists!$C$4:$C$24,MATCH(Validation!$B$3,Lists!$B$4:$B$24,0))</f>
        <v>TMS</v>
      </c>
      <c r="B3091" s="1824" t="str">
        <f>'4S'!CP19</f>
        <v>STWCA018</v>
      </c>
      <c r="C3091" s="1788" t="str">
        <f>'4S'!$C19&amp;" - "&amp;'4S'!$AA$4&amp;" - "&amp;'4S'!AD$5</f>
        <v>STWs in size band 2 - Ammonia - &gt;10mg/l</v>
      </c>
      <c r="D3091" s="1620" t="str">
        <f t="shared" si="67"/>
        <v>nr</v>
      </c>
      <c r="E3091" s="1636" t="s">
        <v>9</v>
      </c>
      <c r="F3091"/>
      <c r="G3091" s="1792">
        <f>'4S'!AD19</f>
        <v>8</v>
      </c>
      <c r="H3091" s="1636"/>
    </row>
    <row r="3092" spans="1:8">
      <c r="A3092" s="1620" t="str">
        <f>INDEX(Lists!$C$4:$C$24,MATCH(Validation!$B$3,Lists!$B$4:$B$24,0))</f>
        <v>TMS</v>
      </c>
      <c r="B3092" s="1824" t="str">
        <f>'4S'!CP20</f>
        <v>STWCA032</v>
      </c>
      <c r="C3092" s="1788" t="str">
        <f>'4S'!$C20&amp;" - "&amp;'4S'!$AA$4&amp;" - "&amp;'4S'!AD$5</f>
        <v>STWs in size band 3 - Ammonia - &gt;10mg/l</v>
      </c>
      <c r="D3092" s="1620" t="str">
        <f t="shared" si="67"/>
        <v>nr</v>
      </c>
      <c r="E3092" s="1636" t="s">
        <v>9</v>
      </c>
      <c r="F3092"/>
      <c r="G3092" s="1792">
        <f>'4S'!AD20</f>
        <v>14</v>
      </c>
      <c r="H3092" s="1636"/>
    </row>
    <row r="3093" spans="1:8">
      <c r="A3093" s="1620" t="str">
        <f>INDEX(Lists!$C$4:$C$24,MATCH(Validation!$B$3,Lists!$B$4:$B$24,0))</f>
        <v>TMS</v>
      </c>
      <c r="B3093" s="1824" t="str">
        <f>'4S'!CP21</f>
        <v>STWCA046</v>
      </c>
      <c r="C3093" s="1788" t="str">
        <f>'4S'!$C21&amp;" - "&amp;'4S'!$AA$4&amp;" - "&amp;'4S'!AD$5</f>
        <v>STWs in size band 4 - Ammonia - &gt;10mg/l</v>
      </c>
      <c r="D3093" s="1620" t="str">
        <f t="shared" si="67"/>
        <v>nr</v>
      </c>
      <c r="E3093" s="1636" t="s">
        <v>9</v>
      </c>
      <c r="F3093"/>
      <c r="G3093" s="1792">
        <f>'4S'!AD21</f>
        <v>4</v>
      </c>
      <c r="H3093" s="1636"/>
    </row>
    <row r="3094" spans="1:8">
      <c r="A3094" s="1620" t="str">
        <f>INDEX(Lists!$C$4:$C$24,MATCH(Validation!$B$3,Lists!$B$4:$B$24,0))</f>
        <v>TMS</v>
      </c>
      <c r="B3094" s="1824" t="str">
        <f>'4S'!CP22</f>
        <v>STWCA060</v>
      </c>
      <c r="C3094" s="1788" t="str">
        <f>'4S'!$C22&amp;" - "&amp;'4S'!$AA$4&amp;" - "&amp;'4S'!AD$5</f>
        <v>STWs in size band 5 - Ammonia - &gt;10mg/l</v>
      </c>
      <c r="D3094" s="1620" t="str">
        <f t="shared" si="67"/>
        <v>nr</v>
      </c>
      <c r="E3094" s="1636" t="s">
        <v>9</v>
      </c>
      <c r="F3094"/>
      <c r="G3094" s="1792">
        <f>'4S'!AD22</f>
        <v>1</v>
      </c>
      <c r="H3094" s="1636"/>
    </row>
    <row r="3095" spans="1:8">
      <c r="A3095" s="1730" t="str">
        <f>INDEX(Lists!$C$4:$C$24,MATCH(Validation!$B$3,Lists!$B$4:$B$24,0))</f>
        <v>TMS</v>
      </c>
      <c r="B3095" s="1828" t="str">
        <f>'4S'!CP23</f>
        <v>STWCA104</v>
      </c>
      <c r="C3095" s="1825" t="str">
        <f>'4S'!$C23&amp;" - "&amp;'4S'!$AA$4&amp;" - "&amp;'4S'!AD$5</f>
        <v>STWs above size band 5 - Ammonia - &gt;10mg/l</v>
      </c>
      <c r="D3095" s="1730" t="str">
        <f t="shared" si="67"/>
        <v>nr</v>
      </c>
      <c r="E3095" s="1652" t="s">
        <v>9</v>
      </c>
      <c r="F3095" s="1819"/>
      <c r="G3095" s="1826">
        <f>'4S'!AD23</f>
        <v>1</v>
      </c>
      <c r="H3095" s="1652"/>
    </row>
    <row r="3096" spans="1:8">
      <c r="A3096" s="1620" t="str">
        <f>INDEX(Lists!$C$4:$C$24,MATCH(Validation!$B$3,Lists!$B$4:$B$24,0))</f>
        <v>TMS</v>
      </c>
      <c r="B3096" s="1824" t="str">
        <f>'4S'!CQ8</f>
        <v>STWDA005</v>
      </c>
      <c r="C3096" s="1788" t="str">
        <f>'4S'!$C8&amp;" - "&amp;'4S'!$AA$4&amp;" - "&amp;'4S'!AE$5</f>
        <v>Load received by STWs in size band 1 - Ammonia - No permit</v>
      </c>
      <c r="D3096" s="1620" t="str">
        <f t="shared" si="67"/>
        <v>kg BOD5/day</v>
      </c>
      <c r="E3096" s="1636" t="s">
        <v>9</v>
      </c>
      <c r="F3096"/>
      <c r="G3096" s="1792">
        <f>'4S'!AE8</f>
        <v>334.89086627753443</v>
      </c>
      <c r="H3096" s="1636"/>
    </row>
    <row r="3097" spans="1:8">
      <c r="A3097" s="1620" t="str">
        <f>INDEX(Lists!$C$4:$C$24,MATCH(Validation!$B$3,Lists!$B$4:$B$24,0))</f>
        <v>TMS</v>
      </c>
      <c r="B3097" s="1824" t="str">
        <f>'4S'!CQ9</f>
        <v>STWDA019</v>
      </c>
      <c r="C3097" s="1788" t="str">
        <f>'4S'!$C9&amp;" - "&amp;'4S'!$AA$4&amp;" - "&amp;'4S'!AE$5</f>
        <v>Load received by STWs in size band 2 - Ammonia - No permit</v>
      </c>
      <c r="D3097" s="1620" t="str">
        <f t="shared" si="67"/>
        <v>kg BOD5/day</v>
      </c>
      <c r="E3097" s="1636" t="s">
        <v>9</v>
      </c>
      <c r="F3097"/>
      <c r="G3097" s="1792">
        <f>'4S'!AE9</f>
        <v>449.96603362368012</v>
      </c>
      <c r="H3097" s="1636"/>
    </row>
    <row r="3098" spans="1:8">
      <c r="A3098" s="1620" t="str">
        <f>INDEX(Lists!$C$4:$C$24,MATCH(Validation!$B$3,Lists!$B$4:$B$24,0))</f>
        <v>TMS</v>
      </c>
      <c r="B3098" s="1824" t="str">
        <f>'4S'!CQ10</f>
        <v>STWDA033</v>
      </c>
      <c r="C3098" s="1788" t="str">
        <f>'4S'!$C10&amp;" - "&amp;'4S'!$AA$4&amp;" - "&amp;'4S'!AE$5</f>
        <v>Load received by STWs in size band 3 - Ammonia - No permit</v>
      </c>
      <c r="D3098" s="1620" t="str">
        <f t="shared" si="67"/>
        <v>kg BOD5/day</v>
      </c>
      <c r="E3098" s="1636" t="s">
        <v>9</v>
      </c>
      <c r="F3098"/>
      <c r="G3098" s="1792">
        <f>'4S'!AE10</f>
        <v>1401.900166021584</v>
      </c>
      <c r="H3098" s="1636"/>
    </row>
    <row r="3099" spans="1:8">
      <c r="A3099" s="1620" t="str">
        <f>INDEX(Lists!$C$4:$C$24,MATCH(Validation!$B$3,Lists!$B$4:$B$24,0))</f>
        <v>TMS</v>
      </c>
      <c r="B3099" s="1824" t="str">
        <f>'4S'!CQ11</f>
        <v>STWDA047</v>
      </c>
      <c r="C3099" s="1788" t="str">
        <f>'4S'!$C11&amp;" - "&amp;'4S'!$AA$4&amp;" - "&amp;'4S'!AE$5</f>
        <v>Load received by STWs in size band 4 - Ammonia - No permit</v>
      </c>
      <c r="D3099" s="1620" t="str">
        <f t="shared" si="67"/>
        <v>kg BOD5/day</v>
      </c>
      <c r="E3099" s="1636" t="s">
        <v>9</v>
      </c>
      <c r="F3099"/>
      <c r="G3099" s="1792">
        <f>'4S'!AE11</f>
        <v>1256.405634816166</v>
      </c>
      <c r="H3099" s="1636"/>
    </row>
    <row r="3100" spans="1:8">
      <c r="A3100" s="1620" t="str">
        <f>INDEX(Lists!$C$4:$C$24,MATCH(Validation!$B$3,Lists!$B$4:$B$24,0))</f>
        <v>TMS</v>
      </c>
      <c r="B3100" s="1824" t="str">
        <f>'4S'!CQ12</f>
        <v>STWDA061</v>
      </c>
      <c r="C3100" s="1788" t="str">
        <f>'4S'!$C12&amp;" - "&amp;'4S'!$AA$4&amp;" - "&amp;'4S'!AE$5</f>
        <v>Load received by STWs in size band 5 - Ammonia - No permit</v>
      </c>
      <c r="D3100" s="1620" t="str">
        <f t="shared" si="67"/>
        <v>kg BOD5/day</v>
      </c>
      <c r="E3100" s="1636" t="s">
        <v>9</v>
      </c>
      <c r="F3100"/>
      <c r="G3100" s="1792">
        <f>'4S'!AE12</f>
        <v>0</v>
      </c>
      <c r="H3100" s="1636"/>
    </row>
    <row r="3101" spans="1:8">
      <c r="A3101" s="1620" t="str">
        <f>INDEX(Lists!$C$4:$C$24,MATCH(Validation!$B$3,Lists!$B$4:$B$24,0))</f>
        <v>TMS</v>
      </c>
      <c r="B3101" s="1824" t="str">
        <f>'4S'!CQ13</f>
        <v>STWDA105</v>
      </c>
      <c r="C3101" s="1788" t="str">
        <f>'4S'!$C13&amp;" - "&amp;'4S'!$AA$4&amp;" - "&amp;'4S'!AE$5</f>
        <v>Load received by STWs above size band 5 - Ammonia - No permit</v>
      </c>
      <c r="D3101" s="1620" t="str">
        <f t="shared" si="67"/>
        <v>kg BOD5/day</v>
      </c>
      <c r="E3101" s="1636" t="s">
        <v>9</v>
      </c>
      <c r="F3101"/>
      <c r="G3101" s="1792">
        <f>'4S'!AE13</f>
        <v>0</v>
      </c>
      <c r="H3101" s="1636"/>
    </row>
    <row r="3102" spans="1:8">
      <c r="A3102" s="1620" t="str">
        <f>INDEX(Lists!$C$4:$C$24,MATCH(Validation!$B$3,Lists!$B$4:$B$24,0))</f>
        <v>TMS</v>
      </c>
      <c r="B3102" s="1824" t="str">
        <f>'4S'!CQ18</f>
        <v>STWCA005</v>
      </c>
      <c r="C3102" s="1788" t="str">
        <f>'4S'!$C18&amp;" - "&amp;'4S'!$AA$4&amp;" - "&amp;'4S'!AE$5</f>
        <v>STWs in size band 1 - Ammonia - No permit</v>
      </c>
      <c r="D3102" s="1620" t="str">
        <f t="shared" si="67"/>
        <v>nr</v>
      </c>
      <c r="E3102" s="1636" t="s">
        <v>9</v>
      </c>
      <c r="F3102"/>
      <c r="G3102" s="1792">
        <f>'4S'!AE18</f>
        <v>52</v>
      </c>
      <c r="H3102" s="1636"/>
    </row>
    <row r="3103" spans="1:8">
      <c r="A3103" s="1620" t="str">
        <f>INDEX(Lists!$C$4:$C$24,MATCH(Validation!$B$3,Lists!$B$4:$B$24,0))</f>
        <v>TMS</v>
      </c>
      <c r="B3103" s="1824" t="str">
        <f>'4S'!CQ19</f>
        <v>STWCA019</v>
      </c>
      <c r="C3103" s="1788" t="str">
        <f>'4S'!$C19&amp;" - "&amp;'4S'!$AA$4&amp;" - "&amp;'4S'!AE$5</f>
        <v>STWs in size band 2 - Ammonia - No permit</v>
      </c>
      <c r="D3103" s="1620" t="str">
        <f t="shared" si="67"/>
        <v>nr</v>
      </c>
      <c r="E3103" s="1636" t="s">
        <v>9</v>
      </c>
      <c r="F3103"/>
      <c r="G3103" s="1792">
        <f>'4S'!AE19</f>
        <v>22</v>
      </c>
      <c r="H3103" s="1636"/>
    </row>
    <row r="3104" spans="1:8">
      <c r="A3104" s="1620" t="str">
        <f>INDEX(Lists!$C$4:$C$24,MATCH(Validation!$B$3,Lists!$B$4:$B$24,0))</f>
        <v>TMS</v>
      </c>
      <c r="B3104" s="1824" t="str">
        <f>'4S'!CQ20</f>
        <v>STWCA033</v>
      </c>
      <c r="C3104" s="1788" t="str">
        <f>'4S'!$C20&amp;" - "&amp;'4S'!$AA$4&amp;" - "&amp;'4S'!AE$5</f>
        <v>STWs in size band 3 - Ammonia - No permit</v>
      </c>
      <c r="D3104" s="1620" t="str">
        <f t="shared" si="67"/>
        <v>nr</v>
      </c>
      <c r="E3104" s="1636" t="s">
        <v>9</v>
      </c>
      <c r="F3104"/>
      <c r="G3104" s="1792">
        <f>'4S'!AE20</f>
        <v>25</v>
      </c>
      <c r="H3104" s="1636"/>
    </row>
    <row r="3105" spans="1:8">
      <c r="A3105" s="1620" t="str">
        <f>INDEX(Lists!$C$4:$C$24,MATCH(Validation!$B$3,Lists!$B$4:$B$24,0))</f>
        <v>TMS</v>
      </c>
      <c r="B3105" s="1824" t="str">
        <f>'4S'!CQ21</f>
        <v>STWCA047</v>
      </c>
      <c r="C3105" s="1788" t="str">
        <f>'4S'!$C21&amp;" - "&amp;'4S'!$AA$4&amp;" - "&amp;'4S'!AE$5</f>
        <v>STWs in size band 4 - Ammonia - No permit</v>
      </c>
      <c r="D3105" s="1620" t="str">
        <f t="shared" si="67"/>
        <v>nr</v>
      </c>
      <c r="E3105" s="1636" t="s">
        <v>9</v>
      </c>
      <c r="F3105"/>
      <c r="G3105" s="1792">
        <f>'4S'!AE21</f>
        <v>6</v>
      </c>
      <c r="H3105" s="1636"/>
    </row>
    <row r="3106" spans="1:8">
      <c r="A3106" s="1620" t="str">
        <f>INDEX(Lists!$C$4:$C$24,MATCH(Validation!$B$3,Lists!$B$4:$B$24,0))</f>
        <v>TMS</v>
      </c>
      <c r="B3106" s="1824" t="str">
        <f>'4S'!CQ22</f>
        <v>STWCA061</v>
      </c>
      <c r="C3106" s="1788" t="str">
        <f>'4S'!$C22&amp;" - "&amp;'4S'!$AA$4&amp;" - "&amp;'4S'!AE$5</f>
        <v>STWs in size band 5 - Ammonia - No permit</v>
      </c>
      <c r="D3106" s="1620" t="str">
        <f t="shared" si="67"/>
        <v>nr</v>
      </c>
      <c r="E3106" s="1636" t="s">
        <v>9</v>
      </c>
      <c r="F3106"/>
      <c r="G3106" s="1792">
        <f>'4S'!AE22</f>
        <v>0</v>
      </c>
      <c r="H3106" s="1636"/>
    </row>
    <row r="3107" spans="1:8">
      <c r="A3107" s="1730" t="str">
        <f>INDEX(Lists!$C$4:$C$24,MATCH(Validation!$B$3,Lists!$B$4:$B$24,0))</f>
        <v>TMS</v>
      </c>
      <c r="B3107" s="1828" t="str">
        <f>'4S'!CQ23</f>
        <v>STWCA105</v>
      </c>
      <c r="C3107" s="1825" t="str">
        <f>'4S'!$C23&amp;" - "&amp;'4S'!$AA$4&amp;" - "&amp;'4S'!AE$5</f>
        <v>STWs above size band 5 - Ammonia - No permit</v>
      </c>
      <c r="D3107" s="1730" t="str">
        <f t="shared" si="67"/>
        <v>nr</v>
      </c>
      <c r="E3107" s="1652" t="s">
        <v>9</v>
      </c>
      <c r="F3107" s="1819"/>
      <c r="G3107" s="1826">
        <f>'4S'!AE23</f>
        <v>0</v>
      </c>
      <c r="H3107" s="1652"/>
    </row>
    <row r="3108" spans="1:8">
      <c r="A3108" s="1620" t="str">
        <f>INDEX(Lists!$C$4:$C$24,MATCH(Validation!$B$3,Lists!$B$4:$B$24,0))</f>
        <v>TMS</v>
      </c>
      <c r="B3108" s="1824" t="str">
        <f>'4S'!BP29</f>
        <v>BN1603</v>
      </c>
      <c r="C3108" s="1788" t="str">
        <f>'4S'!C29&amp;" - "&amp;'4S'!C$28</f>
        <v>Current population equivalent served by STWs - Population equivalent</v>
      </c>
      <c r="D3108" s="1620" t="str">
        <f>'4S'!BQ29</f>
        <v>000</v>
      </c>
      <c r="E3108" s="1636" t="s">
        <v>9</v>
      </c>
      <c r="F3108"/>
      <c r="G3108" s="1791">
        <f>'4S'!G29</f>
        <v>15521.388999999999</v>
      </c>
      <c r="H3108" s="1636"/>
    </row>
    <row r="3109" spans="1:8">
      <c r="A3109" s="1620" t="str">
        <f>INDEX(Lists!$C$4:$C$24,MATCH(Validation!$B$3,Lists!$B$4:$B$24,0))</f>
        <v>TMS</v>
      </c>
      <c r="B3109" s="1824" t="str">
        <f>'4S'!BP30</f>
        <v>S4019</v>
      </c>
      <c r="C3109" s="1788" t="str">
        <f>'4S'!C30&amp;" - "&amp;'4S'!C$28</f>
        <v>Current population equivalent served by discharge relocation schemes - Population equivalent</v>
      </c>
      <c r="D3109" s="1620" t="str">
        <f>'4S'!BQ30</f>
        <v>000s</v>
      </c>
      <c r="E3109" s="1636" t="s">
        <v>9</v>
      </c>
      <c r="F3109"/>
      <c r="G3109" s="1791">
        <f>'4S'!G30</f>
        <v>0</v>
      </c>
      <c r="H3109" s="1636"/>
    </row>
    <row r="3110" spans="1:8">
      <c r="A3110" s="1620" t="str">
        <f>INDEX(Lists!$C$4:$C$24,MATCH(Validation!$B$3,Lists!$B$4:$B$24,0))</f>
        <v>TMS</v>
      </c>
      <c r="B3110" s="1824" t="str">
        <f>'4S'!BP31</f>
        <v>S4020</v>
      </c>
      <c r="C3110" s="1788" t="str">
        <f>'4S'!C31&amp;" - "&amp;'4S'!C$28</f>
        <v>Current population equivalent served by filter bed STWs with tightened/new P consents - Population equivalent</v>
      </c>
      <c r="D3110" s="1620" t="str">
        <f>'4S'!BQ31</f>
        <v>000s</v>
      </c>
      <c r="E3110" s="1636" t="s">
        <v>9</v>
      </c>
      <c r="F3110"/>
      <c r="G3110" s="1791">
        <f>'4S'!G31</f>
        <v>97.585999999999999</v>
      </c>
      <c r="H3110" s="1636"/>
    </row>
    <row r="3111" spans="1:8">
      <c r="A3111" s="1620" t="str">
        <f>INDEX(Lists!$C$4:$C$24,MATCH(Validation!$B$3,Lists!$B$4:$B$24,0))</f>
        <v>TMS</v>
      </c>
      <c r="B3111" s="1824" t="str">
        <f>'4S'!BP32</f>
        <v>S4018</v>
      </c>
      <c r="C3111" s="1788" t="str">
        <f>'4S'!C32&amp;" - "&amp;'4S'!C$28</f>
        <v>Current population equivalent served by activated sludge STWs with tightened/new P consents - Population equivalent</v>
      </c>
      <c r="D3111" s="1620" t="str">
        <f>'4S'!BQ32</f>
        <v>000s</v>
      </c>
      <c r="E3111" s="1636" t="s">
        <v>9</v>
      </c>
      <c r="F3111"/>
      <c r="G3111" s="1791">
        <f>'4S'!G32</f>
        <v>430.84199999999998</v>
      </c>
      <c r="H3111" s="1636"/>
    </row>
    <row r="3112" spans="1:8">
      <c r="A3112" s="1620" t="str">
        <f>INDEX(Lists!$C$4:$C$24,MATCH(Validation!$B$3,Lists!$B$4:$B$24,0))</f>
        <v>TMS</v>
      </c>
      <c r="B3112" s="1824" t="str">
        <f>'4S'!BP33</f>
        <v>S4021</v>
      </c>
      <c r="C3112" s="1788" t="str">
        <f>'4S'!C33&amp;" - "&amp;'4S'!C$28</f>
        <v>Current population equivalent served by groundwater protection schemes - Population equivalent</v>
      </c>
      <c r="D3112" s="1620" t="str">
        <f>'4S'!BQ33</f>
        <v>000s</v>
      </c>
      <c r="E3112" s="1636" t="s">
        <v>9</v>
      </c>
      <c r="F3112"/>
      <c r="G3112" s="1791">
        <f>'4S'!G33</f>
        <v>0</v>
      </c>
      <c r="H3112" s="1636"/>
    </row>
    <row r="3113" spans="1:8">
      <c r="A3113" s="1620" t="str">
        <f>INDEX(Lists!$C$4:$C$24,MATCH(Validation!$B$3,Lists!$B$4:$B$24,0))</f>
        <v>TMS</v>
      </c>
      <c r="B3113" s="1824" t="str">
        <f>'4S'!BP34</f>
        <v>S4022</v>
      </c>
      <c r="C3113" s="1788" t="str">
        <f>'4S'!C34&amp;" - "&amp;'4S'!C$28</f>
        <v>Current population equivalent served by STWs with a Flow1 driver scheme - Population equivalent</v>
      </c>
      <c r="D3113" s="1620" t="str">
        <f>'4S'!BQ34</f>
        <v>000s</v>
      </c>
      <c r="E3113" s="1636" t="s">
        <v>9</v>
      </c>
      <c r="F3113"/>
      <c r="G3113" s="1791">
        <f>'4S'!G34</f>
        <v>0</v>
      </c>
      <c r="H3113" s="1636"/>
    </row>
    <row r="3114" spans="1:8">
      <c r="A3114" s="1620" t="str">
        <f>INDEX(Lists!$C$4:$C$24,MATCH(Validation!$B$3,Lists!$B$4:$B$24,0))</f>
        <v>TMS</v>
      </c>
      <c r="B3114" s="1824" t="str">
        <f>'4S'!BP35</f>
        <v>S4023</v>
      </c>
      <c r="C3114" s="1788" t="str">
        <f>'4S'!C35&amp;" - "&amp;'4S'!C$28</f>
        <v>Current population equivalent served by STWs with tightened/new N consents - Population equivalent</v>
      </c>
      <c r="D3114" s="1620" t="str">
        <f>'4S'!BQ35</f>
        <v>000s</v>
      </c>
      <c r="E3114" s="1636" t="s">
        <v>9</v>
      </c>
      <c r="F3114"/>
      <c r="G3114" s="1791">
        <f>'4S'!G35</f>
        <v>0</v>
      </c>
      <c r="H3114" s="1636"/>
    </row>
    <row r="3115" spans="1:8">
      <c r="A3115" s="1620" t="str">
        <f>INDEX(Lists!$C$4:$C$24,MATCH(Validation!$B$3,Lists!$B$4:$B$24,0))</f>
        <v>TMS</v>
      </c>
      <c r="B3115" s="1824" t="str">
        <f>'4S'!BP36</f>
        <v>S4024</v>
      </c>
      <c r="C3115" s="1788" t="str">
        <f>'4S'!C36&amp;" - "&amp;'4S'!C$28</f>
        <v>Current population equivalent served by STWs with tightened/new sanitary parameter consents - Population equivalent</v>
      </c>
      <c r="D3115" s="1620" t="str">
        <f>'4S'!BQ36</f>
        <v>000s</v>
      </c>
      <c r="E3115" s="1636" t="s">
        <v>9</v>
      </c>
      <c r="F3115"/>
      <c r="G3115" s="1791">
        <f>'4S'!G36</f>
        <v>272.43200000000002</v>
      </c>
      <c r="H3115" s="1636"/>
    </row>
    <row r="3116" spans="1:8">
      <c r="A3116" s="1620" t="str">
        <f>INDEX(Lists!$C$4:$C$24,MATCH(Validation!$B$3,Lists!$B$4:$B$24,0))</f>
        <v>TMS</v>
      </c>
      <c r="B3116" s="1824" t="str">
        <f>'4S'!BP37</f>
        <v>S4025</v>
      </c>
      <c r="C3116" s="1788" t="str">
        <f>'4S'!C37&amp;" - "&amp;'4S'!C$28</f>
        <v>Current population equivalent served by STWs with tightened/new UV consents - Population equivalent</v>
      </c>
      <c r="D3116" s="1620" t="str">
        <f>'4S'!BQ37</f>
        <v>000s</v>
      </c>
      <c r="E3116" s="1636" t="s">
        <v>9</v>
      </c>
      <c r="F3116"/>
      <c r="G3116" s="1791">
        <f>'4S'!G37</f>
        <v>0</v>
      </c>
      <c r="H3116" s="1636"/>
    </row>
    <row r="3117" spans="1:8" ht="15" thickBot="1">
      <c r="A3117" s="1621" t="str">
        <f>INDEX(Lists!$C$4:$C$24,MATCH(Validation!$B$3,Lists!$B$4:$B$24,0))</f>
        <v>TMS</v>
      </c>
      <c r="B3117" s="1830" t="str">
        <f>'4S'!BP38</f>
        <v>S4027</v>
      </c>
      <c r="C3117" s="1719" t="str">
        <f>'4S'!C38&amp;" - "&amp;'4S'!C$28</f>
        <v>Population equivalent treatment capacity enhancement - Population equivalent</v>
      </c>
      <c r="D3117" s="1621" t="str">
        <f>'4S'!BQ38</f>
        <v>000s</v>
      </c>
      <c r="E3117" s="1649" t="s">
        <v>9</v>
      </c>
      <c r="F3117" s="1622"/>
      <c r="G3117" s="1797">
        <f>'4S'!G38</f>
        <v>2.375</v>
      </c>
      <c r="H3117" s="1649"/>
    </row>
    <row r="3118" spans="1:8">
      <c r="A3118" s="1618" t="str">
        <f>INDEX(Lists!$C$4:$C$24,MATCH(Validation!$B$3,Lists!$B$4:$B$24,0))</f>
        <v>TMS</v>
      </c>
      <c r="B3118" s="1829" t="str">
        <f>+'4T'!AC6</f>
        <v>BN5611INC</v>
      </c>
      <c r="C3118" s="1619" t="str">
        <f>'4T'!Y6&amp;" - "&amp;'4T'!$AC$3</f>
        <v>% Sludge - untreated - by Incumbent</v>
      </c>
      <c r="D3118" s="1618" t="str">
        <f>+'4T'!AA6</f>
        <v>%</v>
      </c>
      <c r="E3118" s="1645" t="s">
        <v>9</v>
      </c>
      <c r="F3118" s="1619"/>
      <c r="G3118" s="1799">
        <f>+'4T'!G6</f>
        <v>0.01</v>
      </c>
      <c r="H3118" s="1645"/>
    </row>
    <row r="3119" spans="1:8">
      <c r="A3119" s="1620" t="str">
        <f>INDEX(Lists!$C$4:$C$24,MATCH(Validation!$B$3,Lists!$B$4:$B$24,0))</f>
        <v>TMS</v>
      </c>
      <c r="B3119" s="1824" t="str">
        <f>+'4T'!AC7</f>
        <v>BN5612INC</v>
      </c>
      <c r="C3119" t="str">
        <f>'4T'!Y7&amp;" - "&amp;'4T'!$AC$3</f>
        <v>% Sludge treatment process - raw sludge liming - by Incumbent</v>
      </c>
      <c r="D3119" s="1620" t="str">
        <f>+'4T'!AA7</f>
        <v>%</v>
      </c>
      <c r="E3119" s="1636" t="s">
        <v>9</v>
      </c>
      <c r="F3119"/>
      <c r="G3119" s="1791">
        <f>+'4T'!G7</f>
        <v>5.5E-2</v>
      </c>
      <c r="H3119" s="1636"/>
    </row>
    <row r="3120" spans="1:8">
      <c r="A3120" s="1620" t="str">
        <f>INDEX(Lists!$C$4:$C$24,MATCH(Validation!$B$3,Lists!$B$4:$B$24,0))</f>
        <v>TMS</v>
      </c>
      <c r="B3120" s="1824" t="str">
        <f>+'4T'!AC8</f>
        <v>BN5613INC</v>
      </c>
      <c r="C3120" t="str">
        <f>'4T'!Y8&amp;" - "&amp;'4T'!$AC$3</f>
        <v>% Sludge treatment process - conventional AD - by Incumbent</v>
      </c>
      <c r="D3120" s="1620" t="str">
        <f>+'4T'!AA8</f>
        <v>%</v>
      </c>
      <c r="E3120" s="1636" t="s">
        <v>9</v>
      </c>
      <c r="F3120"/>
      <c r="G3120" s="1791">
        <f>+'4T'!G8</f>
        <v>0.28699999999999998</v>
      </c>
      <c r="H3120" s="1636"/>
    </row>
    <row r="3121" spans="1:8">
      <c r="A3121" s="1620" t="str">
        <f>INDEX(Lists!$C$4:$C$24,MATCH(Validation!$B$3,Lists!$B$4:$B$24,0))</f>
        <v>TMS</v>
      </c>
      <c r="B3121" s="1824" t="str">
        <f>+'4T'!AC9</f>
        <v>BN5614INC</v>
      </c>
      <c r="C3121" t="str">
        <f>'4T'!Y9&amp;" - "&amp;'4T'!$AC$3</f>
        <v>% Sludge treatment process- advanced AD - by Incumbent</v>
      </c>
      <c r="D3121" s="1620" t="str">
        <f>+'4T'!AA9</f>
        <v>%</v>
      </c>
      <c r="E3121" s="1636" t="s">
        <v>9</v>
      </c>
      <c r="F3121"/>
      <c r="G3121" s="1791">
        <f>+'4T'!G9</f>
        <v>0.48099999999999998</v>
      </c>
      <c r="H3121" s="1636"/>
    </row>
    <row r="3122" spans="1:8">
      <c r="A3122" s="1620" t="str">
        <f>INDEX(Lists!$C$4:$C$24,MATCH(Validation!$B$3,Lists!$B$4:$B$24,0))</f>
        <v>TMS</v>
      </c>
      <c r="B3122" s="1824" t="str">
        <f>+'4T'!AC10</f>
        <v>BN5615INC</v>
      </c>
      <c r="C3122" t="str">
        <f>'4T'!Y10&amp;" - "&amp;'4T'!$AC$3</f>
        <v>% Sludge treatment process - incineration of raw sludge - by Incumbent</v>
      </c>
      <c r="D3122" s="1620" t="str">
        <f>+'4T'!AA10</f>
        <v>%</v>
      </c>
      <c r="E3122" s="1636" t="s">
        <v>9</v>
      </c>
      <c r="F3122"/>
      <c r="G3122" s="1791">
        <f>+'4T'!G10</f>
        <v>0.16700000000000001</v>
      </c>
      <c r="H3122" s="1636"/>
    </row>
    <row r="3123" spans="1:8">
      <c r="A3123" s="1620" t="str">
        <f>INDEX(Lists!$C$4:$C$24,MATCH(Validation!$B$3,Lists!$B$4:$B$24,0))</f>
        <v>TMS</v>
      </c>
      <c r="B3123" s="1824" t="str">
        <f>+'4T'!AC11</f>
        <v>BN5616INC</v>
      </c>
      <c r="C3123" t="str">
        <f>'4T'!Y11&amp;" - "&amp;'4T'!$AC$3</f>
        <v>% Sludge treatment process - incineration of digested sludge - by Incumbent</v>
      </c>
      <c r="D3123" s="1620" t="str">
        <f>+'4T'!AA11</f>
        <v>%</v>
      </c>
      <c r="E3123" s="1636" t="s">
        <v>9</v>
      </c>
      <c r="F3123"/>
      <c r="G3123" s="1791">
        <f>+'4T'!G11</f>
        <v>0</v>
      </c>
      <c r="H3123" s="1636"/>
    </row>
    <row r="3124" spans="1:8">
      <c r="A3124" s="1620" t="str">
        <f>INDEX(Lists!$C$4:$C$24,MATCH(Validation!$B$3,Lists!$B$4:$B$24,0))</f>
        <v>TMS</v>
      </c>
      <c r="B3124" s="1824" t="str">
        <f>+'4T'!AC12</f>
        <v>BN5617INC</v>
      </c>
      <c r="C3124" t="str">
        <f>'4T'!Y12&amp;" - "&amp;'4T'!$AC$3</f>
        <v>% Sludge treatment process - phyto-conditioning/composting - by Incumbent</v>
      </c>
      <c r="D3124" s="1620" t="str">
        <f>+'4T'!AA12</f>
        <v>%</v>
      </c>
      <c r="E3124" s="1636" t="s">
        <v>9</v>
      </c>
      <c r="F3124"/>
      <c r="G3124" s="1791">
        <f>+'4T'!G12</f>
        <v>0</v>
      </c>
      <c r="H3124" s="1636"/>
    </row>
    <row r="3125" spans="1:8">
      <c r="A3125" s="1620" t="str">
        <f>INDEX(Lists!$C$4:$C$24,MATCH(Validation!$B$3,Lists!$B$4:$B$24,0))</f>
        <v>TMS</v>
      </c>
      <c r="B3125" s="1824" t="str">
        <f>+'4T'!AC13</f>
        <v>BN5618INC</v>
      </c>
      <c r="C3125" t="str">
        <f>'4T'!Y13&amp;" - "&amp;'4T'!$AC$3</f>
        <v>% Sludge treatment process - other (specify) - by Incumbent</v>
      </c>
      <c r="D3125" s="1620" t="str">
        <f>+'4T'!AA13</f>
        <v>%</v>
      </c>
      <c r="E3125" s="1636" t="s">
        <v>9</v>
      </c>
      <c r="F3125"/>
      <c r="G3125" s="1791">
        <f>+'4T'!G13</f>
        <v>0</v>
      </c>
      <c r="H3125" s="1636"/>
    </row>
    <row r="3126" spans="1:8">
      <c r="A3126" s="1620" t="str">
        <f>INDEX(Lists!$C$4:$C$24,MATCH(Validation!$B$3,Lists!$B$4:$B$24,0))</f>
        <v>TMS</v>
      </c>
      <c r="B3126" s="1824" t="str">
        <f>+'4T'!AC17</f>
        <v>BN5620INC</v>
      </c>
      <c r="C3126" t="str">
        <f>'4T'!Y17&amp;" - "&amp;'4T'!$AC$3</f>
        <v>% Sludge disposal route - landfill, raw - by Incumbent</v>
      </c>
      <c r="D3126" s="1620" t="str">
        <f>+'4T'!AA17</f>
        <v>%</v>
      </c>
      <c r="E3126" s="1636" t="s">
        <v>9</v>
      </c>
      <c r="F3126"/>
      <c r="G3126" s="1791">
        <f>+'4T'!G17</f>
        <v>0</v>
      </c>
      <c r="H3126" s="1636"/>
    </row>
    <row r="3127" spans="1:8">
      <c r="A3127" s="1620" t="str">
        <f>INDEX(Lists!$C$4:$C$24,MATCH(Validation!$B$3,Lists!$B$4:$B$24,0))</f>
        <v>TMS</v>
      </c>
      <c r="B3127" s="1824" t="str">
        <f>+'4T'!AC18</f>
        <v>BN5621INC</v>
      </c>
      <c r="C3127" t="str">
        <f>'4T'!Y18&amp;" - "&amp;'4T'!$AC$3</f>
        <v>% Sludge disposal route - landfill, partly treated - by Incumbent</v>
      </c>
      <c r="D3127" s="1620" t="str">
        <f>+'4T'!AA18</f>
        <v>%</v>
      </c>
      <c r="E3127" s="1636" t="s">
        <v>9</v>
      </c>
      <c r="F3127"/>
      <c r="G3127" s="1791">
        <f>+'4T'!G18</f>
        <v>0</v>
      </c>
      <c r="H3127" s="1636"/>
    </row>
    <row r="3128" spans="1:8">
      <c r="A3128" s="1620" t="str">
        <f>INDEX(Lists!$C$4:$C$24,MATCH(Validation!$B$3,Lists!$B$4:$B$24,0))</f>
        <v>TMS</v>
      </c>
      <c r="B3128" s="1824" t="str">
        <f>+'4T'!AC19</f>
        <v>BN5622INC</v>
      </c>
      <c r="C3128" t="str">
        <f>'4T'!Y19&amp;" - "&amp;'4T'!$AC$3</f>
        <v>% Sludge disposal route - land restoration / reclamation - by Incumbent</v>
      </c>
      <c r="D3128" s="1620" t="str">
        <f>+'4T'!AA19</f>
        <v>%</v>
      </c>
      <c r="E3128" s="1636" t="s">
        <v>9</v>
      </c>
      <c r="F3128"/>
      <c r="G3128" s="1791">
        <f>+'4T'!G19</f>
        <v>1.2999999999999999E-2</v>
      </c>
      <c r="H3128" s="1636"/>
    </row>
    <row r="3129" spans="1:8">
      <c r="A3129" s="1620" t="str">
        <f>INDEX(Lists!$C$4:$C$24,MATCH(Validation!$B$3,Lists!$B$4:$B$24,0))</f>
        <v>TMS</v>
      </c>
      <c r="B3129" s="1824" t="str">
        <f>+'4T'!AC20</f>
        <v>BN5623INC</v>
      </c>
      <c r="C3129" t="str">
        <f>'4T'!Y20&amp;" - "&amp;'4T'!$AC$3</f>
        <v>% Sludge disposal route - sludge recycled to farmland - by Incumbent</v>
      </c>
      <c r="D3129" s="1620" t="str">
        <f>+'4T'!AA20</f>
        <v>%</v>
      </c>
      <c r="E3129" s="1636" t="s">
        <v>9</v>
      </c>
      <c r="F3129"/>
      <c r="G3129" s="1791">
        <f>+'4T'!G20</f>
        <v>0.98699999999999999</v>
      </c>
      <c r="H3129" s="1636"/>
    </row>
    <row r="3130" spans="1:8">
      <c r="A3130" s="1620" t="str">
        <f>INDEX(Lists!$C$4:$C$24,MATCH(Validation!$B$3,Lists!$B$4:$B$24,0))</f>
        <v>TMS</v>
      </c>
      <c r="B3130" s="1824" t="str">
        <f>+'4T'!AC21</f>
        <v>BN5624INC</v>
      </c>
      <c r="C3130" t="str">
        <f>'4T'!Y21&amp;" - "&amp;'4T'!$AC$3</f>
        <v>% Sludge disposal route - other (specify) - by Incumbent</v>
      </c>
      <c r="D3130" s="1620" t="str">
        <f>+'4T'!AA21</f>
        <v>%</v>
      </c>
      <c r="E3130" s="1636" t="s">
        <v>9</v>
      </c>
      <c r="F3130"/>
      <c r="G3130" s="1791">
        <f>+'4T'!G21</f>
        <v>0</v>
      </c>
      <c r="H3130" s="1636"/>
    </row>
    <row r="3131" spans="1:8">
      <c r="A3131" s="1620" t="str">
        <f>INDEX(Lists!$C$4:$C$24,MATCH(Validation!$B$3,Lists!$B$4:$B$24,0))</f>
        <v>TMS</v>
      </c>
      <c r="B3131" s="1824" t="str">
        <f>+'4T'!AD6</f>
        <v>BN5611TPS</v>
      </c>
      <c r="C3131" t="str">
        <f>'4T'!Y6&amp;" - "&amp;'4T'!$AD$3</f>
        <v>% Sludge - untreated - by 3rd party sludge service providers</v>
      </c>
      <c r="D3131" s="1620" t="str">
        <f>+'4T'!AA6</f>
        <v>%</v>
      </c>
      <c r="E3131" s="1636" t="s">
        <v>9</v>
      </c>
      <c r="F3131"/>
      <c r="G3131" s="1791">
        <f>+'4T'!H6</f>
        <v>0</v>
      </c>
      <c r="H3131" s="1636"/>
    </row>
    <row r="3132" spans="1:8">
      <c r="A3132" s="1620" t="str">
        <f>INDEX(Lists!$C$4:$C$24,MATCH(Validation!$B$3,Lists!$B$4:$B$24,0))</f>
        <v>TMS</v>
      </c>
      <c r="B3132" s="1824" t="str">
        <f>+'4T'!AD7</f>
        <v>BN5612TPS</v>
      </c>
      <c r="C3132" t="str">
        <f>'4T'!Y7&amp;" - "&amp;'4T'!$AD$3</f>
        <v>% Sludge treatment process - raw sludge liming - by 3rd party sludge service providers</v>
      </c>
      <c r="D3132" s="1620" t="str">
        <f>+'4T'!AA7</f>
        <v>%</v>
      </c>
      <c r="E3132" s="1636" t="s">
        <v>9</v>
      </c>
      <c r="F3132"/>
      <c r="G3132" s="1791">
        <f>+'4T'!H7</f>
        <v>0</v>
      </c>
      <c r="H3132" s="1636"/>
    </row>
    <row r="3133" spans="1:8">
      <c r="A3133" s="1620" t="str">
        <f>INDEX(Lists!$C$4:$C$24,MATCH(Validation!$B$3,Lists!$B$4:$B$24,0))</f>
        <v>TMS</v>
      </c>
      <c r="B3133" s="1824" t="str">
        <f>+'4T'!AD8</f>
        <v>BN5613TPS</v>
      </c>
      <c r="C3133" t="str">
        <f>'4T'!Y8&amp;" - "&amp;'4T'!$AD$3</f>
        <v>% Sludge treatment process - conventional AD - by 3rd party sludge service providers</v>
      </c>
      <c r="D3133" s="1620" t="str">
        <f>+'4T'!AA8</f>
        <v>%</v>
      </c>
      <c r="E3133" s="1636" t="s">
        <v>9</v>
      </c>
      <c r="F3133"/>
      <c r="G3133" s="1791">
        <f>+'4T'!H8</f>
        <v>0</v>
      </c>
      <c r="H3133" s="1636"/>
    </row>
    <row r="3134" spans="1:8">
      <c r="A3134" s="1620" t="str">
        <f>INDEX(Lists!$C$4:$C$24,MATCH(Validation!$B$3,Lists!$B$4:$B$24,0))</f>
        <v>TMS</v>
      </c>
      <c r="B3134" s="1824" t="str">
        <f>+'4T'!AD9</f>
        <v>BN5614TPS</v>
      </c>
      <c r="C3134" t="str">
        <f>'4T'!Y9&amp;" - "&amp;'4T'!$AD$3</f>
        <v>% Sludge treatment process- advanced AD - by 3rd party sludge service providers</v>
      </c>
      <c r="D3134" s="1620" t="str">
        <f>+'4T'!AA9</f>
        <v>%</v>
      </c>
      <c r="E3134" s="1636" t="s">
        <v>9</v>
      </c>
      <c r="F3134"/>
      <c r="G3134" s="1791">
        <f>+'4T'!H9</f>
        <v>0</v>
      </c>
      <c r="H3134" s="1636"/>
    </row>
    <row r="3135" spans="1:8">
      <c r="A3135" s="1620" t="str">
        <f>INDEX(Lists!$C$4:$C$24,MATCH(Validation!$B$3,Lists!$B$4:$B$24,0))</f>
        <v>TMS</v>
      </c>
      <c r="B3135" s="1824" t="str">
        <f>+'4T'!AD10</f>
        <v>BN5615TPS</v>
      </c>
      <c r="C3135" t="str">
        <f>'4T'!Y10&amp;" - "&amp;'4T'!$AD$3</f>
        <v>% Sludge treatment process - incineration of raw sludge - by 3rd party sludge service providers</v>
      </c>
      <c r="D3135" s="1620" t="str">
        <f>+'4T'!AA10</f>
        <v>%</v>
      </c>
      <c r="E3135" s="1636" t="s">
        <v>9</v>
      </c>
      <c r="F3135"/>
      <c r="G3135" s="1791">
        <f>+'4T'!H10</f>
        <v>0</v>
      </c>
      <c r="H3135" s="1636"/>
    </row>
    <row r="3136" spans="1:8">
      <c r="A3136" s="1620" t="str">
        <f>INDEX(Lists!$C$4:$C$24,MATCH(Validation!$B$3,Lists!$B$4:$B$24,0))</f>
        <v>TMS</v>
      </c>
      <c r="B3136" s="1824" t="str">
        <f>+'4T'!AD11</f>
        <v>BN5616TPS</v>
      </c>
      <c r="C3136" t="str">
        <f>'4T'!Y11&amp;" - "&amp;'4T'!$AD$3</f>
        <v>% Sludge treatment process - incineration of digested sludge - by 3rd party sludge service providers</v>
      </c>
      <c r="D3136" s="1620" t="str">
        <f>+'4T'!AA11</f>
        <v>%</v>
      </c>
      <c r="E3136" s="1636" t="s">
        <v>9</v>
      </c>
      <c r="F3136"/>
      <c r="G3136" s="1791">
        <f>+'4T'!H11</f>
        <v>0</v>
      </c>
      <c r="H3136" s="1636"/>
    </row>
    <row r="3137" spans="1:8">
      <c r="A3137" s="1620" t="str">
        <f>INDEX(Lists!$C$4:$C$24,MATCH(Validation!$B$3,Lists!$B$4:$B$24,0))</f>
        <v>TMS</v>
      </c>
      <c r="B3137" s="1824" t="str">
        <f>+'4T'!AD12</f>
        <v>BN5617TPS</v>
      </c>
      <c r="C3137" t="str">
        <f>'4T'!Y12&amp;" - "&amp;'4T'!$AD$3</f>
        <v>% Sludge treatment process - phyto-conditioning/composting - by 3rd party sludge service providers</v>
      </c>
      <c r="D3137" s="1620" t="str">
        <f>+'4T'!AA12</f>
        <v>%</v>
      </c>
      <c r="E3137" s="1636" t="s">
        <v>9</v>
      </c>
      <c r="F3137"/>
      <c r="G3137" s="1791">
        <f>+'4T'!H12</f>
        <v>0</v>
      </c>
      <c r="H3137" s="1636"/>
    </row>
    <row r="3138" spans="1:8">
      <c r="A3138" s="1620" t="str">
        <f>INDEX(Lists!$C$4:$C$24,MATCH(Validation!$B$3,Lists!$B$4:$B$24,0))</f>
        <v>TMS</v>
      </c>
      <c r="B3138" s="1824" t="str">
        <f>+'4T'!AD13</f>
        <v>BN5618TPS</v>
      </c>
      <c r="C3138" t="str">
        <f>'4T'!Y13&amp;" - "&amp;'4T'!$AD$3</f>
        <v>% Sludge treatment process - other (specify) - by 3rd party sludge service providers</v>
      </c>
      <c r="D3138" s="1620" t="str">
        <f>+'4T'!AA13</f>
        <v>%</v>
      </c>
      <c r="E3138" s="1636" t="s">
        <v>9</v>
      </c>
      <c r="F3138"/>
      <c r="G3138" s="1791">
        <f>+'4T'!H13</f>
        <v>0</v>
      </c>
      <c r="H3138" s="1636"/>
    </row>
    <row r="3139" spans="1:8">
      <c r="A3139" s="1620" t="str">
        <f>INDEX(Lists!$C$4:$C$24,MATCH(Validation!$B$3,Lists!$B$4:$B$24,0))</f>
        <v>TMS</v>
      </c>
      <c r="B3139" s="1824" t="str">
        <f>+'4T'!AD17</f>
        <v>BN5620TPS</v>
      </c>
      <c r="C3139" t="str">
        <f>'4T'!Y17&amp;" - "&amp;'4T'!$AD$3</f>
        <v>% Sludge disposal route - landfill, raw - by 3rd party sludge service providers</v>
      </c>
      <c r="D3139" s="1620" t="str">
        <f>+'4T'!AA17</f>
        <v>%</v>
      </c>
      <c r="E3139" s="1636" t="s">
        <v>9</v>
      </c>
      <c r="F3139"/>
      <c r="G3139" s="1791">
        <f>+'4T'!H17</f>
        <v>0</v>
      </c>
      <c r="H3139" s="1636"/>
    </row>
    <row r="3140" spans="1:8">
      <c r="A3140" s="1620" t="str">
        <f>INDEX(Lists!$C$4:$C$24,MATCH(Validation!$B$3,Lists!$B$4:$B$24,0))</f>
        <v>TMS</v>
      </c>
      <c r="B3140" s="1824" t="str">
        <f>+'4T'!AD18</f>
        <v>BN5621TPS</v>
      </c>
      <c r="C3140" t="str">
        <f>'4T'!Y18&amp;" - "&amp;'4T'!$AD$3</f>
        <v>% Sludge disposal route - landfill, partly treated - by 3rd party sludge service providers</v>
      </c>
      <c r="D3140" s="1620" t="str">
        <f>+'4T'!AA18</f>
        <v>%</v>
      </c>
      <c r="E3140" s="1636" t="s">
        <v>9</v>
      </c>
      <c r="F3140"/>
      <c r="G3140" s="1791">
        <f>+'4T'!H18</f>
        <v>0</v>
      </c>
      <c r="H3140" s="1636"/>
    </row>
    <row r="3141" spans="1:8">
      <c r="A3141" s="1620" t="str">
        <f>INDEX(Lists!$C$4:$C$24,MATCH(Validation!$B$3,Lists!$B$4:$B$24,0))</f>
        <v>TMS</v>
      </c>
      <c r="B3141" s="1824" t="str">
        <f>+'4T'!AD19</f>
        <v>BN5622TPS</v>
      </c>
      <c r="C3141" t="str">
        <f>'4T'!Y19&amp;" - "&amp;'4T'!$AD$3</f>
        <v>% Sludge disposal route - land restoration / reclamation - by 3rd party sludge service providers</v>
      </c>
      <c r="D3141" s="1620" t="str">
        <f>+'4T'!AA19</f>
        <v>%</v>
      </c>
      <c r="E3141" s="1636" t="s">
        <v>9</v>
      </c>
      <c r="F3141"/>
      <c r="G3141" s="1791">
        <f>+'4T'!H19</f>
        <v>0</v>
      </c>
      <c r="H3141" s="1636"/>
    </row>
    <row r="3142" spans="1:8">
      <c r="A3142" s="1620" t="str">
        <f>INDEX(Lists!$C$4:$C$24,MATCH(Validation!$B$3,Lists!$B$4:$B$24,0))</f>
        <v>TMS</v>
      </c>
      <c r="B3142" s="1824" t="str">
        <f>+'4T'!AD20</f>
        <v>BN5623TPS</v>
      </c>
      <c r="C3142" t="str">
        <f>'4T'!Y20&amp;" - "&amp;'4T'!$AD$3</f>
        <v>% Sludge disposal route - sludge recycled to farmland - by 3rd party sludge service providers</v>
      </c>
      <c r="D3142" s="1620" t="str">
        <f>+'4T'!AA20</f>
        <v>%</v>
      </c>
      <c r="E3142" s="1636" t="s">
        <v>9</v>
      </c>
      <c r="F3142"/>
      <c r="G3142" s="1791">
        <f>+'4T'!H20</f>
        <v>0</v>
      </c>
      <c r="H3142" s="1636"/>
    </row>
    <row r="3143" spans="1:8" ht="15" thickBot="1">
      <c r="A3143" s="1621" t="str">
        <f>INDEX(Lists!$C$4:$C$24,MATCH(Validation!$B$3,Lists!$B$4:$B$24,0))</f>
        <v>TMS</v>
      </c>
      <c r="B3143" s="1830" t="str">
        <f>+'4T'!AD21</f>
        <v>BN5624TPS</v>
      </c>
      <c r="C3143" s="1622" t="str">
        <f>'4T'!Y21&amp;" - "&amp;'4T'!$AD$3</f>
        <v>% Sludge disposal route - other (specify) - by 3rd party sludge service providers</v>
      </c>
      <c r="D3143" s="1621" t="str">
        <f>+'4T'!AA21</f>
        <v>%</v>
      </c>
      <c r="E3143" s="1649" t="s">
        <v>9</v>
      </c>
      <c r="F3143" s="1622"/>
      <c r="G3143" s="1797">
        <f>+'4T'!H21</f>
        <v>0</v>
      </c>
      <c r="H3143" s="1649"/>
    </row>
    <row r="3144" spans="1:8">
      <c r="A3144" s="1618" t="str">
        <f>INDEX(Lists!$C$4:$C$24,MATCH(Validation!$B$3,Lists!$B$4:$B$24,0))</f>
        <v>TMS</v>
      </c>
      <c r="B3144" s="1731" t="str">
        <f>+'4U'!D6</f>
        <v>BP3410</v>
      </c>
      <c r="C3144" s="1619" t="str">
        <f>+'4U'!C6</f>
        <v>Residential properties connected during the year</v>
      </c>
      <c r="D3144" s="1801" t="str">
        <f>+'4U'!E6</f>
        <v>000</v>
      </c>
      <c r="E3144" s="1645" t="s">
        <v>9</v>
      </c>
      <c r="F3144" s="1619"/>
      <c r="G3144" s="1799">
        <f>+'4U'!G6</f>
        <v>45.241</v>
      </c>
      <c r="H3144" s="1645"/>
    </row>
    <row r="3145" spans="1:8">
      <c r="A3145" s="1620" t="str">
        <f>INDEX(Lists!$C$4:$C$24,MATCH(Validation!$B$3,Lists!$B$4:$B$24,0))</f>
        <v>TMS</v>
      </c>
      <c r="B3145" s="1732" t="str">
        <f>+'4U'!D7</f>
        <v>BP3415</v>
      </c>
      <c r="C3145" t="str">
        <f>+'4U'!C7</f>
        <v>Business properties connected during the year</v>
      </c>
      <c r="D3145" s="1798" t="str">
        <f>+'4U'!E7</f>
        <v>000</v>
      </c>
      <c r="E3145" s="1636" t="s">
        <v>9</v>
      </c>
      <c r="F3145"/>
      <c r="G3145" s="1791">
        <f>+'4U'!G7</f>
        <v>1.2709999999999999</v>
      </c>
      <c r="H3145" s="1636"/>
    </row>
    <row r="3146" spans="1:8">
      <c r="A3146" s="1620" t="str">
        <f>INDEX(Lists!$C$4:$C$24,MATCH(Validation!$B$3,Lists!$B$4:$B$24,0))</f>
        <v>TMS</v>
      </c>
      <c r="B3146" s="1732" t="str">
        <f>+'4U'!D8</f>
        <v>BN2130</v>
      </c>
      <c r="C3146" t="str">
        <f>+'4U'!C8</f>
        <v>Residential properties billed unmeasured sewage</v>
      </c>
      <c r="D3146" s="1798" t="str">
        <f>+'4U'!E8</f>
        <v>000</v>
      </c>
      <c r="E3146" s="1636" t="s">
        <v>9</v>
      </c>
      <c r="F3146"/>
      <c r="G3146" s="1791">
        <f>+'4U'!G8</f>
        <v>2958.3409999999999</v>
      </c>
      <c r="H3146" s="1636"/>
    </row>
    <row r="3147" spans="1:8">
      <c r="A3147" s="1620" t="str">
        <f>INDEX(Lists!$C$4:$C$24,MATCH(Validation!$B$3,Lists!$B$4:$B$24,0))</f>
        <v>TMS</v>
      </c>
      <c r="B3147" s="1732" t="str">
        <f>+'4U'!D9</f>
        <v>BN2140</v>
      </c>
      <c r="C3147" t="str">
        <f>+'4U'!C9</f>
        <v>Residential properties billed measured sewage</v>
      </c>
      <c r="D3147" s="1798" t="str">
        <f>+'4U'!E9</f>
        <v>000</v>
      </c>
      <c r="E3147" s="1636" t="s">
        <v>9</v>
      </c>
      <c r="F3147"/>
      <c r="G3147" s="1791">
        <f>+'4U'!G9</f>
        <v>2394.4540000000002</v>
      </c>
      <c r="H3147" s="1636"/>
    </row>
    <row r="3148" spans="1:8">
      <c r="A3148" s="1620" t="str">
        <f>INDEX(Lists!$C$4:$C$24,MATCH(Validation!$B$3,Lists!$B$4:$B$24,0))</f>
        <v>TMS</v>
      </c>
      <c r="B3148" s="1732" t="str">
        <f>+'4U'!D11</f>
        <v>BN2250</v>
      </c>
      <c r="C3148" t="str">
        <f>+'4U'!C11</f>
        <v>Business properties billed unmeasured sewage</v>
      </c>
      <c r="D3148" s="1798" t="str">
        <f>+'4U'!E11</f>
        <v>000</v>
      </c>
      <c r="E3148" s="1636" t="s">
        <v>9</v>
      </c>
      <c r="F3148"/>
      <c r="G3148" s="1791">
        <f>+'4U'!G11</f>
        <v>47.125</v>
      </c>
      <c r="H3148" s="1636"/>
    </row>
    <row r="3149" spans="1:8">
      <c r="A3149" s="1620" t="str">
        <f>INDEX(Lists!$C$4:$C$24,MATCH(Validation!$B$3,Lists!$B$4:$B$24,0))</f>
        <v>TMS</v>
      </c>
      <c r="B3149" s="1732" t="str">
        <f>+'4U'!D12</f>
        <v>BN2260</v>
      </c>
      <c r="C3149" t="str">
        <f>+'4U'!C12</f>
        <v>Business properties billed measured sewage</v>
      </c>
      <c r="D3149" s="1798" t="str">
        <f>+'4U'!E12</f>
        <v>000</v>
      </c>
      <c r="E3149" s="1636" t="s">
        <v>9</v>
      </c>
      <c r="F3149"/>
      <c r="G3149" s="1791">
        <f>+'4U'!G12</f>
        <v>214.78100000000001</v>
      </c>
      <c r="H3149" s="1636"/>
    </row>
    <row r="3150" spans="1:8">
      <c r="A3150" s="1620" t="str">
        <f>INDEX(Lists!$C$4:$C$24,MATCH(Validation!$B$3,Lists!$B$4:$B$24,0))</f>
        <v>TMS</v>
      </c>
      <c r="B3150" s="1732" t="str">
        <f>+'4U'!D14</f>
        <v>BN2285</v>
      </c>
      <c r="C3150" t="str">
        <f>+'4U'!C14</f>
        <v>Void properties</v>
      </c>
      <c r="D3150" s="1798" t="str">
        <f>+'4U'!E14</f>
        <v>000</v>
      </c>
      <c r="E3150" s="1636" t="s">
        <v>9</v>
      </c>
      <c r="F3150"/>
      <c r="G3150" s="1791">
        <f>+'4U'!G14</f>
        <v>223.69800000000001</v>
      </c>
      <c r="H3150" s="1636"/>
    </row>
    <row r="3151" spans="1:8">
      <c r="A3151" s="1620" t="str">
        <f>INDEX(Lists!$C$4:$C$24,MATCH(Validation!$B$3,Lists!$B$4:$B$24,0))</f>
        <v>TMS</v>
      </c>
      <c r="B3151" s="1732" t="str">
        <f>+'4U'!D17</f>
        <v>BN2630</v>
      </c>
      <c r="C3151" t="str">
        <f>+'4U'!C17</f>
        <v>Resident population</v>
      </c>
      <c r="D3151" s="1798" t="str">
        <f>+'4U'!E17</f>
        <v>000</v>
      </c>
      <c r="E3151" s="1636" t="s">
        <v>9</v>
      </c>
      <c r="F3151"/>
      <c r="G3151" s="1791">
        <f>+'4U'!G17</f>
        <v>15018.284</v>
      </c>
      <c r="H3151" s="1636"/>
    </row>
    <row r="3152" spans="1:8">
      <c r="A3152" s="1620" t="str">
        <f>INDEX(Lists!$C$4:$C$24,MATCH(Validation!$B$3,Lists!$B$4:$B$24,0))</f>
        <v>TMS</v>
      </c>
      <c r="B3152" s="1732" t="str">
        <f>+'4U'!D18</f>
        <v>BN2620</v>
      </c>
      <c r="C3152" t="str">
        <f>+'4U'!C18</f>
        <v>Non-resident population</v>
      </c>
      <c r="D3152" s="1798" t="str">
        <f>+'4U'!E18</f>
        <v>000</v>
      </c>
      <c r="E3152" s="1636" t="s">
        <v>9</v>
      </c>
      <c r="F3152"/>
      <c r="G3152" s="1791">
        <f>+'4U'!G18</f>
        <v>505.80099999999999</v>
      </c>
      <c r="H3152" s="1636"/>
    </row>
    <row r="3153" spans="1:8">
      <c r="A3153" s="1620" t="str">
        <f>INDEX(Lists!$C$4:$C$24,MATCH(Validation!$B$3,Lists!$B$4:$B$24,0))</f>
        <v>TMS</v>
      </c>
      <c r="B3153" s="1809" t="str">
        <f>+'4U'!D21</f>
        <v>BM902ECNPS</v>
      </c>
      <c r="C3153" t="str">
        <f>+'4U'!C21</f>
        <v>Energy consumption - network plus</v>
      </c>
      <c r="D3153" s="1798" t="str">
        <f>+'4U'!E21</f>
        <v>MWh</v>
      </c>
      <c r="E3153" s="1636" t="s">
        <v>9</v>
      </c>
      <c r="F3153"/>
      <c r="G3153" s="1791">
        <f>+'4U'!G21</f>
        <v>722643.67200000002</v>
      </c>
      <c r="H3153" s="1636"/>
    </row>
    <row r="3154" spans="1:8">
      <c r="A3154" s="1620" t="str">
        <f>INDEX(Lists!$C$4:$C$24,MATCH(Validation!$B$3,Lists!$B$4:$B$24,0))</f>
        <v>TMS</v>
      </c>
      <c r="B3154" s="1809" t="str">
        <f>+'4U'!D22</f>
        <v>BM602EC</v>
      </c>
      <c r="C3154" t="str">
        <f>+'4U'!C22</f>
        <v>Energy consumption - sludge</v>
      </c>
      <c r="D3154" s="1798" t="str">
        <f>+'4U'!E22</f>
        <v>MWh</v>
      </c>
      <c r="E3154" s="1636" t="s">
        <v>9</v>
      </c>
      <c r="F3154"/>
      <c r="G3154" s="1791">
        <f>+'4U'!G22</f>
        <v>366814.22100000002</v>
      </c>
      <c r="H3154" s="1636"/>
    </row>
    <row r="3155" spans="1:8">
      <c r="A3155" s="1620" t="str">
        <f>INDEX(Lists!$C$4:$C$24,MATCH(Validation!$B$3,Lists!$B$4:$B$24,0))</f>
        <v>TMS</v>
      </c>
      <c r="B3155" s="1809" t="str">
        <f>+'4U'!D24</f>
        <v>BN1609</v>
      </c>
      <c r="C3155" t="str">
        <f>+'4U'!C24</f>
        <v>Population resident in National Parks, SSSIs and Areas of Outstanding Natural Beauty (AONBs)</v>
      </c>
      <c r="D3155" s="1798" t="str">
        <f>+'4U'!E24</f>
        <v>000s</v>
      </c>
      <c r="E3155" s="1636" t="s">
        <v>9</v>
      </c>
      <c r="F3155"/>
      <c r="G3155" s="1791">
        <f>+'4U'!G24</f>
        <v>292.50900000000001</v>
      </c>
      <c r="H3155" s="1636"/>
    </row>
    <row r="3156" spans="1:8">
      <c r="A3156" s="1620" t="str">
        <f>INDEX(Lists!$C$4:$C$24,MATCH(Validation!$B$3,Lists!$B$4:$B$24,0))</f>
        <v>TMS</v>
      </c>
      <c r="B3156" s="1809" t="str">
        <f>+'4U'!D25</f>
        <v>BN1176CA</v>
      </c>
      <c r="C3156" t="str">
        <f>+'4U'!C25</f>
        <v>Total sewerage catchment area</v>
      </c>
      <c r="D3156" s="1798" t="str">
        <f>+'4U'!E25</f>
        <v>km2</v>
      </c>
      <c r="E3156" s="1636" t="s">
        <v>9</v>
      </c>
      <c r="F3156"/>
      <c r="G3156" s="1792">
        <f>+'4U'!G25</f>
        <v>2636</v>
      </c>
      <c r="H3156" s="1636"/>
    </row>
    <row r="3157" spans="1:8">
      <c r="A3157" s="1620" t="str">
        <f>INDEX(Lists!$C$4:$C$24,MATCH(Validation!$B$3,Lists!$B$4:$B$24,0))</f>
        <v>TMS</v>
      </c>
      <c r="B3157" s="1809" t="str">
        <f>+'4U'!D26</f>
        <v>BN1615</v>
      </c>
      <c r="C3157" t="str">
        <f>+'4U'!C26</f>
        <v>Designated bathing waters</v>
      </c>
      <c r="D3157" s="1798" t="str">
        <f>+'4U'!E26</f>
        <v>nr</v>
      </c>
      <c r="E3157" s="1636" t="s">
        <v>9</v>
      </c>
      <c r="F3157"/>
      <c r="G3157" s="1792">
        <f>+'4U'!G26</f>
        <v>0</v>
      </c>
      <c r="H3157" s="1636"/>
    </row>
    <row r="3158" spans="1:8">
      <c r="A3158" s="1620" t="str">
        <f>INDEX(Lists!$C$4:$C$24,MATCH(Validation!$B$3,Lists!$B$4:$B$24,0))</f>
        <v>TMS</v>
      </c>
      <c r="B3158" s="1809" t="str">
        <f>+'4U'!D27</f>
        <v>S4016</v>
      </c>
      <c r="C3158" t="str">
        <f>+'4U'!C27</f>
        <v>Number of intermittent discharge sites with event duration monitoring</v>
      </c>
      <c r="D3158" s="1798" t="str">
        <f>+'4U'!E27</f>
        <v>nr</v>
      </c>
      <c r="E3158" s="1636" t="s">
        <v>9</v>
      </c>
      <c r="F3158"/>
      <c r="G3158" s="1792">
        <f>+'4U'!G27</f>
        <v>143</v>
      </c>
      <c r="H3158" s="1636"/>
    </row>
    <row r="3159" spans="1:8">
      <c r="A3159" s="1620" t="str">
        <f>INDEX(Lists!$C$4:$C$24,MATCH(Validation!$B$3,Lists!$B$4:$B$24,0))</f>
        <v>TMS</v>
      </c>
      <c r="B3159" s="1809" t="str">
        <f>+'4U'!D28</f>
        <v>STWM001</v>
      </c>
      <c r="C3159" t="str">
        <f>+'4U'!C28</f>
        <v>Number of monitors for flow monitoring at STWs</v>
      </c>
      <c r="D3159" s="1798" t="str">
        <f>+'4U'!E28</f>
        <v>Nr</v>
      </c>
      <c r="E3159" s="1636" t="s">
        <v>9</v>
      </c>
      <c r="F3159"/>
      <c r="G3159" s="1792">
        <f>+'4U'!G28</f>
        <v>0</v>
      </c>
      <c r="H3159" s="1636"/>
    </row>
    <row r="3160" spans="1:8">
      <c r="A3160" s="1620" t="str">
        <f>INDEX(Lists!$C$4:$C$24,MATCH(Validation!$B$3,Lists!$B$4:$B$24,0))</f>
        <v>TMS</v>
      </c>
      <c r="B3160" s="1809" t="str">
        <f>+'4U'!D29</f>
        <v>S4017</v>
      </c>
      <c r="C3160" t="str">
        <f>+'4U'!C29</f>
        <v>Number of odour related complaints</v>
      </c>
      <c r="D3160" s="1798" t="str">
        <f>+'4U'!E29</f>
        <v>nr</v>
      </c>
      <c r="E3160" s="1636" t="s">
        <v>9</v>
      </c>
      <c r="F3160"/>
      <c r="G3160" s="1792">
        <f>+'4U'!G29</f>
        <v>7343</v>
      </c>
      <c r="H3160" s="1636"/>
    </row>
    <row r="3161" spans="1:8">
      <c r="A3161" s="1620" t="str">
        <f>INDEX(Lists!$C$4:$C$24,MATCH(Validation!$B$3,Lists!$B$4:$B$24,0))</f>
        <v>TMS</v>
      </c>
      <c r="B3161" s="1809" t="str">
        <f>+'4U'!D30</f>
        <v>S4026</v>
      </c>
      <c r="C3161" t="str">
        <f>+'4U'!C30</f>
        <v>Volume of storage provided at CSOs, storm tanks, etc to meet spill frequency objectives</v>
      </c>
      <c r="D3161" s="1798" t="str">
        <f>+'4U'!E30</f>
        <v>m3</v>
      </c>
      <c r="E3161" s="1636" t="s">
        <v>9</v>
      </c>
      <c r="F3161"/>
      <c r="G3161" s="1792">
        <f>+'4U'!G30</f>
        <v>0</v>
      </c>
      <c r="H3161" s="1636"/>
    </row>
    <row r="3162" spans="1:8" ht="15" thickBot="1">
      <c r="A3162" s="1621" t="str">
        <f>INDEX(Lists!$C$4:$C$24,MATCH(Validation!$B$3,Lists!$B$4:$B$24,0))</f>
        <v>TMS</v>
      </c>
      <c r="B3162" s="1810" t="str">
        <f>+'4U'!D31</f>
        <v>CPMS2016</v>
      </c>
      <c r="C3162" s="1622" t="str">
        <f>+'4U'!C31</f>
        <v xml:space="preserve">Total volume of network storage </v>
      </c>
      <c r="D3162" s="1802" t="str">
        <f>+'4U'!E31</f>
        <v>m3</v>
      </c>
      <c r="E3162" s="1649" t="s">
        <v>9</v>
      </c>
      <c r="F3162" s="1622"/>
      <c r="G3162" s="1794">
        <f>+'4U'!G31</f>
        <v>9155924</v>
      </c>
      <c r="H3162" s="1649"/>
    </row>
    <row r="3163" spans="1:8">
      <c r="A3163" s="1618" t="str">
        <f>INDEX(Lists!$C$4:$C$24,MATCH(Validation!$B$3,Lists!$B$4:$B$24,0))</f>
        <v>TMS</v>
      </c>
      <c r="B3163" s="1731" t="str">
        <f>+'4V'!AL7</f>
        <v>BM102IR</v>
      </c>
      <c r="C3163" s="1619" t="str">
        <f>+'4V'!AH7&amp;" - "&amp;'4V'!AL$3</f>
        <v>Power - Impounding Reservoir</v>
      </c>
      <c r="D3163" s="1618" t="str">
        <f>+'4V'!AJ7</f>
        <v>£m</v>
      </c>
      <c r="E3163" s="1645" t="s">
        <v>9</v>
      </c>
      <c r="F3163" s="1619"/>
      <c r="G3163" s="1799">
        <f>+'4V'!G7</f>
        <v>5.3813377062067243E-2</v>
      </c>
      <c r="H3163" s="1645"/>
    </row>
    <row r="3164" spans="1:8">
      <c r="A3164" s="1620" t="str">
        <f>INDEX(Lists!$C$4:$C$24,MATCH(Validation!$B$3,Lists!$B$4:$B$24,0))</f>
        <v>TMS</v>
      </c>
      <c r="B3164" s="1732" t="str">
        <f>+'4V'!AL8</f>
        <v>BM836IR</v>
      </c>
      <c r="C3164" t="str">
        <f>+'4V'!AH8&amp;" - "&amp;'4V'!AL$3</f>
        <v>Income Treated as negative expenditure - Impounding Reservoir</v>
      </c>
      <c r="D3164" s="1620" t="str">
        <f>+'4V'!AJ8</f>
        <v>£m</v>
      </c>
      <c r="E3164" s="1636" t="s">
        <v>9</v>
      </c>
      <c r="F3164"/>
      <c r="G3164" s="1791">
        <f>+'4V'!G8</f>
        <v>0</v>
      </c>
      <c r="H3164" s="1636"/>
    </row>
    <row r="3165" spans="1:8">
      <c r="A3165" s="1620" t="str">
        <f>INDEX(Lists!$C$4:$C$24,MATCH(Validation!$B$3,Lists!$B$4:$B$24,0))</f>
        <v>TMS</v>
      </c>
      <c r="B3165" s="1732" t="str">
        <f>+'4V'!AL9</f>
        <v>BM817IR</v>
      </c>
      <c r="C3165" t="str">
        <f>+'4V'!AH9&amp;" - "&amp;'4V'!AL$3</f>
        <v>Local authority and Cumulo rates - Impounding Reservoir</v>
      </c>
      <c r="D3165" s="1620" t="str">
        <f>+'4V'!AJ9</f>
        <v>£m</v>
      </c>
      <c r="E3165" s="1636" t="s">
        <v>9</v>
      </c>
      <c r="F3165"/>
      <c r="G3165" s="1791">
        <f>+'4V'!G9</f>
        <v>0.12582989929951199</v>
      </c>
      <c r="H3165" s="1636"/>
    </row>
    <row r="3166" spans="1:8">
      <c r="A3166" s="1620" t="str">
        <f>INDEX(Lists!$C$4:$C$24,MATCH(Validation!$B$3,Lists!$B$4:$B$24,0))</f>
        <v>TMS</v>
      </c>
      <c r="B3166" s="1732" t="str">
        <f>+'4V'!AL10</f>
        <v>BM108IR</v>
      </c>
      <c r="C3166" t="str">
        <f>+'4V'!AH10&amp;" - "&amp;'4V'!AL$3</f>
        <v>Other direct operating expenditure - Impounding Reservoir</v>
      </c>
      <c r="D3166" s="1620" t="str">
        <f>+'4V'!AJ10</f>
        <v>£m</v>
      </c>
      <c r="E3166" s="1636" t="s">
        <v>9</v>
      </c>
      <c r="F3166"/>
      <c r="G3166" s="1791">
        <f>+'4V'!G10</f>
        <v>1.0665074718100824</v>
      </c>
      <c r="H3166" s="1636"/>
    </row>
    <row r="3167" spans="1:8">
      <c r="A3167" s="1620" t="str">
        <f>INDEX(Lists!$C$4:$C$24,MATCH(Validation!$B$3,Lists!$B$4:$B$24,0))</f>
        <v>TMS</v>
      </c>
      <c r="B3167" s="1732" t="str">
        <f>+'4V'!AL11</f>
        <v>BM110IR</v>
      </c>
      <c r="C3167" t="str">
        <f>+'4V'!AH11&amp;" - "&amp;'4V'!AL$3</f>
        <v>Other indirect operating expenditure - Impounding Reservoir</v>
      </c>
      <c r="D3167" s="1821" t="str">
        <f>+'4V'!AJ11</f>
        <v>£m</v>
      </c>
      <c r="E3167" s="1636" t="s">
        <v>9</v>
      </c>
      <c r="F3167"/>
      <c r="G3167" s="1791">
        <f>+'4V'!G11</f>
        <v>0.60603354122117914</v>
      </c>
      <c r="H3167" s="1636"/>
    </row>
    <row r="3168" spans="1:8">
      <c r="A3168" s="1620" t="str">
        <f>INDEX(Lists!$C$4:$C$24,MATCH(Validation!$B$3,Lists!$B$4:$B$24,0))</f>
        <v>TMS</v>
      </c>
      <c r="B3168" s="1732" t="str">
        <f>+'4V'!AL13</f>
        <v>FT00865IR</v>
      </c>
      <c r="C3168" t="str">
        <f>+'4V'!AH13&amp;" - "&amp;'4V'!AL$3</f>
        <v>Depreciation - Impounding Reservoir</v>
      </c>
      <c r="D3168" s="1620" t="str">
        <f>+'4V'!AJ13</f>
        <v>£m</v>
      </c>
      <c r="E3168" s="1636" t="s">
        <v>9</v>
      </c>
      <c r="F3168"/>
      <c r="G3168" s="1791">
        <f>+'4V'!G13</f>
        <v>0.15186743999999999</v>
      </c>
      <c r="H3168" s="1636"/>
    </row>
    <row r="3169" spans="1:8">
      <c r="A3169" s="1620" t="str">
        <f>INDEX(Lists!$C$4:$C$24,MATCH(Validation!$B$3,Lists!$B$4:$B$24,0))</f>
        <v>TMS</v>
      </c>
      <c r="B3169" s="1732" t="str">
        <f>+'4V'!AL19</f>
        <v>BM3010WR</v>
      </c>
      <c r="C3169" t="str">
        <f>+'4V'!AH19&amp;" - "&amp;'4V'!AL$16</f>
        <v>Employment costs - directly allocated - Water resources</v>
      </c>
      <c r="D3169" s="1620" t="str">
        <f>+'4V'!AJ19</f>
        <v>£m</v>
      </c>
      <c r="E3169" s="1636" t="s">
        <v>9</v>
      </c>
      <c r="F3169"/>
      <c r="G3169" s="1791">
        <f>+'4V'!G19</f>
        <v>7.4710790109294987</v>
      </c>
      <c r="H3169" s="1636"/>
    </row>
    <row r="3170" spans="1:8">
      <c r="A3170" s="1620" t="str">
        <f>INDEX(Lists!$C$4:$C$24,MATCH(Validation!$B$3,Lists!$B$4:$B$24,0))</f>
        <v>TMS</v>
      </c>
      <c r="B3170" s="1732" t="str">
        <f>+'4V'!AL20</f>
        <v>BM3011WR</v>
      </c>
      <c r="C3170" t="str">
        <f>+'4V'!AH20&amp;" - "&amp;'4V'!AL$16</f>
        <v>Employment costs - indirectly allocated - Water resources</v>
      </c>
      <c r="D3170" s="1620" t="str">
        <f>+'4V'!AJ20</f>
        <v>£m</v>
      </c>
      <c r="E3170" s="1636" t="s">
        <v>9</v>
      </c>
      <c r="F3170"/>
      <c r="G3170" s="1791">
        <f>+'4V'!G20</f>
        <v>5.1985811816265768</v>
      </c>
      <c r="H3170" s="1636"/>
    </row>
    <row r="3171" spans="1:8">
      <c r="A3171" s="1620" t="str">
        <f>INDEX(Lists!$C$4:$C$24,MATCH(Validation!$B$3,Lists!$B$4:$B$24,0))</f>
        <v>TMS</v>
      </c>
      <c r="B3171" s="1824" t="str">
        <f>+'4V'!AL21</f>
        <v>W3030WR</v>
      </c>
      <c r="C3171" t="str">
        <f>+'4V'!AH21&amp;" - "&amp;'4V'!AL$16</f>
        <v>Number FTEs consistent with 4V.9 above - Water resources</v>
      </c>
      <c r="D3171" s="1822" t="str">
        <f>+'4V'!AJ21</f>
        <v>Nr</v>
      </c>
      <c r="E3171" s="1636" t="s">
        <v>9</v>
      </c>
      <c r="F3171"/>
      <c r="G3171" s="1792">
        <f>+'4V'!G21</f>
        <v>134.23716609935272</v>
      </c>
      <c r="H3171" s="1636"/>
    </row>
    <row r="3172" spans="1:8">
      <c r="A3172" s="1620" t="str">
        <f>INDEX(Lists!$C$4:$C$24,MATCH(Validation!$B$3,Lists!$B$4:$B$24,0))</f>
        <v>TMS</v>
      </c>
      <c r="B3172" s="1824" t="str">
        <f>+'4V'!AL22</f>
        <v>W3031WR</v>
      </c>
      <c r="C3172" t="str">
        <f>+'4V'!AH22&amp;" - "&amp;'4V'!AL$16</f>
        <v>Number FTEs consistent with 4V.10 above - Water resources</v>
      </c>
      <c r="D3172" s="1822" t="str">
        <f>+'4V'!AJ22</f>
        <v>Nr</v>
      </c>
      <c r="E3172" s="1636" t="s">
        <v>9</v>
      </c>
      <c r="F3172"/>
      <c r="G3172" s="1792">
        <f>+'4V'!G22</f>
        <v>93.405892848689803</v>
      </c>
      <c r="H3172" s="1636"/>
    </row>
    <row r="3173" spans="1:8">
      <c r="A3173" s="1620" t="str">
        <f>INDEX(Lists!$C$4:$C$24,MATCH(Validation!$B$3,Lists!$B$4:$B$24,0))</f>
        <v>TMS</v>
      </c>
      <c r="B3173" s="1732" t="str">
        <f>+'4V'!AL23</f>
        <v>W3032WR</v>
      </c>
      <c r="C3173" t="str">
        <f>+'4V'!AH23&amp;" - "&amp;'4V'!AL$16</f>
        <v>Costs associated with Traffic Management Act - Water resources</v>
      </c>
      <c r="D3173" s="1821" t="str">
        <f>+'4V'!AJ23</f>
        <v>£m</v>
      </c>
      <c r="E3173" s="1636" t="s">
        <v>9</v>
      </c>
      <c r="F3173"/>
      <c r="G3173" s="1791">
        <f>+'4V'!G23</f>
        <v>0</v>
      </c>
      <c r="H3173" s="1636"/>
    </row>
    <row r="3174" spans="1:8">
      <c r="A3174" s="1620" t="str">
        <f>INDEX(Lists!$C$4:$C$24,MATCH(Validation!$B$3,Lists!$B$4:$B$24,0))</f>
        <v>TMS</v>
      </c>
      <c r="B3174" s="1732" t="str">
        <f>+'4V'!AL26</f>
        <v>W3033WR</v>
      </c>
      <c r="C3174" t="str">
        <f>+'4V'!AH26&amp;" - "&amp;'4V'!AL$16</f>
        <v>Canal &amp; River Trust service charges and discharge consents - Water resources</v>
      </c>
      <c r="D3174" s="1821" t="str">
        <f>+'4V'!AJ26</f>
        <v>£m</v>
      </c>
      <c r="E3174" s="1636" t="s">
        <v>9</v>
      </c>
      <c r="F3174"/>
      <c r="G3174" s="1791">
        <f>+'4V'!G26</f>
        <v>0.36799999999999999</v>
      </c>
      <c r="H3174" s="1636"/>
    </row>
    <row r="3175" spans="1:8">
      <c r="A3175" s="1620" t="str">
        <f>INDEX(Lists!$C$4:$C$24,MATCH(Validation!$B$3,Lists!$B$4:$B$24,0))</f>
        <v>TMS</v>
      </c>
      <c r="B3175" s="1732" t="str">
        <f>+'4V'!AL27</f>
        <v>W3034WR</v>
      </c>
      <c r="C3175" t="str">
        <f>+'4V'!AH27&amp;" - "&amp;'4V'!AL$16</f>
        <v>Environment Agency service charges/ discharge consents - Water resources</v>
      </c>
      <c r="D3175" s="1821" t="str">
        <f>+'4V'!AJ27</f>
        <v>£m</v>
      </c>
      <c r="E3175" s="1636" t="s">
        <v>9</v>
      </c>
      <c r="F3175"/>
      <c r="G3175" s="1791">
        <f>+'4V'!G27</f>
        <v>12.748676</v>
      </c>
      <c r="H3175" s="1636"/>
    </row>
    <row r="3176" spans="1:8">
      <c r="A3176" s="1620" t="str">
        <f>INDEX(Lists!$C$4:$C$24,MATCH(Validation!$B$3,Lists!$B$4:$B$24,0))</f>
        <v>TMS</v>
      </c>
      <c r="B3176" s="1732" t="str">
        <f>+'4V'!AL28</f>
        <v>W3035WR</v>
      </c>
      <c r="C3176" t="str">
        <f>+'4V'!AH28&amp;" - "&amp;'4V'!AL$16</f>
        <v>Other service charges / permits - Water resources</v>
      </c>
      <c r="D3176" s="1821" t="str">
        <f>+'4V'!AJ28</f>
        <v>£m</v>
      </c>
      <c r="E3176" s="1636" t="s">
        <v>9</v>
      </c>
      <c r="F3176"/>
      <c r="G3176" s="1791">
        <f>+'4V'!G28</f>
        <v>0</v>
      </c>
      <c r="H3176" s="1636"/>
    </row>
    <row r="3177" spans="1:8">
      <c r="A3177" s="1730" t="str">
        <f>INDEX(Lists!$C$4:$C$24,MATCH(Validation!$B$3,Lists!$B$4:$B$24,0))</f>
        <v>TMS</v>
      </c>
      <c r="B3177" s="1734" t="str">
        <f>+'4V'!AL30</f>
        <v>W3036WR</v>
      </c>
      <c r="C3177" s="1819" t="str">
        <f>+'4V'!AH30&amp;" - "&amp;'4V'!AL$16</f>
        <v>Statutory water softening - Water resources</v>
      </c>
      <c r="D3177" s="1823" t="str">
        <f>+'4V'!AJ30</f>
        <v>£m</v>
      </c>
      <c r="E3177" s="1652" t="s">
        <v>9</v>
      </c>
      <c r="F3177" s="1819"/>
      <c r="G3177" s="1820">
        <f>+'4V'!G30</f>
        <v>0</v>
      </c>
      <c r="H3177" s="1652"/>
    </row>
    <row r="3178" spans="1:8">
      <c r="A3178" s="1620" t="str">
        <f>INDEX(Lists!$C$4:$C$24,MATCH(Validation!$B$3,Lists!$B$4:$B$24,0))</f>
        <v>TMS</v>
      </c>
      <c r="B3178" s="1732" t="str">
        <f>+'4V'!AM7</f>
        <v>BM102PS</v>
      </c>
      <c r="C3178" t="str">
        <f>+'4V'!AH7&amp;" - "&amp;'4V'!AM$3</f>
        <v>Power - Pumped Storage</v>
      </c>
      <c r="D3178" s="1620" t="str">
        <f>+D3163</f>
        <v>£m</v>
      </c>
      <c r="E3178" s="1636" t="s">
        <v>9</v>
      </c>
      <c r="F3178"/>
      <c r="G3178" s="1791">
        <f>+'4V'!H7</f>
        <v>5.8201938738146151</v>
      </c>
      <c r="H3178" s="1636"/>
    </row>
    <row r="3179" spans="1:8">
      <c r="A3179" s="1620" t="str">
        <f>INDEX(Lists!$C$4:$C$24,MATCH(Validation!$B$3,Lists!$B$4:$B$24,0))</f>
        <v>TMS</v>
      </c>
      <c r="B3179" s="1732" t="str">
        <f>+'4V'!AM8</f>
        <v>BM836PS</v>
      </c>
      <c r="C3179" t="str">
        <f>+'4V'!AH8&amp;" - "&amp;'4V'!AM$3</f>
        <v>Income Treated as negative expenditure - Pumped Storage</v>
      </c>
      <c r="D3179" s="1620" t="str">
        <f t="shared" ref="D3179:D3228" si="68">+D3164</f>
        <v>£m</v>
      </c>
      <c r="E3179" s="1636" t="s">
        <v>9</v>
      </c>
      <c r="F3179"/>
      <c r="G3179" s="1791">
        <f>+'4V'!H8</f>
        <v>-0.11507722281855</v>
      </c>
      <c r="H3179" s="1636"/>
    </row>
    <row r="3180" spans="1:8">
      <c r="A3180" s="1620" t="str">
        <f>INDEX(Lists!$C$4:$C$24,MATCH(Validation!$B$3,Lists!$B$4:$B$24,0))</f>
        <v>TMS</v>
      </c>
      <c r="B3180" s="1732" t="str">
        <f>+'4V'!AM9</f>
        <v>BM817PS</v>
      </c>
      <c r="C3180" t="str">
        <f>+'4V'!AH9&amp;" - "&amp;'4V'!AM$3</f>
        <v>Local authority and Cumulo rates - Pumped Storage</v>
      </c>
      <c r="D3180" s="1620" t="str">
        <f t="shared" si="68"/>
        <v>£m</v>
      </c>
      <c r="E3180" s="1636" t="s">
        <v>9</v>
      </c>
      <c r="F3180"/>
      <c r="G3180" s="1791">
        <f>+'4V'!H9</f>
        <v>2.5131027110096982</v>
      </c>
      <c r="H3180" s="1636"/>
    </row>
    <row r="3181" spans="1:8">
      <c r="A3181" s="1620" t="str">
        <f>INDEX(Lists!$C$4:$C$24,MATCH(Validation!$B$3,Lists!$B$4:$B$24,0))</f>
        <v>TMS</v>
      </c>
      <c r="B3181" s="1732" t="str">
        <f>+'4V'!AM10</f>
        <v>BM108PS</v>
      </c>
      <c r="C3181" t="str">
        <f>+'4V'!AH10&amp;" - "&amp;'4V'!AM$3</f>
        <v>Other direct operating expenditure - Pumped Storage</v>
      </c>
      <c r="D3181" s="1620" t="str">
        <f t="shared" si="68"/>
        <v>£m</v>
      </c>
      <c r="E3181" s="1636" t="s">
        <v>9</v>
      </c>
      <c r="F3181"/>
      <c r="G3181" s="1791">
        <f>+'4V'!H10</f>
        <v>18.083215405710718</v>
      </c>
      <c r="H3181" s="1636"/>
    </row>
    <row r="3182" spans="1:8">
      <c r="A3182" s="1620" t="str">
        <f>INDEX(Lists!$C$4:$C$24,MATCH(Validation!$B$3,Lists!$B$4:$B$24,0))</f>
        <v>TMS</v>
      </c>
      <c r="B3182" s="1732" t="str">
        <f>+'4V'!AM11</f>
        <v>BM110PS</v>
      </c>
      <c r="C3182" t="str">
        <f>+'4V'!AH11&amp;" - "&amp;'4V'!AM$3</f>
        <v>Other indirect operating expenditure - Pumped Storage</v>
      </c>
      <c r="D3182" s="1620" t="str">
        <f t="shared" si="68"/>
        <v>£m</v>
      </c>
      <c r="E3182" s="1636" t="s">
        <v>9</v>
      </c>
      <c r="F3182"/>
      <c r="G3182" s="1791">
        <f>+'4V'!H11</f>
        <v>12.103836559389663</v>
      </c>
      <c r="H3182" s="1636"/>
    </row>
    <row r="3183" spans="1:8">
      <c r="A3183" s="1620" t="str">
        <f>INDEX(Lists!$C$4:$C$24,MATCH(Validation!$B$3,Lists!$B$4:$B$24,0))</f>
        <v>TMS</v>
      </c>
      <c r="B3183" s="1732" t="str">
        <f>+'4V'!AM13</f>
        <v>FT00865PS</v>
      </c>
      <c r="C3183" t="str">
        <f>+'4V'!AH13&amp;" - "&amp;'4V'!AM$3</f>
        <v>Depreciation - Pumped Storage</v>
      </c>
      <c r="D3183" s="1620" t="str">
        <f t="shared" si="68"/>
        <v>£m</v>
      </c>
      <c r="E3183" s="1636" t="s">
        <v>9</v>
      </c>
      <c r="F3183"/>
      <c r="G3183" s="1791">
        <f>+'4V'!H13</f>
        <v>3.0331302599999996</v>
      </c>
      <c r="H3183" s="1636"/>
    </row>
    <row r="3184" spans="1:8">
      <c r="A3184" s="1620" t="str">
        <f>INDEX(Lists!$C$4:$C$24,MATCH(Validation!$B$3,Lists!$B$4:$B$24,0))</f>
        <v>TMS</v>
      </c>
      <c r="B3184" s="1732" t="str">
        <f>+'4V'!AM19</f>
        <v>BM3010RWD</v>
      </c>
      <c r="C3184" t="str">
        <f>+'4V'!AH19&amp;" - "&amp;'4V'!AM$16</f>
        <v>Employment costs - directly allocated - Raw water distribution</v>
      </c>
      <c r="D3184" s="1620" t="str">
        <f t="shared" si="68"/>
        <v>£m</v>
      </c>
      <c r="E3184" s="1636" t="s">
        <v>9</v>
      </c>
      <c r="F3184"/>
      <c r="G3184" s="1791">
        <f>+'4V'!H19</f>
        <v>0.35741030074368152</v>
      </c>
      <c r="H3184" s="1636"/>
    </row>
    <row r="3185" spans="1:8">
      <c r="A3185" s="1620" t="str">
        <f>INDEX(Lists!$C$4:$C$24,MATCH(Validation!$B$3,Lists!$B$4:$B$24,0))</f>
        <v>TMS</v>
      </c>
      <c r="B3185" s="1732" t="str">
        <f>+'4V'!AM20</f>
        <v>BM3011RWD</v>
      </c>
      <c r="C3185" t="str">
        <f>+'4V'!AH20&amp;" - "&amp;'4V'!AM$16</f>
        <v>Employment costs - indirectly allocated - Raw water distribution</v>
      </c>
      <c r="D3185" s="1620" t="str">
        <f t="shared" si="68"/>
        <v>£m</v>
      </c>
      <c r="E3185" s="1636" t="s">
        <v>9</v>
      </c>
      <c r="F3185"/>
      <c r="G3185" s="1791">
        <f>+'4V'!H20</f>
        <v>0.53145606858507288</v>
      </c>
      <c r="H3185" s="1636"/>
    </row>
    <row r="3186" spans="1:8">
      <c r="A3186" s="1620" t="str">
        <f>INDEX(Lists!$C$4:$C$24,MATCH(Validation!$B$3,Lists!$B$4:$B$24,0))</f>
        <v>TMS</v>
      </c>
      <c r="B3186" s="1824" t="str">
        <f>+'4V'!AM21</f>
        <v>W3030RWD</v>
      </c>
      <c r="C3186" t="str">
        <f>+'4V'!AH21&amp;" - "&amp;'4V'!AM$16</f>
        <v>Number FTEs consistent with 4V.9 above - Raw water distribution</v>
      </c>
      <c r="D3186" s="1620" t="str">
        <f t="shared" si="68"/>
        <v>Nr</v>
      </c>
      <c r="E3186" s="1636" t="s">
        <v>9</v>
      </c>
      <c r="F3186"/>
      <c r="G3186" s="1792">
        <f>+'4V'!H21</f>
        <v>7.1797761021254463</v>
      </c>
      <c r="H3186" s="1636"/>
    </row>
    <row r="3187" spans="1:8">
      <c r="A3187" s="1620" t="str">
        <f>INDEX(Lists!$C$4:$C$24,MATCH(Validation!$B$3,Lists!$B$4:$B$24,0))</f>
        <v>TMS</v>
      </c>
      <c r="B3187" s="1824" t="str">
        <f>+'4V'!AM22</f>
        <v>W3031RWD</v>
      </c>
      <c r="C3187" t="str">
        <f>+'4V'!AH22&amp;" - "&amp;'4V'!AM$16</f>
        <v>Number FTEs consistent with 4V.10 above - Raw water distribution</v>
      </c>
      <c r="D3187" s="1620" t="str">
        <f t="shared" si="68"/>
        <v>Nr</v>
      </c>
      <c r="E3187" s="1636" t="s">
        <v>9</v>
      </c>
      <c r="F3187"/>
      <c r="G3187" s="1792">
        <f>+'4V'!H22</f>
        <v>10.676064938858941</v>
      </c>
      <c r="H3187" s="1636"/>
    </row>
    <row r="3188" spans="1:8">
      <c r="A3188" s="1620" t="str">
        <f>INDEX(Lists!$C$4:$C$24,MATCH(Validation!$B$3,Lists!$B$4:$B$24,0))</f>
        <v>TMS</v>
      </c>
      <c r="B3188" s="1732" t="str">
        <f>+'4V'!AM23</f>
        <v>W3032RWD</v>
      </c>
      <c r="C3188" t="str">
        <f>+'4V'!AH23&amp;" - "&amp;'4V'!AM$16</f>
        <v>Costs associated with Traffic Management Act - Raw water distribution</v>
      </c>
      <c r="D3188" s="1620" t="str">
        <f t="shared" si="68"/>
        <v>£m</v>
      </c>
      <c r="E3188" s="1636" t="s">
        <v>9</v>
      </c>
      <c r="F3188"/>
      <c r="G3188" s="1791">
        <f>+'4V'!H23</f>
        <v>0</v>
      </c>
      <c r="H3188" s="1636"/>
    </row>
    <row r="3189" spans="1:8">
      <c r="A3189" s="1620" t="str">
        <f>INDEX(Lists!$C$4:$C$24,MATCH(Validation!$B$3,Lists!$B$4:$B$24,0))</f>
        <v>TMS</v>
      </c>
      <c r="B3189" s="1732" t="str">
        <f>+'4V'!AM26</f>
        <v>W3033RWD</v>
      </c>
      <c r="C3189" t="str">
        <f>+'4V'!AH26&amp;" - "&amp;'4V'!AM$16</f>
        <v>Canal &amp; River Trust service charges and discharge consents - Raw water distribution</v>
      </c>
      <c r="D3189" s="1620" t="str">
        <f t="shared" si="68"/>
        <v>£m</v>
      </c>
      <c r="E3189" s="1636" t="s">
        <v>9</v>
      </c>
      <c r="F3189"/>
      <c r="G3189" s="1791">
        <f>+'4V'!H26</f>
        <v>0</v>
      </c>
      <c r="H3189" s="1636"/>
    </row>
    <row r="3190" spans="1:8">
      <c r="A3190" s="1620" t="str">
        <f>INDEX(Lists!$C$4:$C$24,MATCH(Validation!$B$3,Lists!$B$4:$B$24,0))</f>
        <v>TMS</v>
      </c>
      <c r="B3190" s="1732" t="str">
        <f>+'4V'!AM27</f>
        <v>W3034RWD</v>
      </c>
      <c r="C3190" t="str">
        <f>+'4V'!AH27&amp;" - "&amp;'4V'!AM$16</f>
        <v>Environment Agency service charges/ discharge consents - Raw water distribution</v>
      </c>
      <c r="D3190" s="1620" t="str">
        <f t="shared" si="68"/>
        <v>£m</v>
      </c>
      <c r="E3190" s="1636" t="s">
        <v>9</v>
      </c>
      <c r="F3190"/>
      <c r="G3190" s="1791">
        <f>+'4V'!H27</f>
        <v>0</v>
      </c>
      <c r="H3190" s="1636"/>
    </row>
    <row r="3191" spans="1:8">
      <c r="A3191" s="1620" t="str">
        <f>INDEX(Lists!$C$4:$C$24,MATCH(Validation!$B$3,Lists!$B$4:$B$24,0))</f>
        <v>TMS</v>
      </c>
      <c r="B3191" s="1732" t="str">
        <f>+'4V'!AM28</f>
        <v>W3035RWD</v>
      </c>
      <c r="C3191" t="str">
        <f>+'4V'!AH28&amp;" - "&amp;'4V'!AM$16</f>
        <v>Other service charges / permits - Raw water distribution</v>
      </c>
      <c r="D3191" s="1620" t="str">
        <f t="shared" si="68"/>
        <v>£m</v>
      </c>
      <c r="E3191" s="1636" t="s">
        <v>9</v>
      </c>
      <c r="F3191"/>
      <c r="G3191" s="1791">
        <f>+'4V'!H28</f>
        <v>0</v>
      </c>
      <c r="H3191" s="1636"/>
    </row>
    <row r="3192" spans="1:8">
      <c r="A3192" s="1730" t="str">
        <f>INDEX(Lists!$C$4:$C$24,MATCH(Validation!$B$3,Lists!$B$4:$B$24,0))</f>
        <v>TMS</v>
      </c>
      <c r="B3192" s="1734" t="str">
        <f>+'4V'!AM30</f>
        <v>W3036RWD</v>
      </c>
      <c r="C3192" s="1819" t="str">
        <f>+'4V'!AH30&amp;" - "&amp;'4V'!AM$16</f>
        <v>Statutory water softening - Raw water distribution</v>
      </c>
      <c r="D3192" s="1730" t="str">
        <f t="shared" si="68"/>
        <v>£m</v>
      </c>
      <c r="E3192" s="1652" t="s">
        <v>9</v>
      </c>
      <c r="F3192" s="1819"/>
      <c r="G3192" s="1820">
        <f>+'4V'!H30</f>
        <v>0</v>
      </c>
      <c r="H3192" s="1652"/>
    </row>
    <row r="3193" spans="1:8">
      <c r="A3193" s="1620" t="str">
        <f>INDEX(Lists!$C$4:$C$24,MATCH(Validation!$B$3,Lists!$B$4:$B$24,0))</f>
        <v>TMS</v>
      </c>
      <c r="B3193" s="1732" t="str">
        <f>+'4V'!AN7</f>
        <v>BM102RS</v>
      </c>
      <c r="C3193" t="str">
        <f>+'4V'!AH7&amp;" - "&amp;'4V'!AN$3</f>
        <v>Power - River Abstractions</v>
      </c>
      <c r="D3193" s="1620" t="str">
        <f t="shared" si="68"/>
        <v>£m</v>
      </c>
      <c r="E3193" s="1636" t="s">
        <v>9</v>
      </c>
      <c r="F3193"/>
      <c r="G3193" s="1791">
        <f>+'4V'!I7</f>
        <v>0.93411220252914806</v>
      </c>
      <c r="H3193" s="1636"/>
    </row>
    <row r="3194" spans="1:8">
      <c r="A3194" s="1620" t="str">
        <f>INDEX(Lists!$C$4:$C$24,MATCH(Validation!$B$3,Lists!$B$4:$B$24,0))</f>
        <v>TMS</v>
      </c>
      <c r="B3194" s="1732" t="str">
        <f>+'4V'!AN8</f>
        <v>BM836RS</v>
      </c>
      <c r="C3194" t="str">
        <f>+'4V'!AH8&amp;" - "&amp;'4V'!AN$3</f>
        <v>Income Treated as negative expenditure - River Abstractions</v>
      </c>
      <c r="D3194" s="1620" t="str">
        <f t="shared" si="68"/>
        <v>£m</v>
      </c>
      <c r="E3194" s="1636" t="s">
        <v>9</v>
      </c>
      <c r="F3194"/>
      <c r="G3194" s="1791">
        <f>+'4V'!I8</f>
        <v>-6.9394159519457202E-3</v>
      </c>
      <c r="H3194" s="1636"/>
    </row>
    <row r="3195" spans="1:8">
      <c r="A3195" s="1620" t="str">
        <f>INDEX(Lists!$C$4:$C$24,MATCH(Validation!$B$3,Lists!$B$4:$B$24,0))</f>
        <v>TMS</v>
      </c>
      <c r="B3195" s="1732" t="str">
        <f>+'4V'!AN9</f>
        <v>BM817RS</v>
      </c>
      <c r="C3195" t="str">
        <f>+'4V'!AH9&amp;" - "&amp;'4V'!AN$3</f>
        <v>Local authority and Cumulo rates - River Abstractions</v>
      </c>
      <c r="D3195" s="1620" t="str">
        <f t="shared" si="68"/>
        <v>£m</v>
      </c>
      <c r="E3195" s="1636" t="s">
        <v>9</v>
      </c>
      <c r="F3195"/>
      <c r="G3195" s="1791">
        <f>+'4V'!I9</f>
        <v>6.990549961084E-2</v>
      </c>
      <c r="H3195" s="1636"/>
    </row>
    <row r="3196" spans="1:8">
      <c r="A3196" s="1620" t="str">
        <f>INDEX(Lists!$C$4:$C$24,MATCH(Validation!$B$3,Lists!$B$4:$B$24,0))</f>
        <v>TMS</v>
      </c>
      <c r="B3196" s="1732" t="str">
        <f>+'4V'!AN10</f>
        <v>BM108RS</v>
      </c>
      <c r="C3196" t="str">
        <f>+'4V'!AH10&amp;" - "&amp;'4V'!AN$3</f>
        <v>Other direct operating expenditure - River Abstractions</v>
      </c>
      <c r="D3196" s="1620" t="str">
        <f t="shared" si="68"/>
        <v>£m</v>
      </c>
      <c r="E3196" s="1636" t="s">
        <v>9</v>
      </c>
      <c r="F3196"/>
      <c r="G3196" s="1791">
        <f>+'4V'!I10</f>
        <v>1.1739611657477529</v>
      </c>
      <c r="H3196" s="1636"/>
    </row>
    <row r="3197" spans="1:8">
      <c r="A3197" s="1620" t="str">
        <f>INDEX(Lists!$C$4:$C$24,MATCH(Validation!$B$3,Lists!$B$4:$B$24,0))</f>
        <v>TMS</v>
      </c>
      <c r="B3197" s="1732" t="str">
        <f>+'4V'!AN11</f>
        <v>BM110RS</v>
      </c>
      <c r="C3197" t="str">
        <f>+'4V'!AH11&amp;" - "&amp;'4V'!AN$3</f>
        <v>Other indirect operating expenditure - River Abstractions</v>
      </c>
      <c r="D3197" s="1620" t="str">
        <f t="shared" si="68"/>
        <v>£m</v>
      </c>
      <c r="E3197" s="1636" t="s">
        <v>9</v>
      </c>
      <c r="F3197"/>
      <c r="G3197" s="1791">
        <f>+'4V'!I11</f>
        <v>0.33668530067843289</v>
      </c>
      <c r="H3197" s="1636"/>
    </row>
    <row r="3198" spans="1:8">
      <c r="A3198" s="1620" t="str">
        <f>INDEX(Lists!$C$4:$C$24,MATCH(Validation!$B$3,Lists!$B$4:$B$24,0))</f>
        <v>TMS</v>
      </c>
      <c r="B3198" s="1732" t="str">
        <f>+'4V'!AN13</f>
        <v>FT00865RS</v>
      </c>
      <c r="C3198" t="str">
        <f>+'4V'!AH13&amp;" - "&amp;'4V'!AN$3</f>
        <v>Depreciation - River Abstractions</v>
      </c>
      <c r="D3198" s="1620" t="str">
        <f t="shared" si="68"/>
        <v>£m</v>
      </c>
      <c r="E3198" s="1636" t="s">
        <v>9</v>
      </c>
      <c r="F3198"/>
      <c r="G3198" s="1791">
        <f>+'4V'!I13</f>
        <v>8.437080000000001E-2</v>
      </c>
      <c r="H3198" s="1636"/>
    </row>
    <row r="3199" spans="1:8">
      <c r="A3199" s="1620" t="str">
        <f>INDEX(Lists!$C$4:$C$24,MATCH(Validation!$B$3,Lists!$B$4:$B$24,0))</f>
        <v>TMS</v>
      </c>
      <c r="B3199" s="1732" t="str">
        <f>+'4V'!AN19</f>
        <v>BM3010WT</v>
      </c>
      <c r="C3199" t="str">
        <f>+'4V'!AH19&amp;" - "&amp;'4V'!AN$16</f>
        <v>Employment costs - directly allocated - Water treatment</v>
      </c>
      <c r="D3199" s="1620" t="str">
        <f t="shared" si="68"/>
        <v>£m</v>
      </c>
      <c r="E3199" s="1636" t="s">
        <v>9</v>
      </c>
      <c r="F3199"/>
      <c r="G3199" s="1791">
        <f>+'4V'!I19</f>
        <v>23.720828643933505</v>
      </c>
      <c r="H3199" s="1636"/>
    </row>
    <row r="3200" spans="1:8">
      <c r="A3200" s="1620" t="str">
        <f>INDEX(Lists!$C$4:$C$24,MATCH(Validation!$B$3,Lists!$B$4:$B$24,0))</f>
        <v>TMS</v>
      </c>
      <c r="B3200" s="1732" t="str">
        <f>+'4V'!AN20</f>
        <v>BM3011WT</v>
      </c>
      <c r="C3200" t="str">
        <f>+'4V'!AH20&amp;" - "&amp;'4V'!AN$16</f>
        <v>Employment costs - indirectly allocated - Water treatment</v>
      </c>
      <c r="D3200" s="1620" t="str">
        <f t="shared" si="68"/>
        <v>£m</v>
      </c>
      <c r="E3200" s="1636" t="s">
        <v>9</v>
      </c>
      <c r="F3200"/>
      <c r="G3200" s="1791">
        <f>+'4V'!I20</f>
        <v>7.8559747376230886</v>
      </c>
      <c r="H3200" s="1636"/>
    </row>
    <row r="3201" spans="1:8">
      <c r="A3201" s="1620" t="str">
        <f>INDEX(Lists!$C$4:$C$24,MATCH(Validation!$B$3,Lists!$B$4:$B$24,0))</f>
        <v>TMS</v>
      </c>
      <c r="B3201" s="1824" t="str">
        <f>+'4V'!AN21</f>
        <v>W3030WT</v>
      </c>
      <c r="C3201" t="str">
        <f>+'4V'!AH21&amp;" - "&amp;'4V'!AN$16</f>
        <v>Number FTEs consistent with 4V.9 above - Water treatment</v>
      </c>
      <c r="D3201" s="1620" t="str">
        <f t="shared" si="68"/>
        <v>Nr</v>
      </c>
      <c r="E3201" s="1636" t="s">
        <v>9</v>
      </c>
      <c r="F3201"/>
      <c r="G3201" s="1792">
        <f>+'4V'!I21</f>
        <v>476.39635573848653</v>
      </c>
      <c r="H3201" s="1636"/>
    </row>
    <row r="3202" spans="1:8">
      <c r="A3202" s="1620" t="str">
        <f>INDEX(Lists!$C$4:$C$24,MATCH(Validation!$B$3,Lists!$B$4:$B$24,0))</f>
        <v>TMS</v>
      </c>
      <c r="B3202" s="1824" t="str">
        <f>+'4V'!AN22</f>
        <v>W3031WT</v>
      </c>
      <c r="C3202" t="str">
        <f>+'4V'!AH22&amp;" - "&amp;'4V'!AN$16</f>
        <v>Number FTEs consistent with 4V.10 above - Water treatment</v>
      </c>
      <c r="D3202" s="1620" t="str">
        <f t="shared" si="68"/>
        <v>Nr</v>
      </c>
      <c r="E3202" s="1636" t="s">
        <v>9</v>
      </c>
      <c r="F3202"/>
      <c r="G3202" s="1792">
        <f>+'4V'!I22</f>
        <v>157.77516847980752</v>
      </c>
      <c r="H3202" s="1636"/>
    </row>
    <row r="3203" spans="1:8">
      <c r="A3203" s="1620" t="str">
        <f>INDEX(Lists!$C$4:$C$24,MATCH(Validation!$B$3,Lists!$B$4:$B$24,0))</f>
        <v>TMS</v>
      </c>
      <c r="B3203" s="1732" t="str">
        <f>+'4V'!AN23</f>
        <v>W3032WT</v>
      </c>
      <c r="C3203" t="str">
        <f>+'4V'!AH23&amp;" - "&amp;'4V'!AN$16</f>
        <v>Costs associated with Traffic Management Act - Water treatment</v>
      </c>
      <c r="D3203" s="1620" t="str">
        <f t="shared" si="68"/>
        <v>£m</v>
      </c>
      <c r="E3203" s="1636" t="s">
        <v>9</v>
      </c>
      <c r="F3203"/>
      <c r="G3203" s="1791">
        <f>+'4V'!I23</f>
        <v>0</v>
      </c>
      <c r="H3203" s="1636"/>
    </row>
    <row r="3204" spans="1:8">
      <c r="A3204" s="1620" t="str">
        <f>INDEX(Lists!$C$4:$C$24,MATCH(Validation!$B$3,Lists!$B$4:$B$24,0))</f>
        <v>TMS</v>
      </c>
      <c r="B3204" s="1732" t="str">
        <f>+'4V'!AN26</f>
        <v>W3033WT</v>
      </c>
      <c r="C3204" t="str">
        <f>+'4V'!AH26&amp;" - "&amp;'4V'!AN$16</f>
        <v>Canal &amp; River Trust service charges and discharge consents - Water treatment</v>
      </c>
      <c r="D3204" s="1620" t="str">
        <f t="shared" si="68"/>
        <v>£m</v>
      </c>
      <c r="E3204" s="1636" t="s">
        <v>9</v>
      </c>
      <c r="F3204"/>
      <c r="G3204" s="1791">
        <f>+'4V'!I26</f>
        <v>0</v>
      </c>
      <c r="H3204" s="1636"/>
    </row>
    <row r="3205" spans="1:8">
      <c r="A3205" s="1620" t="str">
        <f>INDEX(Lists!$C$4:$C$24,MATCH(Validation!$B$3,Lists!$B$4:$B$24,0))</f>
        <v>TMS</v>
      </c>
      <c r="B3205" s="1732" t="str">
        <f>+'4V'!AN27</f>
        <v>W3034WT</v>
      </c>
      <c r="C3205" t="str">
        <f>+'4V'!AH27&amp;" - "&amp;'4V'!AN$16</f>
        <v>Environment Agency service charges/ discharge consents - Water treatment</v>
      </c>
      <c r="D3205" s="1620" t="str">
        <f t="shared" si="68"/>
        <v>£m</v>
      </c>
      <c r="E3205" s="1636" t="s">
        <v>9</v>
      </c>
      <c r="F3205"/>
      <c r="G3205" s="1791">
        <f>+'4V'!I27</f>
        <v>0</v>
      </c>
      <c r="H3205" s="1636"/>
    </row>
    <row r="3206" spans="1:8">
      <c r="A3206" s="1620" t="str">
        <f>INDEX(Lists!$C$4:$C$24,MATCH(Validation!$B$3,Lists!$B$4:$B$24,0))</f>
        <v>TMS</v>
      </c>
      <c r="B3206" s="1732" t="str">
        <f>+'4V'!AN28</f>
        <v>W3035WT</v>
      </c>
      <c r="C3206" t="str">
        <f>+'4V'!AH28&amp;" - "&amp;'4V'!AN$16</f>
        <v>Other service charges / permits - Water treatment</v>
      </c>
      <c r="D3206" s="1620" t="str">
        <f t="shared" si="68"/>
        <v>£m</v>
      </c>
      <c r="E3206" s="1636" t="s">
        <v>9</v>
      </c>
      <c r="F3206"/>
      <c r="G3206" s="1791">
        <f>+'4V'!I28</f>
        <v>0</v>
      </c>
      <c r="H3206" s="1636"/>
    </row>
    <row r="3207" spans="1:8">
      <c r="A3207" s="1730" t="str">
        <f>INDEX(Lists!$C$4:$C$24,MATCH(Validation!$B$3,Lists!$B$4:$B$24,0))</f>
        <v>TMS</v>
      </c>
      <c r="B3207" s="1734" t="str">
        <f>+'4V'!AN30</f>
        <v>W3036WT</v>
      </c>
      <c r="C3207" s="1819" t="str">
        <f>+'4V'!AH30&amp;" - "&amp;'4V'!AN$16</f>
        <v>Statutory water softening - Water treatment</v>
      </c>
      <c r="D3207" s="1730" t="str">
        <f t="shared" si="68"/>
        <v>£m</v>
      </c>
      <c r="E3207" s="1652" t="s">
        <v>9</v>
      </c>
      <c r="F3207" s="1819"/>
      <c r="G3207" s="1820">
        <f>+'4V'!I30</f>
        <v>0</v>
      </c>
      <c r="H3207" s="1652"/>
    </row>
    <row r="3208" spans="1:8">
      <c r="A3208" s="1620" t="str">
        <f>INDEX(Lists!$C$4:$C$24,MATCH(Validation!$B$3,Lists!$B$4:$B$24,0))</f>
        <v>TMS</v>
      </c>
      <c r="B3208" s="1732" t="str">
        <f>+'4V'!AO7</f>
        <v>BM102BO</v>
      </c>
      <c r="C3208" t="str">
        <f>+'4V'!AH7&amp;" - "&amp;'4V'!AO$3</f>
        <v>Power - Groundwater, excluding MAR water supply schemes</v>
      </c>
      <c r="D3208" s="1620" t="str">
        <f t="shared" si="68"/>
        <v>£m</v>
      </c>
      <c r="E3208" s="1636" t="s">
        <v>9</v>
      </c>
      <c r="F3208"/>
      <c r="G3208" s="1791">
        <f>+'4V'!J7</f>
        <v>6.5317358266008467</v>
      </c>
      <c r="H3208" s="1636"/>
    </row>
    <row r="3209" spans="1:8">
      <c r="A3209" s="1620" t="str">
        <f>INDEX(Lists!$C$4:$C$24,MATCH(Validation!$B$3,Lists!$B$4:$B$24,0))</f>
        <v>TMS</v>
      </c>
      <c r="B3209" s="1732" t="str">
        <f>+'4V'!AO8</f>
        <v>BM836BO</v>
      </c>
      <c r="C3209" t="str">
        <f>+'4V'!AH8&amp;" - "&amp;'4V'!AO$3</f>
        <v>Income Treated as negative expenditure - Groundwater, excluding MAR water supply schemes</v>
      </c>
      <c r="D3209" s="1620" t="str">
        <f t="shared" si="68"/>
        <v>£m</v>
      </c>
      <c r="E3209" s="1636" t="s">
        <v>9</v>
      </c>
      <c r="F3209"/>
      <c r="G3209" s="1791">
        <f>+'4V'!J8</f>
        <v>0</v>
      </c>
      <c r="H3209" s="1636"/>
    </row>
    <row r="3210" spans="1:8">
      <c r="A3210" s="1620" t="str">
        <f>INDEX(Lists!$C$4:$C$24,MATCH(Validation!$B$3,Lists!$B$4:$B$24,0))</f>
        <v>TMS</v>
      </c>
      <c r="B3210" s="1732" t="str">
        <f>+'4V'!AO9</f>
        <v>BM817BO</v>
      </c>
      <c r="C3210" t="str">
        <f>+'4V'!AH9&amp;" - "&amp;'4V'!AO$3</f>
        <v>Local authority and Cumulo rates - Groundwater, excluding MAR water supply schemes</v>
      </c>
      <c r="D3210" s="1620" t="str">
        <f t="shared" si="68"/>
        <v>£m</v>
      </c>
      <c r="E3210" s="1636" t="s">
        <v>9</v>
      </c>
      <c r="F3210"/>
      <c r="G3210" s="1791">
        <f>+'4V'!J9</f>
        <v>0.77944632066086594</v>
      </c>
      <c r="H3210" s="1636"/>
    </row>
    <row r="3211" spans="1:8">
      <c r="A3211" s="1620" t="str">
        <f>INDEX(Lists!$C$4:$C$24,MATCH(Validation!$B$3,Lists!$B$4:$B$24,0))</f>
        <v>TMS</v>
      </c>
      <c r="B3211" s="1732" t="str">
        <f>+'4V'!AO10</f>
        <v>BM108BO</v>
      </c>
      <c r="C3211" t="str">
        <f>+'4V'!AH10&amp;" - "&amp;'4V'!AO$3</f>
        <v>Other direct operating expenditure - Groundwater, excluding MAR water supply schemes</v>
      </c>
      <c r="D3211" s="1620" t="str">
        <f t="shared" si="68"/>
        <v>£m</v>
      </c>
      <c r="E3211" s="1636" t="s">
        <v>9</v>
      </c>
      <c r="F3211"/>
      <c r="G3211" s="1791">
        <f>+'4V'!J10</f>
        <v>5.8605226448478662</v>
      </c>
      <c r="H3211" s="1636"/>
    </row>
    <row r="3212" spans="1:8">
      <c r="A3212" s="1620" t="str">
        <f>INDEX(Lists!$C$4:$C$24,MATCH(Validation!$B$3,Lists!$B$4:$B$24,0))</f>
        <v>TMS</v>
      </c>
      <c r="B3212" s="1732" t="str">
        <f>+'4V'!AO11</f>
        <v>BM110BO</v>
      </c>
      <c r="C3212" t="str">
        <f>+'4V'!AH11&amp;" - "&amp;'4V'!AO$3</f>
        <v>Other indirect operating expenditure - Groundwater, excluding MAR water supply schemes</v>
      </c>
      <c r="D3212" s="1620" t="str">
        <f t="shared" si="68"/>
        <v>£m</v>
      </c>
      <c r="E3212" s="1636" t="s">
        <v>9</v>
      </c>
      <c r="F3212"/>
      <c r="G3212" s="1791">
        <f>+'4V'!J11</f>
        <v>3.7540411025645266</v>
      </c>
      <c r="H3212" s="1636"/>
    </row>
    <row r="3213" spans="1:8">
      <c r="A3213" s="1620" t="str">
        <f>INDEX(Lists!$C$4:$C$24,MATCH(Validation!$B$3,Lists!$B$4:$B$24,0))</f>
        <v>TMS</v>
      </c>
      <c r="B3213" s="1732" t="str">
        <f>+'4V'!AO13</f>
        <v>FT00865BO</v>
      </c>
      <c r="C3213" t="str">
        <f>+'4V'!AH13&amp;" - "&amp;'4V'!AO$3</f>
        <v>Depreciation - Groundwater, excluding MAR water supply schemes</v>
      </c>
      <c r="D3213" s="1620" t="str">
        <f t="shared" si="68"/>
        <v>£m</v>
      </c>
      <c r="E3213" s="1636" t="s">
        <v>9</v>
      </c>
      <c r="F3213"/>
      <c r="G3213" s="1791">
        <f>+'4V'!J13</f>
        <v>0.94073442000000007</v>
      </c>
      <c r="H3213" s="1636"/>
    </row>
    <row r="3214" spans="1:8">
      <c r="A3214" s="1620" t="str">
        <f>INDEX(Lists!$C$4:$C$24,MATCH(Validation!$B$3,Lists!$B$4:$B$24,0))</f>
        <v>TMS</v>
      </c>
      <c r="B3214" s="1732" t="str">
        <f>+'4V'!AO19</f>
        <v>BM3010TWD</v>
      </c>
      <c r="C3214" t="str">
        <f>+'4V'!AH19&amp;" - "&amp;'4V'!AO$16</f>
        <v>Employment costs - directly allocated - Treated water distribution</v>
      </c>
      <c r="D3214" s="1620" t="str">
        <f t="shared" si="68"/>
        <v>£m</v>
      </c>
      <c r="E3214" s="1636" t="s">
        <v>9</v>
      </c>
      <c r="F3214"/>
      <c r="G3214" s="1791">
        <f>+'4V'!J19</f>
        <v>20.536628713234528</v>
      </c>
      <c r="H3214" s="1636"/>
    </row>
    <row r="3215" spans="1:8">
      <c r="A3215" s="1620" t="str">
        <f>INDEX(Lists!$C$4:$C$24,MATCH(Validation!$B$3,Lists!$B$4:$B$24,0))</f>
        <v>TMS</v>
      </c>
      <c r="B3215" s="1732" t="str">
        <f>+'4V'!AO20</f>
        <v>BM3011TWD</v>
      </c>
      <c r="C3215" t="str">
        <f>+'4V'!AH20&amp;" - "&amp;'4V'!AO$16</f>
        <v>Employment costs - indirectly allocated - Treated water distribution</v>
      </c>
      <c r="D3215" s="1620" t="str">
        <f t="shared" si="68"/>
        <v>£m</v>
      </c>
      <c r="E3215" s="1636" t="s">
        <v>9</v>
      </c>
      <c r="F3215"/>
      <c r="G3215" s="1791">
        <f>+'4V'!J20</f>
        <v>56.111313521869711</v>
      </c>
      <c r="H3215" s="1636"/>
    </row>
    <row r="3216" spans="1:8">
      <c r="A3216" s="1620" t="str">
        <f>INDEX(Lists!$C$4:$C$24,MATCH(Validation!$B$3,Lists!$B$4:$B$24,0))</f>
        <v>TMS</v>
      </c>
      <c r="B3216" s="1824" t="str">
        <f>+'4V'!AO21</f>
        <v>W3030TWD</v>
      </c>
      <c r="C3216" t="str">
        <f>+'4V'!AH21&amp;" - "&amp;'4V'!AO$16</f>
        <v>Number FTEs consistent with 4V.9 above - Treated water distribution</v>
      </c>
      <c r="D3216" s="1620" t="str">
        <f t="shared" si="68"/>
        <v>Nr</v>
      </c>
      <c r="E3216" s="1636" t="s">
        <v>9</v>
      </c>
      <c r="F3216"/>
      <c r="G3216" s="1792">
        <f>+'4V'!J21</f>
        <v>359.07990206003552</v>
      </c>
      <c r="H3216" s="1636"/>
    </row>
    <row r="3217" spans="1:8">
      <c r="A3217" s="1620" t="str">
        <f>INDEX(Lists!$C$4:$C$24,MATCH(Validation!$B$3,Lists!$B$4:$B$24,0))</f>
        <v>TMS</v>
      </c>
      <c r="B3217" s="1824" t="str">
        <f>+'4V'!AO22</f>
        <v>W3031TWD</v>
      </c>
      <c r="C3217" t="str">
        <f>+'4V'!AH22&amp;" - "&amp;'4V'!AO$16</f>
        <v>Number FTEs consistent with 4V.10 above - Treated water distribution</v>
      </c>
      <c r="D3217" s="1620" t="str">
        <f t="shared" si="68"/>
        <v>Nr</v>
      </c>
      <c r="E3217" s="1636" t="s">
        <v>9</v>
      </c>
      <c r="F3217"/>
      <c r="G3217" s="1792">
        <f>+'4V'!J22</f>
        <v>981.09798084378622</v>
      </c>
      <c r="H3217" s="1636"/>
    </row>
    <row r="3218" spans="1:8">
      <c r="A3218" s="1620" t="str">
        <f>INDEX(Lists!$C$4:$C$24,MATCH(Validation!$B$3,Lists!$B$4:$B$24,0))</f>
        <v>TMS</v>
      </c>
      <c r="B3218" s="1732" t="str">
        <f>+'4V'!AO23</f>
        <v>W3032TWD</v>
      </c>
      <c r="C3218" t="str">
        <f>+'4V'!AH23&amp;" - "&amp;'4V'!AO$16</f>
        <v>Costs associated with Traffic Management Act - Treated water distribution</v>
      </c>
      <c r="D3218" s="1620" t="str">
        <f t="shared" si="68"/>
        <v>£m</v>
      </c>
      <c r="E3218" s="1636" t="s">
        <v>9</v>
      </c>
      <c r="F3218"/>
      <c r="G3218" s="1791">
        <f>+'4V'!J23</f>
        <v>12.021999999999998</v>
      </c>
      <c r="H3218" s="1636"/>
    </row>
    <row r="3219" spans="1:8">
      <c r="A3219" s="1620" t="str">
        <f>INDEX(Lists!$C$4:$C$24,MATCH(Validation!$B$3,Lists!$B$4:$B$24,0))</f>
        <v>TMS</v>
      </c>
      <c r="B3219" s="1732" t="str">
        <f>+'4V'!AO26</f>
        <v>W3033TWD</v>
      </c>
      <c r="C3219" t="str">
        <f>+'4V'!AH26&amp;" - "&amp;'4V'!AO$16</f>
        <v>Canal &amp; River Trust service charges and discharge consents - Treated water distribution</v>
      </c>
      <c r="D3219" s="1620" t="str">
        <f t="shared" si="68"/>
        <v>£m</v>
      </c>
      <c r="E3219" s="1636" t="s">
        <v>9</v>
      </c>
      <c r="F3219"/>
      <c r="G3219" s="1791">
        <f>+'4V'!J26</f>
        <v>0</v>
      </c>
      <c r="H3219" s="1636"/>
    </row>
    <row r="3220" spans="1:8">
      <c r="A3220" s="1620" t="str">
        <f>INDEX(Lists!$C$4:$C$24,MATCH(Validation!$B$3,Lists!$B$4:$B$24,0))</f>
        <v>TMS</v>
      </c>
      <c r="B3220" s="1732" t="str">
        <f>+'4V'!AO27</f>
        <v>W3034TWD</v>
      </c>
      <c r="C3220" t="str">
        <f>+'4V'!AH27&amp;" - "&amp;'4V'!AO$16</f>
        <v>Environment Agency service charges/ discharge consents - Treated water distribution</v>
      </c>
      <c r="D3220" s="1620" t="str">
        <f t="shared" si="68"/>
        <v>£m</v>
      </c>
      <c r="E3220" s="1636" t="s">
        <v>9</v>
      </c>
      <c r="F3220"/>
      <c r="G3220" s="1791">
        <f>+'4V'!J27</f>
        <v>0</v>
      </c>
      <c r="H3220" s="1636"/>
    </row>
    <row r="3221" spans="1:8">
      <c r="A3221" s="1620" t="str">
        <f>INDEX(Lists!$C$4:$C$24,MATCH(Validation!$B$3,Lists!$B$4:$B$24,0))</f>
        <v>TMS</v>
      </c>
      <c r="B3221" s="1732" t="str">
        <f>+'4V'!AO28</f>
        <v>W3035TWD</v>
      </c>
      <c r="C3221" t="str">
        <f>+'4V'!AH28&amp;" - "&amp;'4V'!AO$16</f>
        <v>Other service charges / permits - Treated water distribution</v>
      </c>
      <c r="D3221" s="1620" t="str">
        <f t="shared" si="68"/>
        <v>£m</v>
      </c>
      <c r="E3221" s="1636" t="s">
        <v>9</v>
      </c>
      <c r="F3221"/>
      <c r="G3221" s="1791">
        <f>+'4V'!J28</f>
        <v>0</v>
      </c>
      <c r="H3221" s="1636"/>
    </row>
    <row r="3222" spans="1:8">
      <c r="A3222" s="1730" t="str">
        <f>INDEX(Lists!$C$4:$C$24,MATCH(Validation!$B$3,Lists!$B$4:$B$24,0))</f>
        <v>TMS</v>
      </c>
      <c r="B3222" s="1734" t="str">
        <f>+'4V'!AO30</f>
        <v>W3036TWD</v>
      </c>
      <c r="C3222" s="1819" t="str">
        <f>+'4V'!AH30&amp;" - "&amp;'4V'!AO$16</f>
        <v>Statutory water softening - Treated water distribution</v>
      </c>
      <c r="D3222" s="1730" t="str">
        <f t="shared" si="68"/>
        <v>£m</v>
      </c>
      <c r="E3222" s="1652" t="s">
        <v>9</v>
      </c>
      <c r="F3222" s="1819"/>
      <c r="G3222" s="1820">
        <f>+'4V'!J30</f>
        <v>0</v>
      </c>
      <c r="H3222" s="1652"/>
    </row>
    <row r="3223" spans="1:8">
      <c r="A3223" s="1620" t="str">
        <f>INDEX(Lists!$C$4:$C$24,MATCH(Validation!$B$3,Lists!$B$4:$B$24,0))</f>
        <v>TMS</v>
      </c>
      <c r="B3223" s="1732" t="str">
        <f>+'4V'!AP7</f>
        <v>BM102AR</v>
      </c>
      <c r="C3223" t="str">
        <f>+'4V'!AH7&amp;" - "&amp;'4V'!AP$3</f>
        <v>Power - Artificial Recharge (AR) water supply schemes</v>
      </c>
      <c r="D3223" s="1620" t="str">
        <f t="shared" si="68"/>
        <v>£m</v>
      </c>
      <c r="E3223" s="1636" t="s">
        <v>9</v>
      </c>
      <c r="F3223"/>
      <c r="G3223" s="1791">
        <f>+'4V'!K7</f>
        <v>1.6299167737706802E-2</v>
      </c>
      <c r="H3223" s="1636"/>
    </row>
    <row r="3224" spans="1:8">
      <c r="A3224" s="1620" t="str">
        <f>INDEX(Lists!$C$4:$C$24,MATCH(Validation!$B$3,Lists!$B$4:$B$24,0))</f>
        <v>TMS</v>
      </c>
      <c r="B3224" s="1732" t="str">
        <f>+'4V'!AP8</f>
        <v>BM836AR</v>
      </c>
      <c r="C3224" t="str">
        <f>+'4V'!AH8&amp;" - "&amp;'4V'!AP$3</f>
        <v>Income Treated as negative expenditure - Artificial Recharge (AR) water supply schemes</v>
      </c>
      <c r="D3224" s="1620" t="str">
        <f t="shared" si="68"/>
        <v>£m</v>
      </c>
      <c r="E3224" s="1636" t="s">
        <v>9</v>
      </c>
      <c r="F3224"/>
      <c r="G3224" s="1791">
        <f>+'4V'!K8</f>
        <v>0</v>
      </c>
      <c r="H3224" s="1636"/>
    </row>
    <row r="3225" spans="1:8">
      <c r="A3225" s="1620" t="str">
        <f>INDEX(Lists!$C$4:$C$24,MATCH(Validation!$B$3,Lists!$B$4:$B$24,0))</f>
        <v>TMS</v>
      </c>
      <c r="B3225" s="1732" t="str">
        <f>+'4V'!AP9</f>
        <v>BM817AR</v>
      </c>
      <c r="C3225" t="str">
        <f>+'4V'!AH9&amp;" - "&amp;'4V'!AP$3</f>
        <v>Local authority and Cumulo rates - Artificial Recharge (AR) water supply schemes</v>
      </c>
      <c r="D3225" s="1620" t="str">
        <f t="shared" si="68"/>
        <v>£m</v>
      </c>
      <c r="E3225" s="1636" t="s">
        <v>9</v>
      </c>
      <c r="F3225"/>
      <c r="G3225" s="1791">
        <f>+'4V'!K9</f>
        <v>6.9905499610840001E-3</v>
      </c>
      <c r="H3225" s="1636"/>
    </row>
    <row r="3226" spans="1:8">
      <c r="A3226" s="1620" t="str">
        <f>INDEX(Lists!$C$4:$C$24,MATCH(Validation!$B$3,Lists!$B$4:$B$24,0))</f>
        <v>TMS</v>
      </c>
      <c r="B3226" s="1732" t="str">
        <f>+'4V'!AP10</f>
        <v>BM108AR</v>
      </c>
      <c r="C3226" t="str">
        <f>+'4V'!AH10&amp;" - "&amp;'4V'!AP$3</f>
        <v>Other direct operating expenditure - Artificial Recharge (AR) water supply schemes</v>
      </c>
      <c r="D3226" s="1620" t="str">
        <f t="shared" si="68"/>
        <v>£m</v>
      </c>
      <c r="E3226" s="1636" t="s">
        <v>9</v>
      </c>
      <c r="F3226"/>
      <c r="G3226" s="1791">
        <f>+'4V'!K10</f>
        <v>0.119150289386329</v>
      </c>
      <c r="H3226" s="1636"/>
    </row>
    <row r="3227" spans="1:8">
      <c r="A3227" s="1620" t="str">
        <f>INDEX(Lists!$C$4:$C$24,MATCH(Validation!$B$3,Lists!$B$4:$B$24,0))</f>
        <v>TMS</v>
      </c>
      <c r="B3227" s="1732" t="str">
        <f>+'4V'!AP11</f>
        <v>BM110AR</v>
      </c>
      <c r="C3227" t="str">
        <f>+'4V'!AH11&amp;" - "&amp;'4V'!AP$3</f>
        <v>Other indirect operating expenditure - Artificial Recharge (AR) water supply schemes</v>
      </c>
      <c r="D3227" s="1620" t="str">
        <f t="shared" si="68"/>
        <v>£m</v>
      </c>
      <c r="E3227" s="1636" t="s">
        <v>9</v>
      </c>
      <c r="F3227"/>
      <c r="G3227" s="1791">
        <f>+'4V'!K11</f>
        <v>3.3668530067843289E-2</v>
      </c>
      <c r="H3227" s="1636"/>
    </row>
    <row r="3228" spans="1:8">
      <c r="A3228" s="1620" t="str">
        <f>INDEX(Lists!$C$4:$C$24,MATCH(Validation!$B$3,Lists!$B$4:$B$24,0))</f>
        <v>TMS</v>
      </c>
      <c r="B3228" s="1732" t="str">
        <f>+'4V'!AP13</f>
        <v>FT00865AR</v>
      </c>
      <c r="C3228" t="str">
        <f>+'4V'!AH13&amp;" - "&amp;'4V'!AP$3</f>
        <v>Depreciation - Artificial Recharge (AR) water supply schemes</v>
      </c>
      <c r="D3228" s="1620" t="str">
        <f t="shared" si="68"/>
        <v>£m</v>
      </c>
      <c r="E3228" s="1636" t="s">
        <v>9</v>
      </c>
      <c r="F3228"/>
      <c r="G3228" s="1791">
        <f>+'4V'!K13</f>
        <v>8.4370799999999996E-3</v>
      </c>
      <c r="H3228" s="1636"/>
    </row>
    <row r="3229" spans="1:8">
      <c r="A3229" s="1620" t="str">
        <f>INDEX(Lists!$C$4:$C$24,MATCH(Validation!$B$3,Lists!$B$4:$B$24,0))</f>
        <v>TMS</v>
      </c>
      <c r="B3229" s="1732" t="str">
        <f>+'4V'!AQ7</f>
        <v>BM102ASR</v>
      </c>
      <c r="C3229" t="str">
        <f>+'4V'!AH7&amp;" - "&amp;'4V'!AQ$3</f>
        <v>Power - Aquifer Storage and Recovery (ASR) water supply schemes</v>
      </c>
      <c r="D3229" s="1620" t="str">
        <f>+D3223</f>
        <v>£m</v>
      </c>
      <c r="E3229" s="1636" t="s">
        <v>9</v>
      </c>
      <c r="F3229"/>
      <c r="G3229" s="1791">
        <f>+'4V'!L7</f>
        <v>0</v>
      </c>
      <c r="H3229" s="1636"/>
    </row>
    <row r="3230" spans="1:8">
      <c r="A3230" s="1620" t="str">
        <f>INDEX(Lists!$C$4:$C$24,MATCH(Validation!$B$3,Lists!$B$4:$B$24,0))</f>
        <v>TMS</v>
      </c>
      <c r="B3230" s="1732" t="str">
        <f>+'4V'!AQ8</f>
        <v>BM836ASR</v>
      </c>
      <c r="C3230" t="str">
        <f>+'4V'!AH8&amp;" - "&amp;'4V'!AQ$3</f>
        <v>Income Treated as negative expenditure - Aquifer Storage and Recovery (ASR) water supply schemes</v>
      </c>
      <c r="D3230" s="1620" t="str">
        <f t="shared" ref="D3230:D3234" si="69">+D3224</f>
        <v>£m</v>
      </c>
      <c r="E3230" s="1636" t="s">
        <v>9</v>
      </c>
      <c r="F3230"/>
      <c r="G3230" s="1791">
        <f>+'4V'!L8</f>
        <v>0</v>
      </c>
      <c r="H3230" s="1636"/>
    </row>
    <row r="3231" spans="1:8">
      <c r="A3231" s="1620" t="str">
        <f>INDEX(Lists!$C$4:$C$24,MATCH(Validation!$B$3,Lists!$B$4:$B$24,0))</f>
        <v>TMS</v>
      </c>
      <c r="B3231" s="1732" t="str">
        <f>+'4V'!AQ9</f>
        <v>BM817ASR</v>
      </c>
      <c r="C3231" t="str">
        <f>+'4V'!AH9&amp;" - "&amp;'4V'!AQ$3</f>
        <v>Local authority and Cumulo rates - Aquifer Storage and Recovery (ASR) water supply schemes</v>
      </c>
      <c r="D3231" s="1620" t="str">
        <f t="shared" si="69"/>
        <v>£m</v>
      </c>
      <c r="E3231" s="1636" t="s">
        <v>9</v>
      </c>
      <c r="F3231"/>
      <c r="G3231" s="1791">
        <f>+'4V'!L9</f>
        <v>0</v>
      </c>
      <c r="H3231" s="1636"/>
    </row>
    <row r="3232" spans="1:8">
      <c r="A3232" s="1620" t="str">
        <f>INDEX(Lists!$C$4:$C$24,MATCH(Validation!$B$3,Lists!$B$4:$B$24,0))</f>
        <v>TMS</v>
      </c>
      <c r="B3232" s="1732" t="str">
        <f>+'4V'!AQ10</f>
        <v>BM108ASR</v>
      </c>
      <c r="C3232" t="str">
        <f>+'4V'!AH10&amp;" - "&amp;'4V'!AQ$3</f>
        <v>Other direct operating expenditure - Aquifer Storage and Recovery (ASR) water supply schemes</v>
      </c>
      <c r="D3232" s="1620" t="str">
        <f t="shared" si="69"/>
        <v>£m</v>
      </c>
      <c r="E3232" s="1636" t="s">
        <v>9</v>
      </c>
      <c r="F3232"/>
      <c r="G3232" s="1791">
        <f>+'4V'!L10</f>
        <v>0</v>
      </c>
      <c r="H3232" s="1636"/>
    </row>
    <row r="3233" spans="1:8">
      <c r="A3233" s="1620" t="str">
        <f>INDEX(Lists!$C$4:$C$24,MATCH(Validation!$B$3,Lists!$B$4:$B$24,0))</f>
        <v>TMS</v>
      </c>
      <c r="B3233" s="1732" t="str">
        <f>+'4V'!AQ11</f>
        <v>BM110ASR</v>
      </c>
      <c r="C3233" t="str">
        <f>+'4V'!AH11&amp;" - "&amp;'4V'!AQ$3</f>
        <v>Other indirect operating expenditure - Aquifer Storage and Recovery (ASR) water supply schemes</v>
      </c>
      <c r="D3233" s="1620" t="str">
        <f t="shared" si="69"/>
        <v>£m</v>
      </c>
      <c r="E3233" s="1636" t="s">
        <v>9</v>
      </c>
      <c r="F3233"/>
      <c r="G3233" s="1791">
        <f>+'4V'!L11</f>
        <v>0</v>
      </c>
      <c r="H3233" s="1636"/>
    </row>
    <row r="3234" spans="1:8" ht="15" thickBot="1">
      <c r="A3234" s="1621" t="str">
        <f>INDEX(Lists!$C$4:$C$24,MATCH(Validation!$B$3,Lists!$B$4:$B$24,0))</f>
        <v>TMS</v>
      </c>
      <c r="B3234" s="1733" t="str">
        <f>+'4V'!AQ13</f>
        <v>FT00865ASR</v>
      </c>
      <c r="C3234" s="1622" t="str">
        <f>+'4V'!AH13&amp;" - "&amp;'4V'!AQ$3</f>
        <v>Depreciation - Aquifer Storage and Recovery (ASR) water supply schemes</v>
      </c>
      <c r="D3234" s="1621" t="str">
        <f t="shared" si="69"/>
        <v>£m</v>
      </c>
      <c r="E3234" s="1649" t="s">
        <v>9</v>
      </c>
      <c r="F3234" s="1622"/>
      <c r="G3234" s="1797">
        <f>+'4V'!L13</f>
        <v>0</v>
      </c>
      <c r="H3234" s="1649"/>
    </row>
    <row r="3235" spans="1:8">
      <c r="A3235" s="1618" t="str">
        <f>INDEX(Lists!$C$4:$C$24,MATCH(Validation!$B$3,Lists!$B$4:$B$24,0))</f>
        <v>TMS</v>
      </c>
      <c r="B3235" s="1731" t="str">
        <f>'4W'!AP7</f>
        <v>BM402STUTS</v>
      </c>
      <c r="C3235" s="1619" t="str">
        <f>'4W'!C7&amp;" - "&amp;'4W'!G$3</f>
        <v>Power - Untreated sludge</v>
      </c>
      <c r="D3235" s="1618" t="str">
        <f>'4W'!E7</f>
        <v>£m</v>
      </c>
      <c r="E3235" s="1645" t="s">
        <v>9</v>
      </c>
      <c r="F3235" s="1619"/>
      <c r="G3235" s="1799">
        <f>'4W'!G7</f>
        <v>-0.13833413385986956</v>
      </c>
      <c r="H3235" s="1645"/>
    </row>
    <row r="3236" spans="1:8">
      <c r="A3236" s="1620" t="str">
        <f>INDEX(Lists!$C$4:$C$24,MATCH(Validation!$B$3,Lists!$B$4:$B$24,0))</f>
        <v>TMS</v>
      </c>
      <c r="B3236" s="1732" t="str">
        <f>'4W'!AP8</f>
        <v>BM836STUTS</v>
      </c>
      <c r="C3236" t="str">
        <f>'4W'!C8&amp;" - "&amp;'4W'!G$3</f>
        <v>Income treated as negative expenditure - Untreated sludge</v>
      </c>
      <c r="D3236" s="1620" t="str">
        <f>'4W'!E8</f>
        <v>£m</v>
      </c>
      <c r="E3236" s="1636" t="s">
        <v>9</v>
      </c>
      <c r="F3236"/>
      <c r="G3236" s="1791">
        <f>'4W'!G8</f>
        <v>-9.6316363998604299E-2</v>
      </c>
      <c r="H3236" s="1636"/>
    </row>
    <row r="3237" spans="1:8">
      <c r="A3237" s="1620" t="str">
        <f>INDEX(Lists!$C$4:$C$24,MATCH(Validation!$B$3,Lists!$B$4:$B$24,0))</f>
        <v>TMS</v>
      </c>
      <c r="B3237" s="1732" t="str">
        <f>'4W'!AP9</f>
        <v>BM817STUTS</v>
      </c>
      <c r="C3237" t="str">
        <f>'4W'!C9&amp;" - "&amp;'4W'!G$3</f>
        <v>Local authority and Cumulo rates - Untreated sludge</v>
      </c>
      <c r="D3237" s="1620" t="str">
        <f>'4W'!E9</f>
        <v>£m</v>
      </c>
      <c r="E3237" s="1636" t="s">
        <v>9</v>
      </c>
      <c r="F3237"/>
      <c r="G3237" s="1791">
        <f>'4W'!G9</f>
        <v>9.0049227963410014E-2</v>
      </c>
      <c r="H3237" s="1636"/>
    </row>
    <row r="3238" spans="1:8">
      <c r="A3238" s="1620" t="str">
        <f>INDEX(Lists!$C$4:$C$24,MATCH(Validation!$B$3,Lists!$B$4:$B$24,0))</f>
        <v>TMS</v>
      </c>
      <c r="B3238" s="1732" t="str">
        <f>'4W'!AP10</f>
        <v>BM408STUTS</v>
      </c>
      <c r="C3238" t="str">
        <f>'4W'!C10&amp;" - "&amp;'4W'!G$3</f>
        <v>Other direct operating expenditure - Untreated sludge</v>
      </c>
      <c r="D3238" s="1620" t="str">
        <f>'4W'!E10</f>
        <v>£m</v>
      </c>
      <c r="E3238" s="1636" t="s">
        <v>9</v>
      </c>
      <c r="F3238"/>
      <c r="G3238" s="1791">
        <f>'4W'!G10</f>
        <v>0.43565896109923496</v>
      </c>
      <c r="H3238" s="1636"/>
    </row>
    <row r="3239" spans="1:8">
      <c r="A3239" s="1620" t="str">
        <f>INDEX(Lists!$C$4:$C$24,MATCH(Validation!$B$3,Lists!$B$4:$B$24,0))</f>
        <v>TMS</v>
      </c>
      <c r="B3239" s="1732" t="str">
        <f>'4W'!AP11</f>
        <v>BM410STUTS</v>
      </c>
      <c r="C3239" t="str">
        <f>'4W'!C11&amp;" - "&amp;'4W'!G$3</f>
        <v>Other indirect operating expenditure - Untreated sludge</v>
      </c>
      <c r="D3239" s="1821" t="str">
        <f>'4W'!E11</f>
        <v>£m</v>
      </c>
      <c r="E3239" s="1636" t="s">
        <v>9</v>
      </c>
      <c r="F3239"/>
      <c r="G3239" s="1791">
        <f>'4W'!G11</f>
        <v>6.6804854390369303E-2</v>
      </c>
      <c r="H3239" s="1636"/>
    </row>
    <row r="3240" spans="1:8">
      <c r="A3240" s="1620" t="str">
        <f>INDEX(Lists!$C$4:$C$24,MATCH(Validation!$B$3,Lists!$B$4:$B$24,0))</f>
        <v>TMS</v>
      </c>
      <c r="B3240" s="1732" t="str">
        <f>'4W'!AP13</f>
        <v>FT00865STUTS</v>
      </c>
      <c r="C3240" t="str">
        <f>'4W'!C13&amp;" - "&amp;'4W'!G$3</f>
        <v>Depreciation - Untreated sludge</v>
      </c>
      <c r="D3240" s="1620" t="str">
        <f>'4W'!E13</f>
        <v>£m</v>
      </c>
      <c r="E3240" s="1636" t="s">
        <v>9</v>
      </c>
      <c r="F3240"/>
      <c r="G3240" s="1791">
        <f>'4W'!G13</f>
        <v>0.30136653584280304</v>
      </c>
      <c r="H3240" s="1636"/>
    </row>
    <row r="3241" spans="1:8">
      <c r="A3241" s="1620" t="str">
        <f>INDEX(Lists!$C$4:$C$24,MATCH(Validation!$B$3,Lists!$B$4:$B$24,0))</f>
        <v>TMS</v>
      </c>
      <c r="B3241" s="1732" t="str">
        <f>'4W'!AP17</f>
        <v>BM402SDUTS</v>
      </c>
      <c r="C3241" t="str">
        <f>'4W'!C17&amp;" - "&amp;'4W'!G$3</f>
        <v>Power - Untreated sludge</v>
      </c>
      <c r="D3241" s="1620" t="str">
        <f>'4W'!E17</f>
        <v>£m</v>
      </c>
      <c r="E3241" s="1636" t="s">
        <v>9</v>
      </c>
      <c r="F3241"/>
      <c r="G3241" s="1791">
        <f>'4W'!G17</f>
        <v>0</v>
      </c>
      <c r="H3241" s="1636"/>
    </row>
    <row r="3242" spans="1:8">
      <c r="A3242" s="1620" t="str">
        <f>INDEX(Lists!$C$4:$C$24,MATCH(Validation!$B$3,Lists!$B$4:$B$24,0))</f>
        <v>TMS</v>
      </c>
      <c r="B3242" s="1732" t="str">
        <f>'4W'!AP18</f>
        <v>BM836SDUTS</v>
      </c>
      <c r="C3242" t="str">
        <f>'4W'!C18&amp;" - "&amp;'4W'!G$3</f>
        <v>Income treated as negative expenditure - Untreated sludge</v>
      </c>
      <c r="D3242" s="1620" t="str">
        <f>'4W'!E18</f>
        <v>£m</v>
      </c>
      <c r="E3242" s="1636" t="s">
        <v>9</v>
      </c>
      <c r="F3242"/>
      <c r="G3242" s="1791">
        <f>'4W'!G18</f>
        <v>0</v>
      </c>
      <c r="H3242" s="1636"/>
    </row>
    <row r="3243" spans="1:8">
      <c r="A3243" s="1620" t="str">
        <f>INDEX(Lists!$C$4:$C$24,MATCH(Validation!$B$3,Lists!$B$4:$B$24,0))</f>
        <v>TMS</v>
      </c>
      <c r="B3243" s="1732" t="str">
        <f>'4W'!AP19</f>
        <v>BM817SDUTS</v>
      </c>
      <c r="C3243" t="str">
        <f>'4W'!C19&amp;" - "&amp;'4W'!G$3</f>
        <v>Local authority and Cumulo rates - Untreated sludge</v>
      </c>
      <c r="D3243" s="1620" t="str">
        <f>'4W'!E19</f>
        <v>£m</v>
      </c>
      <c r="E3243" s="1636" t="s">
        <v>9</v>
      </c>
      <c r="F3243"/>
      <c r="G3243" s="1791">
        <f>'4W'!G19</f>
        <v>0</v>
      </c>
      <c r="H3243" s="1636"/>
    </row>
    <row r="3244" spans="1:8">
      <c r="A3244" s="1620" t="str">
        <f>INDEX(Lists!$C$4:$C$24,MATCH(Validation!$B$3,Lists!$B$4:$B$24,0))</f>
        <v>TMS</v>
      </c>
      <c r="B3244" s="1732" t="str">
        <f>'4W'!AP20</f>
        <v>BM408SDUTS</v>
      </c>
      <c r="C3244" t="str">
        <f>'4W'!C20&amp;" - "&amp;'4W'!G$3</f>
        <v>Other direct operating expenditure - Untreated sludge</v>
      </c>
      <c r="D3244" s="1620" t="str">
        <f>'4W'!E20</f>
        <v>£m</v>
      </c>
      <c r="E3244" s="1636" t="s">
        <v>9</v>
      </c>
      <c r="F3244"/>
      <c r="G3244" s="1791">
        <f>'4W'!G20</f>
        <v>0.47251890999999996</v>
      </c>
      <c r="H3244" s="1636"/>
    </row>
    <row r="3245" spans="1:8">
      <c r="A3245" s="1620" t="str">
        <f>INDEX(Lists!$C$4:$C$24,MATCH(Validation!$B$3,Lists!$B$4:$B$24,0))</f>
        <v>TMS</v>
      </c>
      <c r="B3245" s="1732" t="str">
        <f>'4W'!AP21</f>
        <v>BM410SDUTS</v>
      </c>
      <c r="C3245" t="str">
        <f>'4W'!C21&amp;" - "&amp;'4W'!G$3</f>
        <v>Other indirect operating expenditure - Untreated sludge</v>
      </c>
      <c r="D3245" s="1821" t="str">
        <f>'4W'!E21</f>
        <v>£m</v>
      </c>
      <c r="E3245" s="1636" t="s">
        <v>9</v>
      </c>
      <c r="F3245"/>
      <c r="G3245" s="1791">
        <f>'4W'!G21</f>
        <v>0</v>
      </c>
      <c r="H3245" s="1636"/>
    </row>
    <row r="3246" spans="1:8">
      <c r="A3246" s="1620" t="str">
        <f>INDEX(Lists!$C$4:$C$24,MATCH(Validation!$B$3,Lists!$B$4:$B$24,0))</f>
        <v>TMS</v>
      </c>
      <c r="B3246" s="1732" t="str">
        <f>'4W'!AP23</f>
        <v>FT00865SDUTS</v>
      </c>
      <c r="C3246" t="str">
        <f>'4W'!C23&amp;" - "&amp;'4W'!G$3</f>
        <v>Depreciation - Untreated sludge</v>
      </c>
      <c r="D3246" s="1620" t="str">
        <f>'4W'!E23</f>
        <v>£m</v>
      </c>
      <c r="E3246" s="1636" t="s">
        <v>9</v>
      </c>
      <c r="F3246"/>
      <c r="G3246" s="1791">
        <f>'4W'!G23</f>
        <v>0.39695777006559191</v>
      </c>
      <c r="H3246" s="1636"/>
    </row>
    <row r="3247" spans="1:8">
      <c r="A3247" s="1620" t="str">
        <f>INDEX(Lists!$C$4:$C$24,MATCH(Validation!$B$3,Lists!$B$4:$B$24,0))</f>
        <v>TMS</v>
      </c>
      <c r="B3247" s="1732" t="str">
        <f>'4W'!AP31</f>
        <v>BM3010NPSC</v>
      </c>
      <c r="C3247" t="str">
        <f>'4W'!C31&amp;" - "&amp;'4W'!G$28</f>
        <v>Employment costs - directly allocated - Network plus  sewage collection</v>
      </c>
      <c r="D3247" s="1620" t="str">
        <f>'4W'!E31</f>
        <v>£m</v>
      </c>
      <c r="E3247" s="1636" t="s">
        <v>9</v>
      </c>
      <c r="F3247"/>
      <c r="G3247" s="1791">
        <f>'4W'!G31</f>
        <v>30.851778288079135</v>
      </c>
      <c r="H3247" s="1636"/>
    </row>
    <row r="3248" spans="1:8">
      <c r="A3248" s="1620" t="str">
        <f>INDEX(Lists!$C$4:$C$24,MATCH(Validation!$B$3,Lists!$B$4:$B$24,0))</f>
        <v>TMS</v>
      </c>
      <c r="B3248" s="1732" t="str">
        <f>'4W'!AP32</f>
        <v>BM3011NPSC</v>
      </c>
      <c r="C3248" t="str">
        <f>'4W'!C32&amp;" - "&amp;'4W'!G$28</f>
        <v>Employment costs - indirectly allocated - Network plus  sewage collection</v>
      </c>
      <c r="D3248" s="1620" t="str">
        <f>'4W'!E32</f>
        <v>£m</v>
      </c>
      <c r="E3248" s="1636" t="s">
        <v>9</v>
      </c>
      <c r="F3248"/>
      <c r="G3248" s="1791">
        <f>'4W'!G32</f>
        <v>19.699234084856759</v>
      </c>
      <c r="H3248" s="1636"/>
    </row>
    <row r="3249" spans="1:8">
      <c r="A3249" s="1620" t="str">
        <f>INDEX(Lists!$C$4:$C$24,MATCH(Validation!$B$3,Lists!$B$4:$B$24,0))</f>
        <v>TMS</v>
      </c>
      <c r="B3249" s="1824" t="str">
        <f>'4W'!AP33</f>
        <v>W3030NPSC</v>
      </c>
      <c r="C3249" t="str">
        <f>'4W'!C33&amp;" - "&amp;'4W'!G$28</f>
        <v>Number FTEs consistent with line 4W.17 - Network plus  sewage collection</v>
      </c>
      <c r="D3249" s="1822" t="str">
        <f>'4W'!E33</f>
        <v>Nr</v>
      </c>
      <c r="E3249" s="1636" t="s">
        <v>9</v>
      </c>
      <c r="F3249"/>
      <c r="G3249" s="1792">
        <f>'4W'!G33</f>
        <v>557.26912596960688</v>
      </c>
      <c r="H3249" s="1636"/>
    </row>
    <row r="3250" spans="1:8">
      <c r="A3250" s="1620" t="str">
        <f>INDEX(Lists!$C$4:$C$24,MATCH(Validation!$B$3,Lists!$B$4:$B$24,0))</f>
        <v>TMS</v>
      </c>
      <c r="B3250" s="1824" t="str">
        <f>'4W'!AP34</f>
        <v>W3031NPSC</v>
      </c>
      <c r="C3250" t="str">
        <f>'4W'!C34&amp;" - "&amp;'4W'!G$28</f>
        <v>Number FTEs consistent with line 4W.18 above - Network plus  sewage collection</v>
      </c>
      <c r="D3250" s="1822" t="str">
        <f>'4W'!E34</f>
        <v>Nr</v>
      </c>
      <c r="E3250" s="1636" t="s">
        <v>9</v>
      </c>
      <c r="F3250"/>
      <c r="G3250" s="1792">
        <f>'4W'!G34</f>
        <v>355.82308605467108</v>
      </c>
      <c r="H3250" s="1636"/>
    </row>
    <row r="3251" spans="1:8">
      <c r="A3251" s="1620" t="str">
        <f>INDEX(Lists!$C$4:$C$24,MATCH(Validation!$B$3,Lists!$B$4:$B$24,0))</f>
        <v>TMS</v>
      </c>
      <c r="B3251" s="1824" t="str">
        <f>'4W'!AP35</f>
        <v>W3032NPSC</v>
      </c>
      <c r="C3251" t="str">
        <f>'4W'!C35&amp;" - "&amp;'4W'!G$28</f>
        <v>Costs asscociated with Traffic Management Act - Network plus  sewage collection</v>
      </c>
      <c r="D3251" s="1822" t="str">
        <f>'4W'!E35</f>
        <v>£m</v>
      </c>
      <c r="E3251" s="1636" t="s">
        <v>9</v>
      </c>
      <c r="F3251"/>
      <c r="G3251" s="1792">
        <f>'4W'!G35</f>
        <v>1.5458179599999999</v>
      </c>
      <c r="H3251" s="1636"/>
    </row>
    <row r="3252" spans="1:8">
      <c r="A3252" s="1620" t="str">
        <f>INDEX(Lists!$C$4:$C$24,MATCH(Validation!$B$3,Lists!$B$4:$B$24,0))</f>
        <v>TMS</v>
      </c>
      <c r="B3252" s="1824" t="str">
        <f>'4W'!AP36</f>
        <v>W3036NPSC</v>
      </c>
      <c r="C3252" t="str">
        <f>'4W'!C36&amp;" - "&amp;'4W'!G$28</f>
        <v>Costs associated with Industrial Emissions Directive - Network plus  sewage collection</v>
      </c>
      <c r="D3252" s="1822" t="str">
        <f>'4W'!E36</f>
        <v>£m</v>
      </c>
      <c r="E3252" s="1636" t="s">
        <v>9</v>
      </c>
      <c r="F3252"/>
      <c r="G3252" s="1792">
        <f>'4W'!G36</f>
        <v>0</v>
      </c>
      <c r="H3252" s="1636"/>
    </row>
    <row r="3253" spans="1:8">
      <c r="A3253" s="1620" t="str">
        <f>INDEX(Lists!$C$4:$C$24,MATCH(Validation!$B$3,Lists!$B$4:$B$24,0))</f>
        <v>TMS</v>
      </c>
      <c r="B3253" s="1824" t="str">
        <f>'4W'!AP39</f>
        <v>W3033NPSC</v>
      </c>
      <c r="C3253" t="str">
        <f>'4W'!C39&amp;" - "&amp;'4W'!G$28</f>
        <v>Canal &amp; River Trust service charges and discharge consents - Network plus  sewage collection</v>
      </c>
      <c r="D3253" s="1822" t="str">
        <f>'4W'!E39</f>
        <v>£m</v>
      </c>
      <c r="E3253" s="1636" t="s">
        <v>9</v>
      </c>
      <c r="F3253"/>
      <c r="G3253" s="1792">
        <f>'4W'!G39</f>
        <v>0.854321</v>
      </c>
      <c r="H3253" s="1636"/>
    </row>
    <row r="3254" spans="1:8">
      <c r="A3254" s="1620" t="str">
        <f>INDEX(Lists!$C$4:$C$24,MATCH(Validation!$B$3,Lists!$B$4:$B$24,0))</f>
        <v>TMS</v>
      </c>
      <c r="B3254" s="1824" t="str">
        <f>'4W'!AP40</f>
        <v>W3034NPSC</v>
      </c>
      <c r="C3254" t="str">
        <f>'4W'!C40&amp;" - "&amp;'4W'!G$28</f>
        <v>Environment Agency service charges / discharge consents - Network plus  sewage collection</v>
      </c>
      <c r="D3254" s="1822" t="str">
        <f>'4W'!E40</f>
        <v>£m</v>
      </c>
      <c r="E3254" s="1636" t="s">
        <v>9</v>
      </c>
      <c r="F3254"/>
      <c r="G3254" s="1792">
        <f>'4W'!G40</f>
        <v>0.573353</v>
      </c>
      <c r="H3254" s="1636"/>
    </row>
    <row r="3255" spans="1:8">
      <c r="A3255" s="1730" t="str">
        <f>INDEX(Lists!$C$4:$C$24,MATCH(Validation!$B$3,Lists!$B$4:$B$24,0))</f>
        <v>TMS</v>
      </c>
      <c r="B3255" s="1828" t="str">
        <f>'4W'!AP41</f>
        <v>W3035NPSC</v>
      </c>
      <c r="C3255" s="1819" t="str">
        <f>'4W'!C41&amp;" - "&amp;'4W'!G$28</f>
        <v>Other service charges / permits - Network plus  sewage collection</v>
      </c>
      <c r="D3255" s="1827" t="str">
        <f>'4W'!E41</f>
        <v>£m</v>
      </c>
      <c r="E3255" s="1652" t="s">
        <v>9</v>
      </c>
      <c r="F3255" s="1819"/>
      <c r="G3255" s="1826">
        <f>'4W'!G41</f>
        <v>0.30745133000000002</v>
      </c>
      <c r="H3255" s="1652"/>
    </row>
    <row r="3256" spans="1:8">
      <c r="A3256" s="1620" t="str">
        <f>INDEX(Lists!$C$4:$C$24,MATCH(Validation!$B$3,Lists!$B$4:$B$24,0))</f>
        <v>TMS</v>
      </c>
      <c r="B3256" s="1732" t="str">
        <f>'4W'!AQ7</f>
        <v>BM402STRSL</v>
      </c>
      <c r="C3256" t="str">
        <f>'4W'!C7&amp;" - "&amp;'4W'!H$3</f>
        <v>Power - Raw sludge liming</v>
      </c>
      <c r="D3256" s="1620" t="str">
        <f>+D3235</f>
        <v>£m</v>
      </c>
      <c r="E3256" s="1636" t="s">
        <v>9</v>
      </c>
      <c r="F3256"/>
      <c r="G3256" s="1791">
        <f>'4W'!H7</f>
        <v>-0.76083773622928252</v>
      </c>
      <c r="H3256" s="1636"/>
    </row>
    <row r="3257" spans="1:8">
      <c r="A3257" s="1620" t="str">
        <f>INDEX(Lists!$C$4:$C$24,MATCH(Validation!$B$3,Lists!$B$4:$B$24,0))</f>
        <v>TMS</v>
      </c>
      <c r="B3257" s="1732" t="str">
        <f>'4W'!AQ8</f>
        <v>BM836STRSL</v>
      </c>
      <c r="C3257" t="str">
        <f>'4W'!C8&amp;" - "&amp;'4W'!H$3</f>
        <v>Income treated as negative expenditure - Raw sludge liming</v>
      </c>
      <c r="D3257" s="1620" t="str">
        <f t="shared" ref="D3257:D3309" si="70">+D3236</f>
        <v>£m</v>
      </c>
      <c r="E3257" s="1636" t="s">
        <v>9</v>
      </c>
      <c r="F3257"/>
      <c r="G3257" s="1791">
        <f>'4W'!H8</f>
        <v>-0.52974000199232363</v>
      </c>
      <c r="H3257" s="1636"/>
    </row>
    <row r="3258" spans="1:8">
      <c r="A3258" s="1620" t="str">
        <f>INDEX(Lists!$C$4:$C$24,MATCH(Validation!$B$3,Lists!$B$4:$B$24,0))</f>
        <v>TMS</v>
      </c>
      <c r="B3258" s="1732" t="str">
        <f>'4W'!AQ9</f>
        <v>BM817STRSL</v>
      </c>
      <c r="C3258" t="str">
        <f>'4W'!C9&amp;" - "&amp;'4W'!H$3</f>
        <v>Local authority and Cumulo rates - Raw sludge liming</v>
      </c>
      <c r="D3258" s="1620" t="str">
        <f t="shared" si="70"/>
        <v>£m</v>
      </c>
      <c r="E3258" s="1636" t="s">
        <v>9</v>
      </c>
      <c r="F3258"/>
      <c r="G3258" s="1791">
        <f>'4W'!H9</f>
        <v>0.49527075379875507</v>
      </c>
      <c r="H3258" s="1636"/>
    </row>
    <row r="3259" spans="1:8">
      <c r="A3259" s="1620" t="str">
        <f>INDEX(Lists!$C$4:$C$24,MATCH(Validation!$B$3,Lists!$B$4:$B$24,0))</f>
        <v>TMS</v>
      </c>
      <c r="B3259" s="1732" t="str">
        <f>'4W'!AQ10</f>
        <v>BM408STRSL</v>
      </c>
      <c r="C3259" t="str">
        <f>'4W'!C10&amp;" - "&amp;'4W'!H$3</f>
        <v>Other direct operating expenditure - Raw sludge liming</v>
      </c>
      <c r="D3259" s="1620" t="str">
        <f t="shared" si="70"/>
        <v>£m</v>
      </c>
      <c r="E3259" s="1636" t="s">
        <v>9</v>
      </c>
      <c r="F3259"/>
      <c r="G3259" s="1791">
        <f>'4W'!H10</f>
        <v>2.3961242860457923</v>
      </c>
      <c r="H3259" s="1636"/>
    </row>
    <row r="3260" spans="1:8">
      <c r="A3260" s="1620" t="str">
        <f>INDEX(Lists!$C$4:$C$24,MATCH(Validation!$B$3,Lists!$B$4:$B$24,0))</f>
        <v>TMS</v>
      </c>
      <c r="B3260" s="1732" t="str">
        <f>'4W'!AQ11</f>
        <v>BM410STRSL</v>
      </c>
      <c r="C3260" t="str">
        <f>'4W'!C11&amp;" - "&amp;'4W'!H$3</f>
        <v>Other indirect operating expenditure - Raw sludge liming</v>
      </c>
      <c r="D3260" s="1620" t="str">
        <f t="shared" si="70"/>
        <v>£m</v>
      </c>
      <c r="E3260" s="1636" t="s">
        <v>9</v>
      </c>
      <c r="F3260"/>
      <c r="G3260" s="1791">
        <f>'4W'!H11</f>
        <v>0.36742669914703119</v>
      </c>
      <c r="H3260" s="1636"/>
    </row>
    <row r="3261" spans="1:8">
      <c r="A3261" s="1620" t="str">
        <f>INDEX(Lists!$C$4:$C$24,MATCH(Validation!$B$3,Lists!$B$4:$B$24,0))</f>
        <v>TMS</v>
      </c>
      <c r="B3261" s="1732" t="str">
        <f>'4W'!AQ13</f>
        <v>FT00865STRSL</v>
      </c>
      <c r="C3261" t="str">
        <f>'4W'!C13&amp;" - "&amp;'4W'!H$3</f>
        <v>Depreciation - Raw sludge liming</v>
      </c>
      <c r="D3261" s="1620" t="str">
        <f t="shared" si="70"/>
        <v>£m</v>
      </c>
      <c r="E3261" s="1636" t="s">
        <v>9</v>
      </c>
      <c r="F3261"/>
      <c r="G3261" s="1791">
        <f>'4W'!H13</f>
        <v>1.6575159471354168</v>
      </c>
      <c r="H3261" s="1636"/>
    </row>
    <row r="3262" spans="1:8">
      <c r="A3262" s="1620" t="str">
        <f>INDEX(Lists!$C$4:$C$24,MATCH(Validation!$B$3,Lists!$B$4:$B$24,0))</f>
        <v>TMS</v>
      </c>
      <c r="B3262" s="1732" t="str">
        <f>'4W'!AQ17</f>
        <v>BM402SDRSL</v>
      </c>
      <c r="C3262" t="str">
        <f>'4W'!C17&amp;" - "&amp;'4W'!H$3</f>
        <v>Power - Raw sludge liming</v>
      </c>
      <c r="D3262" s="1620" t="str">
        <f t="shared" si="70"/>
        <v>£m</v>
      </c>
      <c r="E3262" s="1636" t="s">
        <v>9</v>
      </c>
      <c r="F3262"/>
      <c r="G3262" s="1791">
        <f>'4W'!H17</f>
        <v>4.1014227276641333E-3</v>
      </c>
      <c r="H3262" s="1636"/>
    </row>
    <row r="3263" spans="1:8">
      <c r="A3263" s="1620" t="str">
        <f>INDEX(Lists!$C$4:$C$24,MATCH(Validation!$B$3,Lists!$B$4:$B$24,0))</f>
        <v>TMS</v>
      </c>
      <c r="B3263" s="1732" t="str">
        <f>'4W'!AQ18</f>
        <v>BM836SDRSL</v>
      </c>
      <c r="C3263" t="str">
        <f>'4W'!C18&amp;" - "&amp;'4W'!H$3</f>
        <v>Income treated as negative expenditure - Raw sludge liming</v>
      </c>
      <c r="D3263" s="1620" t="str">
        <f t="shared" si="70"/>
        <v>£m</v>
      </c>
      <c r="E3263" s="1636" t="s">
        <v>9</v>
      </c>
      <c r="F3263"/>
      <c r="G3263" s="1791">
        <f>'4W'!H18</f>
        <v>-8.5756449852303226E-2</v>
      </c>
      <c r="H3263" s="1636"/>
    </row>
    <row r="3264" spans="1:8">
      <c r="A3264" s="1620" t="str">
        <f>INDEX(Lists!$C$4:$C$24,MATCH(Validation!$B$3,Lists!$B$4:$B$24,0))</f>
        <v>TMS</v>
      </c>
      <c r="B3264" s="1732" t="str">
        <f>'4W'!AQ19</f>
        <v>BM817SDRSL</v>
      </c>
      <c r="C3264" t="str">
        <f>'4W'!C19&amp;" - "&amp;'4W'!H$3</f>
        <v>Local authority and Cumulo rates - Raw sludge liming</v>
      </c>
      <c r="D3264" s="1620" t="str">
        <f t="shared" si="70"/>
        <v>£m</v>
      </c>
      <c r="E3264" s="1636" t="s">
        <v>9</v>
      </c>
      <c r="F3264"/>
      <c r="G3264" s="1791">
        <f>'4W'!H19</f>
        <v>9.203047235764672E-2</v>
      </c>
      <c r="H3264" s="1636"/>
    </row>
    <row r="3265" spans="1:8">
      <c r="A3265" s="1620" t="str">
        <f>INDEX(Lists!$C$4:$C$24,MATCH(Validation!$B$3,Lists!$B$4:$B$24,0))</f>
        <v>TMS</v>
      </c>
      <c r="B3265" s="1732" t="str">
        <f>'4W'!AQ20</f>
        <v>BM408SDRSL</v>
      </c>
      <c r="C3265" t="str">
        <f>'4W'!C20&amp;" - "&amp;'4W'!H$3</f>
        <v>Other direct operating expenditure - Raw sludge liming</v>
      </c>
      <c r="D3265" s="1620" t="str">
        <f t="shared" si="70"/>
        <v>£m</v>
      </c>
      <c r="E3265" s="1636" t="s">
        <v>9</v>
      </c>
      <c r="F3265"/>
      <c r="G3265" s="1791">
        <f>'4W'!H20</f>
        <v>1.6127563270206304</v>
      </c>
      <c r="H3265" s="1636"/>
    </row>
    <row r="3266" spans="1:8">
      <c r="A3266" s="1620" t="str">
        <f>INDEX(Lists!$C$4:$C$24,MATCH(Validation!$B$3,Lists!$B$4:$B$24,0))</f>
        <v>TMS</v>
      </c>
      <c r="B3266" s="1732" t="str">
        <f>'4W'!AQ21</f>
        <v>BM410SDRSL</v>
      </c>
      <c r="C3266" t="str">
        <f>'4W'!C21&amp;" - "&amp;'4W'!H$3</f>
        <v>Other indirect operating expenditure - Raw sludge liming</v>
      </c>
      <c r="D3266" s="1620" t="str">
        <f t="shared" si="70"/>
        <v>£m</v>
      </c>
      <c r="E3266" s="1636" t="s">
        <v>9</v>
      </c>
      <c r="F3266"/>
      <c r="G3266" s="1791">
        <f>'4W'!H21</f>
        <v>0.27505570711868965</v>
      </c>
      <c r="H3266" s="1636"/>
    </row>
    <row r="3267" spans="1:8">
      <c r="A3267" s="1620" t="str">
        <f>INDEX(Lists!$C$4:$C$24,MATCH(Validation!$B$3,Lists!$B$4:$B$24,0))</f>
        <v>TMS</v>
      </c>
      <c r="B3267" s="1732" t="str">
        <f>'4W'!AQ23</f>
        <v>FT00865SDRSL</v>
      </c>
      <c r="C3267" t="str">
        <f>'4W'!C23&amp;" - "&amp;'4W'!H$3</f>
        <v>Depreciation - Raw sludge liming</v>
      </c>
      <c r="D3267" s="1620" t="str">
        <f t="shared" si="70"/>
        <v>£m</v>
      </c>
      <c r="E3267" s="1636" t="s">
        <v>9</v>
      </c>
      <c r="F3267"/>
      <c r="G3267" s="1791">
        <f>'4W'!H23</f>
        <v>1.599314696310389</v>
      </c>
      <c r="H3267" s="1636"/>
    </row>
    <row r="3268" spans="1:8">
      <c r="A3268" s="1620" t="str">
        <f>INDEX(Lists!$C$4:$C$24,MATCH(Validation!$B$3,Lists!$B$4:$B$24,0))</f>
        <v>TMS</v>
      </c>
      <c r="B3268" s="1732" t="str">
        <f>'4W'!AQ31</f>
        <v>BM3010NPST</v>
      </c>
      <c r="C3268" t="str">
        <f>'4W'!C31&amp;" - "&amp;'4W'!H$28</f>
        <v>Employment costs - directly allocated - Network plus  sewage treatment</v>
      </c>
      <c r="D3268" s="1620" t="str">
        <f t="shared" si="70"/>
        <v>£m</v>
      </c>
      <c r="E3268" s="1636" t="s">
        <v>9</v>
      </c>
      <c r="F3268"/>
      <c r="G3268" s="1791">
        <f>'4W'!H31</f>
        <v>37.491572682267638</v>
      </c>
      <c r="H3268" s="1636"/>
    </row>
    <row r="3269" spans="1:8">
      <c r="A3269" s="1620" t="str">
        <f>INDEX(Lists!$C$4:$C$24,MATCH(Validation!$B$3,Lists!$B$4:$B$24,0))</f>
        <v>TMS</v>
      </c>
      <c r="B3269" s="1732" t="str">
        <f>'4W'!AQ32</f>
        <v>BM3011NPST</v>
      </c>
      <c r="C3269" t="str">
        <f>'4W'!C32&amp;" - "&amp;'4W'!H$28</f>
        <v>Employment costs - indirectly allocated - Network plus  sewage treatment</v>
      </c>
      <c r="D3269" s="1620" t="str">
        <f t="shared" si="70"/>
        <v>£m</v>
      </c>
      <c r="E3269" s="1636" t="s">
        <v>9</v>
      </c>
      <c r="F3269"/>
      <c r="G3269" s="1791">
        <f>'4W'!H32</f>
        <v>14.267674972712772</v>
      </c>
      <c r="H3269" s="1636"/>
    </row>
    <row r="3270" spans="1:8">
      <c r="A3270" s="1620" t="str">
        <f>INDEX(Lists!$C$4:$C$24,MATCH(Validation!$B$3,Lists!$B$4:$B$24,0))</f>
        <v>TMS</v>
      </c>
      <c r="B3270" s="1824" t="str">
        <f>'4W'!AQ33</f>
        <v>W3030NPST</v>
      </c>
      <c r="C3270" t="str">
        <f>'4W'!C33&amp;" - "&amp;'4W'!H$28</f>
        <v>Number FTEs consistent with line 4W.17 - Network plus  sewage treatment</v>
      </c>
      <c r="D3270" s="1620" t="str">
        <f t="shared" si="70"/>
        <v>Nr</v>
      </c>
      <c r="E3270" s="1636" t="s">
        <v>9</v>
      </c>
      <c r="F3270"/>
      <c r="G3270" s="1792">
        <f>'4W'!H33</f>
        <v>711.38244272147892</v>
      </c>
      <c r="H3270" s="1636"/>
    </row>
    <row r="3271" spans="1:8">
      <c r="A3271" s="1620" t="str">
        <f>INDEX(Lists!$C$4:$C$24,MATCH(Validation!$B$3,Lists!$B$4:$B$24,0))</f>
        <v>TMS</v>
      </c>
      <c r="B3271" s="1824" t="str">
        <f>'4W'!AQ34</f>
        <v>W3031NPST</v>
      </c>
      <c r="C3271" t="str">
        <f>'4W'!C34&amp;" - "&amp;'4W'!H$28</f>
        <v>Number FTEs consistent with line 4W.18 above - Network plus  sewage treatment</v>
      </c>
      <c r="D3271" s="1620" t="str">
        <f t="shared" si="70"/>
        <v>Nr</v>
      </c>
      <c r="E3271" s="1636" t="s">
        <v>9</v>
      </c>
      <c r="F3271"/>
      <c r="G3271" s="1792">
        <f>'4W'!H34</f>
        <v>270.72146479587542</v>
      </c>
      <c r="H3271" s="1636"/>
    </row>
    <row r="3272" spans="1:8">
      <c r="A3272" s="1620" t="str">
        <f>INDEX(Lists!$C$4:$C$24,MATCH(Validation!$B$3,Lists!$B$4:$B$24,0))</f>
        <v>TMS</v>
      </c>
      <c r="B3272" s="1824" t="str">
        <f>'4W'!AQ35</f>
        <v>W3032NPST</v>
      </c>
      <c r="C3272" t="str">
        <f>'4W'!C35&amp;" - "&amp;'4W'!H$28</f>
        <v>Costs asscociated with Traffic Management Act - Network plus  sewage treatment</v>
      </c>
      <c r="D3272" s="1620" t="str">
        <f t="shared" si="70"/>
        <v>£m</v>
      </c>
      <c r="E3272" s="1636" t="s">
        <v>9</v>
      </c>
      <c r="F3272"/>
      <c r="G3272" s="1792">
        <f>'4W'!H35</f>
        <v>0</v>
      </c>
      <c r="H3272" s="1636"/>
    </row>
    <row r="3273" spans="1:8">
      <c r="A3273" s="1620" t="str">
        <f>INDEX(Lists!$C$4:$C$24,MATCH(Validation!$B$3,Lists!$B$4:$B$24,0))</f>
        <v>TMS</v>
      </c>
      <c r="B3273" s="1824" t="str">
        <f>'4W'!AQ36</f>
        <v>W3036NPST</v>
      </c>
      <c r="C3273" t="str">
        <f>'4W'!C36&amp;" - "&amp;'4W'!H$28</f>
        <v>Costs associated with Industrial Emissions Directive - Network plus  sewage treatment</v>
      </c>
      <c r="D3273" s="1620" t="str">
        <f t="shared" si="70"/>
        <v>£m</v>
      </c>
      <c r="E3273" s="1636" t="s">
        <v>9</v>
      </c>
      <c r="F3273"/>
      <c r="G3273" s="1792">
        <f>'4W'!H36</f>
        <v>0</v>
      </c>
      <c r="H3273" s="1636"/>
    </row>
    <row r="3274" spans="1:8">
      <c r="A3274" s="1620" t="str">
        <f>INDEX(Lists!$C$4:$C$24,MATCH(Validation!$B$3,Lists!$B$4:$B$24,0))</f>
        <v>TMS</v>
      </c>
      <c r="B3274" s="1824" t="str">
        <f>'4W'!AQ39</f>
        <v>W3033NPST</v>
      </c>
      <c r="C3274" t="str">
        <f>'4W'!C39&amp;" - "&amp;'4W'!H$28</f>
        <v>Canal &amp; River Trust service charges and discharge consents - Network plus  sewage treatment</v>
      </c>
      <c r="D3274" s="1620" t="str">
        <f t="shared" si="70"/>
        <v>£m</v>
      </c>
      <c r="E3274" s="1636" t="s">
        <v>9</v>
      </c>
      <c r="F3274"/>
      <c r="G3274" s="1792">
        <f>'4W'!H39</f>
        <v>0</v>
      </c>
      <c r="H3274" s="1636"/>
    </row>
    <row r="3275" spans="1:8">
      <c r="A3275" s="1620" t="str">
        <f>INDEX(Lists!$C$4:$C$24,MATCH(Validation!$B$3,Lists!$B$4:$B$24,0))</f>
        <v>TMS</v>
      </c>
      <c r="B3275" s="1824" t="str">
        <f>'4W'!AQ40</f>
        <v>W3034NPST</v>
      </c>
      <c r="C3275" t="str">
        <f>'4W'!C40&amp;" - "&amp;'4W'!H$28</f>
        <v>Environment Agency service charges / discharge consents - Network plus  sewage treatment</v>
      </c>
      <c r="D3275" s="1620" t="str">
        <f t="shared" si="70"/>
        <v>£m</v>
      </c>
      <c r="E3275" s="1636" t="s">
        <v>9</v>
      </c>
      <c r="F3275"/>
      <c r="G3275" s="1792">
        <f>'4W'!H40</f>
        <v>3.4482976499999998</v>
      </c>
      <c r="H3275" s="1636"/>
    </row>
    <row r="3276" spans="1:8">
      <c r="A3276" s="1730" t="str">
        <f>INDEX(Lists!$C$4:$C$24,MATCH(Validation!$B$3,Lists!$B$4:$B$24,0))</f>
        <v>TMS</v>
      </c>
      <c r="B3276" s="1828" t="str">
        <f>'4W'!AQ41</f>
        <v>W3035NPST</v>
      </c>
      <c r="C3276" s="1819" t="str">
        <f>'4W'!C41&amp;" - "&amp;'4W'!H$28</f>
        <v>Other service charges / permits - Network plus  sewage treatment</v>
      </c>
      <c r="D3276" s="1730" t="str">
        <f t="shared" si="70"/>
        <v>£m</v>
      </c>
      <c r="E3276" s="1652" t="s">
        <v>9</v>
      </c>
      <c r="F3276" s="1819"/>
      <c r="G3276" s="1826">
        <f>'4W'!H41</f>
        <v>0.13003106145528115</v>
      </c>
      <c r="H3276" s="1652"/>
    </row>
    <row r="3277" spans="1:8">
      <c r="A3277" s="1620" t="str">
        <f>INDEX(Lists!$C$4:$C$24,MATCH(Validation!$B$3,Lists!$B$4:$B$24,0))</f>
        <v>TMS</v>
      </c>
      <c r="B3277" s="1732" t="str">
        <f>'4W'!AR7</f>
        <v>BM402STCAD</v>
      </c>
      <c r="C3277" t="str">
        <f>'4W'!C7&amp;" - "&amp;'4W'!I$3</f>
        <v>Power - Conventional AD</v>
      </c>
      <c r="D3277" s="1620" t="str">
        <f t="shared" si="70"/>
        <v>£m</v>
      </c>
      <c r="E3277" s="1636" t="s">
        <v>9</v>
      </c>
      <c r="F3277"/>
      <c r="G3277" s="1791">
        <f>'4W'!I7</f>
        <v>-3.9701896417782558</v>
      </c>
      <c r="H3277" s="1636"/>
    </row>
    <row r="3278" spans="1:8">
      <c r="A3278" s="1620" t="str">
        <f>INDEX(Lists!$C$4:$C$24,MATCH(Validation!$B$3,Lists!$B$4:$B$24,0))</f>
        <v>TMS</v>
      </c>
      <c r="B3278" s="1732" t="str">
        <f>'4W'!AR8</f>
        <v>BM836STCAD</v>
      </c>
      <c r="C3278" t="str">
        <f>'4W'!C8&amp;" - "&amp;'4W'!I$3</f>
        <v>Income treated as negative expenditure - Conventional AD</v>
      </c>
      <c r="D3278" s="1620" t="str">
        <f t="shared" si="70"/>
        <v>£m</v>
      </c>
      <c r="E3278" s="1636" t="s">
        <v>9</v>
      </c>
      <c r="F3278"/>
      <c r="G3278" s="1791">
        <f>'4W'!I8</f>
        <v>-2.7642796467599431</v>
      </c>
      <c r="H3278" s="1636"/>
    </row>
    <row r="3279" spans="1:8">
      <c r="A3279" s="1620" t="str">
        <f>INDEX(Lists!$C$4:$C$24,MATCH(Validation!$B$3,Lists!$B$4:$B$24,0))</f>
        <v>TMS</v>
      </c>
      <c r="B3279" s="1732" t="str">
        <f>'4W'!AR9</f>
        <v>BM817STCAD</v>
      </c>
      <c r="C3279" t="str">
        <f>'4W'!C9&amp;" - "&amp;'4W'!I$3</f>
        <v>Local authority and Cumulo rates - Conventional AD</v>
      </c>
      <c r="D3279" s="1620" t="str">
        <f t="shared" si="70"/>
        <v>£m</v>
      </c>
      <c r="E3279" s="1636" t="s">
        <v>9</v>
      </c>
      <c r="F3279"/>
      <c r="G3279" s="1791">
        <f>'4W'!I9</f>
        <v>2.5844128425498671</v>
      </c>
      <c r="H3279" s="1636"/>
    </row>
    <row r="3280" spans="1:8">
      <c r="A3280" s="1620" t="str">
        <f>INDEX(Lists!$C$4:$C$24,MATCH(Validation!$B$3,Lists!$B$4:$B$24,0))</f>
        <v>TMS</v>
      </c>
      <c r="B3280" s="1732" t="str">
        <f>'4W'!AR10</f>
        <v>BM408STCAD</v>
      </c>
      <c r="C3280" t="str">
        <f>'4W'!C10&amp;" - "&amp;'4W'!I$3</f>
        <v>Other direct operating expenditure - Conventional AD</v>
      </c>
      <c r="D3280" s="1620" t="str">
        <f t="shared" si="70"/>
        <v>£m</v>
      </c>
      <c r="E3280" s="1636" t="s">
        <v>9</v>
      </c>
      <c r="F3280"/>
      <c r="G3280" s="1791">
        <f>'4W'!I10</f>
        <v>12.503412183548042</v>
      </c>
      <c r="H3280" s="1636"/>
    </row>
    <row r="3281" spans="1:8">
      <c r="A3281" s="1620" t="str">
        <f>INDEX(Lists!$C$4:$C$24,MATCH(Validation!$B$3,Lists!$B$4:$B$24,0))</f>
        <v>TMS</v>
      </c>
      <c r="B3281" s="1732" t="str">
        <f>'4W'!AR11</f>
        <v>BM410STCAD</v>
      </c>
      <c r="C3281" t="str">
        <f>'4W'!C11&amp;" - "&amp;'4W'!I$3</f>
        <v>Other indirect operating expenditure - Conventional AD</v>
      </c>
      <c r="D3281" s="1620" t="str">
        <f t="shared" si="70"/>
        <v>£m</v>
      </c>
      <c r="E3281" s="1636" t="s">
        <v>9</v>
      </c>
      <c r="F3281"/>
      <c r="G3281" s="1791">
        <f>'4W'!I11</f>
        <v>1.9172993210035989</v>
      </c>
      <c r="H3281" s="1636"/>
    </row>
    <row r="3282" spans="1:8">
      <c r="A3282" s="1620" t="str">
        <f>INDEX(Lists!$C$4:$C$24,MATCH(Validation!$B$3,Lists!$B$4:$B$24,0))</f>
        <v>TMS</v>
      </c>
      <c r="B3282" s="1732" t="str">
        <f>'4W'!AR13</f>
        <v>FT00865STCAD</v>
      </c>
      <c r="C3282" t="str">
        <f>'4W'!C13&amp;" - "&amp;'4W'!I$3</f>
        <v>Depreciation - Conventional AD</v>
      </c>
      <c r="D3282" s="1620" t="str">
        <f t="shared" si="70"/>
        <v>£m</v>
      </c>
      <c r="E3282" s="1636" t="s">
        <v>9</v>
      </c>
      <c r="F3282"/>
      <c r="G3282" s="1791">
        <f>'4W'!I13</f>
        <v>8.6492195786884469</v>
      </c>
      <c r="H3282" s="1636"/>
    </row>
    <row r="3283" spans="1:8">
      <c r="A3283" s="1620" t="str">
        <f>INDEX(Lists!$C$4:$C$24,MATCH(Validation!$B$3,Lists!$B$4:$B$24,0))</f>
        <v>TMS</v>
      </c>
      <c r="B3283" s="1732" t="str">
        <f>'4W'!AR17</f>
        <v>BM402SDCAD</v>
      </c>
      <c r="C3283" t="str">
        <f>'4W'!C17&amp;" - "&amp;'4W'!I$3</f>
        <v>Power - Conventional AD</v>
      </c>
      <c r="D3283" s="1620" t="str">
        <f t="shared" si="70"/>
        <v>£m</v>
      </c>
      <c r="E3283" s="1636" t="s">
        <v>9</v>
      </c>
      <c r="F3283"/>
      <c r="G3283" s="1791">
        <f>'4W'!I17</f>
        <v>1.3420973520441819E-2</v>
      </c>
      <c r="H3283" s="1636"/>
    </row>
    <row r="3284" spans="1:8">
      <c r="A3284" s="1620" t="str">
        <f>INDEX(Lists!$C$4:$C$24,MATCH(Validation!$B$3,Lists!$B$4:$B$24,0))</f>
        <v>TMS</v>
      </c>
      <c r="B3284" s="1732" t="str">
        <f>'4W'!AR18</f>
        <v>BM836SDCAD</v>
      </c>
      <c r="C3284" t="str">
        <f>'4W'!C18&amp;" - "&amp;'4W'!I$3</f>
        <v>Income treated as negative expenditure - Conventional AD</v>
      </c>
      <c r="D3284" s="1620" t="str">
        <f t="shared" si="70"/>
        <v>£m</v>
      </c>
      <c r="E3284" s="1636" t="s">
        <v>9</v>
      </c>
      <c r="F3284"/>
      <c r="G3284" s="1791">
        <f>'4W'!I18</f>
        <v>-0.28061848755842483</v>
      </c>
      <c r="H3284" s="1636"/>
    </row>
    <row r="3285" spans="1:8">
      <c r="A3285" s="1620" t="str">
        <f>INDEX(Lists!$C$4:$C$24,MATCH(Validation!$B$3,Lists!$B$4:$B$24,0))</f>
        <v>TMS</v>
      </c>
      <c r="B3285" s="1732" t="str">
        <f>'4W'!AR19</f>
        <v>BM817SDCAD</v>
      </c>
      <c r="C3285" t="str">
        <f>'4W'!C19&amp;" - "&amp;'4W'!I$3</f>
        <v>Local authority and Cumulo rates - Conventional AD</v>
      </c>
      <c r="D3285" s="1620" t="str">
        <f t="shared" si="70"/>
        <v>£m</v>
      </c>
      <c r="E3285" s="1636" t="s">
        <v>9</v>
      </c>
      <c r="F3285"/>
      <c r="G3285" s="1791">
        <f>'4W'!I19</f>
        <v>0.30114879996512162</v>
      </c>
      <c r="H3285" s="1636"/>
    </row>
    <row r="3286" spans="1:8">
      <c r="A3286" s="1620" t="str">
        <f>INDEX(Lists!$C$4:$C$24,MATCH(Validation!$B$3,Lists!$B$4:$B$24,0))</f>
        <v>TMS</v>
      </c>
      <c r="B3286" s="1732" t="str">
        <f>'4W'!AR20</f>
        <v>BM408SDCAD</v>
      </c>
      <c r="C3286" t="str">
        <f>'4W'!C20&amp;" - "&amp;'4W'!I$3</f>
        <v>Other direct operating expenditure - Conventional AD</v>
      </c>
      <c r="D3286" s="1620" t="str">
        <f t="shared" si="70"/>
        <v>£m</v>
      </c>
      <c r="E3286" s="1636" t="s">
        <v>9</v>
      </c>
      <c r="F3286"/>
      <c r="G3286" s="1791">
        <f>'4W'!I20</f>
        <v>5.2773784603754175</v>
      </c>
      <c r="H3286" s="1636"/>
    </row>
    <row r="3287" spans="1:8">
      <c r="A3287" s="1620" t="str">
        <f>INDEX(Lists!$C$4:$C$24,MATCH(Validation!$B$3,Lists!$B$4:$B$24,0))</f>
        <v>TMS</v>
      </c>
      <c r="B3287" s="1732" t="str">
        <f>'4W'!AR21</f>
        <v>BM410SDCAD</v>
      </c>
      <c r="C3287" t="str">
        <f>'4W'!C21&amp;" - "&amp;'4W'!I$3</f>
        <v>Other indirect operating expenditure - Conventional AD</v>
      </c>
      <c r="D3287" s="1620" t="str">
        <f t="shared" si="70"/>
        <v>£m</v>
      </c>
      <c r="E3287" s="1636" t="s">
        <v>9</v>
      </c>
      <c r="F3287"/>
      <c r="G3287" s="1791">
        <f>'4W'!I21</f>
        <v>0.90005727451282447</v>
      </c>
      <c r="H3287" s="1636"/>
    </row>
    <row r="3288" spans="1:8">
      <c r="A3288" s="1620" t="str">
        <f>INDEX(Lists!$C$4:$C$24,MATCH(Validation!$B$3,Lists!$B$4:$B$24,0))</f>
        <v>TMS</v>
      </c>
      <c r="B3288" s="1732" t="str">
        <f>'4W'!AR23</f>
        <v>FT00865SDCAD</v>
      </c>
      <c r="C3288" t="str">
        <f>'4W'!C23&amp;" - "&amp;'4W'!I$3</f>
        <v>Depreciation - Conventional AD</v>
      </c>
      <c r="D3288" s="1620" t="str">
        <f t="shared" si="70"/>
        <v>£m</v>
      </c>
      <c r="E3288" s="1636" t="s">
        <v>9</v>
      </c>
      <c r="F3288"/>
      <c r="G3288" s="1791">
        <f>'4W'!I23</f>
        <v>5.233393779494584</v>
      </c>
      <c r="H3288" s="1636"/>
    </row>
    <row r="3289" spans="1:8">
      <c r="A3289" s="1620" t="str">
        <f>INDEX(Lists!$C$4:$C$24,MATCH(Validation!$B$3,Lists!$B$4:$B$24,0))</f>
        <v>TMS</v>
      </c>
      <c r="B3289" s="1732" t="str">
        <f>'4W'!AR31</f>
        <v>BM3010SL</v>
      </c>
      <c r="C3289" t="str">
        <f>'4W'!C31&amp;" - "&amp;'4W'!I$28</f>
        <v>Employment costs - directly allocated - Sludge</v>
      </c>
      <c r="D3289" s="1620" t="str">
        <f t="shared" si="70"/>
        <v>£m</v>
      </c>
      <c r="E3289" s="1636" t="s">
        <v>9</v>
      </c>
      <c r="F3289"/>
      <c r="G3289" s="1791">
        <f>'4W'!I31</f>
        <v>17.160539380151725</v>
      </c>
      <c r="H3289" s="1636"/>
    </row>
    <row r="3290" spans="1:8">
      <c r="A3290" s="1620" t="str">
        <f>INDEX(Lists!$C$4:$C$24,MATCH(Validation!$B$3,Lists!$B$4:$B$24,0))</f>
        <v>TMS</v>
      </c>
      <c r="B3290" s="1732" t="str">
        <f>'4W'!AR32</f>
        <v>BM3011SL</v>
      </c>
      <c r="C3290" t="str">
        <f>'4W'!C32&amp;" - "&amp;'4W'!I$28</f>
        <v>Employment costs - indirectly allocated - Sludge</v>
      </c>
      <c r="D3290" s="1620" t="str">
        <f t="shared" si="70"/>
        <v>£m</v>
      </c>
      <c r="E3290" s="1636" t="s">
        <v>9</v>
      </c>
      <c r="F3290"/>
      <c r="G3290" s="1791">
        <f>'4W'!I32</f>
        <v>6.703525139801485</v>
      </c>
      <c r="H3290" s="1636"/>
    </row>
    <row r="3291" spans="1:8">
      <c r="A3291" s="1620" t="str">
        <f>INDEX(Lists!$C$4:$C$24,MATCH(Validation!$B$3,Lists!$B$4:$B$24,0))</f>
        <v>TMS</v>
      </c>
      <c r="B3291" s="1824" t="str">
        <f>'4W'!AR33</f>
        <v>W3030SL</v>
      </c>
      <c r="C3291" t="str">
        <f>'4W'!C33&amp;" - "&amp;'4W'!I$28</f>
        <v>Number FTEs consistent with line 4W.17 - Sludge</v>
      </c>
      <c r="D3291" s="1620" t="str">
        <f t="shared" si="70"/>
        <v>Nr</v>
      </c>
      <c r="E3291" s="1636" t="s">
        <v>9</v>
      </c>
      <c r="F3291"/>
      <c r="G3291" s="1792">
        <f>'4W'!I33</f>
        <v>416.29523130891408</v>
      </c>
      <c r="H3291" s="1636"/>
    </row>
    <row r="3292" spans="1:8">
      <c r="A3292" s="1620" t="str">
        <f>INDEX(Lists!$C$4:$C$24,MATCH(Validation!$B$3,Lists!$B$4:$B$24,0))</f>
        <v>TMS</v>
      </c>
      <c r="B3292" s="1824" t="str">
        <f>'4W'!AR34</f>
        <v>W3031SL</v>
      </c>
      <c r="C3292" t="str">
        <f>'4W'!C34&amp;" - "&amp;'4W'!I$28</f>
        <v>Number FTEs consistent with line 4W.18 above - Sludge</v>
      </c>
      <c r="D3292" s="1620" t="str">
        <f t="shared" si="70"/>
        <v>Nr</v>
      </c>
      <c r="E3292" s="1636" t="s">
        <v>9</v>
      </c>
      <c r="F3292"/>
      <c r="G3292" s="1792">
        <f>'4W'!I34</f>
        <v>162.61992043714574</v>
      </c>
      <c r="H3292" s="1636"/>
    </row>
    <row r="3293" spans="1:8">
      <c r="A3293" s="1620" t="str">
        <f>INDEX(Lists!$C$4:$C$24,MATCH(Validation!$B$3,Lists!$B$4:$B$24,0))</f>
        <v>TMS</v>
      </c>
      <c r="B3293" s="1824" t="str">
        <f>'4W'!AR35</f>
        <v>W3032SL</v>
      </c>
      <c r="C3293" t="str">
        <f>'4W'!C35&amp;" - "&amp;'4W'!I$28</f>
        <v>Costs asscociated with Traffic Management Act - Sludge</v>
      </c>
      <c r="D3293" s="1620" t="str">
        <f t="shared" si="70"/>
        <v>£m</v>
      </c>
      <c r="E3293" s="1636" t="s">
        <v>9</v>
      </c>
      <c r="F3293"/>
      <c r="G3293" s="1792">
        <f>'4W'!I35</f>
        <v>0</v>
      </c>
      <c r="H3293" s="1636"/>
    </row>
    <row r="3294" spans="1:8">
      <c r="A3294" s="1620" t="str">
        <f>INDEX(Lists!$C$4:$C$24,MATCH(Validation!$B$3,Lists!$B$4:$B$24,0))</f>
        <v>TMS</v>
      </c>
      <c r="B3294" s="1824" t="str">
        <f>'4W'!AR36</f>
        <v>W3036SL</v>
      </c>
      <c r="C3294" t="str">
        <f>'4W'!C36&amp;" - "&amp;'4W'!I$28</f>
        <v>Costs associated with Industrial Emissions Directive - Sludge</v>
      </c>
      <c r="D3294" s="1620" t="str">
        <f t="shared" si="70"/>
        <v>£m</v>
      </c>
      <c r="E3294" s="1636" t="s">
        <v>9</v>
      </c>
      <c r="F3294"/>
      <c r="G3294" s="1792">
        <f>'4W'!I36</f>
        <v>0.11253004000000001</v>
      </c>
      <c r="H3294" s="1636"/>
    </row>
    <row r="3295" spans="1:8">
      <c r="A3295" s="1620" t="str">
        <f>INDEX(Lists!$C$4:$C$24,MATCH(Validation!$B$3,Lists!$B$4:$B$24,0))</f>
        <v>TMS</v>
      </c>
      <c r="B3295" s="1824" t="str">
        <f>'4W'!AR39</f>
        <v>W3033SL</v>
      </c>
      <c r="C3295" t="str">
        <f>'4W'!C39&amp;" - "&amp;'4W'!I$28</f>
        <v>Canal &amp; River Trust service charges and discharge consents - Sludge</v>
      </c>
      <c r="D3295" s="1620" t="str">
        <f t="shared" si="70"/>
        <v>£m</v>
      </c>
      <c r="E3295" s="1636" t="s">
        <v>9</v>
      </c>
      <c r="F3295"/>
      <c r="G3295" s="1792">
        <f>'4W'!I39</f>
        <v>0</v>
      </c>
      <c r="H3295" s="1636"/>
    </row>
    <row r="3296" spans="1:8">
      <c r="A3296" s="1620" t="str">
        <f>INDEX(Lists!$C$4:$C$24,MATCH(Validation!$B$3,Lists!$B$4:$B$24,0))</f>
        <v>TMS</v>
      </c>
      <c r="B3296" s="1824" t="str">
        <f>'4W'!AR40</f>
        <v>W3034SL</v>
      </c>
      <c r="C3296" t="str">
        <f>'4W'!C40&amp;" - "&amp;'4W'!I$28</f>
        <v>Environment Agency service charges / discharge consents - Sludge</v>
      </c>
      <c r="D3296" s="1620" t="str">
        <f t="shared" si="70"/>
        <v>£m</v>
      </c>
      <c r="E3296" s="1636" t="s">
        <v>9</v>
      </c>
      <c r="F3296"/>
      <c r="G3296" s="1792">
        <f>'4W'!I40</f>
        <v>0</v>
      </c>
      <c r="H3296" s="1636"/>
    </row>
    <row r="3297" spans="1:8">
      <c r="A3297" s="1730" t="str">
        <f>INDEX(Lists!$C$4:$C$24,MATCH(Validation!$B$3,Lists!$B$4:$B$24,0))</f>
        <v>TMS</v>
      </c>
      <c r="B3297" s="1828" t="str">
        <f>'4W'!AR41</f>
        <v>W3035SL</v>
      </c>
      <c r="C3297" s="1819" t="str">
        <f>'4W'!C41&amp;" - "&amp;'4W'!I$28</f>
        <v>Other service charges / permits - Sludge</v>
      </c>
      <c r="D3297" s="1730" t="str">
        <f t="shared" si="70"/>
        <v>£m</v>
      </c>
      <c r="E3297" s="1652" t="s">
        <v>9</v>
      </c>
      <c r="F3297" s="1819"/>
      <c r="G3297" s="1826">
        <f>'4W'!I41</f>
        <v>3.2935808544718857E-2</v>
      </c>
      <c r="H3297" s="1652"/>
    </row>
    <row r="3298" spans="1:8">
      <c r="A3298" s="1620" t="str">
        <f>INDEX(Lists!$C$4:$C$24,MATCH(Validation!$B$3,Lists!$B$4:$B$24,0))</f>
        <v>TMS</v>
      </c>
      <c r="B3298" s="1732" t="str">
        <f>'4W'!AS7</f>
        <v>BM402STAD</v>
      </c>
      <c r="C3298" t="str">
        <f>'4W'!C7&amp;" - "&amp;'4W'!J$3</f>
        <v>Power - Advanced AD</v>
      </c>
      <c r="D3298" s="1620" t="str">
        <f t="shared" si="70"/>
        <v>£m</v>
      </c>
      <c r="E3298" s="1636" t="s">
        <v>9</v>
      </c>
      <c r="F3298"/>
      <c r="G3298" s="1791">
        <f>'4W'!J7</f>
        <v>-6.6538718386597253</v>
      </c>
      <c r="H3298" s="1636"/>
    </row>
    <row r="3299" spans="1:8">
      <c r="A3299" s="1620" t="str">
        <f>INDEX(Lists!$C$4:$C$24,MATCH(Validation!$B$3,Lists!$B$4:$B$24,0))</f>
        <v>TMS</v>
      </c>
      <c r="B3299" s="1732" t="str">
        <f>'4W'!AS8</f>
        <v>BM836STAD</v>
      </c>
      <c r="C3299" t="str">
        <f>'4W'!C8&amp;" - "&amp;'4W'!J$3</f>
        <v>Income treated as negative expenditure - Advanced AD</v>
      </c>
      <c r="D3299" s="1620" t="str">
        <f t="shared" si="70"/>
        <v>£m</v>
      </c>
      <c r="E3299" s="1636" t="s">
        <v>9</v>
      </c>
      <c r="F3299"/>
      <c r="G3299" s="1791">
        <f>'4W'!J8</f>
        <v>-4.6328171083328664</v>
      </c>
      <c r="H3299" s="1636"/>
    </row>
    <row r="3300" spans="1:8">
      <c r="A3300" s="1620" t="str">
        <f>INDEX(Lists!$C$4:$C$24,MATCH(Validation!$B$3,Lists!$B$4:$B$24,0))</f>
        <v>TMS</v>
      </c>
      <c r="B3300" s="1732" t="str">
        <f>'4W'!AS9</f>
        <v>BM817STAD</v>
      </c>
      <c r="C3300" t="str">
        <f>'4W'!C9&amp;" - "&amp;'4W'!J$3</f>
        <v>Local authority and Cumulo rates - Advanced AD</v>
      </c>
      <c r="D3300" s="1620" t="str">
        <f t="shared" si="70"/>
        <v>£m</v>
      </c>
      <c r="E3300" s="1636" t="s">
        <v>9</v>
      </c>
      <c r="F3300"/>
      <c r="G3300" s="1791">
        <f>'4W'!J9</f>
        <v>4.3313678650400211</v>
      </c>
      <c r="H3300" s="1636"/>
    </row>
    <row r="3301" spans="1:8">
      <c r="A3301" s="1620" t="str">
        <f>INDEX(Lists!$C$4:$C$24,MATCH(Validation!$B$3,Lists!$B$4:$B$24,0))</f>
        <v>TMS</v>
      </c>
      <c r="B3301" s="1732" t="str">
        <f>'4W'!AS10</f>
        <v>BM408STAD</v>
      </c>
      <c r="C3301" t="str">
        <f>'4W'!C10&amp;" - "&amp;'4W'!J$3</f>
        <v>Other direct operating expenditure - Advanced AD</v>
      </c>
      <c r="D3301" s="1620" t="str">
        <f t="shared" si="70"/>
        <v>£m</v>
      </c>
      <c r="E3301" s="1636" t="s">
        <v>9</v>
      </c>
      <c r="F3301"/>
      <c r="G3301" s="1791">
        <f>'4W'!J10</f>
        <v>20.9551960288732</v>
      </c>
      <c r="H3301" s="1636"/>
    </row>
    <row r="3302" spans="1:8">
      <c r="A3302" s="1620" t="str">
        <f>INDEX(Lists!$C$4:$C$24,MATCH(Validation!$B$3,Lists!$B$4:$B$24,0))</f>
        <v>TMS</v>
      </c>
      <c r="B3302" s="1732" t="str">
        <f>'4W'!AS11</f>
        <v>BM410STAD</v>
      </c>
      <c r="C3302" t="str">
        <f>'4W'!C11&amp;" - "&amp;'4W'!J$3</f>
        <v>Other indirect operating expenditure - Advanced AD</v>
      </c>
      <c r="D3302" s="1620" t="str">
        <f t="shared" si="70"/>
        <v>£m</v>
      </c>
      <c r="E3302" s="1636" t="s">
        <v>9</v>
      </c>
      <c r="F3302"/>
      <c r="G3302" s="1791">
        <f>'4W'!J11</f>
        <v>3.2133134961767635</v>
      </c>
      <c r="H3302" s="1636"/>
    </row>
    <row r="3303" spans="1:8">
      <c r="A3303" s="1620" t="str">
        <f>INDEX(Lists!$C$4:$C$24,MATCH(Validation!$B$3,Lists!$B$4:$B$24,0))</f>
        <v>TMS</v>
      </c>
      <c r="B3303" s="1732" t="str">
        <f>'4W'!AS13</f>
        <v>FT00865STAD</v>
      </c>
      <c r="C3303" t="str">
        <f>'4W'!C13&amp;" - "&amp;'4W'!J$3</f>
        <v>Depreciation - Advanced AD</v>
      </c>
      <c r="D3303" s="1620" t="str">
        <f t="shared" si="70"/>
        <v>£m</v>
      </c>
      <c r="E3303" s="1636" t="s">
        <v>9</v>
      </c>
      <c r="F3303"/>
      <c r="G3303" s="1791">
        <f>'4W'!J13</f>
        <v>14.495730374038828</v>
      </c>
      <c r="H3303" s="1636"/>
    </row>
    <row r="3304" spans="1:8">
      <c r="A3304" s="1620" t="str">
        <f>INDEX(Lists!$C$4:$C$24,MATCH(Validation!$B$3,Lists!$B$4:$B$24,0))</f>
        <v>TMS</v>
      </c>
      <c r="B3304" s="1732" t="str">
        <f>'4W'!AS17</f>
        <v>BM402SDAD</v>
      </c>
      <c r="C3304" t="str">
        <f>'4W'!C17&amp;" - "&amp;'4W'!J$3</f>
        <v>Power - Advanced AD</v>
      </c>
      <c r="D3304" s="1620" t="str">
        <f t="shared" si="70"/>
        <v>£m</v>
      </c>
      <c r="E3304" s="1636" t="s">
        <v>9</v>
      </c>
      <c r="F3304"/>
      <c r="G3304" s="1791">
        <f>'4W'!J17</f>
        <v>2.0405980729355962E-2</v>
      </c>
      <c r="H3304" s="1636"/>
    </row>
    <row r="3305" spans="1:8">
      <c r="A3305" s="1620" t="str">
        <f>INDEX(Lists!$C$4:$C$24,MATCH(Validation!$B$3,Lists!$B$4:$B$24,0))</f>
        <v>TMS</v>
      </c>
      <c r="B3305" s="1732" t="str">
        <f>'4W'!AS18</f>
        <v>BM836SDAD</v>
      </c>
      <c r="C3305" t="str">
        <f>'4W'!C18&amp;" - "&amp;'4W'!J$3</f>
        <v>Income treated as negative expenditure - Advanced AD</v>
      </c>
      <c r="D3305" s="1620" t="str">
        <f t="shared" si="70"/>
        <v>£m</v>
      </c>
      <c r="E3305" s="1636" t="s">
        <v>9</v>
      </c>
      <c r="F3305"/>
      <c r="G3305" s="1791">
        <f>'4W'!J18</f>
        <v>-0.4266676661492827</v>
      </c>
      <c r="H3305" s="1636"/>
    </row>
    <row r="3306" spans="1:8">
      <c r="A3306" s="1620" t="str">
        <f>INDEX(Lists!$C$4:$C$24,MATCH(Validation!$B$3,Lists!$B$4:$B$24,0))</f>
        <v>TMS</v>
      </c>
      <c r="B3306" s="1732" t="str">
        <f>'4W'!AS19</f>
        <v>BM817SDAD</v>
      </c>
      <c r="C3306" t="str">
        <f>'4W'!C19&amp;" - "&amp;'4W'!J$3</f>
        <v>Local authority and Cumulo rates - Advanced AD</v>
      </c>
      <c r="D3306" s="1620" t="str">
        <f t="shared" si="70"/>
        <v>£m</v>
      </c>
      <c r="E3306" s="1636" t="s">
        <v>9</v>
      </c>
      <c r="F3306"/>
      <c r="G3306" s="1791">
        <f>'4W'!J19</f>
        <v>0.45788307378723175</v>
      </c>
      <c r="H3306" s="1636"/>
    </row>
    <row r="3307" spans="1:8">
      <c r="A3307" s="1620" t="str">
        <f>INDEX(Lists!$C$4:$C$24,MATCH(Validation!$B$3,Lists!$B$4:$B$24,0))</f>
        <v>TMS</v>
      </c>
      <c r="B3307" s="1732" t="str">
        <f>'4W'!AS20</f>
        <v>BM408SDAD</v>
      </c>
      <c r="C3307" t="str">
        <f>'4W'!C20&amp;" - "&amp;'4W'!J$3</f>
        <v>Other direct operating expenditure - Advanced AD</v>
      </c>
      <c r="D3307" s="1620" t="str">
        <f t="shared" si="70"/>
        <v>£m</v>
      </c>
      <c r="E3307" s="1636" t="s">
        <v>9</v>
      </c>
      <c r="F3307"/>
      <c r="G3307" s="1791">
        <f>'4W'!J20</f>
        <v>8.024014278838532</v>
      </c>
      <c r="H3307" s="1636"/>
    </row>
    <row r="3308" spans="1:8">
      <c r="A3308" s="1620" t="str">
        <f>INDEX(Lists!$C$4:$C$24,MATCH(Validation!$B$3,Lists!$B$4:$B$24,0))</f>
        <v>TMS</v>
      </c>
      <c r="B3308" s="1732" t="str">
        <f>'4W'!AS21</f>
        <v>BM410SDAD</v>
      </c>
      <c r="C3308" t="str">
        <f>'4W'!C21&amp;" - "&amp;'4W'!J$3</f>
        <v>Other indirect operating expenditure - Advanced AD</v>
      </c>
      <c r="D3308" s="1620" t="str">
        <f t="shared" si="70"/>
        <v>£m</v>
      </c>
      <c r="E3308" s="1636" t="s">
        <v>9</v>
      </c>
      <c r="F3308"/>
      <c r="G3308" s="1791">
        <f>'4W'!J21</f>
        <v>1.3684962101333999</v>
      </c>
      <c r="H3308" s="1636"/>
    </row>
    <row r="3309" spans="1:8">
      <c r="A3309" s="1730" t="str">
        <f>INDEX(Lists!$C$4:$C$24,MATCH(Validation!$B$3,Lists!$B$4:$B$24,0))</f>
        <v>TMS</v>
      </c>
      <c r="B3309" s="1734" t="str">
        <f>'4W'!AS23</f>
        <v>FT00865SDAD</v>
      </c>
      <c r="C3309" s="1819" t="str">
        <f>'4W'!C23&amp;" - "&amp;'4W'!J$3</f>
        <v>Depreciation - Advanced AD</v>
      </c>
      <c r="D3309" s="1730" t="str">
        <f t="shared" si="70"/>
        <v>£m</v>
      </c>
      <c r="E3309" s="1652" t="s">
        <v>9</v>
      </c>
      <c r="F3309" s="1819"/>
      <c r="G3309" s="1820">
        <f>'4W'!J23</f>
        <v>7.9571375691070019</v>
      </c>
      <c r="H3309" s="1652"/>
    </row>
    <row r="3310" spans="1:8">
      <c r="A3310" s="1620" t="str">
        <f>INDEX(Lists!$C$4:$C$24,MATCH(Validation!$B$3,Lists!$B$4:$B$24,0))</f>
        <v>TMS</v>
      </c>
      <c r="B3310" s="1732" t="str">
        <f>'4W'!AT7</f>
        <v>BM402STIRS</v>
      </c>
      <c r="C3310" t="str">
        <f>'4W'!C7&amp;" - "&amp;'4W'!K$3</f>
        <v>Power - Incineration of raw sludge</v>
      </c>
      <c r="D3310" s="1620" t="str">
        <f>+D3304</f>
        <v>£m</v>
      </c>
      <c r="E3310" s="1636" t="s">
        <v>9</v>
      </c>
      <c r="F3310"/>
      <c r="G3310" s="1791">
        <f>'4W'!K7</f>
        <v>-2.3101800354598216</v>
      </c>
      <c r="H3310" s="1636"/>
    </row>
    <row r="3311" spans="1:8">
      <c r="A3311" s="1620" t="str">
        <f>INDEX(Lists!$C$4:$C$24,MATCH(Validation!$B$3,Lists!$B$4:$B$24,0))</f>
        <v>TMS</v>
      </c>
      <c r="B3311" s="1732" t="str">
        <f>'4W'!AT8</f>
        <v>BM836STIRS</v>
      </c>
      <c r="C3311" t="str">
        <f>'4W'!C8&amp;" - "&amp;'4W'!K$3</f>
        <v>Income treated as negative expenditure - Incineration of raw sludge</v>
      </c>
      <c r="D3311" s="1620" t="str">
        <f t="shared" ref="D3311:D3357" si="71">+D3305</f>
        <v>£m</v>
      </c>
      <c r="E3311" s="1636" t="s">
        <v>9</v>
      </c>
      <c r="F3311"/>
      <c r="G3311" s="1791">
        <f>'4W'!K8</f>
        <v>-1.6084832787766918</v>
      </c>
      <c r="H3311" s="1636"/>
    </row>
    <row r="3312" spans="1:8">
      <c r="A3312" s="1620" t="str">
        <f>INDEX(Lists!$C$4:$C$24,MATCH(Validation!$B$3,Lists!$B$4:$B$24,0))</f>
        <v>TMS</v>
      </c>
      <c r="B3312" s="1732" t="str">
        <f>'4W'!AT9</f>
        <v>BM817STIRS</v>
      </c>
      <c r="C3312" t="str">
        <f>'4W'!C9&amp;" - "&amp;'4W'!K$3</f>
        <v>Local authority and Cumulo rates - Incineration of raw sludge</v>
      </c>
      <c r="D3312" s="1620" t="str">
        <f t="shared" si="71"/>
        <v>£m</v>
      </c>
      <c r="E3312" s="1636" t="s">
        <v>9</v>
      </c>
      <c r="F3312"/>
      <c r="G3312" s="1791">
        <f>'4W'!K9</f>
        <v>1.5038221069889472</v>
      </c>
      <c r="H3312" s="1636"/>
    </row>
    <row r="3313" spans="1:8">
      <c r="A3313" s="1620" t="str">
        <f>INDEX(Lists!$C$4:$C$24,MATCH(Validation!$B$3,Lists!$B$4:$B$24,0))</f>
        <v>TMS</v>
      </c>
      <c r="B3313" s="1732" t="str">
        <f>'4W'!AT10</f>
        <v>BM408STIRS</v>
      </c>
      <c r="C3313" t="str">
        <f>'4W'!C10&amp;" - "&amp;'4W'!K$3</f>
        <v>Other direct operating expenditure - Incineration of raw sludge</v>
      </c>
      <c r="D3313" s="1620" t="str">
        <f t="shared" si="71"/>
        <v>£m</v>
      </c>
      <c r="E3313" s="1636" t="s">
        <v>9</v>
      </c>
      <c r="F3313"/>
      <c r="G3313" s="1791">
        <f>'4W'!K10</f>
        <v>7.2755046503572238</v>
      </c>
      <c r="H3313" s="1636"/>
    </row>
    <row r="3314" spans="1:8">
      <c r="A3314" s="1620" t="str">
        <f>INDEX(Lists!$C$4:$C$24,MATCH(Validation!$B$3,Lists!$B$4:$B$24,0))</f>
        <v>TMS</v>
      </c>
      <c r="B3314" s="1732" t="str">
        <f>'4W'!AT11</f>
        <v>BM410STIRS</v>
      </c>
      <c r="C3314" t="str">
        <f>'4W'!C11&amp;" - "&amp;'4W'!K$3</f>
        <v>Other indirect operating expenditure - Incineration of raw sludge</v>
      </c>
      <c r="D3314" s="1620" t="str">
        <f t="shared" si="71"/>
        <v>£m</v>
      </c>
      <c r="E3314" s="1636" t="s">
        <v>9</v>
      </c>
      <c r="F3314"/>
      <c r="G3314" s="1791">
        <f>'4W'!K11</f>
        <v>1.1156410683191675</v>
      </c>
      <c r="H3314" s="1636"/>
    </row>
    <row r="3315" spans="1:8">
      <c r="A3315" s="1620" t="str">
        <f>INDEX(Lists!$C$4:$C$24,MATCH(Validation!$B$3,Lists!$B$4:$B$24,0))</f>
        <v>TMS</v>
      </c>
      <c r="B3315" s="1732" t="str">
        <f>'4W'!AT13</f>
        <v>FT00865STIRS</v>
      </c>
      <c r="C3315" t="str">
        <f>'4W'!C13&amp;" - "&amp;'4W'!K$3</f>
        <v>Depreciation - Incineration of raw sludge</v>
      </c>
      <c r="D3315" s="1620" t="str">
        <f t="shared" si="71"/>
        <v>£m</v>
      </c>
      <c r="E3315" s="1636" t="s">
        <v>9</v>
      </c>
      <c r="F3315"/>
      <c r="G3315" s="1791">
        <f>'4W'!K13</f>
        <v>5.0328211485748113</v>
      </c>
      <c r="H3315" s="1636"/>
    </row>
    <row r="3316" spans="1:8">
      <c r="A3316" s="1620" t="str">
        <f>INDEX(Lists!$C$4:$C$24,MATCH(Validation!$B$3,Lists!$B$4:$B$24,0))</f>
        <v>TMS</v>
      </c>
      <c r="B3316" s="1732" t="str">
        <f>'4W'!AT17</f>
        <v>BM402SDIRS</v>
      </c>
      <c r="C3316" t="str">
        <f>'4W'!C17&amp;" - "&amp;'4W'!K$3</f>
        <v>Power - Incineration of raw sludge</v>
      </c>
      <c r="D3316" s="1620" t="str">
        <f t="shared" si="71"/>
        <v>£m</v>
      </c>
      <c r="E3316" s="1636" t="s">
        <v>9</v>
      </c>
      <c r="F3316"/>
      <c r="G3316" s="1791">
        <f>'4W'!K17</f>
        <v>0</v>
      </c>
      <c r="H3316" s="1636"/>
    </row>
    <row r="3317" spans="1:8">
      <c r="A3317" s="1620" t="str">
        <f>INDEX(Lists!$C$4:$C$24,MATCH(Validation!$B$3,Lists!$B$4:$B$24,0))</f>
        <v>TMS</v>
      </c>
      <c r="B3317" s="1732" t="str">
        <f>'4W'!AT18</f>
        <v>BM836SDIRS</v>
      </c>
      <c r="C3317" t="str">
        <f>'4W'!C18&amp;" - "&amp;'4W'!K$3</f>
        <v>Income treated as negative expenditure - Incineration of raw sludge</v>
      </c>
      <c r="D3317" s="1620" t="str">
        <f t="shared" si="71"/>
        <v>£m</v>
      </c>
      <c r="E3317" s="1636" t="s">
        <v>9</v>
      </c>
      <c r="F3317"/>
      <c r="G3317" s="1791">
        <f>'4W'!K18</f>
        <v>0</v>
      </c>
      <c r="H3317" s="1636"/>
    </row>
    <row r="3318" spans="1:8">
      <c r="A3318" s="1620" t="str">
        <f>INDEX(Lists!$C$4:$C$24,MATCH(Validation!$B$3,Lists!$B$4:$B$24,0))</f>
        <v>TMS</v>
      </c>
      <c r="B3318" s="1732" t="str">
        <f>'4W'!AT19</f>
        <v>BM817SDIRS</v>
      </c>
      <c r="C3318" t="str">
        <f>'4W'!C19&amp;" - "&amp;'4W'!K$3</f>
        <v>Local authority and Cumulo rates - Incineration of raw sludge</v>
      </c>
      <c r="D3318" s="1620" t="str">
        <f t="shared" si="71"/>
        <v>£m</v>
      </c>
      <c r="E3318" s="1636" t="s">
        <v>9</v>
      </c>
      <c r="F3318"/>
      <c r="G3318" s="1791">
        <f>'4W'!K19</f>
        <v>0</v>
      </c>
      <c r="H3318" s="1636"/>
    </row>
    <row r="3319" spans="1:8">
      <c r="A3319" s="1620" t="str">
        <f>INDEX(Lists!$C$4:$C$24,MATCH(Validation!$B$3,Lists!$B$4:$B$24,0))</f>
        <v>TMS</v>
      </c>
      <c r="B3319" s="1732" t="str">
        <f>'4W'!AT20</f>
        <v>BM408SDIRS</v>
      </c>
      <c r="C3319" t="str">
        <f>'4W'!C20&amp;" - "&amp;'4W'!K$3</f>
        <v>Other direct operating expenditure - Incineration of raw sludge</v>
      </c>
      <c r="D3319" s="1620" t="str">
        <f t="shared" si="71"/>
        <v>£m</v>
      </c>
      <c r="E3319" s="1636" t="s">
        <v>9</v>
      </c>
      <c r="F3319"/>
      <c r="G3319" s="1791">
        <f>'4W'!K20</f>
        <v>1.2011406200000001</v>
      </c>
      <c r="H3319" s="1636"/>
    </row>
    <row r="3320" spans="1:8">
      <c r="A3320" s="1620" t="str">
        <f>INDEX(Lists!$C$4:$C$24,MATCH(Validation!$B$3,Lists!$B$4:$B$24,0))</f>
        <v>TMS</v>
      </c>
      <c r="B3320" s="1732" t="str">
        <f>'4W'!AT21</f>
        <v>BM410SDIRS</v>
      </c>
      <c r="C3320" t="str">
        <f>'4W'!C21&amp;" - "&amp;'4W'!K$3</f>
        <v>Other indirect operating expenditure - Incineration of raw sludge</v>
      </c>
      <c r="D3320" s="1620" t="str">
        <f t="shared" si="71"/>
        <v>£m</v>
      </c>
      <c r="E3320" s="1636" t="s">
        <v>9</v>
      </c>
      <c r="F3320"/>
      <c r="G3320" s="1791">
        <f>'4W'!K21</f>
        <v>0</v>
      </c>
      <c r="H3320" s="1636"/>
    </row>
    <row r="3321" spans="1:8">
      <c r="A3321" s="1730" t="str">
        <f>INDEX(Lists!$C$4:$C$24,MATCH(Validation!$B$3,Lists!$B$4:$B$24,0))</f>
        <v>TMS</v>
      </c>
      <c r="B3321" s="1734" t="str">
        <f>'4W'!AT23</f>
        <v>FT00865SDIRS</v>
      </c>
      <c r="C3321" s="1819" t="str">
        <f>'4W'!C23&amp;" - "&amp;'4W'!K$3</f>
        <v>Depreciation - Incineration of raw sludge</v>
      </c>
      <c r="D3321" s="1730" t="str">
        <f t="shared" si="71"/>
        <v>£m</v>
      </c>
      <c r="E3321" s="1652" t="s">
        <v>9</v>
      </c>
      <c r="F3321" s="1819"/>
      <c r="G3321" s="1820">
        <f>'4W'!K23</f>
        <v>1.0090645939448277</v>
      </c>
      <c r="H3321" s="1652"/>
    </row>
    <row r="3322" spans="1:8">
      <c r="A3322" s="1620" t="str">
        <f>INDEX(Lists!$C$4:$C$24,MATCH(Validation!$B$3,Lists!$B$4:$B$24,0))</f>
        <v>TMS</v>
      </c>
      <c r="B3322" s="1732" t="str">
        <f>'4W'!AU7</f>
        <v>BM402STIDS</v>
      </c>
      <c r="C3322" t="str">
        <f>'4W'!C7&amp;" - "&amp;'4W'!L$3</f>
        <v>Power - Incineration of digested Sludge</v>
      </c>
      <c r="D3322" s="1620" t="str">
        <f t="shared" si="71"/>
        <v>£m</v>
      </c>
      <c r="E3322" s="1636" t="s">
        <v>9</v>
      </c>
      <c r="F3322"/>
      <c r="G3322" s="1791">
        <f>'4W'!L7</f>
        <v>0</v>
      </c>
      <c r="H3322" s="1636"/>
    </row>
    <row r="3323" spans="1:8">
      <c r="A3323" s="1620" t="str">
        <f>INDEX(Lists!$C$4:$C$24,MATCH(Validation!$B$3,Lists!$B$4:$B$24,0))</f>
        <v>TMS</v>
      </c>
      <c r="B3323" s="1732" t="str">
        <f>'4W'!AU8</f>
        <v>BM836STIDS</v>
      </c>
      <c r="C3323" t="str">
        <f>'4W'!C8&amp;" - "&amp;'4W'!L$3</f>
        <v>Income treated as negative expenditure - Incineration of digested Sludge</v>
      </c>
      <c r="D3323" s="1620" t="str">
        <f t="shared" si="71"/>
        <v>£m</v>
      </c>
      <c r="E3323" s="1636" t="s">
        <v>9</v>
      </c>
      <c r="F3323"/>
      <c r="G3323" s="1791">
        <f>'4W'!L8</f>
        <v>0</v>
      </c>
      <c r="H3323" s="1636"/>
    </row>
    <row r="3324" spans="1:8">
      <c r="A3324" s="1620" t="str">
        <f>INDEX(Lists!$C$4:$C$24,MATCH(Validation!$B$3,Lists!$B$4:$B$24,0))</f>
        <v>TMS</v>
      </c>
      <c r="B3324" s="1732" t="str">
        <f>'4W'!AU9</f>
        <v>BM817STIDS</v>
      </c>
      <c r="C3324" t="str">
        <f>'4W'!C9&amp;" - "&amp;'4W'!L$3</f>
        <v>Local authority and Cumulo rates - Incineration of digested Sludge</v>
      </c>
      <c r="D3324" s="1620" t="str">
        <f t="shared" si="71"/>
        <v>£m</v>
      </c>
      <c r="E3324" s="1636" t="s">
        <v>9</v>
      </c>
      <c r="F3324"/>
      <c r="G3324" s="1791">
        <f>'4W'!L9</f>
        <v>0</v>
      </c>
      <c r="H3324" s="1636"/>
    </row>
    <row r="3325" spans="1:8">
      <c r="A3325" s="1620" t="str">
        <f>INDEX(Lists!$C$4:$C$24,MATCH(Validation!$B$3,Lists!$B$4:$B$24,0))</f>
        <v>TMS</v>
      </c>
      <c r="B3325" s="1732" t="str">
        <f>'4W'!AU10</f>
        <v>BM408STIDS</v>
      </c>
      <c r="C3325" t="str">
        <f>'4W'!C10&amp;" - "&amp;'4W'!L$3</f>
        <v>Other direct operating expenditure - Incineration of digested Sludge</v>
      </c>
      <c r="D3325" s="1620" t="str">
        <f t="shared" si="71"/>
        <v>£m</v>
      </c>
      <c r="E3325" s="1636" t="s">
        <v>9</v>
      </c>
      <c r="F3325"/>
      <c r="G3325" s="1791">
        <f>'4W'!L10</f>
        <v>0</v>
      </c>
      <c r="H3325" s="1636"/>
    </row>
    <row r="3326" spans="1:8">
      <c r="A3326" s="1620" t="str">
        <f>INDEX(Lists!$C$4:$C$24,MATCH(Validation!$B$3,Lists!$B$4:$B$24,0))</f>
        <v>TMS</v>
      </c>
      <c r="B3326" s="1732" t="str">
        <f>'4W'!AU11</f>
        <v>BM410STIDS</v>
      </c>
      <c r="C3326" t="str">
        <f>'4W'!C11&amp;" - "&amp;'4W'!L$3</f>
        <v>Other indirect operating expenditure - Incineration of digested Sludge</v>
      </c>
      <c r="D3326" s="1620" t="str">
        <f t="shared" si="71"/>
        <v>£m</v>
      </c>
      <c r="E3326" s="1636" t="s">
        <v>9</v>
      </c>
      <c r="F3326"/>
      <c r="G3326" s="1791">
        <f>'4W'!L11</f>
        <v>0</v>
      </c>
      <c r="H3326" s="1636"/>
    </row>
    <row r="3327" spans="1:8">
      <c r="A3327" s="1620" t="str">
        <f>INDEX(Lists!$C$4:$C$24,MATCH(Validation!$B$3,Lists!$B$4:$B$24,0))</f>
        <v>TMS</v>
      </c>
      <c r="B3327" s="1732" t="str">
        <f>'4W'!AU13</f>
        <v>FT00865STIDS</v>
      </c>
      <c r="C3327" t="str">
        <f>'4W'!C13&amp;" - "&amp;'4W'!L$3</f>
        <v>Depreciation - Incineration of digested Sludge</v>
      </c>
      <c r="D3327" s="1620" t="str">
        <f t="shared" si="71"/>
        <v>£m</v>
      </c>
      <c r="E3327" s="1636" t="s">
        <v>9</v>
      </c>
      <c r="F3327"/>
      <c r="G3327" s="1791">
        <f>'4W'!L13</f>
        <v>0</v>
      </c>
      <c r="H3327" s="1636"/>
    </row>
    <row r="3328" spans="1:8">
      <c r="A3328" s="1620" t="str">
        <f>INDEX(Lists!$C$4:$C$24,MATCH(Validation!$B$3,Lists!$B$4:$B$24,0))</f>
        <v>TMS</v>
      </c>
      <c r="B3328" s="1732" t="str">
        <f>'4W'!AU17</f>
        <v>BM402SDIDS</v>
      </c>
      <c r="C3328" t="str">
        <f>'4W'!C17&amp;" - "&amp;'4W'!L$3</f>
        <v>Power - Incineration of digested Sludge</v>
      </c>
      <c r="D3328" s="1620" t="str">
        <f t="shared" si="71"/>
        <v>£m</v>
      </c>
      <c r="E3328" s="1636" t="s">
        <v>9</v>
      </c>
      <c r="F3328"/>
      <c r="G3328" s="1791">
        <f>'4W'!L17</f>
        <v>0</v>
      </c>
      <c r="H3328" s="1636"/>
    </row>
    <row r="3329" spans="1:8">
      <c r="A3329" s="1620" t="str">
        <f>INDEX(Lists!$C$4:$C$24,MATCH(Validation!$B$3,Lists!$B$4:$B$24,0))</f>
        <v>TMS</v>
      </c>
      <c r="B3329" s="1732" t="str">
        <f>'4W'!AU18</f>
        <v>BM836SDIDS</v>
      </c>
      <c r="C3329" t="str">
        <f>'4W'!C18&amp;" - "&amp;'4W'!L$3</f>
        <v>Income treated as negative expenditure - Incineration of digested Sludge</v>
      </c>
      <c r="D3329" s="1620" t="str">
        <f t="shared" si="71"/>
        <v>£m</v>
      </c>
      <c r="E3329" s="1636" t="s">
        <v>9</v>
      </c>
      <c r="F3329"/>
      <c r="G3329" s="1791">
        <f>'4W'!L18</f>
        <v>0</v>
      </c>
      <c r="H3329" s="1636"/>
    </row>
    <row r="3330" spans="1:8">
      <c r="A3330" s="1620" t="str">
        <f>INDEX(Lists!$C$4:$C$24,MATCH(Validation!$B$3,Lists!$B$4:$B$24,0))</f>
        <v>TMS</v>
      </c>
      <c r="B3330" s="1732" t="str">
        <f>'4W'!AU19</f>
        <v>BM817SDIDS</v>
      </c>
      <c r="C3330" t="str">
        <f>'4W'!C19&amp;" - "&amp;'4W'!L$3</f>
        <v>Local authority and Cumulo rates - Incineration of digested Sludge</v>
      </c>
      <c r="D3330" s="1620" t="str">
        <f t="shared" si="71"/>
        <v>£m</v>
      </c>
      <c r="E3330" s="1636" t="s">
        <v>9</v>
      </c>
      <c r="F3330"/>
      <c r="G3330" s="1791">
        <f>'4W'!L19</f>
        <v>0</v>
      </c>
      <c r="H3330" s="1636"/>
    </row>
    <row r="3331" spans="1:8">
      <c r="A3331" s="1620" t="str">
        <f>INDEX(Lists!$C$4:$C$24,MATCH(Validation!$B$3,Lists!$B$4:$B$24,0))</f>
        <v>TMS</v>
      </c>
      <c r="B3331" s="1732" t="str">
        <f>'4W'!AU20</f>
        <v>BM408SDIDS</v>
      </c>
      <c r="C3331" t="str">
        <f>'4W'!C20&amp;" - "&amp;'4W'!L$3</f>
        <v>Other direct operating expenditure - Incineration of digested Sludge</v>
      </c>
      <c r="D3331" s="1620" t="str">
        <f t="shared" si="71"/>
        <v>£m</v>
      </c>
      <c r="E3331" s="1636" t="s">
        <v>9</v>
      </c>
      <c r="F3331"/>
      <c r="G3331" s="1791">
        <f>'4W'!L20</f>
        <v>0</v>
      </c>
      <c r="H3331" s="1636"/>
    </row>
    <row r="3332" spans="1:8">
      <c r="A3332" s="1620" t="str">
        <f>INDEX(Lists!$C$4:$C$24,MATCH(Validation!$B$3,Lists!$B$4:$B$24,0))</f>
        <v>TMS</v>
      </c>
      <c r="B3332" s="1732" t="str">
        <f>'4W'!AU21</f>
        <v>BM410SDIDS</v>
      </c>
      <c r="C3332" t="str">
        <f>'4W'!C21&amp;" - "&amp;'4W'!L$3</f>
        <v>Other indirect operating expenditure - Incineration of digested Sludge</v>
      </c>
      <c r="D3332" s="1620" t="str">
        <f t="shared" si="71"/>
        <v>£m</v>
      </c>
      <c r="E3332" s="1636" t="s">
        <v>9</v>
      </c>
      <c r="F3332"/>
      <c r="G3332" s="1791">
        <f>'4W'!L21</f>
        <v>0</v>
      </c>
      <c r="H3332" s="1636"/>
    </row>
    <row r="3333" spans="1:8">
      <c r="A3333" s="1730" t="str">
        <f>INDEX(Lists!$C$4:$C$24,MATCH(Validation!$B$3,Lists!$B$4:$B$24,0))</f>
        <v>TMS</v>
      </c>
      <c r="B3333" s="1734" t="str">
        <f>'4W'!AU23</f>
        <v>FT00865SDIDS</v>
      </c>
      <c r="C3333" s="1819" t="str">
        <f>'4W'!C23&amp;" - "&amp;'4W'!L$3</f>
        <v>Depreciation - Incineration of digested Sludge</v>
      </c>
      <c r="D3333" s="1730" t="str">
        <f t="shared" si="71"/>
        <v>£m</v>
      </c>
      <c r="E3333" s="1652" t="s">
        <v>9</v>
      </c>
      <c r="F3333" s="1819"/>
      <c r="G3333" s="1820">
        <f>'4W'!L23</f>
        <v>0</v>
      </c>
      <c r="H3333" s="1652"/>
    </row>
    <row r="3334" spans="1:8">
      <c r="A3334" s="1620" t="str">
        <f>INDEX(Lists!$C$4:$C$24,MATCH(Validation!$B$3,Lists!$B$4:$B$24,0))</f>
        <v>TMS</v>
      </c>
      <c r="B3334" s="1732" t="str">
        <f>'4W'!AV7</f>
        <v>BM402STPCC</v>
      </c>
      <c r="C3334" t="str">
        <f>'4W'!C7&amp;" - "&amp;'4W'!M$3</f>
        <v>Power - Photo-conditioning / composting</v>
      </c>
      <c r="D3334" s="1620" t="str">
        <f t="shared" si="71"/>
        <v>£m</v>
      </c>
      <c r="E3334" s="1636" t="s">
        <v>9</v>
      </c>
      <c r="F3334"/>
      <c r="G3334" s="1791">
        <f>'4W'!M7</f>
        <v>0</v>
      </c>
      <c r="H3334" s="1636"/>
    </row>
    <row r="3335" spans="1:8">
      <c r="A3335" s="1620" t="str">
        <f>INDEX(Lists!$C$4:$C$24,MATCH(Validation!$B$3,Lists!$B$4:$B$24,0))</f>
        <v>TMS</v>
      </c>
      <c r="B3335" s="1732" t="str">
        <f>'4W'!AV8</f>
        <v>BM836STPCC</v>
      </c>
      <c r="C3335" t="str">
        <f>'4W'!C8&amp;" - "&amp;'4W'!M$3</f>
        <v>Income treated as negative expenditure - Photo-conditioning / composting</v>
      </c>
      <c r="D3335" s="1620" t="str">
        <f t="shared" si="71"/>
        <v>£m</v>
      </c>
      <c r="E3335" s="1636" t="s">
        <v>9</v>
      </c>
      <c r="F3335"/>
      <c r="G3335" s="1791">
        <f>'4W'!M8</f>
        <v>0</v>
      </c>
      <c r="H3335" s="1636"/>
    </row>
    <row r="3336" spans="1:8">
      <c r="A3336" s="1620" t="str">
        <f>INDEX(Lists!$C$4:$C$24,MATCH(Validation!$B$3,Lists!$B$4:$B$24,0))</f>
        <v>TMS</v>
      </c>
      <c r="B3336" s="1732" t="str">
        <f>'4W'!AV9</f>
        <v>BM817STPCC</v>
      </c>
      <c r="C3336" t="str">
        <f>'4W'!C9&amp;" - "&amp;'4W'!M$3</f>
        <v>Local authority and Cumulo rates - Photo-conditioning / composting</v>
      </c>
      <c r="D3336" s="1620" t="str">
        <f t="shared" si="71"/>
        <v>£m</v>
      </c>
      <c r="E3336" s="1636" t="s">
        <v>9</v>
      </c>
      <c r="F3336"/>
      <c r="G3336" s="1791">
        <f>'4W'!M9</f>
        <v>0</v>
      </c>
      <c r="H3336" s="1636"/>
    </row>
    <row r="3337" spans="1:8">
      <c r="A3337" s="1620" t="str">
        <f>INDEX(Lists!$C$4:$C$24,MATCH(Validation!$B$3,Lists!$B$4:$B$24,0))</f>
        <v>TMS</v>
      </c>
      <c r="B3337" s="1732" t="str">
        <f>'4W'!AV10</f>
        <v>BM408STPCC</v>
      </c>
      <c r="C3337" t="str">
        <f>'4W'!C10&amp;" - "&amp;'4W'!M$3</f>
        <v>Other direct operating expenditure - Photo-conditioning / composting</v>
      </c>
      <c r="D3337" s="1620" t="str">
        <f t="shared" si="71"/>
        <v>£m</v>
      </c>
      <c r="E3337" s="1636" t="s">
        <v>9</v>
      </c>
      <c r="F3337"/>
      <c r="G3337" s="1791">
        <f>'4W'!M10</f>
        <v>0</v>
      </c>
      <c r="H3337" s="1636"/>
    </row>
    <row r="3338" spans="1:8">
      <c r="A3338" s="1620" t="str">
        <f>INDEX(Lists!$C$4:$C$24,MATCH(Validation!$B$3,Lists!$B$4:$B$24,0))</f>
        <v>TMS</v>
      </c>
      <c r="B3338" s="1732" t="str">
        <f>'4W'!AV11</f>
        <v>BM410STPCC</v>
      </c>
      <c r="C3338" t="str">
        <f>'4W'!C11&amp;" - "&amp;'4W'!M$3</f>
        <v>Other indirect operating expenditure - Photo-conditioning / composting</v>
      </c>
      <c r="D3338" s="1620" t="str">
        <f t="shared" si="71"/>
        <v>£m</v>
      </c>
      <c r="E3338" s="1636" t="s">
        <v>9</v>
      </c>
      <c r="F3338"/>
      <c r="G3338" s="1791">
        <f>'4W'!M11</f>
        <v>0</v>
      </c>
      <c r="H3338" s="1636"/>
    </row>
    <row r="3339" spans="1:8">
      <c r="A3339" s="1620" t="str">
        <f>INDEX(Lists!$C$4:$C$24,MATCH(Validation!$B$3,Lists!$B$4:$B$24,0))</f>
        <v>TMS</v>
      </c>
      <c r="B3339" s="1732" t="str">
        <f>'4W'!AV13</f>
        <v>FT00865STPCC</v>
      </c>
      <c r="C3339" t="str">
        <f>'4W'!C13&amp;" - "&amp;'4W'!M$3</f>
        <v>Depreciation - Photo-conditioning / composting</v>
      </c>
      <c r="D3339" s="1620" t="str">
        <f t="shared" si="71"/>
        <v>£m</v>
      </c>
      <c r="E3339" s="1636" t="s">
        <v>9</v>
      </c>
      <c r="F3339"/>
      <c r="G3339" s="1791">
        <f>'4W'!M13</f>
        <v>0</v>
      </c>
      <c r="H3339" s="1636"/>
    </row>
    <row r="3340" spans="1:8">
      <c r="A3340" s="1620" t="str">
        <f>INDEX(Lists!$C$4:$C$24,MATCH(Validation!$B$3,Lists!$B$4:$B$24,0))</f>
        <v>TMS</v>
      </c>
      <c r="B3340" s="1732" t="str">
        <f>'4W'!AV17</f>
        <v>BM402SDPCC</v>
      </c>
      <c r="C3340" t="str">
        <f>'4W'!C17&amp;" - "&amp;'4W'!M$3</f>
        <v>Power - Photo-conditioning / composting</v>
      </c>
      <c r="D3340" s="1620" t="str">
        <f t="shared" si="71"/>
        <v>£m</v>
      </c>
      <c r="E3340" s="1636" t="s">
        <v>9</v>
      </c>
      <c r="F3340"/>
      <c r="G3340" s="1791">
        <f>'4W'!M17</f>
        <v>0</v>
      </c>
      <c r="H3340" s="1636"/>
    </row>
    <row r="3341" spans="1:8">
      <c r="A3341" s="1620" t="str">
        <f>INDEX(Lists!$C$4:$C$24,MATCH(Validation!$B$3,Lists!$B$4:$B$24,0))</f>
        <v>TMS</v>
      </c>
      <c r="B3341" s="1732" t="str">
        <f>'4W'!AV18</f>
        <v>BM836SDPCC</v>
      </c>
      <c r="C3341" t="str">
        <f>'4W'!C18&amp;" - "&amp;'4W'!M$3</f>
        <v>Income treated as negative expenditure - Photo-conditioning / composting</v>
      </c>
      <c r="D3341" s="1620" t="str">
        <f t="shared" si="71"/>
        <v>£m</v>
      </c>
      <c r="E3341" s="1636" t="s">
        <v>9</v>
      </c>
      <c r="F3341"/>
      <c r="G3341" s="1791">
        <f>'4W'!M18</f>
        <v>0</v>
      </c>
      <c r="H3341" s="1636"/>
    </row>
    <row r="3342" spans="1:8">
      <c r="A3342" s="1620" t="str">
        <f>INDEX(Lists!$C$4:$C$24,MATCH(Validation!$B$3,Lists!$B$4:$B$24,0))</f>
        <v>TMS</v>
      </c>
      <c r="B3342" s="1732" t="str">
        <f>'4W'!AV19</f>
        <v>BM817SDPCC</v>
      </c>
      <c r="C3342" t="str">
        <f>'4W'!C19&amp;" - "&amp;'4W'!M$3</f>
        <v>Local authority and Cumulo rates - Photo-conditioning / composting</v>
      </c>
      <c r="D3342" s="1620" t="str">
        <f t="shared" si="71"/>
        <v>£m</v>
      </c>
      <c r="E3342" s="1636" t="s">
        <v>9</v>
      </c>
      <c r="F3342"/>
      <c r="G3342" s="1791">
        <f>'4W'!M19</f>
        <v>0</v>
      </c>
      <c r="H3342" s="1636"/>
    </row>
    <row r="3343" spans="1:8">
      <c r="A3343" s="1620" t="str">
        <f>INDEX(Lists!$C$4:$C$24,MATCH(Validation!$B$3,Lists!$B$4:$B$24,0))</f>
        <v>TMS</v>
      </c>
      <c r="B3343" s="1732" t="str">
        <f>'4W'!AV20</f>
        <v>BM408SDPCC</v>
      </c>
      <c r="C3343" t="str">
        <f>'4W'!C20&amp;" - "&amp;'4W'!M$3</f>
        <v>Other direct operating expenditure - Photo-conditioning / composting</v>
      </c>
      <c r="D3343" s="1620" t="str">
        <f t="shared" si="71"/>
        <v>£m</v>
      </c>
      <c r="E3343" s="1636" t="s">
        <v>9</v>
      </c>
      <c r="F3343"/>
      <c r="G3343" s="1791">
        <f>'4W'!M20</f>
        <v>0</v>
      </c>
      <c r="H3343" s="1636"/>
    </row>
    <row r="3344" spans="1:8">
      <c r="A3344" s="1620" t="str">
        <f>INDEX(Lists!$C$4:$C$24,MATCH(Validation!$B$3,Lists!$B$4:$B$24,0))</f>
        <v>TMS</v>
      </c>
      <c r="B3344" s="1732" t="str">
        <f>'4W'!AV21</f>
        <v>BM410SDPCC</v>
      </c>
      <c r="C3344" t="str">
        <f>'4W'!C21&amp;" - "&amp;'4W'!M$3</f>
        <v>Other indirect operating expenditure - Photo-conditioning / composting</v>
      </c>
      <c r="D3344" s="1620" t="str">
        <f t="shared" si="71"/>
        <v>£m</v>
      </c>
      <c r="E3344" s="1636" t="s">
        <v>9</v>
      </c>
      <c r="F3344"/>
      <c r="G3344" s="1791">
        <f>'4W'!M21</f>
        <v>0</v>
      </c>
      <c r="H3344" s="1636"/>
    </row>
    <row r="3345" spans="1:8">
      <c r="A3345" s="1730" t="str">
        <f>INDEX(Lists!$C$4:$C$24,MATCH(Validation!$B$3,Lists!$B$4:$B$24,0))</f>
        <v>TMS</v>
      </c>
      <c r="B3345" s="1734" t="str">
        <f>'4W'!AV23</f>
        <v>FT00865SDPCC</v>
      </c>
      <c r="C3345" s="1819" t="str">
        <f>'4W'!C23&amp;" - "&amp;'4W'!M$3</f>
        <v>Depreciation - Photo-conditioning / composting</v>
      </c>
      <c r="D3345" s="1730" t="str">
        <f t="shared" si="71"/>
        <v>£m</v>
      </c>
      <c r="E3345" s="1652" t="s">
        <v>9</v>
      </c>
      <c r="F3345" s="1819"/>
      <c r="G3345" s="1820">
        <f>'4W'!M23</f>
        <v>0</v>
      </c>
      <c r="H3345" s="1652"/>
    </row>
    <row r="3346" spans="1:8">
      <c r="A3346" s="1620" t="str">
        <f>INDEX(Lists!$C$4:$C$24,MATCH(Validation!$B$3,Lists!$B$4:$B$24,0))</f>
        <v>TMS</v>
      </c>
      <c r="B3346" s="1732" t="str">
        <f>'4W'!AW7</f>
        <v>BM402STSLOT</v>
      </c>
      <c r="C3346" t="str">
        <f>'4W'!C7&amp;" - Sludge treatment -  "&amp;'4W'!N$3</f>
        <v>Power - Sludge treatment -  Other</v>
      </c>
      <c r="D3346" s="1620" t="str">
        <f t="shared" si="71"/>
        <v>£m</v>
      </c>
      <c r="E3346" s="1636" t="s">
        <v>9</v>
      </c>
      <c r="F3346"/>
      <c r="G3346" s="1791">
        <f>'4W'!N7</f>
        <v>0</v>
      </c>
      <c r="H3346" s="1636"/>
    </row>
    <row r="3347" spans="1:8">
      <c r="A3347" s="1620" t="str">
        <f>INDEX(Lists!$C$4:$C$24,MATCH(Validation!$B$3,Lists!$B$4:$B$24,0))</f>
        <v>TMS</v>
      </c>
      <c r="B3347" s="1732" t="str">
        <f>'4W'!AW8</f>
        <v>BM836STSLOT</v>
      </c>
      <c r="C3347" t="str">
        <f>'4W'!C8&amp;" - Sludge treatment -  "&amp;'4W'!N$3</f>
        <v>Income treated as negative expenditure - Sludge treatment -  Other</v>
      </c>
      <c r="D3347" s="1620" t="str">
        <f t="shared" si="71"/>
        <v>£m</v>
      </c>
      <c r="E3347" s="1636" t="s">
        <v>9</v>
      </c>
      <c r="F3347"/>
      <c r="G3347" s="1791">
        <f>'4W'!N8</f>
        <v>0</v>
      </c>
      <c r="H3347" s="1636"/>
    </row>
    <row r="3348" spans="1:8">
      <c r="A3348" s="1620" t="str">
        <f>INDEX(Lists!$C$4:$C$24,MATCH(Validation!$B$3,Lists!$B$4:$B$24,0))</f>
        <v>TMS</v>
      </c>
      <c r="B3348" s="1732" t="str">
        <f>'4W'!AW9</f>
        <v>BM817STSLOT</v>
      </c>
      <c r="C3348" t="str">
        <f>'4W'!C9&amp;" - Sludge treatment -  "&amp;'4W'!N$3</f>
        <v>Local authority and Cumulo rates - Sludge treatment -  Other</v>
      </c>
      <c r="D3348" s="1620" t="str">
        <f t="shared" si="71"/>
        <v>£m</v>
      </c>
      <c r="E3348" s="1636" t="s">
        <v>9</v>
      </c>
      <c r="F3348"/>
      <c r="G3348" s="1791">
        <f>'4W'!N9</f>
        <v>0</v>
      </c>
      <c r="H3348" s="1636"/>
    </row>
    <row r="3349" spans="1:8">
      <c r="A3349" s="1620" t="str">
        <f>INDEX(Lists!$C$4:$C$24,MATCH(Validation!$B$3,Lists!$B$4:$B$24,0))</f>
        <v>TMS</v>
      </c>
      <c r="B3349" s="1732" t="str">
        <f>'4W'!AW10</f>
        <v>BM408STSLOT</v>
      </c>
      <c r="C3349" t="str">
        <f>'4W'!C10&amp;" - Sludge treatment -  "&amp;'4W'!N$3</f>
        <v>Other direct operating expenditure - Sludge treatment -  Other</v>
      </c>
      <c r="D3349" s="1620" t="str">
        <f t="shared" si="71"/>
        <v>£m</v>
      </c>
      <c r="E3349" s="1636" t="s">
        <v>9</v>
      </c>
      <c r="F3349"/>
      <c r="G3349" s="1791">
        <f>'4W'!N10</f>
        <v>0</v>
      </c>
      <c r="H3349" s="1636"/>
    </row>
    <row r="3350" spans="1:8">
      <c r="A3350" s="1620" t="str">
        <f>INDEX(Lists!$C$4:$C$24,MATCH(Validation!$B$3,Lists!$B$4:$B$24,0))</f>
        <v>TMS</v>
      </c>
      <c r="B3350" s="1732" t="str">
        <f>'4W'!AW11</f>
        <v>BM410STSLOT</v>
      </c>
      <c r="C3350" t="str">
        <f>'4W'!C11&amp;" - Sludge treatment -  "&amp;'4W'!N$3</f>
        <v>Other indirect operating expenditure - Sludge treatment -  Other</v>
      </c>
      <c r="D3350" s="1620" t="str">
        <f t="shared" si="71"/>
        <v>£m</v>
      </c>
      <c r="E3350" s="1636" t="s">
        <v>9</v>
      </c>
      <c r="F3350"/>
      <c r="G3350" s="1791">
        <f>'4W'!N11</f>
        <v>0</v>
      </c>
      <c r="H3350" s="1636"/>
    </row>
    <row r="3351" spans="1:8">
      <c r="A3351" s="1620" t="str">
        <f>INDEX(Lists!$C$4:$C$24,MATCH(Validation!$B$3,Lists!$B$4:$B$24,0))</f>
        <v>TMS</v>
      </c>
      <c r="B3351" s="1732" t="str">
        <f>'4W'!AW13</f>
        <v>FT00865STSLOT</v>
      </c>
      <c r="C3351" t="str">
        <f>'4W'!C13&amp;" - Sludge treatment -  "&amp;'4W'!N$3</f>
        <v>Depreciation - Sludge treatment -  Other</v>
      </c>
      <c r="D3351" s="1620" t="str">
        <f t="shared" si="71"/>
        <v>£m</v>
      </c>
      <c r="E3351" s="1636" t="s">
        <v>9</v>
      </c>
      <c r="F3351"/>
      <c r="G3351" s="1791">
        <f>'4W'!N13</f>
        <v>0</v>
      </c>
      <c r="H3351" s="1636"/>
    </row>
    <row r="3352" spans="1:8">
      <c r="A3352" s="1620" t="str">
        <f>INDEX(Lists!$C$4:$C$24,MATCH(Validation!$B$3,Lists!$B$4:$B$24,0))</f>
        <v>TMS</v>
      </c>
      <c r="B3352" s="1732" t="str">
        <f>'4W'!AW17</f>
        <v>BM402SDSLOT</v>
      </c>
      <c r="C3352" t="str">
        <f>'4W'!C17&amp;" - Sludge treatment -  "&amp;'4W'!N$3</f>
        <v>Power - Sludge treatment -  Other</v>
      </c>
      <c r="D3352" s="1620" t="str">
        <f t="shared" si="71"/>
        <v>£m</v>
      </c>
      <c r="E3352" s="1636" t="s">
        <v>9</v>
      </c>
      <c r="F3352"/>
      <c r="G3352" s="1791">
        <f>'4W'!N17</f>
        <v>0</v>
      </c>
      <c r="H3352" s="1636"/>
    </row>
    <row r="3353" spans="1:8">
      <c r="A3353" s="1620" t="str">
        <f>INDEX(Lists!$C$4:$C$24,MATCH(Validation!$B$3,Lists!$B$4:$B$24,0))</f>
        <v>TMS</v>
      </c>
      <c r="B3353" s="1732" t="str">
        <f>'4W'!AW18</f>
        <v>BM836SDSLOT</v>
      </c>
      <c r="C3353" t="str">
        <f>'4W'!C18&amp;" - Sludge treatment -  "&amp;'4W'!N$3</f>
        <v>Income treated as negative expenditure - Sludge treatment -  Other</v>
      </c>
      <c r="D3353" s="1620" t="str">
        <f t="shared" si="71"/>
        <v>£m</v>
      </c>
      <c r="E3353" s="1636" t="s">
        <v>9</v>
      </c>
      <c r="F3353"/>
      <c r="G3353" s="1791">
        <f>'4W'!N18</f>
        <v>0</v>
      </c>
      <c r="H3353" s="1636"/>
    </row>
    <row r="3354" spans="1:8">
      <c r="A3354" s="1620" t="str">
        <f>INDEX(Lists!$C$4:$C$24,MATCH(Validation!$B$3,Lists!$B$4:$B$24,0))</f>
        <v>TMS</v>
      </c>
      <c r="B3354" s="1732" t="str">
        <f>'4W'!AW19</f>
        <v>BM817SDSLOT</v>
      </c>
      <c r="C3354" t="str">
        <f>'4W'!C19&amp;" - Sludge treatment -  "&amp;'4W'!N$3</f>
        <v>Local authority and Cumulo rates - Sludge treatment -  Other</v>
      </c>
      <c r="D3354" s="1620" t="str">
        <f t="shared" si="71"/>
        <v>£m</v>
      </c>
      <c r="E3354" s="1636" t="s">
        <v>9</v>
      </c>
      <c r="F3354"/>
      <c r="G3354" s="1791">
        <f>'4W'!N19</f>
        <v>0</v>
      </c>
      <c r="H3354" s="1636"/>
    </row>
    <row r="3355" spans="1:8">
      <c r="A3355" s="1620" t="str">
        <f>INDEX(Lists!$C$4:$C$24,MATCH(Validation!$B$3,Lists!$B$4:$B$24,0))</f>
        <v>TMS</v>
      </c>
      <c r="B3355" s="1732" t="str">
        <f>'4W'!AW20</f>
        <v>BM408SDSLOT</v>
      </c>
      <c r="C3355" t="str">
        <f>'4W'!C20&amp;" - Sludge treatment -  "&amp;'4W'!N$3</f>
        <v>Other direct operating expenditure - Sludge treatment -  Other</v>
      </c>
      <c r="D3355" s="1620" t="str">
        <f t="shared" si="71"/>
        <v>£m</v>
      </c>
      <c r="E3355" s="1636" t="s">
        <v>9</v>
      </c>
      <c r="F3355"/>
      <c r="G3355" s="1791">
        <f>'4W'!N20</f>
        <v>0</v>
      </c>
      <c r="H3355" s="1636"/>
    </row>
    <row r="3356" spans="1:8">
      <c r="A3356" s="1620" t="str">
        <f>INDEX(Lists!$C$4:$C$24,MATCH(Validation!$B$3,Lists!$B$4:$B$24,0))</f>
        <v>TMS</v>
      </c>
      <c r="B3356" s="1732" t="str">
        <f>'4W'!AW21</f>
        <v>BM410SDSLOT</v>
      </c>
      <c r="C3356" t="str">
        <f>'4W'!C21&amp;" - Sludge treatment -  "&amp;'4W'!N$3</f>
        <v>Other indirect operating expenditure - Sludge treatment -  Other</v>
      </c>
      <c r="D3356" s="1620" t="str">
        <f t="shared" si="71"/>
        <v>£m</v>
      </c>
      <c r="E3356" s="1636" t="s">
        <v>9</v>
      </c>
      <c r="F3356"/>
      <c r="G3356" s="1791">
        <f>'4W'!N21</f>
        <v>0</v>
      </c>
      <c r="H3356" s="1636"/>
    </row>
    <row r="3357" spans="1:8" ht="15" thickBot="1">
      <c r="A3357" s="1621" t="str">
        <f>INDEX(Lists!$C$4:$C$24,MATCH(Validation!$B$3,Lists!$B$4:$B$24,0))</f>
        <v>TMS</v>
      </c>
      <c r="B3357" s="1733" t="str">
        <f>'4W'!AW23</f>
        <v>FT00865SDSLOT</v>
      </c>
      <c r="C3357" s="1622" t="str">
        <f>'4W'!C23&amp;" - Sludge treatment -  "&amp;'4W'!N$3</f>
        <v>Depreciation - Sludge treatment -  Other</v>
      </c>
      <c r="D3357" s="1621" t="str">
        <f t="shared" si="71"/>
        <v>£m</v>
      </c>
      <c r="E3357" s="1649" t="s">
        <v>9</v>
      </c>
      <c r="F3357" s="1622"/>
      <c r="G3357" s="1797">
        <f>'4W'!N23</f>
        <v>0</v>
      </c>
      <c r="H3357" s="1649"/>
    </row>
    <row r="3358" spans="1:8">
      <c r="A3358" s="1618" t="str">
        <f>INDEX(Lists!$C$4:$C$24,MATCH(Validation!$B$3,Lists!$B$4:$B$24,0))</f>
        <v>TMS</v>
      </c>
      <c r="B3358" s="1731" t="str">
        <f>+Bioresources!D6</f>
        <v>CR3001BIOM</v>
      </c>
      <c r="C3358" s="1619" t="str">
        <f>Bioresources!$C$5&amp;" - "&amp;Bioresources!C6</f>
        <v>Summary of market activity - Total number of contracts held with a third party at end of the financial year</v>
      </c>
      <c r="D3358" s="1618" t="str">
        <f>+Bioresources!E6</f>
        <v>nr</v>
      </c>
      <c r="E3358" s="1645" t="s">
        <v>9</v>
      </c>
      <c r="F3358" s="1619"/>
      <c r="G3358" s="1790">
        <f>+Bioresources!G6</f>
        <v>9</v>
      </c>
      <c r="H3358" s="1645"/>
    </row>
    <row r="3359" spans="1:8">
      <c r="A3359" s="1620" t="str">
        <f>INDEX(Lists!$C$4:$C$24,MATCH(Validation!$B$3,Lists!$B$4:$B$24,0))</f>
        <v>TMS</v>
      </c>
      <c r="B3359" s="1732" t="str">
        <f>+Bioresources!D7</f>
        <v>CR3002BIOM</v>
      </c>
      <c r="C3359" t="str">
        <f>Bioresources!$C$5&amp;" - "&amp;Bioresources!C7</f>
        <v>Summary of market activity - Total amount paid on contracts during the financial year</v>
      </c>
      <c r="D3359" s="1620" t="str">
        <f>+Bioresources!E7</f>
        <v>£000</v>
      </c>
      <c r="E3359" s="1636" t="s">
        <v>9</v>
      </c>
      <c r="F3359"/>
      <c r="G3359" s="1791">
        <f>+Bioresources!G7</f>
        <v>22801.078000000001</v>
      </c>
      <c r="H3359" s="1636"/>
    </row>
    <row r="3360" spans="1:8">
      <c r="A3360" s="1620" t="str">
        <f>INDEX(Lists!$C$4:$C$24,MATCH(Validation!$B$3,Lists!$B$4:$B$24,0))</f>
        <v>TMS</v>
      </c>
      <c r="B3360" s="1732" t="str">
        <f>+Bioresources!D8</f>
        <v>CR3003BIOM</v>
      </c>
      <c r="C3360" t="str">
        <f>Bioresources!$C$5&amp;" - "&amp;Bioresources!C8</f>
        <v>Summary of market activity - Number of different suppliers at the year end</v>
      </c>
      <c r="D3360" s="1620" t="str">
        <f>+Bioresources!E8</f>
        <v>nr</v>
      </c>
      <c r="E3360" s="1636" t="s">
        <v>9</v>
      </c>
      <c r="F3360"/>
      <c r="G3360" s="1792">
        <f>+Bioresources!G8</f>
        <v>9</v>
      </c>
      <c r="H3360" s="1636"/>
    </row>
    <row r="3361" spans="1:8">
      <c r="A3361" s="1620" t="str">
        <f>INDEX(Lists!$C$4:$C$24,MATCH(Validation!$B$3,Lists!$B$4:$B$24,0))</f>
        <v>TMS</v>
      </c>
      <c r="B3361" s="1732" t="str">
        <f>+Bioresources!D9</f>
        <v>CR3004BIOM</v>
      </c>
      <c r="C3361" t="str">
        <f>Bioresources!$C$5&amp;" - "&amp;Bioresources!C9</f>
        <v>Summary of market activity - Number of contracts ended during the year</v>
      </c>
      <c r="D3361" s="1620" t="str">
        <f>+Bioresources!E9</f>
        <v>nr</v>
      </c>
      <c r="E3361" s="1636" t="s">
        <v>9</v>
      </c>
      <c r="F3361"/>
      <c r="G3361" s="1792">
        <f>+Bioresources!G9</f>
        <v>0</v>
      </c>
      <c r="H3361" s="1636"/>
    </row>
    <row r="3362" spans="1:8">
      <c r="A3362" s="1620" t="str">
        <f>INDEX(Lists!$C$4:$C$24,MATCH(Validation!$B$3,Lists!$B$4:$B$24,0))</f>
        <v>TMS</v>
      </c>
      <c r="B3362" s="1732" t="str">
        <f>+Bioresources!D10</f>
        <v>CR3005BIOM</v>
      </c>
      <c r="C3362" t="str">
        <f>Bioresources!$C$5&amp;" - "&amp;Bioresources!C10</f>
        <v>Summary of market activity - Number of contracts renewed during the year</v>
      </c>
      <c r="D3362" s="1620" t="str">
        <f>+Bioresources!E10</f>
        <v>nr</v>
      </c>
      <c r="E3362" s="1636" t="s">
        <v>9</v>
      </c>
      <c r="F3362"/>
      <c r="G3362" s="1792">
        <f>+Bioresources!G10</f>
        <v>0</v>
      </c>
      <c r="H3362" s="1636"/>
    </row>
    <row r="3363" spans="1:8">
      <c r="A3363" s="1620" t="str">
        <f>INDEX(Lists!$C$4:$C$24,MATCH(Validation!$B$3,Lists!$B$4:$B$24,0))</f>
        <v>TMS</v>
      </c>
      <c r="B3363" s="1732" t="str">
        <f>+Bioresources!D11</f>
        <v>CR3006BIOM</v>
      </c>
      <c r="C3363" t="str">
        <f>Bioresources!$C$5&amp;" - "&amp;Bioresources!C11</f>
        <v>Summary of market activity - Number of new contracts that have been agreed during the year</v>
      </c>
      <c r="D3363" s="1620" t="str">
        <f>+Bioresources!E11</f>
        <v>nr</v>
      </c>
      <c r="E3363" s="1636" t="s">
        <v>9</v>
      </c>
      <c r="F3363"/>
      <c r="G3363" s="1792">
        <f>+Bioresources!G11</f>
        <v>0</v>
      </c>
      <c r="H3363" s="1636"/>
    </row>
    <row r="3364" spans="1:8">
      <c r="A3364" s="1620" t="str">
        <f>INDEX(Lists!$C$4:$C$24,MATCH(Validation!$B$3,Lists!$B$4:$B$24,0))</f>
        <v>TMS</v>
      </c>
      <c r="B3364" s="1732" t="str">
        <f>+Bioresources!D14</f>
        <v>CR3007BIOM</v>
      </c>
      <c r="C3364" t="str">
        <f>Bioresources!$C$13&amp;" - "&amp;Bioresources!C14</f>
        <v xml:space="preserve">Formal tender process - Number of formal tenders you issued during the year </v>
      </c>
      <c r="D3364" s="1620" t="str">
        <f>+Bioresources!E14</f>
        <v>nr</v>
      </c>
      <c r="E3364" s="1636" t="s">
        <v>9</v>
      </c>
      <c r="F3364"/>
      <c r="G3364" s="1792">
        <f>+Bioresources!G14</f>
        <v>0</v>
      </c>
      <c r="H3364" s="1636"/>
    </row>
    <row r="3365" spans="1:8">
      <c r="A3365" s="1620" t="str">
        <f>INDEX(Lists!$C$4:$C$24,MATCH(Validation!$B$3,Lists!$B$4:$B$24,0))</f>
        <v>TMS</v>
      </c>
      <c r="B3365" s="1732" t="str">
        <f>+Bioresources!D15</f>
        <v>CR3008BIOM</v>
      </c>
      <c r="C3365" t="str">
        <f>Bioresources!$C$13&amp;" - "&amp;Bioresources!C15</f>
        <v>Formal tender process - Total number of bids received on all your tenders</v>
      </c>
      <c r="D3365" s="1620" t="str">
        <f>+Bioresources!E15</f>
        <v>nr</v>
      </c>
      <c r="E3365" s="1636" t="s">
        <v>9</v>
      </c>
      <c r="F3365"/>
      <c r="G3365" s="1792">
        <f>+Bioresources!G15</f>
        <v>0</v>
      </c>
      <c r="H3365" s="1636"/>
    </row>
    <row r="3366" spans="1:8">
      <c r="A3366" s="1620" t="str">
        <f>INDEX(Lists!$C$4:$C$24,MATCH(Validation!$B$3,Lists!$B$4:$B$24,0))</f>
        <v>TMS</v>
      </c>
      <c r="B3366" s="1732" t="str">
        <f>+Bioresources!D16</f>
        <v>CR3009BIOM</v>
      </c>
      <c r="C3366" t="str">
        <f>Bioresources!$C$13&amp;" - "&amp;Bioresources!C16</f>
        <v>Formal tender process - Number of tenders you awarded during the year</v>
      </c>
      <c r="D3366" s="1620" t="str">
        <f>+Bioresources!E16</f>
        <v>nr</v>
      </c>
      <c r="E3366" s="1636" t="s">
        <v>9</v>
      </c>
      <c r="F3366"/>
      <c r="G3366" s="1792">
        <f>+Bioresources!G16</f>
        <v>0</v>
      </c>
      <c r="H3366" s="1636"/>
    </row>
    <row r="3367" spans="1:8">
      <c r="A3367" s="1620" t="str">
        <f>INDEX(Lists!$C$4:$C$24,MATCH(Validation!$B$3,Lists!$B$4:$B$24,0))</f>
        <v>TMS</v>
      </c>
      <c r="B3367" s="1732" t="str">
        <f>+Bioresources!D19</f>
        <v>CR3010BIOM</v>
      </c>
      <c r="C3367" t="str">
        <f>Bioresources!$C$18&amp;" - "&amp;Bioresources!C19</f>
        <v>Informal bidding process - Number of offers made by a third party outside the formal tender process during the financial year</v>
      </c>
      <c r="D3367" s="1620" t="str">
        <f>+Bioresources!E19</f>
        <v>nr</v>
      </c>
      <c r="E3367" s="1636" t="s">
        <v>9</v>
      </c>
      <c r="F3367"/>
      <c r="G3367" s="1792">
        <f>+Bioresources!G19</f>
        <v>0</v>
      </c>
      <c r="H3367" s="1636"/>
    </row>
    <row r="3368" spans="1:8">
      <c r="A3368" s="1620" t="str">
        <f>INDEX(Lists!$C$4:$C$24,MATCH(Validation!$B$3,Lists!$B$4:$B$24,0))</f>
        <v>TMS</v>
      </c>
      <c r="B3368" s="1732" t="str">
        <f>+Bioresources!D20</f>
        <v>CR3011BIOM</v>
      </c>
      <c r="C3368" t="str">
        <f>Bioresources!$C$18&amp;" - "&amp;Bioresources!C20</f>
        <v>Informal bidding process - The number of successful offers</v>
      </c>
      <c r="D3368" s="1620" t="str">
        <f>+Bioresources!E20</f>
        <v>nr</v>
      </c>
      <c r="E3368" s="1636" t="s">
        <v>9</v>
      </c>
      <c r="F3368"/>
      <c r="G3368" s="1792">
        <f>+Bioresources!G20</f>
        <v>0</v>
      </c>
      <c r="H3368" s="1636"/>
    </row>
    <row r="3369" spans="1:8">
      <c r="A3369" s="1620" t="str">
        <f>INDEX(Lists!$C$4:$C$24,MATCH(Validation!$B$3,Lists!$B$4:$B$24,0))</f>
        <v>TMS</v>
      </c>
      <c r="B3369" s="1732" t="str">
        <f>+Bioresources!D23</f>
        <v>CR3012BIOM</v>
      </c>
      <c r="C3369" t="str">
        <f>Bioresources!$C$22&amp;" - "&amp;Bioresources!C23</f>
        <v xml:space="preserve">Treatment of sludge - Total quantity of sludge produced in performance of the company’s functions as a sewerage undertaker </v>
      </c>
      <c r="D3369" s="1620" t="str">
        <f>+Bioresources!E23</f>
        <v>ttds/ year</v>
      </c>
      <c r="E3369" s="1636" t="s">
        <v>9</v>
      </c>
      <c r="F3369"/>
      <c r="G3369" s="1793">
        <f>+Bioresources!G23</f>
        <v>366.22</v>
      </c>
      <c r="H3369" s="1636"/>
    </row>
    <row r="3370" spans="1:8">
      <c r="A3370" s="1620" t="str">
        <f>INDEX(Lists!$C$4:$C$24,MATCH(Validation!$B$3,Lists!$B$4:$B$24,0))</f>
        <v>TMS</v>
      </c>
      <c r="B3370" s="1732" t="str">
        <f>+Bioresources!D24</f>
        <v>CR3013BIOM</v>
      </c>
      <c r="C3370" t="str">
        <f>Bioresources!$C$22&amp;" - "&amp;Bioresources!C24</f>
        <v>Treatment of sludge - Quantity of sludge treated in-house</v>
      </c>
      <c r="D3370" s="1620" t="str">
        <f>+Bioresources!E24</f>
        <v>ttds/ year</v>
      </c>
      <c r="E3370" s="1636" t="s">
        <v>9</v>
      </c>
      <c r="F3370"/>
      <c r="G3370" s="1793">
        <f>+Bioresources!G24</f>
        <v>366.22</v>
      </c>
      <c r="H3370" s="1636"/>
    </row>
    <row r="3371" spans="1:8">
      <c r="A3371" s="1620" t="str">
        <f>INDEX(Lists!$C$4:$C$24,MATCH(Validation!$B$3,Lists!$B$4:$B$24,0))</f>
        <v>TMS</v>
      </c>
      <c r="B3371" s="1732" t="str">
        <f>+Bioresources!D25</f>
        <v>CR3014BIOM</v>
      </c>
      <c r="C3371" t="str">
        <f>Bioresources!$C$22&amp;" - "&amp;Bioresources!C25</f>
        <v>Treatment of sludge - Quantity of sludge treated by a third party</v>
      </c>
      <c r="D3371" s="1620" t="str">
        <f>+Bioresources!E25</f>
        <v>ttds/ year</v>
      </c>
      <c r="E3371" s="1636" t="s">
        <v>9</v>
      </c>
      <c r="F3371"/>
      <c r="G3371" s="1793">
        <f>+Bioresources!G25</f>
        <v>0</v>
      </c>
      <c r="H3371" s="1636"/>
    </row>
    <row r="3372" spans="1:8">
      <c r="A3372" s="1620" t="str">
        <f>INDEX(Lists!$C$4:$C$24,MATCH(Validation!$B$3,Lists!$B$4:$B$24,0))</f>
        <v>TMS</v>
      </c>
      <c r="B3372" s="1732" t="str">
        <f>+Bioresources!D26</f>
        <v>CR3015BIOM</v>
      </c>
      <c r="C3372" t="str">
        <f>Bioresources!$C$22&amp;" - "&amp;Bioresources!C26</f>
        <v>Treatment of sludge - Number of contracts to provide sludge treatment</v>
      </c>
      <c r="D3372" s="1620" t="str">
        <f>+Bioresources!E26</f>
        <v>nr</v>
      </c>
      <c r="E3372" s="1636" t="s">
        <v>9</v>
      </c>
      <c r="F3372"/>
      <c r="G3372" s="1792">
        <f>+Bioresources!G26</f>
        <v>0</v>
      </c>
      <c r="H3372" s="1636"/>
    </row>
    <row r="3373" spans="1:8">
      <c r="A3373" s="1620" t="str">
        <f>INDEX(Lists!$C$4:$C$24,MATCH(Validation!$B$3,Lists!$B$4:$B$24,0))</f>
        <v>TMS</v>
      </c>
      <c r="B3373" s="1732" t="str">
        <f>+Bioresources!D27</f>
        <v>CR3016BIOM</v>
      </c>
      <c r="C3373" t="str">
        <f>Bioresources!$C$22&amp;" - "&amp;Bioresources!C27</f>
        <v>Treatment of sludge - Number of suppliers with contracts for sludge treatment</v>
      </c>
      <c r="D3373" s="1620" t="str">
        <f>+Bioresources!E27</f>
        <v>nr</v>
      </c>
      <c r="E3373" s="1636" t="s">
        <v>9</v>
      </c>
      <c r="F3373"/>
      <c r="G3373" s="1792">
        <f>+Bioresources!G27</f>
        <v>0</v>
      </c>
      <c r="H3373" s="1636"/>
    </row>
    <row r="3374" spans="1:8">
      <c r="A3374" s="1620" t="str">
        <f>INDEX(Lists!$C$4:$C$24,MATCH(Validation!$B$3,Lists!$B$4:$B$24,0))</f>
        <v>TMS</v>
      </c>
      <c r="B3374" s="1732" t="str">
        <f>+Bioresources!D30</f>
        <v>CR3017BIOM</v>
      </c>
      <c r="C3374" t="str">
        <f>Bioresources!$C$29&amp;" - "&amp;Bioresources!C30</f>
        <v>Sludge transported - Total quantity of sludge transported by road</v>
      </c>
      <c r="D3374" s="1620" t="str">
        <f>+Bioresources!E30</f>
        <v>ttds/ year</v>
      </c>
      <c r="E3374" s="1636" t="s">
        <v>9</v>
      </c>
      <c r="F3374"/>
      <c r="G3374" s="1793">
        <f>+Bioresources!G30</f>
        <v>29.56</v>
      </c>
      <c r="H3374" s="1636"/>
    </row>
    <row r="3375" spans="1:8">
      <c r="A3375" s="1620" t="str">
        <f>INDEX(Lists!$C$4:$C$24,MATCH(Validation!$B$3,Lists!$B$4:$B$24,0))</f>
        <v>TMS</v>
      </c>
      <c r="B3375" s="1732" t="str">
        <f>+Bioresources!D31</f>
        <v>CR3018BIOM</v>
      </c>
      <c r="C3375" t="str">
        <f>Bioresources!$C$29&amp;" - "&amp;Bioresources!C31</f>
        <v>Sludge transported - Quantity of sludge transported by road in-house by your own bioresources service</v>
      </c>
      <c r="D3375" s="1620" t="str">
        <f>+Bioresources!E31</f>
        <v>ttds/ year</v>
      </c>
      <c r="E3375" s="1636" t="s">
        <v>9</v>
      </c>
      <c r="F3375"/>
      <c r="G3375" s="1793">
        <f>+Bioresources!G31</f>
        <v>29.56</v>
      </c>
      <c r="H3375" s="1636"/>
    </row>
    <row r="3376" spans="1:8">
      <c r="A3376" s="1620" t="str">
        <f>INDEX(Lists!$C$4:$C$24,MATCH(Validation!$B$3,Lists!$B$4:$B$24,0))</f>
        <v>TMS</v>
      </c>
      <c r="B3376" s="1732" t="str">
        <f>+Bioresources!D32</f>
        <v>CR3019BIOM</v>
      </c>
      <c r="C3376" t="str">
        <f>Bioresources!$C$29&amp;" - "&amp;Bioresources!C32</f>
        <v>Sludge transported - Quantity of sludge transported by road by a third party</v>
      </c>
      <c r="D3376" s="1620" t="str">
        <f>+Bioresources!E32</f>
        <v>ttds/ year</v>
      </c>
      <c r="E3376" s="1636" t="s">
        <v>9</v>
      </c>
      <c r="F3376"/>
      <c r="G3376" s="1793">
        <f>+Bioresources!G32</f>
        <v>0</v>
      </c>
      <c r="H3376" s="1636"/>
    </row>
    <row r="3377" spans="1:8">
      <c r="A3377" s="1620" t="str">
        <f>INDEX(Lists!$C$4:$C$24,MATCH(Validation!$B$3,Lists!$B$4:$B$24,0))</f>
        <v>TMS</v>
      </c>
      <c r="B3377" s="1732" t="str">
        <f>+Bioresources!D33</f>
        <v>CR3020BIOM</v>
      </c>
      <c r="C3377" t="str">
        <f>Bioresources!$C$29&amp;" - "&amp;Bioresources!C33</f>
        <v>Sludge transported - Number of contracts to provide sludge transport services</v>
      </c>
      <c r="D3377" s="1620" t="str">
        <f>+Bioresources!E33</f>
        <v>nr</v>
      </c>
      <c r="E3377" s="1636" t="s">
        <v>9</v>
      </c>
      <c r="F3377"/>
      <c r="G3377" s="1792">
        <f>+Bioresources!G33</f>
        <v>0</v>
      </c>
      <c r="H3377" s="1636"/>
    </row>
    <row r="3378" spans="1:8">
      <c r="A3378" s="1620" t="str">
        <f>INDEX(Lists!$C$4:$C$24,MATCH(Validation!$B$3,Lists!$B$4:$B$24,0))</f>
        <v>TMS</v>
      </c>
      <c r="B3378" s="1732" t="str">
        <f>+Bioresources!D34</f>
        <v>CR3021BIOM</v>
      </c>
      <c r="C3378" t="str">
        <f>Bioresources!$C$29&amp;" - "&amp;Bioresources!C34</f>
        <v>Sludge transported - Number of suppliers with contracts for sludge transportation</v>
      </c>
      <c r="D3378" s="1620" t="str">
        <f>+Bioresources!E34</f>
        <v>nr</v>
      </c>
      <c r="E3378" s="1636" t="s">
        <v>9</v>
      </c>
      <c r="F3378"/>
      <c r="G3378" s="1792">
        <f>+Bioresources!G34</f>
        <v>0</v>
      </c>
      <c r="H3378" s="1636"/>
    </row>
    <row r="3379" spans="1:8">
      <c r="A3379" s="1620" t="str">
        <f>INDEX(Lists!$C$4:$C$24,MATCH(Validation!$B$3,Lists!$B$4:$B$24,0))</f>
        <v>TMS</v>
      </c>
      <c r="B3379" s="1732" t="str">
        <f>+Bioresources!D37</f>
        <v>CR3022BIOM</v>
      </c>
      <c r="C3379" t="str">
        <f>Bioresources!$C$36&amp;" - "&amp;Bioresources!C37</f>
        <v>Sludge recycled or disposed - Total quantity of sludge recycled or disposed</v>
      </c>
      <c r="D3379" s="1620" t="str">
        <f>+Bioresources!E37</f>
        <v>ttds/ year</v>
      </c>
      <c r="E3379" s="1636" t="s">
        <v>9</v>
      </c>
      <c r="F3379"/>
      <c r="G3379" s="1793">
        <f>+Bioresources!G37</f>
        <v>232.44</v>
      </c>
      <c r="H3379" s="1636"/>
    </row>
    <row r="3380" spans="1:8">
      <c r="A3380" s="1620" t="str">
        <f>INDEX(Lists!$C$4:$C$24,MATCH(Validation!$B$3,Lists!$B$4:$B$24,0))</f>
        <v>TMS</v>
      </c>
      <c r="B3380" s="1732" t="str">
        <f>+Bioresources!D38</f>
        <v>CR3023BIOM</v>
      </c>
      <c r="C3380" t="str">
        <f>Bioresources!$C$36&amp;" - "&amp;Bioresources!C38</f>
        <v>Sludge recycled or disposed - Quantity of sludge recycled or disposed in-house by your own bioresources service</v>
      </c>
      <c r="D3380" s="1620" t="str">
        <f>+Bioresources!E38</f>
        <v>ttds/ year</v>
      </c>
      <c r="E3380" s="1636" t="s">
        <v>9</v>
      </c>
      <c r="F3380"/>
      <c r="G3380" s="1793">
        <f>+Bioresources!G38</f>
        <v>232.44</v>
      </c>
      <c r="H3380" s="1636"/>
    </row>
    <row r="3381" spans="1:8">
      <c r="A3381" s="1620" t="str">
        <f>INDEX(Lists!$C$4:$C$24,MATCH(Validation!$B$3,Lists!$B$4:$B$24,0))</f>
        <v>TMS</v>
      </c>
      <c r="B3381" s="1732" t="str">
        <f>+Bioresources!D39</f>
        <v>CR3024BIOM</v>
      </c>
      <c r="C3381" t="str">
        <f>Bioresources!$C$36&amp;" - "&amp;Bioresources!C39</f>
        <v>Sludge recycled or disposed - Quantity of sludge recycled by a third party</v>
      </c>
      <c r="D3381" s="1620" t="str">
        <f>+Bioresources!E39</f>
        <v>ttds/ year</v>
      </c>
      <c r="E3381" s="1636" t="s">
        <v>9</v>
      </c>
      <c r="F3381"/>
      <c r="G3381" s="1793">
        <f>+Bioresources!G39</f>
        <v>0</v>
      </c>
      <c r="H3381" s="1636"/>
    </row>
    <row r="3382" spans="1:8">
      <c r="A3382" s="1620" t="str">
        <f>INDEX(Lists!$C$4:$C$24,MATCH(Validation!$B$3,Lists!$B$4:$B$24,0))</f>
        <v>TMS</v>
      </c>
      <c r="B3382" s="1732" t="str">
        <f>+Bioresources!D40</f>
        <v>CR3025BIOM</v>
      </c>
      <c r="C3382" t="str">
        <f>Bioresources!$C$36&amp;" - "&amp;Bioresources!C40</f>
        <v>Sludge recycled or disposed - Number of contracts held to provide sludge recycling or disposal services</v>
      </c>
      <c r="D3382" s="1620" t="str">
        <f>+Bioresources!E40</f>
        <v>nr</v>
      </c>
      <c r="E3382" s="1636" t="s">
        <v>9</v>
      </c>
      <c r="F3382"/>
      <c r="G3382" s="1792">
        <f>+Bioresources!G40</f>
        <v>0</v>
      </c>
      <c r="H3382" s="1636"/>
    </row>
    <row r="3383" spans="1:8" ht="15" thickBot="1">
      <c r="A3383" s="1621" t="str">
        <f>INDEX(Lists!$C$4:$C$24,MATCH(Validation!$B$3,Lists!$B$4:$B$24,0))</f>
        <v>TMS</v>
      </c>
      <c r="B3383" s="1733" t="str">
        <f>+Bioresources!D41</f>
        <v>CR3026BIOM</v>
      </c>
      <c r="C3383" s="1733" t="str">
        <f>Bioresources!$C$36&amp;" - "&amp;Bioresources!C41</f>
        <v>Sludge recycled or disposed - Number of suppliers with contracts for sludge recycling or disposal</v>
      </c>
      <c r="D3383" s="1621" t="str">
        <f>+Bioresources!E41</f>
        <v>nr</v>
      </c>
      <c r="E3383" s="1649" t="s">
        <v>9</v>
      </c>
      <c r="F3383" s="1622"/>
      <c r="G3383" s="1794">
        <f>+Bioresources!G41</f>
        <v>0</v>
      </c>
      <c r="H3383" s="1649"/>
    </row>
    <row r="3384" spans="1:8">
      <c r="A3384"/>
      <c r="B3384"/>
      <c r="C3384"/>
      <c r="D3384"/>
      <c r="E3384"/>
      <c r="F3384"/>
      <c r="G3384"/>
    </row>
    <row r="3385" spans="1:8">
      <c r="A3385"/>
      <c r="B3385"/>
      <c r="C3385"/>
      <c r="D3385"/>
      <c r="E3385"/>
      <c r="F3385"/>
      <c r="G3385"/>
    </row>
    <row r="3386" spans="1:8">
      <c r="A3386"/>
      <c r="B3386"/>
      <c r="C3386"/>
      <c r="D3386"/>
      <c r="E3386"/>
      <c r="F3386"/>
      <c r="G3386"/>
    </row>
    <row r="3387" spans="1:8">
      <c r="A3387"/>
      <c r="B3387"/>
      <c r="C3387"/>
      <c r="D3387"/>
      <c r="E3387"/>
      <c r="F3387"/>
      <c r="G3387"/>
    </row>
    <row r="3388" spans="1:8">
      <c r="A3388"/>
      <c r="B3388"/>
      <c r="C3388"/>
      <c r="D3388"/>
      <c r="E3388"/>
      <c r="F3388"/>
      <c r="G3388"/>
    </row>
    <row r="3389" spans="1:8">
      <c r="A3389"/>
      <c r="B3389"/>
      <c r="C3389"/>
      <c r="D3389"/>
      <c r="E3389"/>
      <c r="F3389"/>
      <c r="G3389"/>
    </row>
    <row r="3390" spans="1:8">
      <c r="A3390"/>
      <c r="B3390"/>
      <c r="C3390"/>
      <c r="D3390"/>
      <c r="E3390"/>
      <c r="F3390"/>
      <c r="G3390"/>
    </row>
    <row r="3391" spans="1:8">
      <c r="A3391"/>
      <c r="B3391"/>
      <c r="C3391"/>
      <c r="D3391"/>
      <c r="E3391"/>
      <c r="F3391"/>
      <c r="G3391"/>
    </row>
    <row r="3392" spans="1:8">
      <c r="A3392"/>
      <c r="B3392"/>
      <c r="C3392"/>
      <c r="D3392"/>
      <c r="E3392"/>
      <c r="F3392"/>
      <c r="G3392"/>
    </row>
    <row r="3393" spans="1:7">
      <c r="A3393"/>
      <c r="B3393"/>
      <c r="C3393"/>
      <c r="D3393"/>
      <c r="E3393"/>
      <c r="F3393"/>
      <c r="G3393"/>
    </row>
    <row r="3655" spans="3:3">
      <c r="C3655"/>
    </row>
  </sheetData>
  <sheetProtection algorithmName="SHA-512" hashValue="wHwgzYehip+0wbmcP4Janwoj8QW/slJRd0JhFejOS5XQJO2UoXA2SZPhY6nAmOHpOykW191CuxwCESqs7ZEvOg==" saltValue="Ru3/FBDlRuxjed9IidBnyg==" spinCount="100000" sheet="1" objects="1" scenarios="1"/>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AJ60"/>
  <sheetViews>
    <sheetView showGridLines="0" topLeftCell="A37" zoomScale="80" zoomScaleNormal="80" workbookViewId="0">
      <selection activeCell="G49" sqref="G49"/>
    </sheetView>
  </sheetViews>
  <sheetFormatPr defaultColWidth="0" defaultRowHeight="14.25" zeroHeight="1"/>
  <cols>
    <col min="1" max="1" width="0.625" style="65" customWidth="1"/>
    <col min="2" max="2" width="7.625" style="65" customWidth="1"/>
    <col min="3" max="3" width="38.125" style="65" customWidth="1"/>
    <col min="4" max="4" width="2.625" style="65" hidden="1" customWidth="1"/>
    <col min="5" max="6" width="5.125" style="65" customWidth="1"/>
    <col min="7" max="11" width="12.5" style="65" customWidth="1"/>
    <col min="12" max="12" width="2.625" style="65" customWidth="1"/>
    <col min="13" max="13" width="27" style="65" customWidth="1"/>
    <col min="14" max="14" width="1.625" style="65" customWidth="1"/>
    <col min="15" max="15" width="1.625" style="66" hidden="1" customWidth="1"/>
    <col min="16" max="18" width="5.625" style="65" hidden="1" customWidth="1"/>
    <col min="19" max="19" width="1.625" style="66" hidden="1" customWidth="1"/>
    <col min="20" max="20" width="8.125" style="65" hidden="1" customWidth="1"/>
    <col min="21" max="23" width="8.625" style="65" hidden="1" customWidth="1"/>
    <col min="24" max="26" width="8.125" style="65" hidden="1" customWidth="1"/>
    <col min="27" max="27" width="7.625" style="65" hidden="1" customWidth="1"/>
    <col min="28" max="28" width="38.125" style="65" hidden="1" customWidth="1"/>
    <col min="29" max="29" width="2.625" style="65" hidden="1" customWidth="1"/>
    <col min="30" max="31" width="5.125" style="65" hidden="1" customWidth="1"/>
    <col min="32" max="36" width="12.5" style="65" hidden="1" customWidth="1"/>
    <col min="37" max="16384" width="8.125" style="65" hidden="1"/>
  </cols>
  <sheetData>
    <row r="1" spans="2:36" ht="20.25">
      <c r="B1" s="61" t="s">
        <v>276</v>
      </c>
      <c r="C1" s="61"/>
      <c r="D1" s="61"/>
      <c r="E1" s="61"/>
      <c r="F1" s="61"/>
      <c r="G1" s="61"/>
      <c r="H1" s="61"/>
      <c r="I1" s="61"/>
      <c r="J1" s="61"/>
      <c r="K1" s="63" t="str">
        <f>Validation!B3</f>
        <v>Thames Water</v>
      </c>
      <c r="L1" s="61"/>
      <c r="M1" s="64" t="s">
        <v>94</v>
      </c>
      <c r="AA1" s="61" t="s">
        <v>95</v>
      </c>
      <c r="AB1" s="61"/>
      <c r="AC1" s="61"/>
      <c r="AD1" s="61"/>
      <c r="AE1" s="61"/>
      <c r="AF1" s="61"/>
      <c r="AG1" s="61"/>
      <c r="AH1" s="61"/>
      <c r="AI1" s="61"/>
      <c r="AJ1" s="63"/>
    </row>
    <row r="2" spans="2:36" ht="15" thickBot="1">
      <c r="B2" s="68" t="s">
        <v>80</v>
      </c>
      <c r="AA2" s="68" t="s">
        <v>80</v>
      </c>
    </row>
    <row r="3" spans="2:36" ht="15" customHeight="1">
      <c r="B3" s="2242" t="s">
        <v>96</v>
      </c>
      <c r="C3" s="2243"/>
      <c r="D3" s="2192" t="s">
        <v>97</v>
      </c>
      <c r="E3" s="2246" t="s">
        <v>98</v>
      </c>
      <c r="F3" s="2248" t="s">
        <v>99</v>
      </c>
      <c r="G3" s="2250" t="s">
        <v>100</v>
      </c>
      <c r="H3" s="2252" t="s">
        <v>101</v>
      </c>
      <c r="I3" s="2253"/>
      <c r="J3" s="2254"/>
      <c r="K3" s="2240" t="s">
        <v>102</v>
      </c>
      <c r="M3" s="2240" t="s">
        <v>103</v>
      </c>
      <c r="AA3" s="2242" t="s">
        <v>96</v>
      </c>
      <c r="AB3" s="2243"/>
      <c r="AC3" s="2192" t="s">
        <v>97</v>
      </c>
      <c r="AD3" s="2246" t="s">
        <v>98</v>
      </c>
      <c r="AE3" s="2248" t="s">
        <v>99</v>
      </c>
      <c r="AF3" s="2250" t="s">
        <v>100</v>
      </c>
      <c r="AG3" s="2252" t="s">
        <v>101</v>
      </c>
      <c r="AH3" s="2253"/>
      <c r="AI3" s="2254"/>
      <c r="AJ3" s="2240" t="s">
        <v>102</v>
      </c>
    </row>
    <row r="4" spans="2:36" ht="54.75" customHeight="1" thickBot="1">
      <c r="B4" s="2244"/>
      <c r="C4" s="2245"/>
      <c r="D4" s="2193"/>
      <c r="E4" s="2247"/>
      <c r="F4" s="2249"/>
      <c r="G4" s="2251"/>
      <c r="H4" s="2201" t="s">
        <v>104</v>
      </c>
      <c r="I4" s="73" t="s">
        <v>105</v>
      </c>
      <c r="J4" s="2202" t="s">
        <v>106</v>
      </c>
      <c r="K4" s="2241"/>
      <c r="M4" s="2241"/>
      <c r="N4" s="74"/>
      <c r="P4" s="2255" t="s">
        <v>107</v>
      </c>
      <c r="Q4" s="2255"/>
      <c r="R4" s="2255"/>
      <c r="AA4" s="2244"/>
      <c r="AB4" s="2245"/>
      <c r="AC4" s="2193"/>
      <c r="AD4" s="2247"/>
      <c r="AE4" s="2249"/>
      <c r="AF4" s="2251"/>
      <c r="AG4" s="2201" t="s">
        <v>104</v>
      </c>
      <c r="AH4" s="73" t="s">
        <v>105</v>
      </c>
      <c r="AI4" s="2202" t="s">
        <v>106</v>
      </c>
      <c r="AJ4" s="2241"/>
    </row>
    <row r="5" spans="2:36" ht="15" thickBot="1"/>
    <row r="6" spans="2:36" ht="15" thickBot="1">
      <c r="B6" s="2221" t="s">
        <v>214</v>
      </c>
      <c r="C6" s="77" t="s">
        <v>277</v>
      </c>
      <c r="D6" s="1292"/>
      <c r="P6" s="78" t="s">
        <v>108</v>
      </c>
      <c r="AA6" s="2221" t="s">
        <v>214</v>
      </c>
      <c r="AB6" s="77" t="s">
        <v>277</v>
      </c>
      <c r="AC6" s="1292"/>
    </row>
    <row r="7" spans="2:36">
      <c r="B7" s="79" t="s">
        <v>278</v>
      </c>
      <c r="C7" s="109" t="s">
        <v>279</v>
      </c>
      <c r="D7" s="109"/>
      <c r="E7" s="81" t="s">
        <v>8</v>
      </c>
      <c r="F7" s="82">
        <v>3</v>
      </c>
      <c r="G7" s="395">
        <v>14675.311</v>
      </c>
      <c r="H7" s="342">
        <v>-361.09300000000002</v>
      </c>
      <c r="I7" s="353">
        <v>0.97599999999999998</v>
      </c>
      <c r="J7" s="165">
        <f t="shared" ref="J7:J13" si="0" xml:space="preserve"> H7 - I7</f>
        <v>-362.06900000000002</v>
      </c>
      <c r="K7" s="170">
        <f t="shared" ref="K7:K13" si="1" xml:space="preserve"> G7 + J7</f>
        <v>14313.242</v>
      </c>
      <c r="M7" s="1164">
        <f xml:space="preserve"> IF( SUM( O7:S7 ) = 0, 0, $P$6 )</f>
        <v>0</v>
      </c>
      <c r="P7" s="86">
        <f t="shared" ref="P7:R19" si="2" xml:space="preserve"> IF( ISNUMBER( G7 ), 0, 1 )</f>
        <v>0</v>
      </c>
      <c r="Q7" s="86">
        <f t="shared" si="2"/>
        <v>0</v>
      </c>
      <c r="R7" s="86">
        <f t="shared" si="2"/>
        <v>0</v>
      </c>
      <c r="AA7" s="79" t="s">
        <v>278</v>
      </c>
      <c r="AB7" s="109" t="s">
        <v>279</v>
      </c>
      <c r="AC7" s="109"/>
      <c r="AD7" s="81" t="s">
        <v>8</v>
      </c>
      <c r="AE7" s="82">
        <v>3</v>
      </c>
      <c r="AF7" s="395" t="s">
        <v>280</v>
      </c>
      <c r="AG7" s="342" t="s">
        <v>281</v>
      </c>
      <c r="AH7" s="353" t="s">
        <v>282</v>
      </c>
      <c r="AI7" s="165" t="s">
        <v>283</v>
      </c>
      <c r="AJ7" s="170" t="s">
        <v>284</v>
      </c>
    </row>
    <row r="8" spans="2:36">
      <c r="B8" s="87" t="s">
        <v>285</v>
      </c>
      <c r="C8" s="80" t="s">
        <v>286</v>
      </c>
      <c r="D8" s="80"/>
      <c r="E8" s="88" t="s">
        <v>8</v>
      </c>
      <c r="F8" s="89">
        <v>3</v>
      </c>
      <c r="G8" s="391">
        <v>168.584</v>
      </c>
      <c r="H8" s="340">
        <v>-6.4640000000000004</v>
      </c>
      <c r="I8" s="341">
        <v>0</v>
      </c>
      <c r="J8" s="166">
        <f xml:space="preserve"> H8 - I8</f>
        <v>-6.4640000000000004</v>
      </c>
      <c r="K8" s="171">
        <f xml:space="preserve"> G8 + J8</f>
        <v>162.12</v>
      </c>
      <c r="M8" s="1164">
        <f t="shared" ref="M8:M12" si="3" xml:space="preserve"> IF( SUM( O8:S8 ) = 0, 0, $P$6 )</f>
        <v>0</v>
      </c>
      <c r="P8" s="86">
        <f t="shared" si="2"/>
        <v>0</v>
      </c>
      <c r="Q8" s="86">
        <f t="shared" si="2"/>
        <v>0</v>
      </c>
      <c r="R8" s="86">
        <f t="shared" si="2"/>
        <v>0</v>
      </c>
      <c r="AA8" s="87" t="s">
        <v>285</v>
      </c>
      <c r="AB8" s="80" t="s">
        <v>286</v>
      </c>
      <c r="AC8" s="80"/>
      <c r="AD8" s="88" t="s">
        <v>8</v>
      </c>
      <c r="AE8" s="89">
        <v>3</v>
      </c>
      <c r="AF8" s="391" t="s">
        <v>287</v>
      </c>
      <c r="AG8" s="340" t="s">
        <v>288</v>
      </c>
      <c r="AH8" s="341" t="s">
        <v>289</v>
      </c>
      <c r="AI8" s="166" t="s">
        <v>290</v>
      </c>
      <c r="AJ8" s="171" t="s">
        <v>291</v>
      </c>
    </row>
    <row r="9" spans="2:36">
      <c r="B9" s="87" t="s">
        <v>292</v>
      </c>
      <c r="C9" s="80" t="s">
        <v>293</v>
      </c>
      <c r="D9" s="80"/>
      <c r="E9" s="88" t="s">
        <v>8</v>
      </c>
      <c r="F9" s="89">
        <v>3</v>
      </c>
      <c r="G9" s="391">
        <v>2274.7449999999999</v>
      </c>
      <c r="H9" s="340">
        <v>0</v>
      </c>
      <c r="I9" s="341">
        <v>0</v>
      </c>
      <c r="J9" s="166">
        <f t="shared" si="0"/>
        <v>0</v>
      </c>
      <c r="K9" s="171">
        <f t="shared" si="1"/>
        <v>2274.7449999999999</v>
      </c>
      <c r="M9" s="1164">
        <f t="shared" si="3"/>
        <v>0</v>
      </c>
      <c r="P9" s="86">
        <f t="shared" si="2"/>
        <v>0</v>
      </c>
      <c r="Q9" s="86">
        <f t="shared" si="2"/>
        <v>0</v>
      </c>
      <c r="R9" s="86">
        <f t="shared" si="2"/>
        <v>0</v>
      </c>
      <c r="AA9" s="87" t="s">
        <v>292</v>
      </c>
      <c r="AB9" s="80" t="s">
        <v>293</v>
      </c>
      <c r="AC9" s="80"/>
      <c r="AD9" s="88" t="s">
        <v>8</v>
      </c>
      <c r="AE9" s="89">
        <v>3</v>
      </c>
      <c r="AF9" s="391" t="s">
        <v>294</v>
      </c>
      <c r="AG9" s="340" t="s">
        <v>295</v>
      </c>
      <c r="AH9" s="341" t="s">
        <v>296</v>
      </c>
      <c r="AI9" s="166" t="s">
        <v>297</v>
      </c>
      <c r="AJ9" s="171" t="s">
        <v>298</v>
      </c>
    </row>
    <row r="10" spans="2:36">
      <c r="B10" s="87" t="s">
        <v>299</v>
      </c>
      <c r="C10" s="80" t="s">
        <v>300</v>
      </c>
      <c r="D10" s="80"/>
      <c r="E10" s="88" t="s">
        <v>8</v>
      </c>
      <c r="F10" s="89">
        <v>3</v>
      </c>
      <c r="G10" s="392">
        <v>60.786999999999999</v>
      </c>
      <c r="H10" s="393">
        <v>0</v>
      </c>
      <c r="I10" s="394">
        <v>56.716999999999999</v>
      </c>
      <c r="J10" s="166">
        <f t="shared" si="0"/>
        <v>-56.716999999999999</v>
      </c>
      <c r="K10" s="171">
        <f t="shared" si="1"/>
        <v>4.07</v>
      </c>
      <c r="M10" s="1164">
        <f t="shared" si="3"/>
        <v>0</v>
      </c>
      <c r="P10" s="86">
        <f t="shared" si="2"/>
        <v>0</v>
      </c>
      <c r="Q10" s="86">
        <f t="shared" si="2"/>
        <v>0</v>
      </c>
      <c r="R10" s="86">
        <f t="shared" si="2"/>
        <v>0</v>
      </c>
      <c r="AA10" s="87" t="s">
        <v>299</v>
      </c>
      <c r="AB10" s="80" t="s">
        <v>300</v>
      </c>
      <c r="AC10" s="80"/>
      <c r="AD10" s="88" t="s">
        <v>8</v>
      </c>
      <c r="AE10" s="89">
        <v>3</v>
      </c>
      <c r="AF10" s="392" t="s">
        <v>301</v>
      </c>
      <c r="AG10" s="393" t="s">
        <v>302</v>
      </c>
      <c r="AH10" s="394" t="s">
        <v>303</v>
      </c>
      <c r="AI10" s="166" t="s">
        <v>304</v>
      </c>
      <c r="AJ10" s="171" t="s">
        <v>305</v>
      </c>
    </row>
    <row r="11" spans="2:36">
      <c r="B11" s="87" t="s">
        <v>306</v>
      </c>
      <c r="C11" s="80" t="s">
        <v>307</v>
      </c>
      <c r="D11" s="80"/>
      <c r="E11" s="88" t="s">
        <v>8</v>
      </c>
      <c r="F11" s="89">
        <v>3</v>
      </c>
      <c r="G11" s="392">
        <v>59.311999999999998</v>
      </c>
      <c r="H11" s="393">
        <v>0</v>
      </c>
      <c r="I11" s="394">
        <v>0</v>
      </c>
      <c r="J11" s="166">
        <f t="shared" si="0"/>
        <v>0</v>
      </c>
      <c r="K11" s="171">
        <f xml:space="preserve"> G11 + J11</f>
        <v>59.311999999999998</v>
      </c>
      <c r="M11" s="1164">
        <f t="shared" si="3"/>
        <v>0</v>
      </c>
      <c r="P11" s="86">
        <f t="shared" si="2"/>
        <v>0</v>
      </c>
      <c r="Q11" s="86">
        <f t="shared" si="2"/>
        <v>0</v>
      </c>
      <c r="R11" s="86">
        <f t="shared" si="2"/>
        <v>0</v>
      </c>
      <c r="AA11" s="87" t="s">
        <v>306</v>
      </c>
      <c r="AB11" s="80" t="s">
        <v>307</v>
      </c>
      <c r="AC11" s="80"/>
      <c r="AD11" s="88" t="s">
        <v>8</v>
      </c>
      <c r="AE11" s="89">
        <v>3</v>
      </c>
      <c r="AF11" s="392" t="s">
        <v>308</v>
      </c>
      <c r="AG11" s="393" t="s">
        <v>309</v>
      </c>
      <c r="AH11" s="394" t="s">
        <v>310</v>
      </c>
      <c r="AI11" s="166" t="s">
        <v>311</v>
      </c>
      <c r="AJ11" s="171" t="s">
        <v>312</v>
      </c>
    </row>
    <row r="12" spans="2:36">
      <c r="B12" s="87" t="s">
        <v>313</v>
      </c>
      <c r="C12" s="80" t="s">
        <v>314</v>
      </c>
      <c r="D12" s="80"/>
      <c r="E12" s="88" t="s">
        <v>8</v>
      </c>
      <c r="F12" s="89">
        <v>3</v>
      </c>
      <c r="G12" s="392">
        <v>0</v>
      </c>
      <c r="H12" s="393">
        <v>0</v>
      </c>
      <c r="I12" s="394">
        <v>0</v>
      </c>
      <c r="J12" s="166">
        <f t="shared" si="0"/>
        <v>0</v>
      </c>
      <c r="K12" s="171">
        <f t="shared" si="1"/>
        <v>0</v>
      </c>
      <c r="M12" s="1164">
        <f t="shared" si="3"/>
        <v>0</v>
      </c>
      <c r="P12" s="86">
        <f t="shared" si="2"/>
        <v>0</v>
      </c>
      <c r="Q12" s="86">
        <f t="shared" si="2"/>
        <v>0</v>
      </c>
      <c r="R12" s="86">
        <f t="shared" si="2"/>
        <v>0</v>
      </c>
      <c r="AA12" s="87" t="s">
        <v>313</v>
      </c>
      <c r="AB12" s="80" t="s">
        <v>314</v>
      </c>
      <c r="AC12" s="80"/>
      <c r="AD12" s="88" t="s">
        <v>8</v>
      </c>
      <c r="AE12" s="89">
        <v>3</v>
      </c>
      <c r="AF12" s="392" t="s">
        <v>315</v>
      </c>
      <c r="AG12" s="393" t="s">
        <v>316</v>
      </c>
      <c r="AH12" s="394" t="s">
        <v>317</v>
      </c>
      <c r="AI12" s="166" t="s">
        <v>318</v>
      </c>
      <c r="AJ12" s="171" t="s">
        <v>319</v>
      </c>
    </row>
    <row r="13" spans="2:36" ht="15" thickBot="1">
      <c r="B13" s="94" t="s">
        <v>320</v>
      </c>
      <c r="C13" s="95" t="s">
        <v>321</v>
      </c>
      <c r="D13" s="95"/>
      <c r="E13" s="96" t="s">
        <v>8</v>
      </c>
      <c r="F13" s="93">
        <v>3</v>
      </c>
      <c r="G13" s="323">
        <f>SUM( G7:G12 )</f>
        <v>17238.739000000001</v>
      </c>
      <c r="H13" s="167">
        <f>SUM( H7:H12 )</f>
        <v>-367.55700000000002</v>
      </c>
      <c r="I13" s="168">
        <f>SUM( I7:I12 )</f>
        <v>57.692999999999998</v>
      </c>
      <c r="J13" s="169">
        <f t="shared" si="0"/>
        <v>-425.25</v>
      </c>
      <c r="K13" s="172">
        <f t="shared" si="1"/>
        <v>16813.489000000001</v>
      </c>
      <c r="M13" s="116"/>
      <c r="AA13" s="94" t="s">
        <v>320</v>
      </c>
      <c r="AB13" s="95" t="s">
        <v>321</v>
      </c>
      <c r="AC13" s="95"/>
      <c r="AD13" s="96" t="s">
        <v>8</v>
      </c>
      <c r="AE13" s="93">
        <v>3</v>
      </c>
      <c r="AF13" s="323" t="s">
        <v>322</v>
      </c>
      <c r="AG13" s="167" t="s">
        <v>323</v>
      </c>
      <c r="AH13" s="168" t="s">
        <v>324</v>
      </c>
      <c r="AI13" s="169" t="s">
        <v>325</v>
      </c>
      <c r="AJ13" s="172" t="s">
        <v>326</v>
      </c>
    </row>
    <row r="14" spans="2:36" ht="15" thickBot="1">
      <c r="M14" s="116"/>
    </row>
    <row r="15" spans="2:36" ht="15" thickBot="1">
      <c r="B15" s="2221" t="s">
        <v>236</v>
      </c>
      <c r="C15" s="77" t="s">
        <v>327</v>
      </c>
      <c r="D15" s="1292"/>
      <c r="M15" s="116"/>
      <c r="AA15" s="2221" t="s">
        <v>236</v>
      </c>
      <c r="AB15" s="77" t="s">
        <v>327</v>
      </c>
      <c r="AC15" s="1292"/>
    </row>
    <row r="16" spans="2:36">
      <c r="B16" s="79" t="s">
        <v>328</v>
      </c>
      <c r="C16" s="109" t="s">
        <v>329</v>
      </c>
      <c r="D16" s="109"/>
      <c r="E16" s="81" t="s">
        <v>8</v>
      </c>
      <c r="F16" s="82">
        <v>3</v>
      </c>
      <c r="G16" s="395">
        <v>18.065000000000001</v>
      </c>
      <c r="H16" s="342">
        <v>0</v>
      </c>
      <c r="I16" s="353">
        <v>0</v>
      </c>
      <c r="J16" s="165">
        <f xml:space="preserve"> H16 - I16</f>
        <v>0</v>
      </c>
      <c r="K16" s="170">
        <f xml:space="preserve"> G16 + J16</f>
        <v>18.065000000000001</v>
      </c>
      <c r="M16" s="1164">
        <f t="shared" ref="M16:M19" si="4" xml:space="preserve"> IF( SUM( O16:S16 ) = 0, 0, $P$6 )</f>
        <v>0</v>
      </c>
      <c r="P16" s="86">
        <f t="shared" si="2"/>
        <v>0</v>
      </c>
      <c r="Q16" s="86">
        <f t="shared" si="2"/>
        <v>0</v>
      </c>
      <c r="R16" s="86">
        <f t="shared" si="2"/>
        <v>0</v>
      </c>
      <c r="AA16" s="79" t="s">
        <v>328</v>
      </c>
      <c r="AB16" s="109" t="s">
        <v>329</v>
      </c>
      <c r="AC16" s="109"/>
      <c r="AD16" s="81" t="s">
        <v>8</v>
      </c>
      <c r="AE16" s="82">
        <v>3</v>
      </c>
      <c r="AF16" s="395" t="s">
        <v>330</v>
      </c>
      <c r="AG16" s="342" t="s">
        <v>331</v>
      </c>
      <c r="AH16" s="353" t="s">
        <v>332</v>
      </c>
      <c r="AI16" s="165" t="s">
        <v>333</v>
      </c>
      <c r="AJ16" s="170" t="s">
        <v>334</v>
      </c>
    </row>
    <row r="17" spans="2:36">
      <c r="B17" s="87" t="s">
        <v>335</v>
      </c>
      <c r="C17" s="80" t="s">
        <v>336</v>
      </c>
      <c r="D17" s="80"/>
      <c r="E17" s="88" t="s">
        <v>8</v>
      </c>
      <c r="F17" s="89">
        <v>3</v>
      </c>
      <c r="G17" s="391">
        <v>639.31500000000005</v>
      </c>
      <c r="H17" s="340">
        <v>0</v>
      </c>
      <c r="I17" s="341">
        <v>6.2990000000000004</v>
      </c>
      <c r="J17" s="166">
        <f xml:space="preserve"> H17 - I17</f>
        <v>-6.2990000000000004</v>
      </c>
      <c r="K17" s="171">
        <f xml:space="preserve"> G17 + J17</f>
        <v>633.01600000000008</v>
      </c>
      <c r="M17" s="1164">
        <f t="shared" si="4"/>
        <v>0</v>
      </c>
      <c r="P17" s="86">
        <f t="shared" si="2"/>
        <v>0</v>
      </c>
      <c r="Q17" s="86">
        <f t="shared" si="2"/>
        <v>0</v>
      </c>
      <c r="R17" s="86">
        <f t="shared" si="2"/>
        <v>0</v>
      </c>
      <c r="AA17" s="87" t="s">
        <v>335</v>
      </c>
      <c r="AB17" s="80" t="s">
        <v>336</v>
      </c>
      <c r="AC17" s="80"/>
      <c r="AD17" s="88" t="s">
        <v>8</v>
      </c>
      <c r="AE17" s="89">
        <v>3</v>
      </c>
      <c r="AF17" s="391" t="s">
        <v>337</v>
      </c>
      <c r="AG17" s="340" t="s">
        <v>338</v>
      </c>
      <c r="AH17" s="341" t="s">
        <v>339</v>
      </c>
      <c r="AI17" s="166" t="s">
        <v>340</v>
      </c>
      <c r="AJ17" s="171" t="s">
        <v>341</v>
      </c>
    </row>
    <row r="18" spans="2:36">
      <c r="B18" s="87" t="s">
        <v>342</v>
      </c>
      <c r="C18" s="80" t="s">
        <v>307</v>
      </c>
      <c r="D18" s="80"/>
      <c r="E18" s="88" t="s">
        <v>8</v>
      </c>
      <c r="F18" s="89">
        <v>3</v>
      </c>
      <c r="G18" s="391">
        <v>0</v>
      </c>
      <c r="H18" s="340">
        <v>0</v>
      </c>
      <c r="I18" s="341">
        <v>0</v>
      </c>
      <c r="J18" s="166">
        <f xml:space="preserve"> H18 - I18</f>
        <v>0</v>
      </c>
      <c r="K18" s="171">
        <f xml:space="preserve"> G18 + J18</f>
        <v>0</v>
      </c>
      <c r="M18" s="1164">
        <f t="shared" si="4"/>
        <v>0</v>
      </c>
      <c r="P18" s="86">
        <f t="shared" si="2"/>
        <v>0</v>
      </c>
      <c r="Q18" s="86">
        <f t="shared" si="2"/>
        <v>0</v>
      </c>
      <c r="R18" s="86">
        <f t="shared" si="2"/>
        <v>0</v>
      </c>
      <c r="AA18" s="87" t="s">
        <v>342</v>
      </c>
      <c r="AB18" s="80" t="s">
        <v>307</v>
      </c>
      <c r="AC18" s="80"/>
      <c r="AD18" s="88" t="s">
        <v>8</v>
      </c>
      <c r="AE18" s="89">
        <v>3</v>
      </c>
      <c r="AF18" s="391" t="s">
        <v>343</v>
      </c>
      <c r="AG18" s="340" t="s">
        <v>344</v>
      </c>
      <c r="AH18" s="341" t="s">
        <v>345</v>
      </c>
      <c r="AI18" s="166" t="s">
        <v>346</v>
      </c>
      <c r="AJ18" s="171" t="s">
        <v>347</v>
      </c>
    </row>
    <row r="19" spans="2:36">
      <c r="B19" s="87" t="s">
        <v>348</v>
      </c>
      <c r="C19" s="80" t="s">
        <v>349</v>
      </c>
      <c r="D19" s="80"/>
      <c r="E19" s="88" t="s">
        <v>8</v>
      </c>
      <c r="F19" s="89">
        <v>3</v>
      </c>
      <c r="G19" s="391">
        <v>107</v>
      </c>
      <c r="H19" s="340">
        <v>0</v>
      </c>
      <c r="I19" s="341">
        <v>2.6</v>
      </c>
      <c r="J19" s="166">
        <f xml:space="preserve"> H19 - I19</f>
        <v>-2.6</v>
      </c>
      <c r="K19" s="171">
        <f xml:space="preserve"> G19 + J19</f>
        <v>104.4</v>
      </c>
      <c r="M19" s="1164">
        <f t="shared" si="4"/>
        <v>0</v>
      </c>
      <c r="P19" s="86">
        <f t="shared" si="2"/>
        <v>0</v>
      </c>
      <c r="Q19" s="86">
        <f t="shared" si="2"/>
        <v>0</v>
      </c>
      <c r="R19" s="86">
        <f t="shared" si="2"/>
        <v>0</v>
      </c>
      <c r="AA19" s="87" t="s">
        <v>348</v>
      </c>
      <c r="AB19" s="80" t="s">
        <v>349</v>
      </c>
      <c r="AC19" s="80"/>
      <c r="AD19" s="88" t="s">
        <v>8</v>
      </c>
      <c r="AE19" s="89">
        <v>3</v>
      </c>
      <c r="AF19" s="391" t="s">
        <v>350</v>
      </c>
      <c r="AG19" s="340" t="s">
        <v>351</v>
      </c>
      <c r="AH19" s="341" t="s">
        <v>352</v>
      </c>
      <c r="AI19" s="166" t="s">
        <v>353</v>
      </c>
      <c r="AJ19" s="171" t="s">
        <v>354</v>
      </c>
    </row>
    <row r="20" spans="2:36" ht="15" thickBot="1">
      <c r="B20" s="94" t="s">
        <v>355</v>
      </c>
      <c r="C20" s="95" t="s">
        <v>356</v>
      </c>
      <c r="D20" s="95"/>
      <c r="E20" s="96" t="s">
        <v>8</v>
      </c>
      <c r="F20" s="93">
        <v>3</v>
      </c>
      <c r="G20" s="169">
        <f>SUM( G16:G19 )</f>
        <v>764.38000000000011</v>
      </c>
      <c r="H20" s="174">
        <f>SUM( H16:H19 )</f>
        <v>0</v>
      </c>
      <c r="I20" s="169">
        <f>SUM( I16:I19 )</f>
        <v>8.8990000000000009</v>
      </c>
      <c r="J20" s="169">
        <f xml:space="preserve"> H20 - I20</f>
        <v>-8.8990000000000009</v>
      </c>
      <c r="K20" s="172">
        <f xml:space="preserve"> G20 + J20</f>
        <v>755.48100000000011</v>
      </c>
      <c r="M20" s="116"/>
      <c r="AA20" s="94" t="s">
        <v>355</v>
      </c>
      <c r="AB20" s="95" t="s">
        <v>356</v>
      </c>
      <c r="AC20" s="95"/>
      <c r="AD20" s="96" t="s">
        <v>8</v>
      </c>
      <c r="AE20" s="93">
        <v>3</v>
      </c>
      <c r="AF20" s="169" t="s">
        <v>357</v>
      </c>
      <c r="AG20" s="174" t="s">
        <v>358</v>
      </c>
      <c r="AH20" s="169" t="s">
        <v>359</v>
      </c>
      <c r="AI20" s="169" t="s">
        <v>360</v>
      </c>
      <c r="AJ20" s="172" t="s">
        <v>361</v>
      </c>
    </row>
    <row r="21" spans="2:36" ht="15" thickBot="1">
      <c r="M21" s="116"/>
    </row>
    <row r="22" spans="2:36" ht="15" thickBot="1">
      <c r="B22" s="2221" t="s">
        <v>362</v>
      </c>
      <c r="C22" s="77" t="s">
        <v>363</v>
      </c>
      <c r="D22" s="1292"/>
      <c r="M22" s="116"/>
      <c r="AA22" s="2221" t="s">
        <v>362</v>
      </c>
      <c r="AB22" s="77" t="s">
        <v>363</v>
      </c>
      <c r="AC22" s="1292"/>
    </row>
    <row r="23" spans="2:36">
      <c r="B23" s="79" t="s">
        <v>364</v>
      </c>
      <c r="C23" s="109" t="s">
        <v>365</v>
      </c>
      <c r="D23" s="109"/>
      <c r="E23" s="81" t="s">
        <v>8</v>
      </c>
      <c r="F23" s="82">
        <v>3</v>
      </c>
      <c r="G23" s="395">
        <v>-813.31299999999999</v>
      </c>
      <c r="H23" s="342">
        <v>-52.808999999999997</v>
      </c>
      <c r="I23" s="353">
        <v>-11.05</v>
      </c>
      <c r="J23" s="165">
        <f t="shared" ref="J23:J31" si="5" xml:space="preserve"> H23 - I23</f>
        <v>-41.759</v>
      </c>
      <c r="K23" s="170">
        <f t="shared" ref="K23:K31" si="6" xml:space="preserve"> G23 + J23</f>
        <v>-855.072</v>
      </c>
      <c r="M23" s="1164">
        <f t="shared" ref="M23:M28" si="7" xml:space="preserve"> IF( SUM( O23:S23 ) = 0, 0, $P$6 )</f>
        <v>0</v>
      </c>
      <c r="O23" s="114"/>
      <c r="P23" s="86">
        <f t="shared" ref="P23:R49" si="8" xml:space="preserve"> IF( ISNUMBER( G23 ), 0, 1 )</f>
        <v>0</v>
      </c>
      <c r="Q23" s="86">
        <f t="shared" si="8"/>
        <v>0</v>
      </c>
      <c r="R23" s="86">
        <f t="shared" si="8"/>
        <v>0</v>
      </c>
      <c r="S23" s="114"/>
      <c r="AA23" s="79" t="s">
        <v>364</v>
      </c>
      <c r="AB23" s="109" t="s">
        <v>365</v>
      </c>
      <c r="AC23" s="109"/>
      <c r="AD23" s="81" t="s">
        <v>8</v>
      </c>
      <c r="AE23" s="82">
        <v>3</v>
      </c>
      <c r="AF23" s="395" t="s">
        <v>366</v>
      </c>
      <c r="AG23" s="342" t="s">
        <v>367</v>
      </c>
      <c r="AH23" s="353" t="s">
        <v>368</v>
      </c>
      <c r="AI23" s="165" t="s">
        <v>369</v>
      </c>
      <c r="AJ23" s="170" t="s">
        <v>370</v>
      </c>
    </row>
    <row r="24" spans="2:36">
      <c r="B24" s="87" t="s">
        <v>371</v>
      </c>
      <c r="C24" s="80" t="s">
        <v>372</v>
      </c>
      <c r="D24" s="80"/>
      <c r="E24" s="88" t="s">
        <v>8</v>
      </c>
      <c r="F24" s="89">
        <v>3</v>
      </c>
      <c r="G24" s="391">
        <v>0</v>
      </c>
      <c r="H24" s="340">
        <v>-141.072</v>
      </c>
      <c r="I24" s="341">
        <v>0</v>
      </c>
      <c r="J24" s="166">
        <f t="shared" si="5"/>
        <v>-141.072</v>
      </c>
      <c r="K24" s="171">
        <f t="shared" si="6"/>
        <v>-141.072</v>
      </c>
      <c r="M24" s="1164">
        <f t="shared" si="7"/>
        <v>0</v>
      </c>
      <c r="O24" s="111"/>
      <c r="P24" s="86">
        <f t="shared" si="8"/>
        <v>0</v>
      </c>
      <c r="Q24" s="86">
        <f t="shared" si="8"/>
        <v>0</v>
      </c>
      <c r="R24" s="86">
        <f t="shared" si="8"/>
        <v>0</v>
      </c>
      <c r="S24" s="111"/>
      <c r="AA24" s="87" t="s">
        <v>371</v>
      </c>
      <c r="AB24" s="80" t="s">
        <v>372</v>
      </c>
      <c r="AC24" s="80"/>
      <c r="AD24" s="88" t="s">
        <v>8</v>
      </c>
      <c r="AE24" s="89">
        <v>3</v>
      </c>
      <c r="AF24" s="391" t="s">
        <v>373</v>
      </c>
      <c r="AG24" s="340" t="s">
        <v>374</v>
      </c>
      <c r="AH24" s="341" t="s">
        <v>375</v>
      </c>
      <c r="AI24" s="166" t="s">
        <v>376</v>
      </c>
      <c r="AJ24" s="171" t="s">
        <v>377</v>
      </c>
    </row>
    <row r="25" spans="2:36">
      <c r="B25" s="87" t="s">
        <v>378</v>
      </c>
      <c r="C25" s="80" t="s">
        <v>379</v>
      </c>
      <c r="D25" s="80"/>
      <c r="E25" s="88" t="s">
        <v>8</v>
      </c>
      <c r="F25" s="89">
        <v>3</v>
      </c>
      <c r="G25" s="391">
        <v>-320.19</v>
      </c>
      <c r="H25" s="340">
        <v>196.429</v>
      </c>
      <c r="I25" s="341">
        <v>0</v>
      </c>
      <c r="J25" s="166">
        <f t="shared" si="5"/>
        <v>196.429</v>
      </c>
      <c r="K25" s="171">
        <f t="shared" si="6"/>
        <v>-123.761</v>
      </c>
      <c r="M25" s="1164">
        <f t="shared" si="7"/>
        <v>0</v>
      </c>
      <c r="O25" s="111"/>
      <c r="P25" s="86">
        <f t="shared" si="8"/>
        <v>0</v>
      </c>
      <c r="Q25" s="86">
        <f t="shared" si="8"/>
        <v>0</v>
      </c>
      <c r="R25" s="86">
        <f t="shared" si="8"/>
        <v>0</v>
      </c>
      <c r="S25" s="111"/>
      <c r="AA25" s="87" t="s">
        <v>378</v>
      </c>
      <c r="AB25" s="80" t="s">
        <v>379</v>
      </c>
      <c r="AC25" s="80"/>
      <c r="AD25" s="88" t="s">
        <v>8</v>
      </c>
      <c r="AE25" s="89">
        <v>3</v>
      </c>
      <c r="AF25" s="391" t="s">
        <v>380</v>
      </c>
      <c r="AG25" s="340" t="s">
        <v>381</v>
      </c>
      <c r="AH25" s="341" t="s">
        <v>382</v>
      </c>
      <c r="AI25" s="166" t="s">
        <v>383</v>
      </c>
      <c r="AJ25" s="171" t="s">
        <v>384</v>
      </c>
    </row>
    <row r="26" spans="2:36">
      <c r="B26" s="87" t="s">
        <v>385</v>
      </c>
      <c r="C26" s="80" t="s">
        <v>307</v>
      </c>
      <c r="D26" s="80"/>
      <c r="E26" s="88" t="s">
        <v>8</v>
      </c>
      <c r="F26" s="89">
        <v>3</v>
      </c>
      <c r="G26" s="391">
        <v>-12.287000000000001</v>
      </c>
      <c r="H26" s="340">
        <v>12.287000000000001</v>
      </c>
      <c r="I26" s="341">
        <v>0</v>
      </c>
      <c r="J26" s="166">
        <f t="shared" si="5"/>
        <v>12.287000000000001</v>
      </c>
      <c r="K26" s="171">
        <f t="shared" si="6"/>
        <v>0</v>
      </c>
      <c r="M26" s="1164">
        <f t="shared" si="7"/>
        <v>0</v>
      </c>
      <c r="O26" s="111"/>
      <c r="P26" s="86">
        <f t="shared" si="8"/>
        <v>0</v>
      </c>
      <c r="Q26" s="86">
        <f t="shared" si="8"/>
        <v>0</v>
      </c>
      <c r="R26" s="86">
        <f t="shared" si="8"/>
        <v>0</v>
      </c>
      <c r="S26" s="111"/>
      <c r="AA26" s="87" t="s">
        <v>385</v>
      </c>
      <c r="AB26" s="80" t="s">
        <v>307</v>
      </c>
      <c r="AC26" s="80"/>
      <c r="AD26" s="88" t="s">
        <v>8</v>
      </c>
      <c r="AE26" s="89">
        <v>3</v>
      </c>
      <c r="AF26" s="391" t="s">
        <v>386</v>
      </c>
      <c r="AG26" s="340" t="s">
        <v>387</v>
      </c>
      <c r="AH26" s="341" t="s">
        <v>388</v>
      </c>
      <c r="AI26" s="166" t="s">
        <v>389</v>
      </c>
      <c r="AJ26" s="171" t="s">
        <v>390</v>
      </c>
    </row>
    <row r="27" spans="2:36">
      <c r="B27" s="87" t="s">
        <v>391</v>
      </c>
      <c r="C27" s="80" t="s">
        <v>392</v>
      </c>
      <c r="D27" s="80"/>
      <c r="E27" s="88" t="s">
        <v>8</v>
      </c>
      <c r="F27" s="89">
        <v>3</v>
      </c>
      <c r="G27" s="391">
        <v>0</v>
      </c>
      <c r="H27" s="340">
        <v>0</v>
      </c>
      <c r="I27" s="341">
        <v>0</v>
      </c>
      <c r="J27" s="166">
        <f t="shared" si="5"/>
        <v>0</v>
      </c>
      <c r="K27" s="171">
        <f t="shared" si="6"/>
        <v>0</v>
      </c>
      <c r="M27" s="1164">
        <f t="shared" si="7"/>
        <v>0</v>
      </c>
      <c r="O27" s="111"/>
      <c r="P27" s="86">
        <f t="shared" si="8"/>
        <v>0</v>
      </c>
      <c r="Q27" s="86">
        <f t="shared" si="8"/>
        <v>0</v>
      </c>
      <c r="R27" s="86">
        <f t="shared" si="8"/>
        <v>0</v>
      </c>
      <c r="S27" s="111"/>
      <c r="AA27" s="87" t="s">
        <v>391</v>
      </c>
      <c r="AB27" s="80" t="s">
        <v>392</v>
      </c>
      <c r="AC27" s="80"/>
      <c r="AD27" s="88" t="s">
        <v>8</v>
      </c>
      <c r="AE27" s="89">
        <v>3</v>
      </c>
      <c r="AF27" s="391" t="s">
        <v>393</v>
      </c>
      <c r="AG27" s="340" t="s">
        <v>394</v>
      </c>
      <c r="AH27" s="341" t="s">
        <v>395</v>
      </c>
      <c r="AI27" s="166" t="s">
        <v>396</v>
      </c>
      <c r="AJ27" s="171" t="s">
        <v>397</v>
      </c>
    </row>
    <row r="28" spans="2:36">
      <c r="B28" s="87" t="s">
        <v>398</v>
      </c>
      <c r="C28" s="80" t="s">
        <v>399</v>
      </c>
      <c r="D28" s="80"/>
      <c r="E28" s="88" t="s">
        <v>8</v>
      </c>
      <c r="F28" s="89">
        <v>3</v>
      </c>
      <c r="G28" s="391">
        <v>0</v>
      </c>
      <c r="H28" s="340">
        <v>-16.574999999999999</v>
      </c>
      <c r="I28" s="341">
        <v>0</v>
      </c>
      <c r="J28" s="166">
        <f t="shared" si="5"/>
        <v>-16.574999999999999</v>
      </c>
      <c r="K28" s="171">
        <f t="shared" si="6"/>
        <v>-16.574999999999999</v>
      </c>
      <c r="M28" s="1164">
        <f t="shared" si="7"/>
        <v>0</v>
      </c>
      <c r="O28" s="111"/>
      <c r="P28" s="86">
        <f t="shared" si="8"/>
        <v>0</v>
      </c>
      <c r="Q28" s="86">
        <f t="shared" si="8"/>
        <v>0</v>
      </c>
      <c r="R28" s="86">
        <f t="shared" si="8"/>
        <v>0</v>
      </c>
      <c r="S28" s="111"/>
      <c r="AA28" s="87" t="s">
        <v>398</v>
      </c>
      <c r="AB28" s="80" t="s">
        <v>399</v>
      </c>
      <c r="AC28" s="80"/>
      <c r="AD28" s="88" t="s">
        <v>8</v>
      </c>
      <c r="AE28" s="89">
        <v>3</v>
      </c>
      <c r="AF28" s="391" t="s">
        <v>400</v>
      </c>
      <c r="AG28" s="340" t="s">
        <v>401</v>
      </c>
      <c r="AH28" s="341" t="s">
        <v>402</v>
      </c>
      <c r="AI28" s="166" t="s">
        <v>403</v>
      </c>
      <c r="AJ28" s="171" t="s">
        <v>404</v>
      </c>
    </row>
    <row r="29" spans="2:36" ht="15" thickBot="1">
      <c r="B29" s="94" t="s">
        <v>405</v>
      </c>
      <c r="C29" s="95" t="s">
        <v>406</v>
      </c>
      <c r="D29" s="95"/>
      <c r="E29" s="96" t="s">
        <v>8</v>
      </c>
      <c r="F29" s="93">
        <v>3</v>
      </c>
      <c r="G29" s="174">
        <f xml:space="preserve"> SUM( G23:G28 )</f>
        <v>-1145.79</v>
      </c>
      <c r="H29" s="167">
        <f xml:space="preserve"> SUM( H23:H28 )</f>
        <v>-1.7399999999999967</v>
      </c>
      <c r="I29" s="168">
        <f xml:space="preserve"> SUM( I23:I28 )</f>
        <v>-11.05</v>
      </c>
      <c r="J29" s="169">
        <f t="shared" si="5"/>
        <v>9.3100000000000041</v>
      </c>
      <c r="K29" s="172">
        <f t="shared" si="6"/>
        <v>-1136.48</v>
      </c>
      <c r="M29" s="116"/>
      <c r="N29" s="112"/>
      <c r="O29" s="111"/>
      <c r="P29" s="112"/>
      <c r="Q29" s="112"/>
      <c r="R29" s="112"/>
      <c r="S29" s="111"/>
      <c r="AA29" s="94" t="s">
        <v>405</v>
      </c>
      <c r="AB29" s="95" t="s">
        <v>406</v>
      </c>
      <c r="AC29" s="95"/>
      <c r="AD29" s="96" t="s">
        <v>8</v>
      </c>
      <c r="AE29" s="93">
        <v>3</v>
      </c>
      <c r="AF29" s="174" t="s">
        <v>407</v>
      </c>
      <c r="AG29" s="167" t="s">
        <v>408</v>
      </c>
      <c r="AH29" s="168" t="s">
        <v>409</v>
      </c>
      <c r="AI29" s="169" t="s">
        <v>410</v>
      </c>
      <c r="AJ29" s="172" t="s">
        <v>411</v>
      </c>
    </row>
    <row r="30" spans="2:36" ht="15" thickBot="1">
      <c r="M30" s="116"/>
    </row>
    <row r="31" spans="2:36" ht="15" thickBot="1">
      <c r="B31" s="119" t="s">
        <v>412</v>
      </c>
      <c r="C31" s="120" t="s">
        <v>413</v>
      </c>
      <c r="D31" s="120"/>
      <c r="E31" s="121" t="s">
        <v>8</v>
      </c>
      <c r="F31" s="122">
        <v>3</v>
      </c>
      <c r="G31" s="635">
        <f xml:space="preserve"> G20 + G29</f>
        <v>-381.40999999999985</v>
      </c>
      <c r="H31" s="636">
        <f xml:space="preserve"> H20 + H29</f>
        <v>-1.7399999999999967</v>
      </c>
      <c r="I31" s="637">
        <f xml:space="preserve"> I20 + I29</f>
        <v>-2.1509999999999998</v>
      </c>
      <c r="J31" s="212">
        <f t="shared" si="5"/>
        <v>0.41100000000000314</v>
      </c>
      <c r="K31" s="416">
        <f t="shared" si="6"/>
        <v>-380.99899999999985</v>
      </c>
      <c r="M31" s="116"/>
      <c r="N31" s="112"/>
      <c r="O31" s="111"/>
      <c r="P31" s="112"/>
      <c r="Q31" s="112"/>
      <c r="R31" s="112"/>
      <c r="S31" s="111"/>
      <c r="AA31" s="119" t="s">
        <v>412</v>
      </c>
      <c r="AB31" s="120" t="s">
        <v>413</v>
      </c>
      <c r="AC31" s="120"/>
      <c r="AD31" s="121" t="s">
        <v>8</v>
      </c>
      <c r="AE31" s="122">
        <v>3</v>
      </c>
      <c r="AF31" s="635" t="s">
        <v>414</v>
      </c>
      <c r="AG31" s="636" t="s">
        <v>415</v>
      </c>
      <c r="AH31" s="637" t="s">
        <v>416</v>
      </c>
      <c r="AI31" s="212" t="s">
        <v>417</v>
      </c>
      <c r="AJ31" s="416" t="s">
        <v>418</v>
      </c>
    </row>
    <row r="32" spans="2:36" ht="15" thickBot="1">
      <c r="M32" s="116"/>
      <c r="O32" s="111"/>
      <c r="S32" s="111"/>
    </row>
    <row r="33" spans="2:36" ht="15" thickBot="1">
      <c r="B33" s="2221" t="s">
        <v>419</v>
      </c>
      <c r="C33" s="77" t="s">
        <v>420</v>
      </c>
      <c r="D33" s="1292"/>
      <c r="M33" s="116"/>
      <c r="O33" s="111"/>
      <c r="S33" s="111"/>
      <c r="AA33" s="2221" t="s">
        <v>419</v>
      </c>
      <c r="AB33" s="77" t="s">
        <v>420</v>
      </c>
      <c r="AC33" s="1292"/>
    </row>
    <row r="34" spans="2:36">
      <c r="B34" s="79" t="s">
        <v>421</v>
      </c>
      <c r="C34" s="109" t="s">
        <v>365</v>
      </c>
      <c r="D34" s="109"/>
      <c r="E34" s="81" t="s">
        <v>8</v>
      </c>
      <c r="F34" s="185">
        <v>3</v>
      </c>
      <c r="G34" s="356">
        <v>-445.88799999999998</v>
      </c>
      <c r="H34" s="342">
        <v>444.09499999999997</v>
      </c>
      <c r="I34" s="353">
        <v>0</v>
      </c>
      <c r="J34" s="165">
        <f t="shared" ref="J34:J45" si="9" xml:space="preserve"> H34 - I34</f>
        <v>444.09499999999997</v>
      </c>
      <c r="K34" s="173">
        <f t="shared" ref="K34:K45" si="10" xml:space="preserve"> G34 + J34</f>
        <v>-1.7930000000000064</v>
      </c>
      <c r="M34" s="1164">
        <f t="shared" ref="M34:M42" si="11" xml:space="preserve"> IF( SUM( O34:S34 ) = 0, 0, $P$6 )</f>
        <v>0</v>
      </c>
      <c r="O34" s="114"/>
      <c r="P34" s="86">
        <f t="shared" si="8"/>
        <v>0</v>
      </c>
      <c r="Q34" s="86">
        <f t="shared" si="8"/>
        <v>0</v>
      </c>
      <c r="R34" s="86">
        <f t="shared" si="8"/>
        <v>0</v>
      </c>
      <c r="S34" s="114"/>
      <c r="AA34" s="79" t="s">
        <v>421</v>
      </c>
      <c r="AB34" s="109" t="s">
        <v>365</v>
      </c>
      <c r="AC34" s="109"/>
      <c r="AD34" s="81" t="s">
        <v>8</v>
      </c>
      <c r="AE34" s="185">
        <v>3</v>
      </c>
      <c r="AF34" s="356" t="s">
        <v>422</v>
      </c>
      <c r="AG34" s="342" t="s">
        <v>423</v>
      </c>
      <c r="AH34" s="353" t="s">
        <v>424</v>
      </c>
      <c r="AI34" s="165" t="s">
        <v>425</v>
      </c>
      <c r="AJ34" s="173" t="s">
        <v>426</v>
      </c>
    </row>
    <row r="35" spans="2:36">
      <c r="B35" s="148" t="s">
        <v>427</v>
      </c>
      <c r="C35" s="149" t="s">
        <v>379</v>
      </c>
      <c r="D35" s="149"/>
      <c r="E35" s="145" t="s">
        <v>8</v>
      </c>
      <c r="F35" s="326">
        <v>3</v>
      </c>
      <c r="G35" s="396">
        <v>-11123.040999999999</v>
      </c>
      <c r="H35" s="397">
        <v>-222.64699999999999</v>
      </c>
      <c r="I35" s="398">
        <v>0</v>
      </c>
      <c r="J35" s="327">
        <f t="shared" si="9"/>
        <v>-222.64699999999999</v>
      </c>
      <c r="K35" s="328">
        <f t="shared" si="10"/>
        <v>-11345.688</v>
      </c>
      <c r="M35" s="1164">
        <f t="shared" si="11"/>
        <v>0</v>
      </c>
      <c r="O35" s="114"/>
      <c r="P35" s="86">
        <f t="shared" si="8"/>
        <v>0</v>
      </c>
      <c r="Q35" s="86">
        <f t="shared" si="8"/>
        <v>0</v>
      </c>
      <c r="R35" s="86">
        <f t="shared" si="8"/>
        <v>0</v>
      </c>
      <c r="S35" s="114"/>
      <c r="AA35" s="148" t="s">
        <v>427</v>
      </c>
      <c r="AB35" s="149" t="s">
        <v>379</v>
      </c>
      <c r="AC35" s="149"/>
      <c r="AD35" s="145" t="s">
        <v>8</v>
      </c>
      <c r="AE35" s="326">
        <v>3</v>
      </c>
      <c r="AF35" s="396" t="s">
        <v>428</v>
      </c>
      <c r="AG35" s="397" t="s">
        <v>429</v>
      </c>
      <c r="AH35" s="398" t="s">
        <v>430</v>
      </c>
      <c r="AI35" s="327" t="s">
        <v>431</v>
      </c>
      <c r="AJ35" s="328" t="s">
        <v>432</v>
      </c>
    </row>
    <row r="36" spans="2:36">
      <c r="B36" s="148" t="s">
        <v>433</v>
      </c>
      <c r="C36" s="149" t="s">
        <v>307</v>
      </c>
      <c r="D36" s="149"/>
      <c r="E36" s="145" t="s">
        <v>8</v>
      </c>
      <c r="F36" s="326">
        <v>3</v>
      </c>
      <c r="G36" s="396">
        <v>-809.14499999999998</v>
      </c>
      <c r="H36" s="397">
        <v>204.80799999999999</v>
      </c>
      <c r="I36" s="398">
        <v>0</v>
      </c>
      <c r="J36" s="327">
        <f t="shared" si="9"/>
        <v>204.80799999999999</v>
      </c>
      <c r="K36" s="328">
        <f t="shared" si="10"/>
        <v>-604.33699999999999</v>
      </c>
      <c r="M36" s="1164">
        <f t="shared" si="11"/>
        <v>0</v>
      </c>
      <c r="O36" s="114"/>
      <c r="P36" s="86">
        <f t="shared" si="8"/>
        <v>0</v>
      </c>
      <c r="Q36" s="86">
        <f t="shared" si="8"/>
        <v>0</v>
      </c>
      <c r="R36" s="86">
        <f t="shared" si="8"/>
        <v>0</v>
      </c>
      <c r="S36" s="114"/>
      <c r="AA36" s="148" t="s">
        <v>433</v>
      </c>
      <c r="AB36" s="149" t="s">
        <v>307</v>
      </c>
      <c r="AC36" s="149"/>
      <c r="AD36" s="145" t="s">
        <v>8</v>
      </c>
      <c r="AE36" s="326">
        <v>3</v>
      </c>
      <c r="AF36" s="396" t="s">
        <v>434</v>
      </c>
      <c r="AG36" s="397" t="s">
        <v>435</v>
      </c>
      <c r="AH36" s="398" t="s">
        <v>436</v>
      </c>
      <c r="AI36" s="327" t="s">
        <v>437</v>
      </c>
      <c r="AJ36" s="328" t="s">
        <v>438</v>
      </c>
    </row>
    <row r="37" spans="2:36">
      <c r="B37" s="148" t="s">
        <v>439</v>
      </c>
      <c r="C37" s="149" t="s">
        <v>440</v>
      </c>
      <c r="D37" s="149"/>
      <c r="E37" s="145" t="s">
        <v>8</v>
      </c>
      <c r="F37" s="326">
        <v>3</v>
      </c>
      <c r="G37" s="396">
        <v>-300.8</v>
      </c>
      <c r="H37" s="397">
        <v>0</v>
      </c>
      <c r="I37" s="398">
        <v>0</v>
      </c>
      <c r="J37" s="327">
        <f t="shared" si="9"/>
        <v>0</v>
      </c>
      <c r="K37" s="328">
        <f t="shared" si="10"/>
        <v>-300.8</v>
      </c>
      <c r="M37" s="1164">
        <f t="shared" si="11"/>
        <v>0</v>
      </c>
      <c r="O37" s="114"/>
      <c r="P37" s="86">
        <f t="shared" si="8"/>
        <v>0</v>
      </c>
      <c r="Q37" s="86">
        <f t="shared" si="8"/>
        <v>0</v>
      </c>
      <c r="R37" s="86">
        <f t="shared" si="8"/>
        <v>0</v>
      </c>
      <c r="S37" s="114"/>
      <c r="AA37" s="148" t="s">
        <v>439</v>
      </c>
      <c r="AB37" s="149" t="s">
        <v>440</v>
      </c>
      <c r="AC37" s="149"/>
      <c r="AD37" s="145" t="s">
        <v>8</v>
      </c>
      <c r="AE37" s="326">
        <v>3</v>
      </c>
      <c r="AF37" s="396" t="s">
        <v>441</v>
      </c>
      <c r="AG37" s="397" t="s">
        <v>442</v>
      </c>
      <c r="AH37" s="398" t="s">
        <v>443</v>
      </c>
      <c r="AI37" s="327" t="s">
        <v>444</v>
      </c>
      <c r="AJ37" s="328" t="s">
        <v>445</v>
      </c>
    </row>
    <row r="38" spans="2:36">
      <c r="B38" s="148" t="s">
        <v>446</v>
      </c>
      <c r="C38" s="149" t="s">
        <v>399</v>
      </c>
      <c r="D38" s="149"/>
      <c r="E38" s="145" t="s">
        <v>8</v>
      </c>
      <c r="F38" s="326">
        <v>3</v>
      </c>
      <c r="G38" s="396">
        <v>-111.31399999999999</v>
      </c>
      <c r="H38" s="397">
        <v>0</v>
      </c>
      <c r="I38" s="398">
        <v>0</v>
      </c>
      <c r="J38" s="327">
        <f t="shared" si="9"/>
        <v>0</v>
      </c>
      <c r="K38" s="328">
        <f t="shared" si="10"/>
        <v>-111.31399999999999</v>
      </c>
      <c r="M38" s="1164">
        <f t="shared" si="11"/>
        <v>0</v>
      </c>
      <c r="O38" s="114"/>
      <c r="P38" s="86">
        <f t="shared" si="8"/>
        <v>0</v>
      </c>
      <c r="Q38" s="86">
        <f t="shared" si="8"/>
        <v>0</v>
      </c>
      <c r="R38" s="86">
        <f t="shared" si="8"/>
        <v>0</v>
      </c>
      <c r="S38" s="114"/>
      <c r="AA38" s="148" t="s">
        <v>446</v>
      </c>
      <c r="AB38" s="149" t="s">
        <v>399</v>
      </c>
      <c r="AC38" s="149"/>
      <c r="AD38" s="145" t="s">
        <v>8</v>
      </c>
      <c r="AE38" s="326">
        <v>3</v>
      </c>
      <c r="AF38" s="396" t="s">
        <v>447</v>
      </c>
      <c r="AG38" s="397" t="s">
        <v>448</v>
      </c>
      <c r="AH38" s="398" t="s">
        <v>449</v>
      </c>
      <c r="AI38" s="327" t="s">
        <v>450</v>
      </c>
      <c r="AJ38" s="328" t="s">
        <v>451</v>
      </c>
    </row>
    <row r="39" spans="2:36">
      <c r="B39" s="148" t="s">
        <v>452</v>
      </c>
      <c r="C39" s="149" t="s">
        <v>453</v>
      </c>
      <c r="D39" s="149"/>
      <c r="E39" s="145" t="s">
        <v>8</v>
      </c>
      <c r="F39" s="326">
        <v>3</v>
      </c>
      <c r="G39" s="396">
        <v>0</v>
      </c>
      <c r="H39" s="397">
        <v>-337.18700000000001</v>
      </c>
      <c r="I39" s="398">
        <v>0</v>
      </c>
      <c r="J39" s="327">
        <f t="shared" si="9"/>
        <v>-337.18700000000001</v>
      </c>
      <c r="K39" s="328">
        <f t="shared" si="10"/>
        <v>-337.18700000000001</v>
      </c>
      <c r="M39" s="1164">
        <f t="shared" si="11"/>
        <v>0</v>
      </c>
      <c r="O39" s="114"/>
      <c r="P39" s="86">
        <f t="shared" si="8"/>
        <v>0</v>
      </c>
      <c r="Q39" s="86">
        <f t="shared" si="8"/>
        <v>0</v>
      </c>
      <c r="R39" s="86">
        <f t="shared" si="8"/>
        <v>0</v>
      </c>
      <c r="S39" s="114"/>
      <c r="AA39" s="148" t="s">
        <v>452</v>
      </c>
      <c r="AB39" s="149" t="s">
        <v>453</v>
      </c>
      <c r="AC39" s="149"/>
      <c r="AD39" s="145" t="s">
        <v>8</v>
      </c>
      <c r="AE39" s="326">
        <v>3</v>
      </c>
      <c r="AF39" s="1412" t="s">
        <v>454</v>
      </c>
      <c r="AG39" s="1413" t="s">
        <v>455</v>
      </c>
      <c r="AH39" s="1414" t="s">
        <v>456</v>
      </c>
      <c r="AI39" s="1415" t="s">
        <v>457</v>
      </c>
      <c r="AJ39" s="1416" t="s">
        <v>458</v>
      </c>
    </row>
    <row r="40" spans="2:36">
      <c r="B40" s="148" t="s">
        <v>459</v>
      </c>
      <c r="C40" s="149" t="s">
        <v>460</v>
      </c>
      <c r="D40" s="149"/>
      <c r="E40" s="145" t="s">
        <v>8</v>
      </c>
      <c r="F40" s="326">
        <v>3</v>
      </c>
      <c r="G40" s="396">
        <v>0</v>
      </c>
      <c r="H40" s="397">
        <v>-89.069000000000003</v>
      </c>
      <c r="I40" s="398">
        <v>0</v>
      </c>
      <c r="J40" s="327">
        <f t="shared" ref="J40" si="12" xml:space="preserve"> H40 - I40</f>
        <v>-89.069000000000003</v>
      </c>
      <c r="K40" s="328">
        <f t="shared" ref="K40" si="13" xml:space="preserve"> G40 + J40</f>
        <v>-89.069000000000003</v>
      </c>
      <c r="M40" s="1164">
        <f t="shared" si="11"/>
        <v>0</v>
      </c>
      <c r="O40" s="114"/>
      <c r="P40" s="86">
        <f t="shared" ref="P40" si="14" xml:space="preserve"> IF( ISNUMBER( G40 ), 0, 1 )</f>
        <v>0</v>
      </c>
      <c r="Q40" s="86">
        <f t="shared" ref="Q40" si="15" xml:space="preserve"> IF( ISNUMBER( H40 ), 0, 1 )</f>
        <v>0</v>
      </c>
      <c r="R40" s="86">
        <f t="shared" ref="R40" si="16" xml:space="preserve"> IF( ISNUMBER( I40 ), 0, 1 )</f>
        <v>0</v>
      </c>
      <c r="S40" s="114"/>
      <c r="AA40" s="148" t="s">
        <v>459</v>
      </c>
      <c r="AB40" s="149" t="s">
        <v>460</v>
      </c>
      <c r="AC40" s="149"/>
      <c r="AD40" s="145" t="s">
        <v>8</v>
      </c>
      <c r="AE40" s="326">
        <v>3</v>
      </c>
      <c r="AF40" s="1412" t="s">
        <v>461</v>
      </c>
      <c r="AG40" s="1413" t="s">
        <v>462</v>
      </c>
      <c r="AH40" s="1414" t="s">
        <v>463</v>
      </c>
      <c r="AI40" s="1415" t="s">
        <v>464</v>
      </c>
      <c r="AJ40" s="1416" t="s">
        <v>465</v>
      </c>
    </row>
    <row r="41" spans="2:36">
      <c r="B41" s="148" t="s">
        <v>466</v>
      </c>
      <c r="C41" s="149" t="s">
        <v>467</v>
      </c>
      <c r="D41" s="149"/>
      <c r="E41" s="145" t="s">
        <v>8</v>
      </c>
      <c r="F41" s="326">
        <v>3</v>
      </c>
      <c r="G41" s="396">
        <v>0</v>
      </c>
      <c r="H41" s="397">
        <v>0</v>
      </c>
      <c r="I41" s="398">
        <v>0</v>
      </c>
      <c r="J41" s="327">
        <f t="shared" si="9"/>
        <v>0</v>
      </c>
      <c r="K41" s="328">
        <f t="shared" si="10"/>
        <v>0</v>
      </c>
      <c r="M41" s="1164">
        <f t="shared" si="11"/>
        <v>0</v>
      </c>
      <c r="O41" s="114"/>
      <c r="P41" s="86">
        <f t="shared" si="8"/>
        <v>0</v>
      </c>
      <c r="Q41" s="86">
        <f t="shared" si="8"/>
        <v>0</v>
      </c>
      <c r="R41" s="86">
        <f t="shared" si="8"/>
        <v>0</v>
      </c>
      <c r="S41" s="114"/>
      <c r="AA41" s="148" t="s">
        <v>466</v>
      </c>
      <c r="AB41" s="149" t="s">
        <v>467</v>
      </c>
      <c r="AC41" s="149"/>
      <c r="AD41" s="145" t="s">
        <v>8</v>
      </c>
      <c r="AE41" s="326">
        <v>3</v>
      </c>
      <c r="AF41" s="396" t="s">
        <v>468</v>
      </c>
      <c r="AG41" s="397" t="s">
        <v>469</v>
      </c>
      <c r="AH41" s="398" t="s">
        <v>470</v>
      </c>
      <c r="AI41" s="327" t="s">
        <v>471</v>
      </c>
      <c r="AJ41" s="328" t="s">
        <v>472</v>
      </c>
    </row>
    <row r="42" spans="2:36">
      <c r="B42" s="148" t="s">
        <v>473</v>
      </c>
      <c r="C42" s="149" t="s">
        <v>194</v>
      </c>
      <c r="D42" s="149"/>
      <c r="E42" s="145" t="s">
        <v>8</v>
      </c>
      <c r="F42" s="326">
        <v>3</v>
      </c>
      <c r="G42" s="396">
        <v>-919.80200000000002</v>
      </c>
      <c r="H42" s="397">
        <v>0</v>
      </c>
      <c r="I42" s="398">
        <v>0</v>
      </c>
      <c r="J42" s="327">
        <f t="shared" si="9"/>
        <v>0</v>
      </c>
      <c r="K42" s="328">
        <f t="shared" si="10"/>
        <v>-919.80200000000002</v>
      </c>
      <c r="M42" s="1164">
        <f t="shared" si="11"/>
        <v>0</v>
      </c>
      <c r="O42" s="114"/>
      <c r="P42" s="86">
        <f t="shared" si="8"/>
        <v>0</v>
      </c>
      <c r="Q42" s="86">
        <f t="shared" si="8"/>
        <v>0</v>
      </c>
      <c r="R42" s="86">
        <f t="shared" si="8"/>
        <v>0</v>
      </c>
      <c r="S42" s="114"/>
      <c r="AA42" s="148" t="s">
        <v>473</v>
      </c>
      <c r="AB42" s="149" t="s">
        <v>194</v>
      </c>
      <c r="AC42" s="149"/>
      <c r="AD42" s="145" t="s">
        <v>8</v>
      </c>
      <c r="AE42" s="326">
        <v>3</v>
      </c>
      <c r="AF42" s="396" t="s">
        <v>474</v>
      </c>
      <c r="AG42" s="397" t="s">
        <v>475</v>
      </c>
      <c r="AH42" s="398" t="s">
        <v>476</v>
      </c>
      <c r="AI42" s="327" t="s">
        <v>477</v>
      </c>
      <c r="AJ42" s="328" t="s">
        <v>478</v>
      </c>
    </row>
    <row r="43" spans="2:36" ht="15" thickBot="1">
      <c r="B43" s="94" t="s">
        <v>479</v>
      </c>
      <c r="C43" s="95" t="s">
        <v>480</v>
      </c>
      <c r="D43" s="95"/>
      <c r="E43" s="96" t="s">
        <v>8</v>
      </c>
      <c r="F43" s="93">
        <v>3</v>
      </c>
      <c r="G43" s="174">
        <f xml:space="preserve"> SUM( G34:G42 )</f>
        <v>-13709.99</v>
      </c>
      <c r="H43" s="167">
        <f xml:space="preserve"> SUM( H34:H42 )</f>
        <v>-4.2632564145606011E-14</v>
      </c>
      <c r="I43" s="168">
        <f xml:space="preserve"> SUM( I34:I42 )</f>
        <v>0</v>
      </c>
      <c r="J43" s="169">
        <f t="shared" si="9"/>
        <v>-4.2632564145606011E-14</v>
      </c>
      <c r="K43" s="172">
        <f t="shared" si="10"/>
        <v>-13709.99</v>
      </c>
      <c r="M43" s="116"/>
      <c r="N43" s="112"/>
      <c r="O43" s="114"/>
      <c r="P43" s="112"/>
      <c r="Q43" s="112"/>
      <c r="R43" s="112"/>
      <c r="S43" s="114"/>
      <c r="AA43" s="94" t="s">
        <v>479</v>
      </c>
      <c r="AB43" s="95" t="s">
        <v>480</v>
      </c>
      <c r="AC43" s="95"/>
      <c r="AD43" s="96" t="s">
        <v>8</v>
      </c>
      <c r="AE43" s="93">
        <v>3</v>
      </c>
      <c r="AF43" s="174" t="s">
        <v>481</v>
      </c>
      <c r="AG43" s="167" t="s">
        <v>482</v>
      </c>
      <c r="AH43" s="168" t="s">
        <v>483</v>
      </c>
      <c r="AI43" s="169" t="s">
        <v>484</v>
      </c>
      <c r="AJ43" s="172" t="s">
        <v>485</v>
      </c>
    </row>
    <row r="44" spans="2:36" ht="15" thickBot="1">
      <c r="M44" s="116"/>
    </row>
    <row r="45" spans="2:36" ht="15" thickBot="1">
      <c r="B45" s="119" t="s">
        <v>486</v>
      </c>
      <c r="C45" s="120" t="s">
        <v>487</v>
      </c>
      <c r="D45" s="120"/>
      <c r="E45" s="121" t="s">
        <v>8</v>
      </c>
      <c r="F45" s="122">
        <v>3</v>
      </c>
      <c r="G45" s="635">
        <f xml:space="preserve"> G13 + G31 + G43</f>
        <v>3147.3390000000018</v>
      </c>
      <c r="H45" s="636">
        <f xml:space="preserve"> H13 + H31 + H43</f>
        <v>-369.29700000000008</v>
      </c>
      <c r="I45" s="637">
        <f xml:space="preserve"> I13 + I31 + I43</f>
        <v>55.542000000000002</v>
      </c>
      <c r="J45" s="212">
        <f t="shared" si="9"/>
        <v>-424.83900000000006</v>
      </c>
      <c r="K45" s="416">
        <f t="shared" si="10"/>
        <v>2722.5000000000018</v>
      </c>
      <c r="M45" s="116"/>
      <c r="N45" s="112"/>
      <c r="P45" s="112"/>
      <c r="Q45" s="112"/>
      <c r="R45" s="112"/>
      <c r="AA45" s="119" t="s">
        <v>486</v>
      </c>
      <c r="AB45" s="120" t="s">
        <v>487</v>
      </c>
      <c r="AC45" s="120"/>
      <c r="AD45" s="121" t="s">
        <v>8</v>
      </c>
      <c r="AE45" s="122">
        <v>3</v>
      </c>
      <c r="AF45" s="635" t="s">
        <v>488</v>
      </c>
      <c r="AG45" s="636" t="s">
        <v>489</v>
      </c>
      <c r="AH45" s="637" t="s">
        <v>490</v>
      </c>
      <c r="AI45" s="212" t="s">
        <v>491</v>
      </c>
      <c r="AJ45" s="416" t="s">
        <v>492</v>
      </c>
    </row>
    <row r="46" spans="2:36" ht="15" thickBot="1">
      <c r="M46" s="116"/>
    </row>
    <row r="47" spans="2:36" ht="15" thickBot="1">
      <c r="B47" s="2221" t="s">
        <v>493</v>
      </c>
      <c r="C47" s="77" t="s">
        <v>494</v>
      </c>
      <c r="D47" s="1292"/>
      <c r="M47" s="116"/>
      <c r="AA47" s="2221" t="s">
        <v>493</v>
      </c>
      <c r="AB47" s="77" t="s">
        <v>494</v>
      </c>
      <c r="AC47" s="1292"/>
    </row>
    <row r="48" spans="2:36">
      <c r="B48" s="79" t="s">
        <v>495</v>
      </c>
      <c r="C48" s="109" t="s">
        <v>496</v>
      </c>
      <c r="D48" s="109"/>
      <c r="E48" s="81" t="s">
        <v>8</v>
      </c>
      <c r="F48" s="185">
        <v>3</v>
      </c>
      <c r="G48" s="356">
        <v>29</v>
      </c>
      <c r="H48" s="342">
        <v>0</v>
      </c>
      <c r="I48" s="353">
        <v>0</v>
      </c>
      <c r="J48" s="165">
        <f xml:space="preserve"> H48 - I48</f>
        <v>0</v>
      </c>
      <c r="K48" s="173">
        <f xml:space="preserve"> G48 + J48</f>
        <v>29</v>
      </c>
      <c r="M48" s="1164">
        <f xml:space="preserve"> IF( SUM( O48:S48 ) = 0, 0, $P$6 )</f>
        <v>0</v>
      </c>
      <c r="P48" s="86">
        <f t="shared" si="8"/>
        <v>0</v>
      </c>
      <c r="Q48" s="86">
        <f t="shared" si="8"/>
        <v>0</v>
      </c>
      <c r="R48" s="86">
        <f t="shared" si="8"/>
        <v>0</v>
      </c>
      <c r="AA48" s="79" t="s">
        <v>495</v>
      </c>
      <c r="AB48" s="109" t="s">
        <v>496</v>
      </c>
      <c r="AC48" s="109"/>
      <c r="AD48" s="81" t="s">
        <v>8</v>
      </c>
      <c r="AE48" s="185">
        <v>3</v>
      </c>
      <c r="AF48" s="356" t="s">
        <v>497</v>
      </c>
      <c r="AG48" s="342" t="s">
        <v>498</v>
      </c>
      <c r="AH48" s="353" t="s">
        <v>499</v>
      </c>
      <c r="AI48" s="165" t="s">
        <v>500</v>
      </c>
      <c r="AJ48" s="173" t="s">
        <v>501</v>
      </c>
    </row>
    <row r="49" spans="2:36">
      <c r="B49" s="148" t="s">
        <v>502</v>
      </c>
      <c r="C49" s="149" t="s">
        <v>503</v>
      </c>
      <c r="D49" s="149"/>
      <c r="E49" s="145" t="s">
        <v>8</v>
      </c>
      <c r="F49" s="326">
        <v>3</v>
      </c>
      <c r="G49" s="396">
        <v>3118.3389999999999</v>
      </c>
      <c r="H49" s="397">
        <v>-369.29700000000003</v>
      </c>
      <c r="I49" s="398">
        <v>55.542000000000002</v>
      </c>
      <c r="J49" s="327">
        <f xml:space="preserve"> H49 - I49</f>
        <v>-424.83900000000006</v>
      </c>
      <c r="K49" s="328">
        <f xml:space="preserve"> G49 + J49</f>
        <v>2693.5</v>
      </c>
      <c r="M49" s="1164">
        <f xml:space="preserve"> IF( SUM( O49:S49 ) = 0, 0, $P$6 )</f>
        <v>0</v>
      </c>
      <c r="P49" s="86">
        <f t="shared" si="8"/>
        <v>0</v>
      </c>
      <c r="Q49" s="86">
        <f t="shared" si="8"/>
        <v>0</v>
      </c>
      <c r="R49" s="86">
        <f t="shared" si="8"/>
        <v>0</v>
      </c>
      <c r="AA49" s="148" t="s">
        <v>502</v>
      </c>
      <c r="AB49" s="149" t="s">
        <v>503</v>
      </c>
      <c r="AC49" s="149"/>
      <c r="AD49" s="145" t="s">
        <v>8</v>
      </c>
      <c r="AE49" s="326">
        <v>3</v>
      </c>
      <c r="AF49" s="396" t="s">
        <v>504</v>
      </c>
      <c r="AG49" s="397" t="s">
        <v>505</v>
      </c>
      <c r="AH49" s="398" t="s">
        <v>506</v>
      </c>
      <c r="AI49" s="327" t="s">
        <v>507</v>
      </c>
      <c r="AJ49" s="328" t="s">
        <v>508</v>
      </c>
    </row>
    <row r="50" spans="2:36" ht="15" thickBot="1">
      <c r="B50" s="152" t="s">
        <v>509</v>
      </c>
      <c r="C50" s="321" t="s">
        <v>510</v>
      </c>
      <c r="D50" s="321"/>
      <c r="E50" s="153" t="s">
        <v>8</v>
      </c>
      <c r="F50" s="322">
        <v>3</v>
      </c>
      <c r="G50" s="329">
        <f xml:space="preserve"> G48 + G49</f>
        <v>3147.3389999999999</v>
      </c>
      <c r="H50" s="324">
        <f xml:space="preserve"> H48 + H49</f>
        <v>-369.29700000000003</v>
      </c>
      <c r="I50" s="325">
        <f xml:space="preserve"> I48 + I49</f>
        <v>55.542000000000002</v>
      </c>
      <c r="J50" s="215">
        <f xml:space="preserve"> H50 - I50</f>
        <v>-424.83900000000006</v>
      </c>
      <c r="K50" s="329">
        <f xml:space="preserve"> G50 + J50</f>
        <v>2722.5</v>
      </c>
      <c r="M50" s="116"/>
      <c r="AA50" s="152" t="s">
        <v>509</v>
      </c>
      <c r="AB50" s="321" t="s">
        <v>510</v>
      </c>
      <c r="AC50" s="321"/>
      <c r="AD50" s="153" t="s">
        <v>8</v>
      </c>
      <c r="AE50" s="322">
        <v>3</v>
      </c>
      <c r="AF50" s="329" t="s">
        <v>511</v>
      </c>
      <c r="AG50" s="324" t="s">
        <v>512</v>
      </c>
      <c r="AH50" s="325" t="s">
        <v>513</v>
      </c>
      <c r="AI50" s="215" t="s">
        <v>514</v>
      </c>
      <c r="AJ50" s="329" t="s">
        <v>515</v>
      </c>
    </row>
    <row r="51" spans="2:36" s="103" customFormat="1">
      <c r="C51" s="138"/>
      <c r="D51" s="138"/>
      <c r="H51" s="142"/>
      <c r="J51" s="110"/>
      <c r="K51" s="110"/>
      <c r="L51" s="110"/>
      <c r="M51" s="116"/>
      <c r="N51" s="110"/>
      <c r="O51" s="66"/>
      <c r="P51" s="112"/>
      <c r="Q51" s="110"/>
      <c r="R51" s="240"/>
      <c r="S51" s="66"/>
      <c r="AB51" s="138"/>
      <c r="AC51" s="138"/>
      <c r="AG51" s="142"/>
      <c r="AI51" s="110"/>
      <c r="AJ51" s="110"/>
    </row>
    <row r="52" spans="2:36" s="142" customFormat="1">
      <c r="B52" s="2256" t="s">
        <v>275</v>
      </c>
      <c r="C52" s="2256"/>
      <c r="D52" s="2195"/>
      <c r="J52" s="116"/>
      <c r="K52" s="116"/>
      <c r="L52" s="116"/>
      <c r="M52" s="116"/>
      <c r="N52" s="116"/>
      <c r="O52" s="66"/>
      <c r="P52" s="116"/>
      <c r="Q52" s="116"/>
      <c r="R52" s="177"/>
      <c r="S52" s="66"/>
    </row>
    <row r="53" spans="2:36" s="142" customFormat="1">
      <c r="B53" s="127"/>
      <c r="C53" s="128"/>
      <c r="D53" s="128"/>
      <c r="J53" s="116"/>
      <c r="K53" s="116"/>
      <c r="L53" s="116"/>
      <c r="M53" s="116"/>
      <c r="N53" s="116"/>
      <c r="O53" s="66"/>
      <c r="P53" s="116"/>
      <c r="Q53" s="116"/>
      <c r="R53" s="177"/>
      <c r="S53" s="66"/>
    </row>
    <row r="54" spans="2:36" s="142" customFormat="1">
      <c r="B54" s="26"/>
      <c r="C54" s="129" t="s">
        <v>249</v>
      </c>
      <c r="D54" s="129"/>
      <c r="J54" s="116"/>
      <c r="K54" s="116"/>
      <c r="L54" s="116"/>
      <c r="M54" s="116"/>
      <c r="N54" s="116"/>
      <c r="O54" s="66"/>
      <c r="P54" s="116"/>
      <c r="Q54" s="116"/>
      <c r="R54" s="177"/>
      <c r="S54" s="66"/>
    </row>
    <row r="55" spans="2:36" s="142" customFormat="1">
      <c r="B55" s="127"/>
      <c r="C55" s="128"/>
      <c r="D55" s="128"/>
      <c r="J55" s="116"/>
      <c r="K55" s="116"/>
      <c r="L55" s="116"/>
      <c r="M55" s="116"/>
      <c r="N55" s="116"/>
      <c r="O55" s="66"/>
      <c r="P55" s="116"/>
      <c r="Q55" s="116"/>
      <c r="R55" s="177"/>
      <c r="S55" s="66"/>
    </row>
    <row r="56" spans="2:36" s="142" customFormat="1">
      <c r="B56" s="130"/>
      <c r="C56" s="129" t="s">
        <v>250</v>
      </c>
      <c r="D56" s="129"/>
      <c r="J56" s="116"/>
      <c r="K56" s="116"/>
      <c r="L56" s="116"/>
      <c r="M56" s="116"/>
      <c r="N56" s="116"/>
      <c r="O56" s="66"/>
      <c r="P56" s="116"/>
      <c r="Q56" s="116"/>
      <c r="R56" s="177"/>
      <c r="S56" s="66"/>
    </row>
    <row r="57" spans="2:36" s="142" customFormat="1">
      <c r="B57" s="131"/>
      <c r="C57" s="129"/>
      <c r="D57" s="129"/>
      <c r="J57" s="116"/>
      <c r="K57" s="116"/>
      <c r="L57" s="116"/>
      <c r="M57" s="116"/>
      <c r="N57" s="116"/>
      <c r="O57" s="66"/>
      <c r="P57" s="116"/>
      <c r="Q57" s="116"/>
      <c r="R57" s="177"/>
      <c r="S57" s="66"/>
    </row>
    <row r="58" spans="2:36" s="155" customFormat="1" ht="15" thickBot="1">
      <c r="C58" s="156"/>
      <c r="D58" s="156"/>
      <c r="J58" s="118"/>
      <c r="K58" s="118"/>
      <c r="L58" s="118"/>
      <c r="M58" s="116"/>
      <c r="N58" s="116"/>
      <c r="O58" s="66"/>
      <c r="P58" s="116"/>
      <c r="Q58" s="116"/>
      <c r="R58" s="257"/>
      <c r="S58" s="66"/>
    </row>
    <row r="59" spans="2:36" s="155" customFormat="1" ht="21" thickBot="1">
      <c r="B59" s="1166" t="s">
        <v>251</v>
      </c>
      <c r="C59" s="133"/>
      <c r="D59" s="133"/>
      <c r="E59" s="134"/>
      <c r="F59" s="134"/>
      <c r="G59" s="134"/>
      <c r="H59" s="134"/>
      <c r="I59" s="134"/>
      <c r="J59" s="134"/>
      <c r="K59" s="140"/>
      <c r="L59" s="118"/>
      <c r="M59" s="116"/>
      <c r="N59" s="116"/>
      <c r="O59" s="66"/>
      <c r="P59" s="116"/>
      <c r="Q59" s="116"/>
      <c r="R59" s="257"/>
      <c r="S59" s="66"/>
    </row>
    <row r="60" spans="2:36" s="155" customFormat="1">
      <c r="C60" s="156"/>
      <c r="D60" s="156"/>
      <c r="J60" s="118"/>
      <c r="K60" s="118"/>
      <c r="L60" s="118"/>
      <c r="M60" s="116"/>
      <c r="N60" s="116"/>
      <c r="O60" s="66"/>
      <c r="P60" s="116"/>
      <c r="Q60" s="116"/>
      <c r="R60" s="257"/>
      <c r="S60" s="66"/>
    </row>
  </sheetData>
  <sheetProtection algorithmName="SHA-512" hashValue="wTvzfUX7AKHMRzS1xPDlTvZCQ+75H3CtNIztERMnNOiwtnnsZmagu9LLoD/j7vjU1lk5I2cpUAlEvZdSwntu+A==" saltValue="ZKlNnaExj+ETX98iT4rbfA==" spinCount="100000" sheet="1" objects="1" scenarios="1"/>
  <mergeCells count="15">
    <mergeCell ref="M3:M4"/>
    <mergeCell ref="P4:R4"/>
    <mergeCell ref="B52:C52"/>
    <mergeCell ref="B3:C4"/>
    <mergeCell ref="E3:E4"/>
    <mergeCell ref="F3:F4"/>
    <mergeCell ref="G3:G4"/>
    <mergeCell ref="H3:J3"/>
    <mergeCell ref="K3:K4"/>
    <mergeCell ref="AJ3:AJ4"/>
    <mergeCell ref="AA3:AB4"/>
    <mergeCell ref="AD3:AD4"/>
    <mergeCell ref="AE3:AE4"/>
    <mergeCell ref="AF3:AF4"/>
    <mergeCell ref="AG3:AI3"/>
  </mergeCells>
  <conditionalFormatting sqref="M7:M12 M16:M19 M23:M28 M34:M42 M48:M49">
    <cfRule type="cellIs" dxfId="6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AJ46"/>
  <sheetViews>
    <sheetView showGridLines="0" zoomScale="80" zoomScaleNormal="80" workbookViewId="0"/>
  </sheetViews>
  <sheetFormatPr defaultColWidth="0" defaultRowHeight="14.25" zeroHeight="1"/>
  <cols>
    <col min="1" max="1" width="0.625" style="65" customWidth="1"/>
    <col min="2" max="2" width="7.625" style="65" customWidth="1"/>
    <col min="3" max="3" width="38.125" style="65" customWidth="1"/>
    <col min="4" max="4" width="2.625" style="65" hidden="1" customWidth="1"/>
    <col min="5" max="6" width="5.125" style="65" customWidth="1"/>
    <col min="7" max="11" width="12.5" style="65" customWidth="1"/>
    <col min="12" max="12" width="2.125" style="65" customWidth="1"/>
    <col min="13" max="13" width="18.625" style="65" bestFit="1" customWidth="1"/>
    <col min="14" max="14" width="1.625" style="65" customWidth="1"/>
    <col min="15" max="15" width="1.625" style="66" hidden="1" customWidth="1"/>
    <col min="16" max="18" width="5.625" style="65" hidden="1" customWidth="1"/>
    <col min="19" max="19" width="1.625" style="66" hidden="1" customWidth="1"/>
    <col min="20" max="20" width="8.125" style="65" hidden="1" customWidth="1"/>
    <col min="21" max="23" width="8.625" style="65" hidden="1" customWidth="1"/>
    <col min="24" max="26" width="8.125" style="65" hidden="1" customWidth="1"/>
    <col min="27" max="27" width="7.625" style="65" hidden="1" customWidth="1"/>
    <col min="28" max="28" width="38.125" style="65" hidden="1" customWidth="1"/>
    <col min="29" max="29" width="2.625" style="65" hidden="1" customWidth="1"/>
    <col min="30" max="31" width="5.125" style="65" hidden="1" customWidth="1"/>
    <col min="32" max="36" width="12.5" style="65" hidden="1" customWidth="1"/>
    <col min="37" max="16384" width="8.125" style="65" hidden="1"/>
  </cols>
  <sheetData>
    <row r="1" spans="2:36" ht="20.25">
      <c r="B1" s="61" t="s">
        <v>516</v>
      </c>
      <c r="C1" s="61"/>
      <c r="D1" s="61"/>
      <c r="E1" s="61"/>
      <c r="F1" s="61"/>
      <c r="G1" s="61"/>
      <c r="H1" s="61"/>
      <c r="I1" s="61"/>
      <c r="J1" s="61"/>
      <c r="K1" s="63" t="str">
        <f>Validation!B3</f>
        <v>Thames Water</v>
      </c>
      <c r="L1" s="61"/>
      <c r="M1" s="64" t="s">
        <v>94</v>
      </c>
      <c r="AA1" s="61" t="s">
        <v>95</v>
      </c>
      <c r="AB1" s="61"/>
      <c r="AC1" s="61"/>
      <c r="AD1" s="61"/>
      <c r="AE1" s="61"/>
      <c r="AF1" s="61"/>
      <c r="AG1" s="61"/>
      <c r="AH1" s="61"/>
      <c r="AI1" s="61"/>
      <c r="AJ1" s="63"/>
    </row>
    <row r="2" spans="2:36" ht="15" thickBot="1">
      <c r="B2" s="68" t="s">
        <v>80</v>
      </c>
      <c r="AA2" s="68" t="s">
        <v>80</v>
      </c>
    </row>
    <row r="3" spans="2:36" ht="15" customHeight="1">
      <c r="B3" s="2242" t="s">
        <v>96</v>
      </c>
      <c r="C3" s="2243"/>
      <c r="D3" s="2192" t="s">
        <v>97</v>
      </c>
      <c r="E3" s="2246" t="s">
        <v>98</v>
      </c>
      <c r="F3" s="2248" t="s">
        <v>99</v>
      </c>
      <c r="G3" s="2250" t="s">
        <v>100</v>
      </c>
      <c r="H3" s="2252" t="s">
        <v>101</v>
      </c>
      <c r="I3" s="2253"/>
      <c r="J3" s="2254"/>
      <c r="K3" s="2240" t="s">
        <v>102</v>
      </c>
      <c r="M3" s="2240" t="s">
        <v>103</v>
      </c>
      <c r="AA3" s="2242" t="s">
        <v>96</v>
      </c>
      <c r="AB3" s="2243"/>
      <c r="AC3" s="2192" t="s">
        <v>97</v>
      </c>
      <c r="AD3" s="2246" t="s">
        <v>98</v>
      </c>
      <c r="AE3" s="2248" t="s">
        <v>99</v>
      </c>
      <c r="AF3" s="2250" t="s">
        <v>100</v>
      </c>
      <c r="AG3" s="2252" t="s">
        <v>101</v>
      </c>
      <c r="AH3" s="2253"/>
      <c r="AI3" s="2254"/>
      <c r="AJ3" s="2240" t="s">
        <v>102</v>
      </c>
    </row>
    <row r="4" spans="2:36" ht="54.75" thickBot="1">
      <c r="B4" s="2244"/>
      <c r="C4" s="2245"/>
      <c r="D4" s="2193"/>
      <c r="E4" s="2247"/>
      <c r="F4" s="2249"/>
      <c r="G4" s="2251"/>
      <c r="H4" s="2201" t="s">
        <v>104</v>
      </c>
      <c r="I4" s="73" t="s">
        <v>105</v>
      </c>
      <c r="J4" s="2202" t="s">
        <v>106</v>
      </c>
      <c r="K4" s="2241"/>
      <c r="M4" s="2241"/>
      <c r="N4" s="74"/>
      <c r="P4" s="2255" t="s">
        <v>107</v>
      </c>
      <c r="Q4" s="2255"/>
      <c r="R4" s="2255"/>
      <c r="AA4" s="2244"/>
      <c r="AB4" s="2245"/>
      <c r="AC4" s="2193"/>
      <c r="AD4" s="2247"/>
      <c r="AE4" s="2249"/>
      <c r="AF4" s="2251"/>
      <c r="AG4" s="2201" t="s">
        <v>104</v>
      </c>
      <c r="AH4" s="73" t="s">
        <v>105</v>
      </c>
      <c r="AI4" s="2202" t="s">
        <v>106</v>
      </c>
      <c r="AJ4" s="2241"/>
    </row>
    <row r="5" spans="2:36" ht="15" thickBot="1"/>
    <row r="6" spans="2:36" ht="15" thickBot="1">
      <c r="B6" s="2221" t="s">
        <v>214</v>
      </c>
      <c r="C6" s="77" t="s">
        <v>517</v>
      </c>
      <c r="D6" s="1292"/>
      <c r="P6" s="78" t="s">
        <v>108</v>
      </c>
      <c r="AA6" s="2221" t="s">
        <v>214</v>
      </c>
      <c r="AB6" s="77" t="s">
        <v>517</v>
      </c>
      <c r="AC6" s="1292"/>
    </row>
    <row r="7" spans="2:36">
      <c r="B7" s="79" t="s">
        <v>518</v>
      </c>
      <c r="C7" s="109" t="s">
        <v>131</v>
      </c>
      <c r="D7" s="109"/>
      <c r="E7" s="81" t="s">
        <v>8</v>
      </c>
      <c r="F7" s="82">
        <v>3</v>
      </c>
      <c r="G7" s="313">
        <f>'1A'!G9</f>
        <v>543.43499999999995</v>
      </c>
      <c r="H7" s="639">
        <f>'1A'!H9</f>
        <v>19.915999999999997</v>
      </c>
      <c r="I7" s="580">
        <f>'1A'!I9</f>
        <v>39.304999999999993</v>
      </c>
      <c r="J7" s="165">
        <f t="shared" ref="J7:J15" si="0" xml:space="preserve"> H7 - I7</f>
        <v>-19.388999999999996</v>
      </c>
      <c r="K7" s="170">
        <f t="shared" ref="K7:K15" si="1" xml:space="preserve"> G7 + J7</f>
        <v>524.04599999999994</v>
      </c>
      <c r="M7" s="116"/>
      <c r="P7" s="113"/>
      <c r="Q7" s="113"/>
      <c r="R7" s="113"/>
      <c r="AA7" s="79" t="s">
        <v>518</v>
      </c>
      <c r="AB7" s="109" t="s">
        <v>131</v>
      </c>
      <c r="AC7" s="109"/>
      <c r="AD7" s="81" t="s">
        <v>8</v>
      </c>
      <c r="AE7" s="82">
        <v>3</v>
      </c>
      <c r="AF7" s="313" t="str">
        <f>'1A'!AF9</f>
        <v>BO2060STAT</v>
      </c>
      <c r="AG7" s="639" t="str">
        <f>'1A'!AG9</f>
        <v>BO2060DSR</v>
      </c>
      <c r="AH7" s="580" t="str">
        <f>'1A'!AH9</f>
        <v>BO2060NA</v>
      </c>
      <c r="AI7" s="165" t="s">
        <v>135</v>
      </c>
      <c r="AJ7" s="170" t="s">
        <v>136</v>
      </c>
    </row>
    <row r="8" spans="2:36">
      <c r="B8" s="87" t="s">
        <v>519</v>
      </c>
      <c r="C8" s="80" t="s">
        <v>138</v>
      </c>
      <c r="D8" s="80"/>
      <c r="E8" s="88" t="s">
        <v>8</v>
      </c>
      <c r="F8" s="89">
        <v>3</v>
      </c>
      <c r="G8" s="391">
        <v>89.71</v>
      </c>
      <c r="H8" s="340">
        <v>-18.103999999999999</v>
      </c>
      <c r="I8" s="341">
        <v>0.28799999999999998</v>
      </c>
      <c r="J8" s="166">
        <f t="shared" si="0"/>
        <v>-18.391999999999999</v>
      </c>
      <c r="K8" s="171">
        <f t="shared" si="1"/>
        <v>71.317999999999998</v>
      </c>
      <c r="M8" s="25">
        <f xml:space="preserve"> IF( SUM( O8:S8 ) = 0, 0, $P$6 )</f>
        <v>0</v>
      </c>
      <c r="P8" s="86">
        <f t="shared" ref="P8:R33" si="2" xml:space="preserve"> IF( ISNUMBER( G8 ), 0, 1 )</f>
        <v>0</v>
      </c>
      <c r="Q8" s="86">
        <f t="shared" si="2"/>
        <v>0</v>
      </c>
      <c r="R8" s="86">
        <f t="shared" si="2"/>
        <v>0</v>
      </c>
      <c r="AA8" s="87" t="s">
        <v>519</v>
      </c>
      <c r="AB8" s="80" t="s">
        <v>138</v>
      </c>
      <c r="AC8" s="80"/>
      <c r="AD8" s="88" t="s">
        <v>8</v>
      </c>
      <c r="AE8" s="89">
        <v>3</v>
      </c>
      <c r="AF8" s="391" t="s">
        <v>520</v>
      </c>
      <c r="AG8" s="340" t="s">
        <v>521</v>
      </c>
      <c r="AH8" s="341" t="s">
        <v>522</v>
      </c>
      <c r="AI8" s="166" t="s">
        <v>523</v>
      </c>
      <c r="AJ8" s="171" t="s">
        <v>524</v>
      </c>
    </row>
    <row r="9" spans="2:36">
      <c r="B9" s="87" t="s">
        <v>525</v>
      </c>
      <c r="C9" s="80" t="s">
        <v>526</v>
      </c>
      <c r="D9" s="80"/>
      <c r="E9" s="88" t="s">
        <v>8</v>
      </c>
      <c r="F9" s="89">
        <v>3</v>
      </c>
      <c r="G9" s="391">
        <v>526.149</v>
      </c>
      <c r="H9" s="340">
        <v>-3.161</v>
      </c>
      <c r="I9" s="341">
        <v>-0.42899999999999999</v>
      </c>
      <c r="J9" s="166">
        <f t="shared" si="0"/>
        <v>-2.7320000000000002</v>
      </c>
      <c r="K9" s="171">
        <f t="shared" si="1"/>
        <v>523.41700000000003</v>
      </c>
      <c r="M9" s="25">
        <f t="shared" ref="M9:M14" si="3" xml:space="preserve"> IF( SUM( O9:S9 ) = 0, 0, $P$6 )</f>
        <v>0</v>
      </c>
      <c r="P9" s="86">
        <f t="shared" si="2"/>
        <v>0</v>
      </c>
      <c r="Q9" s="86">
        <f t="shared" si="2"/>
        <v>0</v>
      </c>
      <c r="R9" s="86">
        <f t="shared" si="2"/>
        <v>0</v>
      </c>
      <c r="AA9" s="87" t="s">
        <v>525</v>
      </c>
      <c r="AB9" s="80" t="s">
        <v>526</v>
      </c>
      <c r="AC9" s="80"/>
      <c r="AD9" s="88" t="s">
        <v>8</v>
      </c>
      <c r="AE9" s="89">
        <v>3</v>
      </c>
      <c r="AF9" s="391" t="s">
        <v>527</v>
      </c>
      <c r="AG9" s="340" t="s">
        <v>528</v>
      </c>
      <c r="AH9" s="341" t="s">
        <v>529</v>
      </c>
      <c r="AI9" s="166" t="s">
        <v>530</v>
      </c>
      <c r="AJ9" s="171" t="s">
        <v>531</v>
      </c>
    </row>
    <row r="10" spans="2:36">
      <c r="B10" s="87" t="s">
        <v>532</v>
      </c>
      <c r="C10" s="80" t="s">
        <v>533</v>
      </c>
      <c r="D10" s="80"/>
      <c r="E10" s="88" t="s">
        <v>8</v>
      </c>
      <c r="F10" s="89">
        <v>3</v>
      </c>
      <c r="G10" s="392">
        <v>0</v>
      </c>
      <c r="H10" s="393">
        <v>0</v>
      </c>
      <c r="I10" s="394">
        <v>0</v>
      </c>
      <c r="J10" s="166">
        <f t="shared" si="0"/>
        <v>0</v>
      </c>
      <c r="K10" s="171">
        <f t="shared" si="1"/>
        <v>0</v>
      </c>
      <c r="M10" s="25">
        <f t="shared" si="3"/>
        <v>0</v>
      </c>
      <c r="P10" s="86">
        <f t="shared" si="2"/>
        <v>0</v>
      </c>
      <c r="Q10" s="86">
        <f t="shared" si="2"/>
        <v>0</v>
      </c>
      <c r="R10" s="86">
        <f t="shared" si="2"/>
        <v>0</v>
      </c>
      <c r="AA10" s="87" t="s">
        <v>532</v>
      </c>
      <c r="AB10" s="80" t="s">
        <v>533</v>
      </c>
      <c r="AC10" s="80"/>
      <c r="AD10" s="88" t="s">
        <v>8</v>
      </c>
      <c r="AE10" s="89">
        <v>3</v>
      </c>
      <c r="AF10" s="392" t="s">
        <v>534</v>
      </c>
      <c r="AG10" s="393" t="s">
        <v>535</v>
      </c>
      <c r="AH10" s="394" t="s">
        <v>536</v>
      </c>
      <c r="AI10" s="166" t="s">
        <v>537</v>
      </c>
      <c r="AJ10" s="171" t="s">
        <v>538</v>
      </c>
    </row>
    <row r="11" spans="2:36">
      <c r="B11" s="87" t="s">
        <v>539</v>
      </c>
      <c r="C11" s="80" t="s">
        <v>540</v>
      </c>
      <c r="D11" s="80"/>
      <c r="E11" s="88" t="s">
        <v>8</v>
      </c>
      <c r="F11" s="89">
        <v>3</v>
      </c>
      <c r="G11" s="392">
        <v>-48.756999999999998</v>
      </c>
      <c r="H11" s="393">
        <v>1.7410000000000001</v>
      </c>
      <c r="I11" s="394">
        <v>-40.305999999999997</v>
      </c>
      <c r="J11" s="166">
        <f t="shared" si="0"/>
        <v>42.046999999999997</v>
      </c>
      <c r="K11" s="171">
        <f t="shared" si="1"/>
        <v>-6.7100000000000009</v>
      </c>
      <c r="M11" s="25">
        <f t="shared" si="3"/>
        <v>0</v>
      </c>
      <c r="P11" s="86">
        <f t="shared" si="2"/>
        <v>0</v>
      </c>
      <c r="Q11" s="86">
        <f t="shared" si="2"/>
        <v>0</v>
      </c>
      <c r="R11" s="86">
        <f t="shared" si="2"/>
        <v>0</v>
      </c>
      <c r="AA11" s="87" t="s">
        <v>539</v>
      </c>
      <c r="AB11" s="80" t="s">
        <v>540</v>
      </c>
      <c r="AC11" s="80"/>
      <c r="AD11" s="88" t="s">
        <v>8</v>
      </c>
      <c r="AE11" s="89">
        <v>3</v>
      </c>
      <c r="AF11" s="392" t="s">
        <v>541</v>
      </c>
      <c r="AG11" s="393" t="s">
        <v>542</v>
      </c>
      <c r="AH11" s="394" t="s">
        <v>543</v>
      </c>
      <c r="AI11" s="166" t="s">
        <v>544</v>
      </c>
      <c r="AJ11" s="171" t="s">
        <v>545</v>
      </c>
    </row>
    <row r="12" spans="2:36">
      <c r="B12" s="87" t="s">
        <v>546</v>
      </c>
      <c r="C12" s="80" t="s">
        <v>547</v>
      </c>
      <c r="D12" s="80"/>
      <c r="E12" s="88" t="s">
        <v>8</v>
      </c>
      <c r="F12" s="89">
        <v>3</v>
      </c>
      <c r="G12" s="392">
        <v>-14</v>
      </c>
      <c r="H12" s="393">
        <v>9</v>
      </c>
      <c r="I12" s="394">
        <v>0</v>
      </c>
      <c r="J12" s="166">
        <f t="shared" si="0"/>
        <v>9</v>
      </c>
      <c r="K12" s="171">
        <f t="shared" si="1"/>
        <v>-5</v>
      </c>
      <c r="M12" s="25">
        <f t="shared" si="3"/>
        <v>0</v>
      </c>
      <c r="P12" s="86">
        <f t="shared" si="2"/>
        <v>0</v>
      </c>
      <c r="Q12" s="86">
        <f t="shared" si="2"/>
        <v>0</v>
      </c>
      <c r="R12" s="86">
        <f t="shared" si="2"/>
        <v>0</v>
      </c>
      <c r="AA12" s="87" t="s">
        <v>546</v>
      </c>
      <c r="AB12" s="80" t="s">
        <v>547</v>
      </c>
      <c r="AC12" s="80"/>
      <c r="AD12" s="88" t="s">
        <v>8</v>
      </c>
      <c r="AE12" s="89">
        <v>3</v>
      </c>
      <c r="AF12" s="392" t="s">
        <v>548</v>
      </c>
      <c r="AG12" s="393" t="s">
        <v>549</v>
      </c>
      <c r="AH12" s="394" t="s">
        <v>550</v>
      </c>
      <c r="AI12" s="166" t="s">
        <v>551</v>
      </c>
      <c r="AJ12" s="171" t="s">
        <v>552</v>
      </c>
    </row>
    <row r="13" spans="2:36">
      <c r="B13" s="87" t="s">
        <v>553</v>
      </c>
      <c r="C13" s="80" t="s">
        <v>554</v>
      </c>
      <c r="D13" s="80"/>
      <c r="E13" s="88" t="s">
        <v>8</v>
      </c>
      <c r="F13" s="89">
        <v>3</v>
      </c>
      <c r="G13" s="392">
        <v>-1.1779999999999999</v>
      </c>
      <c r="H13" s="393">
        <v>0</v>
      </c>
      <c r="I13" s="394">
        <v>0</v>
      </c>
      <c r="J13" s="166">
        <f t="shared" si="0"/>
        <v>0</v>
      </c>
      <c r="K13" s="171">
        <f t="shared" si="1"/>
        <v>-1.1779999999999999</v>
      </c>
      <c r="M13" s="25">
        <f t="shared" si="3"/>
        <v>0</v>
      </c>
      <c r="P13" s="86">
        <f t="shared" si="2"/>
        <v>0</v>
      </c>
      <c r="Q13" s="86">
        <f t="shared" si="2"/>
        <v>0</v>
      </c>
      <c r="R13" s="86">
        <f t="shared" si="2"/>
        <v>0</v>
      </c>
      <c r="AA13" s="87" t="s">
        <v>553</v>
      </c>
      <c r="AB13" s="80" t="s">
        <v>554</v>
      </c>
      <c r="AC13" s="80"/>
      <c r="AD13" s="88" t="s">
        <v>8</v>
      </c>
      <c r="AE13" s="89">
        <v>3</v>
      </c>
      <c r="AF13" s="392" t="s">
        <v>555</v>
      </c>
      <c r="AG13" s="393" t="s">
        <v>556</v>
      </c>
      <c r="AH13" s="394" t="s">
        <v>557</v>
      </c>
      <c r="AI13" s="166" t="s">
        <v>558</v>
      </c>
      <c r="AJ13" s="171" t="s">
        <v>559</v>
      </c>
    </row>
    <row r="14" spans="2:36">
      <c r="B14" s="87" t="s">
        <v>560</v>
      </c>
      <c r="C14" s="80" t="s">
        <v>561</v>
      </c>
      <c r="D14" s="80"/>
      <c r="E14" s="88" t="s">
        <v>8</v>
      </c>
      <c r="F14" s="89">
        <v>3</v>
      </c>
      <c r="G14" s="392">
        <v>-11.364000000000001</v>
      </c>
      <c r="H14" s="393">
        <v>0</v>
      </c>
      <c r="I14" s="394">
        <v>0</v>
      </c>
      <c r="J14" s="166">
        <f t="shared" si="0"/>
        <v>0</v>
      </c>
      <c r="K14" s="171">
        <f t="shared" si="1"/>
        <v>-11.364000000000001</v>
      </c>
      <c r="M14" s="25">
        <f t="shared" si="3"/>
        <v>0</v>
      </c>
      <c r="P14" s="86">
        <f t="shared" si="2"/>
        <v>0</v>
      </c>
      <c r="Q14" s="86">
        <f t="shared" si="2"/>
        <v>0</v>
      </c>
      <c r="R14" s="86">
        <f t="shared" si="2"/>
        <v>0</v>
      </c>
      <c r="AA14" s="87" t="s">
        <v>560</v>
      </c>
      <c r="AB14" s="80" t="s">
        <v>561</v>
      </c>
      <c r="AC14" s="80"/>
      <c r="AD14" s="88" t="s">
        <v>8</v>
      </c>
      <c r="AE14" s="89">
        <v>3</v>
      </c>
      <c r="AF14" s="392" t="s">
        <v>562</v>
      </c>
      <c r="AG14" s="393" t="s">
        <v>563</v>
      </c>
      <c r="AH14" s="394" t="s">
        <v>564</v>
      </c>
      <c r="AI14" s="166" t="s">
        <v>565</v>
      </c>
      <c r="AJ14" s="171" t="s">
        <v>566</v>
      </c>
    </row>
    <row r="15" spans="2:36" ht="15" thickBot="1">
      <c r="B15" s="94" t="s">
        <v>567</v>
      </c>
      <c r="C15" s="95" t="s">
        <v>568</v>
      </c>
      <c r="D15" s="95"/>
      <c r="E15" s="96" t="s">
        <v>8</v>
      </c>
      <c r="F15" s="93">
        <v>3</v>
      </c>
      <c r="G15" s="323">
        <f>SUM( G7:G14 )</f>
        <v>1083.9949999999997</v>
      </c>
      <c r="H15" s="167">
        <f>SUM( H7:H14 )</f>
        <v>9.3919999999999977</v>
      </c>
      <c r="I15" s="168">
        <f>SUM( I7:I14 )</f>
        <v>-1.1420000000000101</v>
      </c>
      <c r="J15" s="169">
        <f t="shared" si="0"/>
        <v>10.534000000000008</v>
      </c>
      <c r="K15" s="172">
        <f t="shared" si="1"/>
        <v>1094.5289999999998</v>
      </c>
      <c r="M15" s="116"/>
      <c r="AA15" s="94" t="s">
        <v>567</v>
      </c>
      <c r="AB15" s="95" t="s">
        <v>568</v>
      </c>
      <c r="AC15" s="95"/>
      <c r="AD15" s="96" t="s">
        <v>8</v>
      </c>
      <c r="AE15" s="93">
        <v>3</v>
      </c>
      <c r="AF15" s="323" t="s">
        <v>569</v>
      </c>
      <c r="AG15" s="167" t="s">
        <v>570</v>
      </c>
      <c r="AH15" s="168" t="s">
        <v>571</v>
      </c>
      <c r="AI15" s="169" t="s">
        <v>572</v>
      </c>
      <c r="AJ15" s="172" t="s">
        <v>573</v>
      </c>
    </row>
    <row r="16" spans="2:36" ht="15" thickBot="1">
      <c r="M16" s="116"/>
    </row>
    <row r="17" spans="2:36">
      <c r="B17" s="79" t="s">
        <v>574</v>
      </c>
      <c r="C17" s="109" t="s">
        <v>575</v>
      </c>
      <c r="D17" s="109"/>
      <c r="E17" s="81" t="s">
        <v>8</v>
      </c>
      <c r="F17" s="82">
        <v>3</v>
      </c>
      <c r="G17" s="395">
        <v>-224.42099999999999</v>
      </c>
      <c r="H17" s="342">
        <v>-109.66200000000001</v>
      </c>
      <c r="I17" s="353">
        <v>-3.2000000000000001E-2</v>
      </c>
      <c r="J17" s="165">
        <f xml:space="preserve"> H17 - I17</f>
        <v>-109.63000000000001</v>
      </c>
      <c r="K17" s="170">
        <f xml:space="preserve"> G17 + J17</f>
        <v>-334.05099999999999</v>
      </c>
      <c r="M17" s="25">
        <f t="shared" ref="M17:M18" si="4" xml:space="preserve"> IF( SUM( O17:S17 ) = 0, 0, $P$6 )</f>
        <v>0</v>
      </c>
      <c r="P17" s="86">
        <f t="shared" si="2"/>
        <v>0</v>
      </c>
      <c r="Q17" s="86">
        <f t="shared" si="2"/>
        <v>0</v>
      </c>
      <c r="R17" s="86">
        <f t="shared" si="2"/>
        <v>0</v>
      </c>
      <c r="AA17" s="79" t="s">
        <v>574</v>
      </c>
      <c r="AB17" s="109" t="s">
        <v>575</v>
      </c>
      <c r="AC17" s="109"/>
      <c r="AD17" s="81" t="s">
        <v>8</v>
      </c>
      <c r="AE17" s="82">
        <v>3</v>
      </c>
      <c r="AF17" s="395" t="s">
        <v>576</v>
      </c>
      <c r="AG17" s="342" t="s">
        <v>577</v>
      </c>
      <c r="AH17" s="353" t="s">
        <v>578</v>
      </c>
      <c r="AI17" s="165" t="s">
        <v>579</v>
      </c>
      <c r="AJ17" s="170" t="s">
        <v>580</v>
      </c>
    </row>
    <row r="18" spans="2:36">
      <c r="B18" s="87" t="s">
        <v>581</v>
      </c>
      <c r="C18" s="80" t="s">
        <v>582</v>
      </c>
      <c r="D18" s="80"/>
      <c r="E18" s="88" t="s">
        <v>8</v>
      </c>
      <c r="F18" s="89">
        <v>3</v>
      </c>
      <c r="G18" s="391">
        <v>-20.77</v>
      </c>
      <c r="H18" s="340">
        <v>0</v>
      </c>
      <c r="I18" s="341">
        <v>0</v>
      </c>
      <c r="J18" s="166">
        <f xml:space="preserve"> H18 - I18</f>
        <v>0</v>
      </c>
      <c r="K18" s="171">
        <f xml:space="preserve"> G18 + J18</f>
        <v>-20.77</v>
      </c>
      <c r="M18" s="25">
        <f t="shared" si="4"/>
        <v>0</v>
      </c>
      <c r="P18" s="86">
        <f t="shared" si="2"/>
        <v>0</v>
      </c>
      <c r="Q18" s="86">
        <f t="shared" si="2"/>
        <v>0</v>
      </c>
      <c r="R18" s="86">
        <f t="shared" si="2"/>
        <v>0</v>
      </c>
      <c r="AA18" s="87" t="s">
        <v>581</v>
      </c>
      <c r="AB18" s="80" t="s">
        <v>582</v>
      </c>
      <c r="AC18" s="80"/>
      <c r="AD18" s="88" t="s">
        <v>8</v>
      </c>
      <c r="AE18" s="89">
        <v>3</v>
      </c>
      <c r="AF18" s="391" t="s">
        <v>583</v>
      </c>
      <c r="AG18" s="340" t="s">
        <v>584</v>
      </c>
      <c r="AH18" s="341" t="s">
        <v>585</v>
      </c>
      <c r="AI18" s="166" t="s">
        <v>586</v>
      </c>
      <c r="AJ18" s="171" t="s">
        <v>587</v>
      </c>
    </row>
    <row r="19" spans="2:36" ht="15" thickBot="1">
      <c r="B19" s="94" t="s">
        <v>588</v>
      </c>
      <c r="C19" s="95" t="s">
        <v>589</v>
      </c>
      <c r="D19" s="95"/>
      <c r="E19" s="96" t="s">
        <v>8</v>
      </c>
      <c r="F19" s="93">
        <v>3</v>
      </c>
      <c r="G19" s="169">
        <f xml:space="preserve"> G15 + SUM( G17:G18 )</f>
        <v>838.80399999999963</v>
      </c>
      <c r="H19" s="167">
        <f xml:space="preserve"> H15 + SUM( H17:H18 )</f>
        <v>-100.27000000000001</v>
      </c>
      <c r="I19" s="168">
        <f xml:space="preserve"> I15 + SUM( I17:I18 )</f>
        <v>-1.1740000000000101</v>
      </c>
      <c r="J19" s="169">
        <f xml:space="preserve"> H19 - I19</f>
        <v>-99.096000000000004</v>
      </c>
      <c r="K19" s="172">
        <f xml:space="preserve"> G19 + J19</f>
        <v>739.70799999999963</v>
      </c>
      <c r="M19" s="116"/>
      <c r="AA19" s="94" t="s">
        <v>588</v>
      </c>
      <c r="AB19" s="95" t="s">
        <v>589</v>
      </c>
      <c r="AC19" s="95"/>
      <c r="AD19" s="96" t="s">
        <v>8</v>
      </c>
      <c r="AE19" s="93">
        <v>3</v>
      </c>
      <c r="AF19" s="169" t="s">
        <v>590</v>
      </c>
      <c r="AG19" s="167" t="s">
        <v>591</v>
      </c>
      <c r="AH19" s="168" t="s">
        <v>592</v>
      </c>
      <c r="AI19" s="169" t="s">
        <v>593</v>
      </c>
      <c r="AJ19" s="172" t="s">
        <v>594</v>
      </c>
    </row>
    <row r="20" spans="2:36" ht="15" thickBot="1">
      <c r="M20" s="116"/>
    </row>
    <row r="21" spans="2:36" ht="15" thickBot="1">
      <c r="B21" s="2221" t="s">
        <v>362</v>
      </c>
      <c r="C21" s="77" t="s">
        <v>595</v>
      </c>
      <c r="D21" s="1292"/>
      <c r="M21" s="116"/>
      <c r="AA21" s="2221" t="s">
        <v>362</v>
      </c>
      <c r="AB21" s="77" t="s">
        <v>595</v>
      </c>
      <c r="AC21" s="1292"/>
    </row>
    <row r="22" spans="2:36">
      <c r="B22" s="79" t="s">
        <v>596</v>
      </c>
      <c r="C22" s="109" t="s">
        <v>597</v>
      </c>
      <c r="D22" s="109"/>
      <c r="E22" s="81" t="s">
        <v>8</v>
      </c>
      <c r="F22" s="82">
        <v>3</v>
      </c>
      <c r="G22" s="395">
        <v>-1163.0940000000001</v>
      </c>
      <c r="H22" s="342">
        <v>100.271</v>
      </c>
      <c r="I22" s="353">
        <v>0</v>
      </c>
      <c r="J22" s="165">
        <f t="shared" ref="J22:J28" si="5" xml:space="preserve"> H22 - I22</f>
        <v>100.271</v>
      </c>
      <c r="K22" s="170">
        <f t="shared" ref="K22:K28" si="6" xml:space="preserve"> G22 + J22</f>
        <v>-1062.8230000000001</v>
      </c>
      <c r="M22" s="25">
        <f t="shared" ref="M22:M25" si="7" xml:space="preserve"> IF( SUM( O22:S22 ) = 0, 0, $P$6 )</f>
        <v>0</v>
      </c>
      <c r="P22" s="86">
        <f t="shared" si="2"/>
        <v>0</v>
      </c>
      <c r="Q22" s="86">
        <f t="shared" si="2"/>
        <v>0</v>
      </c>
      <c r="R22" s="86">
        <f t="shared" si="2"/>
        <v>0</v>
      </c>
      <c r="AA22" s="79" t="s">
        <v>596</v>
      </c>
      <c r="AB22" s="109" t="s">
        <v>597</v>
      </c>
      <c r="AC22" s="109"/>
      <c r="AD22" s="81" t="s">
        <v>8</v>
      </c>
      <c r="AE22" s="82">
        <v>3</v>
      </c>
      <c r="AF22" s="395" t="s">
        <v>598</v>
      </c>
      <c r="AG22" s="342" t="s">
        <v>599</v>
      </c>
      <c r="AH22" s="353" t="s">
        <v>600</v>
      </c>
      <c r="AI22" s="165" t="s">
        <v>601</v>
      </c>
      <c r="AJ22" s="170" t="s">
        <v>602</v>
      </c>
    </row>
    <row r="23" spans="2:36">
      <c r="B23" s="87" t="s">
        <v>603</v>
      </c>
      <c r="C23" s="80" t="s">
        <v>604</v>
      </c>
      <c r="D23" s="80"/>
      <c r="E23" s="88" t="s">
        <v>8</v>
      </c>
      <c r="F23" s="89">
        <v>3</v>
      </c>
      <c r="G23" s="391">
        <v>0</v>
      </c>
      <c r="H23" s="340">
        <v>0</v>
      </c>
      <c r="I23" s="341">
        <v>0</v>
      </c>
      <c r="J23" s="166">
        <f t="shared" si="5"/>
        <v>0</v>
      </c>
      <c r="K23" s="171">
        <f t="shared" si="6"/>
        <v>0</v>
      </c>
      <c r="M23" s="25">
        <f t="shared" si="7"/>
        <v>0</v>
      </c>
      <c r="O23" s="114"/>
      <c r="P23" s="86">
        <f t="shared" si="2"/>
        <v>0</v>
      </c>
      <c r="Q23" s="86">
        <f t="shared" si="2"/>
        <v>0</v>
      </c>
      <c r="R23" s="86">
        <f t="shared" si="2"/>
        <v>0</v>
      </c>
      <c r="S23" s="114"/>
      <c r="AA23" s="87" t="s">
        <v>603</v>
      </c>
      <c r="AB23" s="80" t="s">
        <v>604</v>
      </c>
      <c r="AC23" s="80"/>
      <c r="AD23" s="88" t="s">
        <v>8</v>
      </c>
      <c r="AE23" s="89">
        <v>3</v>
      </c>
      <c r="AF23" s="391" t="s">
        <v>605</v>
      </c>
      <c r="AG23" s="340" t="s">
        <v>606</v>
      </c>
      <c r="AH23" s="341" t="s">
        <v>607</v>
      </c>
      <c r="AI23" s="166" t="s">
        <v>608</v>
      </c>
      <c r="AJ23" s="171" t="s">
        <v>609</v>
      </c>
    </row>
    <row r="24" spans="2:36">
      <c r="B24" s="87" t="s">
        <v>610</v>
      </c>
      <c r="C24" s="80" t="s">
        <v>611</v>
      </c>
      <c r="D24" s="80"/>
      <c r="E24" s="88" t="s">
        <v>8</v>
      </c>
      <c r="F24" s="89">
        <v>3</v>
      </c>
      <c r="G24" s="391">
        <v>18.821000000000002</v>
      </c>
      <c r="H24" s="340">
        <v>0</v>
      </c>
      <c r="I24" s="341">
        <v>0</v>
      </c>
      <c r="J24" s="166">
        <f t="shared" si="5"/>
        <v>0</v>
      </c>
      <c r="K24" s="171">
        <f t="shared" si="6"/>
        <v>18.821000000000002</v>
      </c>
      <c r="M24" s="25">
        <f t="shared" si="7"/>
        <v>0</v>
      </c>
      <c r="O24" s="111"/>
      <c r="P24" s="86">
        <f t="shared" si="2"/>
        <v>0</v>
      </c>
      <c r="Q24" s="86">
        <f t="shared" si="2"/>
        <v>0</v>
      </c>
      <c r="R24" s="86">
        <f t="shared" si="2"/>
        <v>0</v>
      </c>
      <c r="S24" s="111"/>
      <c r="AA24" s="87" t="s">
        <v>610</v>
      </c>
      <c r="AB24" s="80" t="s">
        <v>611</v>
      </c>
      <c r="AC24" s="80"/>
      <c r="AD24" s="88" t="s">
        <v>8</v>
      </c>
      <c r="AE24" s="89">
        <v>3</v>
      </c>
      <c r="AF24" s="391" t="s">
        <v>612</v>
      </c>
      <c r="AG24" s="340" t="s">
        <v>613</v>
      </c>
      <c r="AH24" s="341" t="s">
        <v>614</v>
      </c>
      <c r="AI24" s="166" t="s">
        <v>615</v>
      </c>
      <c r="AJ24" s="171" t="s">
        <v>616</v>
      </c>
    </row>
    <row r="25" spans="2:36">
      <c r="B25" s="87" t="s">
        <v>617</v>
      </c>
      <c r="C25" s="80" t="s">
        <v>91</v>
      </c>
      <c r="D25" s="80"/>
      <c r="E25" s="88" t="s">
        <v>8</v>
      </c>
      <c r="F25" s="89">
        <v>3</v>
      </c>
      <c r="G25" s="391">
        <v>1</v>
      </c>
      <c r="H25" s="340">
        <v>0</v>
      </c>
      <c r="I25" s="341">
        <v>0</v>
      </c>
      <c r="J25" s="166">
        <f t="shared" si="5"/>
        <v>0</v>
      </c>
      <c r="K25" s="171">
        <f t="shared" si="6"/>
        <v>1</v>
      </c>
      <c r="M25" s="25">
        <f t="shared" si="7"/>
        <v>0</v>
      </c>
      <c r="O25" s="111"/>
      <c r="P25" s="86">
        <f t="shared" si="2"/>
        <v>0</v>
      </c>
      <c r="Q25" s="86">
        <f t="shared" si="2"/>
        <v>0</v>
      </c>
      <c r="R25" s="86">
        <f t="shared" si="2"/>
        <v>0</v>
      </c>
      <c r="S25" s="111"/>
      <c r="AA25" s="87" t="s">
        <v>617</v>
      </c>
      <c r="AB25" s="80" t="s">
        <v>91</v>
      </c>
      <c r="AC25" s="80"/>
      <c r="AD25" s="88" t="s">
        <v>8</v>
      </c>
      <c r="AE25" s="89">
        <v>3</v>
      </c>
      <c r="AF25" s="391" t="s">
        <v>618</v>
      </c>
      <c r="AG25" s="340" t="s">
        <v>619</v>
      </c>
      <c r="AH25" s="341" t="s">
        <v>620</v>
      </c>
      <c r="AI25" s="166" t="s">
        <v>621</v>
      </c>
      <c r="AJ25" s="171" t="s">
        <v>622</v>
      </c>
    </row>
    <row r="26" spans="2:36" ht="15" thickBot="1">
      <c r="B26" s="94" t="s">
        <v>623</v>
      </c>
      <c r="C26" s="95" t="s">
        <v>624</v>
      </c>
      <c r="D26" s="95"/>
      <c r="E26" s="96" t="s">
        <v>8</v>
      </c>
      <c r="F26" s="93">
        <v>3</v>
      </c>
      <c r="G26" s="169">
        <f xml:space="preserve"> SUM( G22:G25 )</f>
        <v>-1143.2730000000001</v>
      </c>
      <c r="H26" s="167">
        <f xml:space="preserve"> SUM( H22:H25 )</f>
        <v>100.271</v>
      </c>
      <c r="I26" s="168">
        <f xml:space="preserve"> SUM( I22:I25 )</f>
        <v>0</v>
      </c>
      <c r="J26" s="169">
        <f t="shared" si="5"/>
        <v>100.271</v>
      </c>
      <c r="K26" s="172">
        <f t="shared" si="6"/>
        <v>-1043.0020000000002</v>
      </c>
      <c r="M26" s="116"/>
      <c r="O26" s="111"/>
      <c r="S26" s="111"/>
      <c r="AA26" s="94" t="s">
        <v>623</v>
      </c>
      <c r="AB26" s="95" t="s">
        <v>624</v>
      </c>
      <c r="AC26" s="95"/>
      <c r="AD26" s="96" t="s">
        <v>8</v>
      </c>
      <c r="AE26" s="93">
        <v>3</v>
      </c>
      <c r="AF26" s="169" t="s">
        <v>625</v>
      </c>
      <c r="AG26" s="167" t="s">
        <v>626</v>
      </c>
      <c r="AH26" s="168" t="s">
        <v>627</v>
      </c>
      <c r="AI26" s="169" t="s">
        <v>628</v>
      </c>
      <c r="AJ26" s="172" t="s">
        <v>629</v>
      </c>
    </row>
    <row r="27" spans="2:36" ht="15" thickBot="1">
      <c r="M27" s="116"/>
    </row>
    <row r="28" spans="2:36" ht="15" thickBot="1">
      <c r="B28" s="119" t="s">
        <v>630</v>
      </c>
      <c r="C28" s="120" t="s">
        <v>631</v>
      </c>
      <c r="D28" s="120"/>
      <c r="E28" s="121" t="s">
        <v>8</v>
      </c>
      <c r="F28" s="122">
        <v>3</v>
      </c>
      <c r="G28" s="635">
        <f xml:space="preserve"> G19 + G26</f>
        <v>-304.46900000000051</v>
      </c>
      <c r="H28" s="636">
        <f xml:space="preserve"> H19 + H26</f>
        <v>9.9999999999056399E-4</v>
      </c>
      <c r="I28" s="637">
        <f xml:space="preserve"> I19 + I26</f>
        <v>-1.1740000000000101</v>
      </c>
      <c r="J28" s="212">
        <f t="shared" si="5"/>
        <v>1.1750000000000007</v>
      </c>
      <c r="K28" s="416">
        <f t="shared" si="6"/>
        <v>-303.29400000000049</v>
      </c>
      <c r="M28" s="116"/>
      <c r="O28" s="111"/>
      <c r="S28" s="111"/>
      <c r="AA28" s="119" t="s">
        <v>630</v>
      </c>
      <c r="AB28" s="120" t="s">
        <v>631</v>
      </c>
      <c r="AC28" s="120"/>
      <c r="AD28" s="121" t="s">
        <v>8</v>
      </c>
      <c r="AE28" s="122">
        <v>3</v>
      </c>
      <c r="AF28" s="635" t="s">
        <v>632</v>
      </c>
      <c r="AG28" s="636" t="s">
        <v>633</v>
      </c>
      <c r="AH28" s="637" t="s">
        <v>634</v>
      </c>
      <c r="AI28" s="212" t="s">
        <v>635</v>
      </c>
      <c r="AJ28" s="416" t="s">
        <v>636</v>
      </c>
    </row>
    <row r="29" spans="2:36" ht="15" thickBot="1">
      <c r="M29" s="116"/>
      <c r="O29" s="111"/>
      <c r="S29" s="111"/>
    </row>
    <row r="30" spans="2:36" ht="15" thickBot="1">
      <c r="B30" s="2221" t="s">
        <v>419</v>
      </c>
      <c r="C30" s="77" t="s">
        <v>637</v>
      </c>
      <c r="D30" s="1292"/>
      <c r="M30" s="116"/>
      <c r="O30" s="111"/>
      <c r="S30" s="111"/>
      <c r="AA30" s="2221" t="s">
        <v>419</v>
      </c>
      <c r="AB30" s="77" t="s">
        <v>637</v>
      </c>
      <c r="AC30" s="1292"/>
    </row>
    <row r="31" spans="2:36">
      <c r="B31" s="79" t="s">
        <v>638</v>
      </c>
      <c r="C31" s="109" t="s">
        <v>639</v>
      </c>
      <c r="D31" s="109"/>
      <c r="E31" s="81" t="s">
        <v>8</v>
      </c>
      <c r="F31" s="185">
        <v>3</v>
      </c>
      <c r="G31" s="356">
        <v>-55</v>
      </c>
      <c r="H31" s="342">
        <v>0</v>
      </c>
      <c r="I31" s="353">
        <v>0</v>
      </c>
      <c r="J31" s="165">
        <f xml:space="preserve"> H31 - I31</f>
        <v>0</v>
      </c>
      <c r="K31" s="173">
        <f xml:space="preserve"> G31 + J31</f>
        <v>-55</v>
      </c>
      <c r="M31" s="25">
        <f t="shared" ref="M31:M33" si="8" xml:space="preserve"> IF( SUM( O31:S31 ) = 0, 0, $P$6 )</f>
        <v>0</v>
      </c>
      <c r="O31" s="111"/>
      <c r="P31" s="86">
        <f t="shared" si="2"/>
        <v>0</v>
      </c>
      <c r="Q31" s="86">
        <f t="shared" si="2"/>
        <v>0</v>
      </c>
      <c r="R31" s="86">
        <f t="shared" si="2"/>
        <v>0</v>
      </c>
      <c r="S31" s="111"/>
      <c r="AA31" s="79" t="s">
        <v>638</v>
      </c>
      <c r="AB31" s="109" t="s">
        <v>639</v>
      </c>
      <c r="AC31" s="109"/>
      <c r="AD31" s="81" t="s">
        <v>8</v>
      </c>
      <c r="AE31" s="185">
        <v>3</v>
      </c>
      <c r="AF31" s="356" t="s">
        <v>640</v>
      </c>
      <c r="AG31" s="342" t="s">
        <v>641</v>
      </c>
      <c r="AH31" s="353" t="s">
        <v>642</v>
      </c>
      <c r="AI31" s="165" t="s">
        <v>643</v>
      </c>
      <c r="AJ31" s="173" t="s">
        <v>644</v>
      </c>
    </row>
    <row r="32" spans="2:36">
      <c r="B32" s="148" t="s">
        <v>645</v>
      </c>
      <c r="C32" s="149" t="s">
        <v>646</v>
      </c>
      <c r="D32" s="149"/>
      <c r="E32" s="145" t="s">
        <v>8</v>
      </c>
      <c r="F32" s="326">
        <v>3</v>
      </c>
      <c r="G32" s="396">
        <v>410.01600000000002</v>
      </c>
      <c r="H32" s="397">
        <v>0</v>
      </c>
      <c r="I32" s="398">
        <v>0</v>
      </c>
      <c r="J32" s="327">
        <f xml:space="preserve"> H32 - I32</f>
        <v>0</v>
      </c>
      <c r="K32" s="328">
        <f xml:space="preserve"> G32 + J32</f>
        <v>410.01600000000002</v>
      </c>
      <c r="M32" s="25">
        <f t="shared" si="8"/>
        <v>0</v>
      </c>
      <c r="O32" s="111"/>
      <c r="P32" s="86">
        <f t="shared" si="2"/>
        <v>0</v>
      </c>
      <c r="Q32" s="86">
        <f t="shared" si="2"/>
        <v>0</v>
      </c>
      <c r="R32" s="86">
        <f t="shared" si="2"/>
        <v>0</v>
      </c>
      <c r="S32" s="111"/>
      <c r="AA32" s="148" t="s">
        <v>645</v>
      </c>
      <c r="AB32" s="149" t="s">
        <v>646</v>
      </c>
      <c r="AC32" s="149"/>
      <c r="AD32" s="145" t="s">
        <v>8</v>
      </c>
      <c r="AE32" s="326">
        <v>3</v>
      </c>
      <c r="AF32" s="396" t="s">
        <v>647</v>
      </c>
      <c r="AG32" s="397" t="s">
        <v>648</v>
      </c>
      <c r="AH32" s="398" t="s">
        <v>649</v>
      </c>
      <c r="AI32" s="327" t="s">
        <v>650</v>
      </c>
      <c r="AJ32" s="328" t="s">
        <v>651</v>
      </c>
    </row>
    <row r="33" spans="2:36">
      <c r="B33" s="148" t="s">
        <v>652</v>
      </c>
      <c r="C33" s="149" t="s">
        <v>653</v>
      </c>
      <c r="D33" s="149"/>
      <c r="E33" s="145" t="s">
        <v>8</v>
      </c>
      <c r="F33" s="326">
        <v>3</v>
      </c>
      <c r="G33" s="396">
        <v>0</v>
      </c>
      <c r="H33" s="397">
        <v>0</v>
      </c>
      <c r="I33" s="398">
        <v>0</v>
      </c>
      <c r="J33" s="327">
        <f xml:space="preserve"> H33 - I33</f>
        <v>0</v>
      </c>
      <c r="K33" s="328">
        <f xml:space="preserve"> G33 + J33</f>
        <v>0</v>
      </c>
      <c r="M33" s="25">
        <f t="shared" si="8"/>
        <v>0</v>
      </c>
      <c r="O33" s="111"/>
      <c r="P33" s="86">
        <f t="shared" si="2"/>
        <v>0</v>
      </c>
      <c r="Q33" s="86">
        <f t="shared" si="2"/>
        <v>0</v>
      </c>
      <c r="R33" s="86">
        <f t="shared" si="2"/>
        <v>0</v>
      </c>
      <c r="S33" s="111"/>
      <c r="AA33" s="148" t="s">
        <v>652</v>
      </c>
      <c r="AB33" s="149" t="s">
        <v>653</v>
      </c>
      <c r="AC33" s="149"/>
      <c r="AD33" s="145" t="s">
        <v>8</v>
      </c>
      <c r="AE33" s="326">
        <v>3</v>
      </c>
      <c r="AF33" s="396" t="s">
        <v>654</v>
      </c>
      <c r="AG33" s="397" t="s">
        <v>655</v>
      </c>
      <c r="AH33" s="398" t="s">
        <v>656</v>
      </c>
      <c r="AI33" s="327" t="s">
        <v>657</v>
      </c>
      <c r="AJ33" s="328" t="s">
        <v>658</v>
      </c>
    </row>
    <row r="34" spans="2:36" ht="15" thickBot="1">
      <c r="B34" s="94" t="s">
        <v>659</v>
      </c>
      <c r="C34" s="95" t="s">
        <v>660</v>
      </c>
      <c r="D34" s="95"/>
      <c r="E34" s="96" t="s">
        <v>8</v>
      </c>
      <c r="F34" s="93">
        <v>3</v>
      </c>
      <c r="G34" s="169">
        <f xml:space="preserve"> SUM( G31:G33 )</f>
        <v>355.01600000000002</v>
      </c>
      <c r="H34" s="167">
        <f xml:space="preserve"> SUM( H31:H33 )</f>
        <v>0</v>
      </c>
      <c r="I34" s="168">
        <f xml:space="preserve"> SUM( I31:I33 )</f>
        <v>0</v>
      </c>
      <c r="J34" s="169">
        <f xml:space="preserve"> H34 - I34</f>
        <v>0</v>
      </c>
      <c r="K34" s="172">
        <f xml:space="preserve"> G34 + J34</f>
        <v>355.01600000000002</v>
      </c>
      <c r="M34" s="116"/>
      <c r="O34" s="111"/>
      <c r="S34" s="111"/>
      <c r="AA34" s="94" t="s">
        <v>659</v>
      </c>
      <c r="AB34" s="95" t="s">
        <v>660</v>
      </c>
      <c r="AC34" s="95"/>
      <c r="AD34" s="96" t="s">
        <v>8</v>
      </c>
      <c r="AE34" s="93">
        <v>3</v>
      </c>
      <c r="AF34" s="169" t="s">
        <v>661</v>
      </c>
      <c r="AG34" s="167" t="s">
        <v>662</v>
      </c>
      <c r="AH34" s="168" t="s">
        <v>663</v>
      </c>
      <c r="AI34" s="169" t="s">
        <v>664</v>
      </c>
      <c r="AJ34" s="172" t="s">
        <v>665</v>
      </c>
    </row>
    <row r="35" spans="2:36" ht="15" thickBot="1">
      <c r="M35" s="116"/>
    </row>
    <row r="36" spans="2:36" ht="15" thickBot="1">
      <c r="B36" s="119" t="s">
        <v>666</v>
      </c>
      <c r="C36" s="120" t="s">
        <v>667</v>
      </c>
      <c r="D36" s="120"/>
      <c r="E36" s="121" t="s">
        <v>8</v>
      </c>
      <c r="F36" s="122">
        <v>3</v>
      </c>
      <c r="G36" s="635">
        <f xml:space="preserve"> G28 + G34</f>
        <v>50.546999999999514</v>
      </c>
      <c r="H36" s="636">
        <f xml:space="preserve"> H28 + H34</f>
        <v>9.9999999999056399E-4</v>
      </c>
      <c r="I36" s="637">
        <f xml:space="preserve"> I28 + I34</f>
        <v>-1.1740000000000101</v>
      </c>
      <c r="J36" s="212">
        <f xml:space="preserve"> H36 - I36</f>
        <v>1.1750000000000007</v>
      </c>
      <c r="K36" s="416">
        <f xml:space="preserve"> G36 + J36</f>
        <v>51.721999999999511</v>
      </c>
      <c r="M36" s="116"/>
      <c r="O36" s="111"/>
      <c r="S36" s="111"/>
      <c r="AA36" s="119" t="s">
        <v>666</v>
      </c>
      <c r="AB36" s="120" t="s">
        <v>667</v>
      </c>
      <c r="AC36" s="120"/>
      <c r="AD36" s="121" t="s">
        <v>8</v>
      </c>
      <c r="AE36" s="122">
        <v>3</v>
      </c>
      <c r="AF36" s="635" t="s">
        <v>668</v>
      </c>
      <c r="AG36" s="636" t="s">
        <v>669</v>
      </c>
      <c r="AH36" s="637" t="s">
        <v>670</v>
      </c>
      <c r="AI36" s="212" t="s">
        <v>671</v>
      </c>
      <c r="AJ36" s="416" t="s">
        <v>672</v>
      </c>
    </row>
    <row r="37" spans="2:36" s="103" customFormat="1">
      <c r="C37" s="138"/>
      <c r="D37" s="138"/>
      <c r="H37" s="142"/>
      <c r="J37" s="110"/>
      <c r="K37" s="110"/>
      <c r="L37" s="110"/>
      <c r="M37" s="116"/>
      <c r="N37" s="110"/>
      <c r="O37" s="114"/>
      <c r="P37" s="112"/>
      <c r="Q37" s="110"/>
      <c r="R37" s="240"/>
      <c r="S37" s="114"/>
      <c r="AB37" s="138"/>
      <c r="AC37" s="138"/>
      <c r="AG37" s="142"/>
      <c r="AI37" s="110"/>
      <c r="AJ37" s="110"/>
    </row>
    <row r="38" spans="2:36" s="142" customFormat="1" ht="13.5">
      <c r="B38" s="2256" t="s">
        <v>275</v>
      </c>
      <c r="C38" s="2256"/>
      <c r="D38" s="2195"/>
      <c r="J38" s="116"/>
      <c r="K38" s="116"/>
      <c r="L38" s="116"/>
      <c r="M38" s="116"/>
      <c r="N38" s="116"/>
      <c r="O38" s="114"/>
      <c r="P38" s="116"/>
      <c r="Q38" s="116"/>
      <c r="R38" s="177"/>
      <c r="S38" s="114"/>
    </row>
    <row r="39" spans="2:36" s="142" customFormat="1" ht="12">
      <c r="B39" s="127"/>
      <c r="C39" s="128"/>
      <c r="D39" s="128"/>
      <c r="J39" s="116"/>
      <c r="K39" s="116"/>
      <c r="L39" s="116"/>
      <c r="M39" s="116"/>
      <c r="N39" s="116"/>
      <c r="O39" s="114"/>
      <c r="P39" s="116"/>
      <c r="Q39" s="116"/>
      <c r="R39" s="177"/>
      <c r="S39" s="114"/>
    </row>
    <row r="40" spans="2:36" s="142" customFormat="1" ht="12">
      <c r="B40" s="26"/>
      <c r="C40" s="129" t="s">
        <v>249</v>
      </c>
      <c r="D40" s="129"/>
      <c r="J40" s="116"/>
      <c r="K40" s="116"/>
      <c r="L40" s="116"/>
      <c r="M40" s="116"/>
      <c r="N40" s="116"/>
      <c r="O40" s="114"/>
      <c r="P40" s="116"/>
      <c r="Q40" s="116"/>
      <c r="R40" s="177"/>
      <c r="S40" s="114"/>
    </row>
    <row r="41" spans="2:36" s="142" customFormat="1" ht="12">
      <c r="B41" s="127"/>
      <c r="C41" s="128"/>
      <c r="D41" s="128"/>
      <c r="J41" s="116"/>
      <c r="K41" s="116"/>
      <c r="L41" s="116"/>
      <c r="M41" s="116"/>
      <c r="N41" s="116"/>
      <c r="O41" s="114"/>
      <c r="P41" s="116"/>
      <c r="Q41" s="116"/>
      <c r="R41" s="177"/>
      <c r="S41" s="114"/>
    </row>
    <row r="42" spans="2:36" s="142" customFormat="1" ht="12">
      <c r="B42" s="130"/>
      <c r="C42" s="129" t="s">
        <v>250</v>
      </c>
      <c r="D42" s="129"/>
      <c r="J42" s="116"/>
      <c r="K42" s="116"/>
      <c r="L42" s="116"/>
      <c r="M42" s="116"/>
      <c r="N42" s="116"/>
      <c r="O42" s="114"/>
      <c r="P42" s="116"/>
      <c r="Q42" s="116"/>
      <c r="R42" s="177"/>
      <c r="S42" s="114"/>
    </row>
    <row r="43" spans="2:36" s="142" customFormat="1" ht="12">
      <c r="B43" s="131"/>
      <c r="C43" s="129"/>
      <c r="D43" s="129"/>
      <c r="J43" s="116"/>
      <c r="K43" s="116"/>
      <c r="L43" s="116"/>
      <c r="M43" s="116"/>
      <c r="N43" s="116"/>
      <c r="O43" s="114"/>
      <c r="P43" s="116"/>
      <c r="Q43" s="116"/>
      <c r="R43" s="177"/>
      <c r="S43" s="114"/>
    </row>
    <row r="44" spans="2:36" s="155" customFormat="1" ht="15" thickBot="1">
      <c r="C44" s="156"/>
      <c r="D44" s="156"/>
      <c r="J44" s="118"/>
      <c r="K44" s="118"/>
      <c r="L44" s="118"/>
      <c r="M44" s="116"/>
      <c r="N44" s="116"/>
      <c r="O44" s="66"/>
      <c r="P44" s="116"/>
      <c r="Q44" s="116"/>
      <c r="R44" s="257"/>
      <c r="S44" s="66"/>
    </row>
    <row r="45" spans="2:36" s="155" customFormat="1" ht="21" thickBot="1">
      <c r="B45" s="1166" t="s">
        <v>251</v>
      </c>
      <c r="C45" s="133"/>
      <c r="D45" s="133"/>
      <c r="E45" s="134"/>
      <c r="F45" s="134"/>
      <c r="G45" s="134"/>
      <c r="H45" s="134"/>
      <c r="I45" s="134"/>
      <c r="J45" s="134"/>
      <c r="K45" s="140"/>
      <c r="L45" s="118"/>
      <c r="M45" s="116"/>
      <c r="N45" s="116"/>
      <c r="O45" s="66"/>
      <c r="P45" s="116"/>
      <c r="Q45" s="116"/>
      <c r="R45" s="257"/>
      <c r="S45" s="66"/>
    </row>
    <row r="46" spans="2:36" s="155" customFormat="1">
      <c r="C46" s="156"/>
      <c r="D46" s="156"/>
      <c r="J46" s="118"/>
      <c r="K46" s="118"/>
      <c r="L46" s="118"/>
      <c r="M46" s="116"/>
      <c r="N46" s="116"/>
      <c r="O46" s="66"/>
      <c r="P46" s="116"/>
      <c r="Q46" s="116"/>
      <c r="R46" s="257"/>
      <c r="S46" s="66"/>
    </row>
  </sheetData>
  <sheetProtection algorithmName="SHA-512" hashValue="WgVLJTqLm3DOy53uZyKyOq1qaQwUXvbKDUcbVkToi2icPsgC4h9WyHzF7SV8SJ4qRegkWmqif1Rhs/M5BpM+7Q==" saltValue="RaCBpZZQ+09MFG1tkmAtKA==" spinCount="100000" sheet="1" objects="1" scenarios="1"/>
  <mergeCells count="15">
    <mergeCell ref="M3:M4"/>
    <mergeCell ref="P4:R4"/>
    <mergeCell ref="B38:C38"/>
    <mergeCell ref="B3:C4"/>
    <mergeCell ref="E3:E4"/>
    <mergeCell ref="F3:F4"/>
    <mergeCell ref="G3:G4"/>
    <mergeCell ref="H3:J3"/>
    <mergeCell ref="K3:K4"/>
    <mergeCell ref="AJ3:AJ4"/>
    <mergeCell ref="AA3:AB4"/>
    <mergeCell ref="AD3:AD4"/>
    <mergeCell ref="AE3:AE4"/>
    <mergeCell ref="AF3:AF4"/>
    <mergeCell ref="AG3:AI3"/>
  </mergeCells>
  <conditionalFormatting sqref="M8:M14 M17:M18 M22:M25 M31:M33">
    <cfRule type="cellIs" dxfId="6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AI33"/>
  <sheetViews>
    <sheetView showGridLines="0" zoomScale="80" zoomScaleNormal="80" workbookViewId="0">
      <selection activeCell="J13" sqref="J13"/>
    </sheetView>
  </sheetViews>
  <sheetFormatPr defaultColWidth="0" defaultRowHeight="14.25" zeroHeight="1"/>
  <cols>
    <col min="1" max="1" width="0.625" style="65" customWidth="1"/>
    <col min="2" max="2" width="5.5" style="65" customWidth="1"/>
    <col min="3" max="3" width="38.125" style="65" customWidth="1"/>
    <col min="4" max="4" width="2.625" style="65" hidden="1" customWidth="1"/>
    <col min="5" max="6" width="5.125" style="65" customWidth="1"/>
    <col min="7" max="10" width="12.5" style="65" customWidth="1"/>
    <col min="11" max="11" width="2.625" style="65" customWidth="1"/>
    <col min="12" max="12" width="22" style="65" customWidth="1"/>
    <col min="13" max="13" width="20.125" style="65" customWidth="1"/>
    <col min="14" max="14" width="1.625" style="65" customWidth="1"/>
    <col min="15" max="15" width="1.625" style="66" hidden="1" customWidth="1"/>
    <col min="16" max="19" width="5.625" style="65" hidden="1" customWidth="1"/>
    <col min="20" max="20" width="1.625" style="66" hidden="1" customWidth="1"/>
    <col min="21" max="24" width="5.125" style="65" hidden="1" customWidth="1"/>
    <col min="25" max="25" width="1.625" style="66" hidden="1" customWidth="1"/>
    <col min="26" max="26" width="8.125" style="65" hidden="1" customWidth="1"/>
    <col min="27" max="27" width="5.5" style="65" hidden="1" customWidth="1"/>
    <col min="28" max="28" width="38.125" style="65" hidden="1" customWidth="1"/>
    <col min="29" max="29" width="2.625" style="65" hidden="1" customWidth="1"/>
    <col min="30" max="31" width="5.125" style="65" hidden="1" customWidth="1"/>
    <col min="32" max="35" width="12.5" style="65" hidden="1" customWidth="1"/>
    <col min="36" max="16384" width="8.125" style="65" hidden="1"/>
  </cols>
  <sheetData>
    <row r="1" spans="2:35" ht="20.25">
      <c r="B1" s="61" t="s">
        <v>673</v>
      </c>
      <c r="C1" s="61"/>
      <c r="D1" s="61"/>
      <c r="E1" s="61"/>
      <c r="F1" s="61"/>
      <c r="G1" s="61"/>
      <c r="H1" s="61"/>
      <c r="I1" s="61"/>
      <c r="J1" s="63" t="str">
        <f>Validation!B3</f>
        <v>Thames Water</v>
      </c>
      <c r="K1" s="61"/>
      <c r="L1" s="61"/>
      <c r="M1" s="64" t="s">
        <v>94</v>
      </c>
      <c r="AA1" s="61" t="s">
        <v>95</v>
      </c>
      <c r="AB1" s="61"/>
      <c r="AC1" s="61"/>
      <c r="AD1" s="61"/>
      <c r="AE1" s="61"/>
      <c r="AF1" s="61"/>
      <c r="AG1" s="61"/>
      <c r="AH1" s="61"/>
      <c r="AI1" s="63"/>
    </row>
    <row r="2" spans="2:35" ht="15" thickBot="1">
      <c r="B2" s="68" t="s">
        <v>80</v>
      </c>
      <c r="AA2" s="68" t="s">
        <v>80</v>
      </c>
    </row>
    <row r="3" spans="2:35" ht="15" customHeight="1">
      <c r="B3" s="2242" t="s">
        <v>96</v>
      </c>
      <c r="C3" s="2243"/>
      <c r="D3" s="2192" t="s">
        <v>97</v>
      </c>
      <c r="E3" s="2246" t="s">
        <v>98</v>
      </c>
      <c r="F3" s="2248" t="s">
        <v>99</v>
      </c>
      <c r="G3" s="2257" t="s">
        <v>674</v>
      </c>
      <c r="H3" s="2258"/>
      <c r="I3" s="2258"/>
      <c r="J3" s="2259"/>
      <c r="L3" s="2240" t="s">
        <v>675</v>
      </c>
      <c r="M3" s="2240" t="s">
        <v>103</v>
      </c>
      <c r="P3" s="2255" t="s">
        <v>107</v>
      </c>
      <c r="Q3" s="2255"/>
      <c r="R3" s="2255"/>
      <c r="S3" s="2255"/>
      <c r="U3" s="2255" t="s">
        <v>676</v>
      </c>
      <c r="V3" s="2255"/>
      <c r="W3" s="2255"/>
      <c r="X3" s="2255"/>
      <c r="AA3" s="2242" t="s">
        <v>96</v>
      </c>
      <c r="AB3" s="2243"/>
      <c r="AC3" s="2192" t="s">
        <v>97</v>
      </c>
      <c r="AD3" s="2246" t="s">
        <v>98</v>
      </c>
      <c r="AE3" s="2248" t="s">
        <v>99</v>
      </c>
      <c r="AF3" s="2257" t="s">
        <v>674</v>
      </c>
      <c r="AG3" s="2258"/>
      <c r="AH3" s="2258"/>
      <c r="AI3" s="2259"/>
    </row>
    <row r="4" spans="2:35" ht="15" customHeight="1" thickBot="1">
      <c r="B4" s="2244"/>
      <c r="C4" s="2245"/>
      <c r="D4" s="2193"/>
      <c r="E4" s="2247"/>
      <c r="F4" s="2249"/>
      <c r="G4" s="2201" t="s">
        <v>677</v>
      </c>
      <c r="H4" s="73" t="s">
        <v>678</v>
      </c>
      <c r="I4" s="73" t="s">
        <v>679</v>
      </c>
      <c r="J4" s="2202" t="s">
        <v>680</v>
      </c>
      <c r="L4" s="2241"/>
      <c r="M4" s="2241"/>
      <c r="N4" s="74"/>
      <c r="P4" s="2255"/>
      <c r="Q4" s="2255"/>
      <c r="R4" s="2255"/>
      <c r="S4" s="2255"/>
      <c r="U4" s="2255"/>
      <c r="V4" s="2255"/>
      <c r="W4" s="2255"/>
      <c r="X4" s="2255"/>
      <c r="AA4" s="2244"/>
      <c r="AB4" s="2245"/>
      <c r="AC4" s="2193"/>
      <c r="AD4" s="2247"/>
      <c r="AE4" s="2249"/>
      <c r="AF4" s="2201" t="s">
        <v>677</v>
      </c>
      <c r="AG4" s="73" t="s">
        <v>678</v>
      </c>
      <c r="AH4" s="73" t="s">
        <v>679</v>
      </c>
      <c r="AI4" s="2202" t="s">
        <v>680</v>
      </c>
    </row>
    <row r="5" spans="2:35" ht="15" thickBot="1">
      <c r="P5" s="78" t="s">
        <v>108</v>
      </c>
      <c r="U5" s="78" t="s">
        <v>681</v>
      </c>
    </row>
    <row r="6" spans="2:35" ht="15" thickBot="1">
      <c r="B6" s="79" t="s">
        <v>682</v>
      </c>
      <c r="C6" s="109" t="s">
        <v>683</v>
      </c>
      <c r="D6" s="109"/>
      <c r="E6" s="81" t="s">
        <v>8</v>
      </c>
      <c r="F6" s="82">
        <v>3</v>
      </c>
      <c r="G6" s="380">
        <v>5681.0820000000003</v>
      </c>
      <c r="H6" s="388">
        <v>93.418999999999997</v>
      </c>
      <c r="I6" s="388">
        <v>5694.9260000000004</v>
      </c>
      <c r="J6" s="417">
        <f xml:space="preserve"> SUM( G6:I6 )</f>
        <v>11469.427</v>
      </c>
      <c r="L6" s="1164">
        <f xml:space="preserve"> IF( SUM( T6:Y6 ) = 0, 0, $U$5 )</f>
        <v>0</v>
      </c>
      <c r="M6" s="25">
        <f t="shared" ref="M6" si="0" xml:space="preserve"> IF( SUM( O6:T6 ) = 0, 0, $P$5 )</f>
        <v>0</v>
      </c>
      <c r="P6" s="86">
        <f xml:space="preserve"> IF( ISNUMBER( G6 ), 0, 1 )</f>
        <v>0</v>
      </c>
      <c r="Q6" s="86">
        <f xml:space="preserve"> IF( ISNUMBER( H6 ), 0, 1 )</f>
        <v>0</v>
      </c>
      <c r="R6" s="86">
        <f xml:space="preserve"> IF( ISNUMBER( I6 ), 0, 1 )</f>
        <v>0</v>
      </c>
      <c r="U6" s="86">
        <f>IF(ISNUMBER(G6), IF(G6&gt;=0, 0, 1), 1)</f>
        <v>0</v>
      </c>
      <c r="V6" s="86">
        <f t="shared" ref="V6:W6" si="1">IF(ISNUMBER(H6), IF(H6&gt;=0, 0, 1), 1)</f>
        <v>0</v>
      </c>
      <c r="W6" s="86">
        <f t="shared" si="1"/>
        <v>0</v>
      </c>
      <c r="AA6" s="79" t="s">
        <v>682</v>
      </c>
      <c r="AB6" s="109" t="s">
        <v>683</v>
      </c>
      <c r="AC6" s="109"/>
      <c r="AD6" s="81" t="s">
        <v>8</v>
      </c>
      <c r="AE6" s="82">
        <v>3</v>
      </c>
      <c r="AF6" s="380" t="s">
        <v>684</v>
      </c>
      <c r="AG6" s="388" t="s">
        <v>685</v>
      </c>
      <c r="AH6" s="388" t="s">
        <v>686</v>
      </c>
      <c r="AI6" s="417" t="s">
        <v>687</v>
      </c>
    </row>
    <row r="7" spans="2:35">
      <c r="B7" s="87" t="s">
        <v>688</v>
      </c>
      <c r="C7" s="80" t="s">
        <v>467</v>
      </c>
      <c r="D7" s="80"/>
      <c r="E7" s="88" t="s">
        <v>8</v>
      </c>
      <c r="F7" s="89">
        <v>3</v>
      </c>
      <c r="J7" s="206">
        <f>-1 * '1C'!K41</f>
        <v>0</v>
      </c>
      <c r="M7" s="116"/>
      <c r="S7" s="113"/>
      <c r="AA7" s="87" t="s">
        <v>688</v>
      </c>
      <c r="AB7" s="80" t="s">
        <v>467</v>
      </c>
      <c r="AC7" s="80"/>
      <c r="AD7" s="88" t="s">
        <v>8</v>
      </c>
      <c r="AE7" s="89">
        <v>3</v>
      </c>
      <c r="AI7" s="206" t="s">
        <v>689</v>
      </c>
    </row>
    <row r="8" spans="2:35">
      <c r="B8" s="87" t="s">
        <v>690</v>
      </c>
      <c r="C8" s="80" t="s">
        <v>691</v>
      </c>
      <c r="D8" s="80"/>
      <c r="E8" s="88" t="s">
        <v>8</v>
      </c>
      <c r="F8" s="89">
        <v>3</v>
      </c>
      <c r="J8" s="206">
        <f xml:space="preserve"> J6 + J7</f>
        <v>11469.427</v>
      </c>
      <c r="M8" s="116"/>
      <c r="AA8" s="87" t="s">
        <v>690</v>
      </c>
      <c r="AB8" s="80" t="s">
        <v>691</v>
      </c>
      <c r="AC8" s="80"/>
      <c r="AD8" s="88" t="s">
        <v>8</v>
      </c>
      <c r="AE8" s="89">
        <v>3</v>
      </c>
      <c r="AI8" s="206" t="s">
        <v>692</v>
      </c>
    </row>
    <row r="9" spans="2:35">
      <c r="B9" s="87" t="s">
        <v>693</v>
      </c>
      <c r="C9" s="80" t="s">
        <v>694</v>
      </c>
      <c r="D9" s="80"/>
      <c r="E9" s="88" t="s">
        <v>8</v>
      </c>
      <c r="F9" s="89">
        <v>3</v>
      </c>
      <c r="J9" s="339">
        <v>-104.4</v>
      </c>
      <c r="M9" s="25">
        <f t="shared" ref="M9:M10" si="2" xml:space="preserve"> IF( SUM( O9:T9 ) = 0, 0, $P$5 )</f>
        <v>0</v>
      </c>
      <c r="S9" s="86">
        <f xml:space="preserve"> IF( ISNUMBER( J9 ), 0, 1 )</f>
        <v>0</v>
      </c>
      <c r="AA9" s="87" t="s">
        <v>693</v>
      </c>
      <c r="AB9" s="80" t="s">
        <v>694</v>
      </c>
      <c r="AC9" s="80"/>
      <c r="AD9" s="88" t="s">
        <v>8</v>
      </c>
      <c r="AE9" s="89">
        <v>3</v>
      </c>
      <c r="AI9" s="339" t="s">
        <v>695</v>
      </c>
    </row>
    <row r="10" spans="2:35">
      <c r="B10" s="87" t="s">
        <v>696</v>
      </c>
      <c r="C10" s="80" t="s">
        <v>697</v>
      </c>
      <c r="D10" s="80"/>
      <c r="E10" s="88" t="s">
        <v>8</v>
      </c>
      <c r="F10" s="89">
        <v>3</v>
      </c>
      <c r="J10" s="339">
        <v>0</v>
      </c>
      <c r="M10" s="25">
        <f t="shared" si="2"/>
        <v>0</v>
      </c>
      <c r="S10" s="86">
        <f xml:space="preserve"> IF( ISNUMBER( J10 ), 0, 1 )</f>
        <v>0</v>
      </c>
      <c r="AA10" s="87" t="s">
        <v>696</v>
      </c>
      <c r="AB10" s="80" t="s">
        <v>697</v>
      </c>
      <c r="AC10" s="80"/>
      <c r="AD10" s="88" t="s">
        <v>8</v>
      </c>
      <c r="AE10" s="89">
        <v>3</v>
      </c>
      <c r="AI10" s="339" t="s">
        <v>698</v>
      </c>
    </row>
    <row r="11" spans="2:35" ht="15" thickBot="1">
      <c r="B11" s="94" t="s">
        <v>699</v>
      </c>
      <c r="C11" s="95" t="s">
        <v>700</v>
      </c>
      <c r="D11" s="95"/>
      <c r="E11" s="96" t="s">
        <v>8</v>
      </c>
      <c r="F11" s="93">
        <v>3</v>
      </c>
      <c r="J11" s="174">
        <f xml:space="preserve"> SUM( J8:J10 )</f>
        <v>11365.027</v>
      </c>
      <c r="M11" s="116"/>
      <c r="AA11" s="94" t="s">
        <v>699</v>
      </c>
      <c r="AB11" s="95" t="s">
        <v>700</v>
      </c>
      <c r="AC11" s="95"/>
      <c r="AD11" s="96" t="s">
        <v>8</v>
      </c>
      <c r="AE11" s="93">
        <v>3</v>
      </c>
      <c r="AI11" s="174" t="s">
        <v>701</v>
      </c>
    </row>
    <row r="12" spans="2:35" ht="15" thickBot="1">
      <c r="M12" s="116"/>
    </row>
    <row r="13" spans="2:35">
      <c r="B13" s="79" t="s">
        <v>702</v>
      </c>
      <c r="C13" s="109" t="s">
        <v>703</v>
      </c>
      <c r="D13" s="109"/>
      <c r="E13" s="81" t="s">
        <v>10</v>
      </c>
      <c r="F13" s="82">
        <v>2</v>
      </c>
      <c r="J13" s="615">
        <f>IF(Validation!$H$3=1, IF( '4C'!G10 = 0, 0, J11 / '4C'!G10 ), IF( '4C'!G10 + '4C'!H10 + '4C'!I10 = 0, 0, J11 / ('4C'!G10 +'4C'!H10 + '4C'!I10) ))</f>
        <v>0.82927310317271175</v>
      </c>
      <c r="M13" s="116"/>
      <c r="AA13" s="79" t="s">
        <v>702</v>
      </c>
      <c r="AB13" s="109" t="s">
        <v>703</v>
      </c>
      <c r="AC13" s="109"/>
      <c r="AD13" s="81" t="s">
        <v>10</v>
      </c>
      <c r="AE13" s="82">
        <v>2</v>
      </c>
      <c r="AI13" s="615" t="s">
        <v>704</v>
      </c>
    </row>
    <row r="14" spans="2:35" ht="15" thickBot="1">
      <c r="B14" s="94" t="s">
        <v>705</v>
      </c>
      <c r="C14" s="95" t="s">
        <v>706</v>
      </c>
      <c r="D14" s="95"/>
      <c r="E14" s="96" t="s">
        <v>10</v>
      </c>
      <c r="F14" s="93">
        <v>2</v>
      </c>
      <c r="J14" s="561">
        <v>0.81299999999999994</v>
      </c>
      <c r="L14" s="1164">
        <f xml:space="preserve"> IF( SUM( T14:Y14 ) = 0, 0, $U$5 )</f>
        <v>0</v>
      </c>
      <c r="M14" s="25">
        <f t="shared" ref="M14:M17" si="3" xml:space="preserve"> IF( SUM( O14:T14 ) = 0, 0, $P$5 )</f>
        <v>0</v>
      </c>
      <c r="S14" s="86">
        <f xml:space="preserve"> IF( ISNUMBER( J14 ), 0, 1 )</f>
        <v>0</v>
      </c>
      <c r="X14" s="86">
        <f t="shared" ref="X14" si="4">IF(ISNUMBER(J14), IF(J14&gt;=0, 0, 1), 1)</f>
        <v>0</v>
      </c>
      <c r="AA14" s="94" t="s">
        <v>705</v>
      </c>
      <c r="AB14" s="95" t="s">
        <v>706</v>
      </c>
      <c r="AC14" s="95"/>
      <c r="AD14" s="96" t="s">
        <v>10</v>
      </c>
      <c r="AE14" s="93">
        <v>2</v>
      </c>
      <c r="AI14" s="561" t="s">
        <v>707</v>
      </c>
    </row>
    <row r="15" spans="2:35" ht="15" thickBot="1">
      <c r="M15" s="193"/>
    </row>
    <row r="16" spans="2:35">
      <c r="B16" s="79" t="s">
        <v>708</v>
      </c>
      <c r="C16" s="109" t="s">
        <v>709</v>
      </c>
      <c r="D16" s="109"/>
      <c r="E16" s="81" t="s">
        <v>8</v>
      </c>
      <c r="F16" s="82">
        <v>3</v>
      </c>
      <c r="G16" s="342">
        <v>286.19200000000001</v>
      </c>
      <c r="H16" s="353">
        <v>2.5049999999999999</v>
      </c>
      <c r="I16" s="353">
        <v>313.87700000000001</v>
      </c>
      <c r="J16" s="165">
        <f xml:space="preserve"> SUM( G16:I16 )</f>
        <v>602.57400000000007</v>
      </c>
      <c r="L16" s="1164">
        <f xml:space="preserve"> IF( SUM( T16:Y16 ) = 0, 0, $U$5 )</f>
        <v>0</v>
      </c>
      <c r="M16" s="25">
        <f t="shared" si="3"/>
        <v>0</v>
      </c>
      <c r="P16" s="86">
        <f t="shared" ref="P16:R17" si="5" xml:space="preserve"> IF( ISNUMBER( G16 ), 0, 1 )</f>
        <v>0</v>
      </c>
      <c r="Q16" s="86">
        <f t="shared" si="5"/>
        <v>0</v>
      </c>
      <c r="R16" s="86">
        <f t="shared" si="5"/>
        <v>0</v>
      </c>
      <c r="U16" s="86">
        <f t="shared" ref="U16:U17" si="6">IF(ISNUMBER(G16), IF(G16&gt;=0, 0, 1), 1)</f>
        <v>0</v>
      </c>
      <c r="V16" s="86">
        <f t="shared" ref="V16:V17" si="7">IF(ISNUMBER(H16), IF(H16&gt;=0, 0, 1), 1)</f>
        <v>0</v>
      </c>
      <c r="W16" s="86">
        <f t="shared" ref="W16:W17" si="8">IF(ISNUMBER(I16), IF(I16&gt;=0, 0, 1), 1)</f>
        <v>0</v>
      </c>
      <c r="AA16" s="79" t="s">
        <v>708</v>
      </c>
      <c r="AB16" s="109" t="s">
        <v>709</v>
      </c>
      <c r="AC16" s="109"/>
      <c r="AD16" s="81" t="s">
        <v>8</v>
      </c>
      <c r="AE16" s="82">
        <v>3</v>
      </c>
      <c r="AF16" s="342" t="s">
        <v>710</v>
      </c>
      <c r="AG16" s="353" t="s">
        <v>711</v>
      </c>
      <c r="AH16" s="353" t="s">
        <v>712</v>
      </c>
      <c r="AI16" s="165" t="s">
        <v>713</v>
      </c>
    </row>
    <row r="17" spans="2:35" ht="15" thickBot="1">
      <c r="B17" s="94" t="s">
        <v>714</v>
      </c>
      <c r="C17" s="95" t="s">
        <v>715</v>
      </c>
      <c r="D17" s="95"/>
      <c r="E17" s="96" t="s">
        <v>8</v>
      </c>
      <c r="F17" s="93">
        <v>3</v>
      </c>
      <c r="G17" s="389">
        <v>286.19200000000001</v>
      </c>
      <c r="H17" s="390">
        <v>2.5049999999999999</v>
      </c>
      <c r="I17" s="390">
        <v>91.328000000000003</v>
      </c>
      <c r="J17" s="169">
        <f xml:space="preserve"> SUM( G17:I17 )</f>
        <v>380.02499999999998</v>
      </c>
      <c r="L17" s="1164">
        <f xml:space="preserve"> IF( SUM( T17:Y17 ) = 0, 0, $U$5 )</f>
        <v>0</v>
      </c>
      <c r="M17" s="25">
        <f t="shared" si="3"/>
        <v>0</v>
      </c>
      <c r="P17" s="86">
        <f t="shared" si="5"/>
        <v>0</v>
      </c>
      <c r="Q17" s="86">
        <f t="shared" si="5"/>
        <v>0</v>
      </c>
      <c r="R17" s="86">
        <f t="shared" si="5"/>
        <v>0</v>
      </c>
      <c r="U17" s="86">
        <f t="shared" si="6"/>
        <v>0</v>
      </c>
      <c r="V17" s="86">
        <f t="shared" si="7"/>
        <v>0</v>
      </c>
      <c r="W17" s="86">
        <f t="shared" si="8"/>
        <v>0</v>
      </c>
      <c r="AA17" s="94" t="s">
        <v>714</v>
      </c>
      <c r="AB17" s="95" t="s">
        <v>715</v>
      </c>
      <c r="AC17" s="95"/>
      <c r="AD17" s="96" t="s">
        <v>8</v>
      </c>
      <c r="AE17" s="93">
        <v>3</v>
      </c>
      <c r="AF17" s="389" t="s">
        <v>716</v>
      </c>
      <c r="AG17" s="390" t="s">
        <v>717</v>
      </c>
      <c r="AH17" s="390" t="s">
        <v>718</v>
      </c>
      <c r="AI17" s="169" t="s">
        <v>719</v>
      </c>
    </row>
    <row r="18" spans="2:35" ht="15" thickBot="1">
      <c r="M18" s="116"/>
    </row>
    <row r="19" spans="2:35" ht="15" thickBot="1">
      <c r="B19" s="2221" t="s">
        <v>214</v>
      </c>
      <c r="C19" s="77" t="s">
        <v>720</v>
      </c>
      <c r="D19" s="1292"/>
      <c r="M19" s="116"/>
      <c r="AA19" s="2221" t="s">
        <v>214</v>
      </c>
      <c r="AB19" s="77" t="s">
        <v>720</v>
      </c>
      <c r="AC19" s="1292"/>
    </row>
    <row r="20" spans="2:35">
      <c r="B20" s="79" t="s">
        <v>721</v>
      </c>
      <c r="C20" s="109" t="s">
        <v>722</v>
      </c>
      <c r="D20" s="109"/>
      <c r="E20" s="81" t="s">
        <v>10</v>
      </c>
      <c r="F20" s="185">
        <v>2</v>
      </c>
      <c r="G20" s="616">
        <v>4.9801037725555809E-2</v>
      </c>
      <c r="H20" s="617">
        <v>2.6771343289925989E-2</v>
      </c>
      <c r="I20" s="617">
        <v>5.4997593709638519E-2</v>
      </c>
      <c r="J20" s="618">
        <v>5.219371093928532E-2</v>
      </c>
      <c r="L20" s="1164">
        <f xml:space="preserve"> IF( SUM( T20:Y20 ) = 0, 0, $U$5 )</f>
        <v>0</v>
      </c>
      <c r="M20" s="25">
        <f t="shared" ref="M20:M21" si="9" xml:space="preserve"> IF( SUM( O20:T20 ) = 0, 0, $P$5 )</f>
        <v>0</v>
      </c>
      <c r="P20" s="86">
        <f t="shared" ref="P20:S21" si="10" xml:space="preserve"> IF( ISNUMBER( G20 ), 0, 1 )</f>
        <v>0</v>
      </c>
      <c r="Q20" s="86">
        <f t="shared" si="10"/>
        <v>0</v>
      </c>
      <c r="R20" s="86">
        <f t="shared" si="10"/>
        <v>0</v>
      </c>
      <c r="S20" s="86">
        <f t="shared" si="10"/>
        <v>0</v>
      </c>
      <c r="U20" s="86">
        <f t="shared" ref="U20:U21" si="11">IF(ISNUMBER(G20), IF(G20&gt;=0, 0, 1), 1)</f>
        <v>0</v>
      </c>
      <c r="V20" s="86">
        <f t="shared" ref="V20:V21" si="12">IF(ISNUMBER(H20), IF(H20&gt;=0, 0, 1), 1)</f>
        <v>0</v>
      </c>
      <c r="W20" s="86">
        <f t="shared" ref="W20:W21" si="13">IF(ISNUMBER(I20), IF(I20&gt;=0, 0, 1), 1)</f>
        <v>0</v>
      </c>
      <c r="X20" s="86">
        <f t="shared" ref="X20:X21" si="14">IF(ISNUMBER(J20), IF(J20&gt;=0, 0, 1), 1)</f>
        <v>0</v>
      </c>
      <c r="AA20" s="79" t="s">
        <v>721</v>
      </c>
      <c r="AB20" s="109" t="s">
        <v>722</v>
      </c>
      <c r="AC20" s="109"/>
      <c r="AD20" s="81" t="s">
        <v>10</v>
      </c>
      <c r="AE20" s="185">
        <v>2</v>
      </c>
      <c r="AF20" s="616" t="s">
        <v>723</v>
      </c>
      <c r="AG20" s="617" t="s">
        <v>724</v>
      </c>
      <c r="AH20" s="617" t="s">
        <v>725</v>
      </c>
      <c r="AI20" s="618" t="s">
        <v>726</v>
      </c>
    </row>
    <row r="21" spans="2:35" ht="15" thickBot="1">
      <c r="B21" s="152" t="s">
        <v>727</v>
      </c>
      <c r="C21" s="321" t="s">
        <v>728</v>
      </c>
      <c r="D21" s="321"/>
      <c r="E21" s="153" t="s">
        <v>10</v>
      </c>
      <c r="F21" s="322">
        <v>2</v>
      </c>
      <c r="G21" s="619">
        <v>4.9801037725555809E-2</v>
      </c>
      <c r="H21" s="620">
        <v>2.6771343289925989E-2</v>
      </c>
      <c r="I21" s="620">
        <v>1.6E-2</v>
      </c>
      <c r="J21" s="621">
        <v>3.2830196933358369E-2</v>
      </c>
      <c r="L21" s="1164">
        <f xml:space="preserve"> IF( SUM( T21:Y21 ) = 0, 0, $U$5 )</f>
        <v>0</v>
      </c>
      <c r="M21" s="25">
        <f t="shared" si="9"/>
        <v>0</v>
      </c>
      <c r="P21" s="86">
        <f t="shared" si="10"/>
        <v>0</v>
      </c>
      <c r="Q21" s="86">
        <f t="shared" si="10"/>
        <v>0</v>
      </c>
      <c r="R21" s="86">
        <f t="shared" si="10"/>
        <v>0</v>
      </c>
      <c r="S21" s="86">
        <f t="shared" si="10"/>
        <v>0</v>
      </c>
      <c r="U21" s="86">
        <f t="shared" si="11"/>
        <v>0</v>
      </c>
      <c r="V21" s="86">
        <f t="shared" si="12"/>
        <v>0</v>
      </c>
      <c r="W21" s="86">
        <f t="shared" si="13"/>
        <v>0</v>
      </c>
      <c r="X21" s="86">
        <f t="shared" si="14"/>
        <v>0</v>
      </c>
      <c r="AA21" s="152" t="s">
        <v>727</v>
      </c>
      <c r="AB21" s="321" t="s">
        <v>728</v>
      </c>
      <c r="AC21" s="321"/>
      <c r="AD21" s="153" t="s">
        <v>10</v>
      </c>
      <c r="AE21" s="322">
        <v>2</v>
      </c>
      <c r="AF21" s="619" t="s">
        <v>729</v>
      </c>
      <c r="AG21" s="620" t="s">
        <v>730</v>
      </c>
      <c r="AH21" s="620" t="s">
        <v>731</v>
      </c>
      <c r="AI21" s="621" t="s">
        <v>732</v>
      </c>
    </row>
    <row r="22" spans="2:35" s="103" customFormat="1" ht="15" thickBot="1">
      <c r="C22" s="138"/>
      <c r="D22" s="138"/>
      <c r="H22" s="142"/>
      <c r="J22" s="110"/>
      <c r="K22" s="110"/>
      <c r="L22" s="110"/>
      <c r="M22" s="112"/>
      <c r="N22" s="110"/>
      <c r="O22" s="66"/>
      <c r="P22" s="112"/>
      <c r="Q22" s="110"/>
      <c r="R22" s="240"/>
      <c r="T22" s="66"/>
      <c r="Y22" s="66"/>
      <c r="AB22" s="138"/>
      <c r="AC22" s="138"/>
      <c r="AG22" s="142"/>
      <c r="AI22" s="110"/>
    </row>
    <row r="23" spans="2:35" ht="15" thickBot="1">
      <c r="B23" s="119" t="s">
        <v>733</v>
      </c>
      <c r="C23" s="564" t="s">
        <v>734</v>
      </c>
      <c r="D23" s="1312"/>
      <c r="E23" s="566" t="s">
        <v>11</v>
      </c>
      <c r="F23" s="565">
        <v>2</v>
      </c>
      <c r="G23" s="418">
        <v>12.5</v>
      </c>
      <c r="H23" s="419">
        <v>1.9</v>
      </c>
      <c r="I23" s="419">
        <v>22.4</v>
      </c>
      <c r="J23" s="420">
        <v>17.3</v>
      </c>
      <c r="L23" s="1164">
        <f xml:space="preserve"> IF( SUM( T23:Y23 ) = 0, 0, $U$5 )</f>
        <v>0</v>
      </c>
      <c r="M23" s="25">
        <f t="shared" ref="M23" si="15" xml:space="preserve"> IF( SUM( O23:T23 ) = 0, 0, $P$5 )</f>
        <v>0</v>
      </c>
      <c r="P23" s="86">
        <f xml:space="preserve"> IF( ISNUMBER( G23 ), 0, 1 )</f>
        <v>0</v>
      </c>
      <c r="Q23" s="86">
        <f t="shared" ref="Q23" si="16" xml:space="preserve"> IF( ISNUMBER( H23 ), 0, 1 )</f>
        <v>0</v>
      </c>
      <c r="R23" s="86">
        <f t="shared" ref="R23" si="17" xml:space="preserve"> IF( ISNUMBER( I23 ), 0, 1 )</f>
        <v>0</v>
      </c>
      <c r="S23" s="86">
        <f t="shared" ref="S23" si="18" xml:space="preserve"> IF( ISNUMBER( J23 ), 0, 1 )</f>
        <v>0</v>
      </c>
      <c r="U23" s="86">
        <f t="shared" ref="U23" si="19">IF(ISNUMBER(G23), IF(G23&gt;=0, 0, 1), 1)</f>
        <v>0</v>
      </c>
      <c r="V23" s="86">
        <f t="shared" ref="V23" si="20">IF(ISNUMBER(H23), IF(H23&gt;=0, 0, 1), 1)</f>
        <v>0</v>
      </c>
      <c r="W23" s="86">
        <f t="shared" ref="W23" si="21">IF(ISNUMBER(I23), IF(I23&gt;=0, 0, 1), 1)</f>
        <v>0</v>
      </c>
      <c r="X23" s="86">
        <f t="shared" ref="X23" si="22">IF(ISNUMBER(J23), IF(J23&gt;=0, 0, 1), 1)</f>
        <v>0</v>
      </c>
      <c r="AA23" s="119" t="s">
        <v>733</v>
      </c>
      <c r="AB23" s="564" t="s">
        <v>734</v>
      </c>
      <c r="AC23" s="1312"/>
      <c r="AD23" s="566" t="s">
        <v>11</v>
      </c>
      <c r="AE23" s="565">
        <v>2</v>
      </c>
      <c r="AF23" s="418" t="s">
        <v>735</v>
      </c>
      <c r="AG23" s="419" t="s">
        <v>736</v>
      </c>
      <c r="AH23" s="419" t="s">
        <v>737</v>
      </c>
      <c r="AI23" s="420" t="s">
        <v>738</v>
      </c>
    </row>
    <row r="24" spans="2:35" s="103" customFormat="1">
      <c r="C24" s="138"/>
      <c r="D24" s="138"/>
      <c r="H24" s="142"/>
      <c r="J24" s="110"/>
      <c r="K24" s="110"/>
      <c r="L24" s="110"/>
      <c r="M24" s="112"/>
      <c r="N24" s="110"/>
      <c r="O24" s="66"/>
      <c r="P24" s="112"/>
      <c r="Q24" s="110"/>
      <c r="R24" s="240"/>
      <c r="T24" s="66"/>
      <c r="Y24" s="66"/>
      <c r="AB24" s="138"/>
      <c r="AC24" s="138"/>
      <c r="AG24" s="142"/>
      <c r="AI24" s="110"/>
    </row>
    <row r="25" spans="2:35" s="142" customFormat="1" ht="13.5">
      <c r="B25" s="2256" t="s">
        <v>275</v>
      </c>
      <c r="C25" s="2256"/>
      <c r="D25" s="2195"/>
      <c r="J25" s="116"/>
      <c r="K25" s="116"/>
      <c r="L25" s="116"/>
      <c r="M25" s="116"/>
      <c r="N25" s="116"/>
      <c r="O25" s="114"/>
      <c r="P25" s="116"/>
      <c r="Q25" s="116"/>
      <c r="R25" s="177"/>
      <c r="T25" s="114"/>
      <c r="Y25" s="114"/>
    </row>
    <row r="26" spans="2:35" s="142" customFormat="1" ht="12">
      <c r="B26" s="127"/>
      <c r="C26" s="128"/>
      <c r="D26" s="128"/>
      <c r="J26" s="116"/>
      <c r="K26" s="116"/>
      <c r="L26" s="116"/>
      <c r="M26" s="116"/>
      <c r="N26" s="116"/>
      <c r="O26" s="111"/>
      <c r="P26" s="116"/>
      <c r="Q26" s="116"/>
      <c r="R26" s="177"/>
      <c r="T26" s="111"/>
      <c r="Y26" s="111"/>
    </row>
    <row r="27" spans="2:35" s="142" customFormat="1" ht="12">
      <c r="B27" s="26"/>
      <c r="C27" s="129" t="s">
        <v>249</v>
      </c>
      <c r="D27" s="129"/>
      <c r="J27" s="116"/>
      <c r="K27" s="116"/>
      <c r="L27" s="116"/>
      <c r="M27" s="116"/>
      <c r="N27" s="116"/>
      <c r="O27" s="111"/>
      <c r="P27" s="116"/>
      <c r="Q27" s="116"/>
      <c r="R27" s="177"/>
      <c r="T27" s="111"/>
      <c r="Y27" s="111"/>
    </row>
    <row r="28" spans="2:35" s="142" customFormat="1" ht="12">
      <c r="B28" s="127"/>
      <c r="C28" s="128"/>
      <c r="D28" s="128"/>
      <c r="J28" s="116"/>
      <c r="K28" s="116"/>
      <c r="L28" s="116"/>
      <c r="M28" s="116"/>
      <c r="N28" s="116"/>
      <c r="O28" s="111"/>
      <c r="P28" s="116"/>
      <c r="Q28" s="116"/>
      <c r="R28" s="177"/>
      <c r="T28" s="111"/>
      <c r="Y28" s="111"/>
    </row>
    <row r="29" spans="2:35" s="142" customFormat="1" ht="12">
      <c r="B29" s="130"/>
      <c r="C29" s="129" t="s">
        <v>250</v>
      </c>
      <c r="D29" s="129"/>
      <c r="J29" s="116"/>
      <c r="K29" s="116"/>
      <c r="L29" s="116"/>
      <c r="M29" s="116"/>
      <c r="N29" s="116"/>
      <c r="O29" s="111"/>
      <c r="P29" s="116"/>
      <c r="Q29" s="116"/>
      <c r="R29" s="177"/>
      <c r="T29" s="111"/>
      <c r="Y29" s="111"/>
    </row>
    <row r="30" spans="2:35" s="142" customFormat="1" ht="12">
      <c r="B30" s="131"/>
      <c r="C30" s="129"/>
      <c r="D30" s="129"/>
      <c r="J30" s="116"/>
      <c r="K30" s="116"/>
      <c r="L30" s="116"/>
      <c r="M30" s="116"/>
      <c r="N30" s="116"/>
      <c r="O30" s="111"/>
      <c r="P30" s="116"/>
      <c r="Q30" s="116"/>
      <c r="R30" s="177"/>
      <c r="T30" s="111"/>
      <c r="Y30" s="111"/>
    </row>
    <row r="31" spans="2:35" s="155" customFormat="1" ht="13.5" thickBot="1">
      <c r="C31" s="156"/>
      <c r="D31" s="156"/>
      <c r="J31" s="118"/>
      <c r="K31" s="118"/>
      <c r="L31" s="118"/>
      <c r="M31" s="116"/>
      <c r="N31" s="116"/>
      <c r="O31" s="111"/>
      <c r="P31" s="116"/>
      <c r="Q31" s="116"/>
      <c r="R31" s="257"/>
      <c r="T31" s="111"/>
      <c r="Y31" s="111"/>
    </row>
    <row r="32" spans="2:35" s="155" customFormat="1" ht="21" thickBot="1">
      <c r="B32" s="1166" t="s">
        <v>251</v>
      </c>
      <c r="C32" s="133"/>
      <c r="D32" s="133"/>
      <c r="E32" s="134"/>
      <c r="F32" s="134"/>
      <c r="G32" s="134"/>
      <c r="H32" s="134"/>
      <c r="I32" s="134"/>
      <c r="J32" s="140"/>
      <c r="K32" s="118"/>
      <c r="L32" s="118"/>
      <c r="M32" s="116"/>
      <c r="N32" s="116"/>
      <c r="O32" s="111"/>
      <c r="P32" s="116"/>
      <c r="Q32" s="116"/>
      <c r="R32" s="257"/>
      <c r="T32" s="111"/>
      <c r="Y32" s="111"/>
    </row>
    <row r="33" spans="3:25" s="155" customFormat="1" ht="12.75">
      <c r="C33" s="156"/>
      <c r="D33" s="156"/>
      <c r="J33" s="118"/>
      <c r="K33" s="118"/>
      <c r="L33" s="118"/>
      <c r="M33" s="116"/>
      <c r="N33" s="116"/>
      <c r="O33" s="111"/>
      <c r="P33" s="116"/>
      <c r="Q33" s="116"/>
      <c r="R33" s="257"/>
      <c r="T33" s="111"/>
      <c r="Y33" s="111"/>
    </row>
  </sheetData>
  <sheetProtection algorithmName="SHA-512" hashValue="PG8LMjQ+ljWkCvyy4ATgsqvSpW6cAtycjiKGdl/R+JlLbiRkfFExuLAlFtrUVUkcvR3MswyauCjZeJFLqm/7wA==" saltValue="kKmvkRoAWTSj2yyn0FPAJw==" spinCount="100000" sheet="1" objects="1" scenarios="1"/>
  <mergeCells count="13">
    <mergeCell ref="B25:C25"/>
    <mergeCell ref="L3:L4"/>
    <mergeCell ref="M3:M4"/>
    <mergeCell ref="P3:S4"/>
    <mergeCell ref="B3:C4"/>
    <mergeCell ref="E3:E4"/>
    <mergeCell ref="F3:F4"/>
    <mergeCell ref="G3:J3"/>
    <mergeCell ref="AA3:AB4"/>
    <mergeCell ref="AD3:AD4"/>
    <mergeCell ref="AE3:AE4"/>
    <mergeCell ref="AF3:AI3"/>
    <mergeCell ref="U3:X4"/>
  </mergeCells>
  <conditionalFormatting sqref="L6:M6">
    <cfRule type="cellIs" dxfId="606" priority="10" operator="equal">
      <formula>0</formula>
    </cfRule>
  </conditionalFormatting>
  <conditionalFormatting sqref="L14:M14">
    <cfRule type="cellIs" dxfId="605" priority="6" operator="equal">
      <formula>0</formula>
    </cfRule>
  </conditionalFormatting>
  <conditionalFormatting sqref="L16:M17">
    <cfRule type="cellIs" dxfId="604" priority="4" operator="equal">
      <formula>0</formula>
    </cfRule>
  </conditionalFormatting>
  <conditionalFormatting sqref="L20:M21">
    <cfRule type="cellIs" dxfId="603" priority="2" operator="equal">
      <formula>0</formula>
    </cfRule>
  </conditionalFormatting>
  <conditionalFormatting sqref="L23:M23">
    <cfRule type="cellIs" dxfId="602" priority="1" operator="equal">
      <formula>0</formula>
    </cfRule>
  </conditionalFormatting>
  <conditionalFormatting sqref="M9:M10">
    <cfRule type="cellIs" dxfId="601" priority="15"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1" spans="12:12" hidden="1"/>
    <row r="2" spans="12:12" hidden="1"/>
    <row r="3" spans="12:12" hidden="1"/>
    <row r="4" spans="12:12" hidden="1"/>
    <row r="5" spans="12:12" hidden="1"/>
    <row r="6" spans="12:12" hidden="1">
      <c r="L6">
        <f>IF(Validation!$H$3=1,0,IF(ISNUMBER(#REF!),0,1))</f>
        <v>1</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LNazZEYDKyZHKd5xCH3jT6Wbqw8EF4rpjzRdH8Dikz0dIu548euHUAs3zN2d2tcZvpHxgL1CKTAaskJCy69iMA==" saltValue="ZKGPIJuMDGkkKel55OESk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BU30"/>
  <sheetViews>
    <sheetView showGridLines="0" zoomScale="80" zoomScaleNormal="80" workbookViewId="0"/>
  </sheetViews>
  <sheetFormatPr defaultColWidth="0" defaultRowHeight="14.25" zeroHeight="1"/>
  <cols>
    <col min="1" max="1" width="0.625" style="69" customWidth="1"/>
    <col min="2" max="2" width="4.125" style="69" customWidth="1"/>
    <col min="3" max="3" width="34.625" style="69" bestFit="1" customWidth="1"/>
    <col min="4" max="4" width="5.625" style="69" hidden="1" customWidth="1"/>
    <col min="5" max="6" width="5.125" style="69" customWidth="1"/>
    <col min="7" max="16" width="12.625" style="69" customWidth="1"/>
    <col min="17" max="17" width="2.625" style="69" customWidth="1"/>
    <col min="18" max="18" width="42.625" style="69" customWidth="1"/>
    <col min="19" max="19" width="23" style="69" customWidth="1"/>
    <col min="20" max="20" width="1.625" style="65" customWidth="1"/>
    <col min="21" max="21" width="1.625" style="66" hidden="1" customWidth="1"/>
    <col min="22" max="31" width="4.625" style="65" hidden="1" customWidth="1"/>
    <col min="32" max="32" width="1.625" style="66" hidden="1" customWidth="1"/>
    <col min="33" max="37" width="8" style="69" hidden="1" customWidth="1"/>
    <col min="38" max="38" width="1.625" style="66" hidden="1" customWidth="1"/>
    <col min="39" max="39" width="7.125" style="69" hidden="1" customWidth="1"/>
    <col min="40" max="40" width="5.625" style="69" hidden="1" customWidth="1"/>
    <col min="41" max="41" width="42.625" style="69" hidden="1" customWidth="1"/>
    <col min="42" max="42" width="5.625" style="69" hidden="1" customWidth="1"/>
    <col min="43" max="43" width="5.125" style="69" hidden="1" customWidth="1"/>
    <col min="44" max="44" width="54.5" style="69" hidden="1" customWidth="1"/>
    <col min="45" max="45" width="5.625" style="69" hidden="1" customWidth="1"/>
    <col min="46" max="46" width="5.125" style="69" hidden="1" customWidth="1"/>
    <col min="47" max="47" width="35.625" style="69" hidden="1" customWidth="1"/>
    <col min="48" max="48" width="5.625" style="69" hidden="1" customWidth="1"/>
    <col min="49" max="49" width="5.125" style="69" hidden="1" customWidth="1"/>
    <col min="50" max="50" width="39.625" style="69" hidden="1" customWidth="1"/>
    <col min="51" max="52" width="5.125" style="69" hidden="1" customWidth="1"/>
    <col min="53" max="53" width="39.625" style="69" hidden="1" customWidth="1"/>
    <col min="54" max="54" width="1.625" style="66" hidden="1" customWidth="1"/>
    <col min="55" max="58" width="8" style="69" hidden="1" customWidth="1"/>
    <col min="59" max="59" width="4.125" style="69" hidden="1" customWidth="1"/>
    <col min="60" max="60" width="34.625" style="69" hidden="1" customWidth="1"/>
    <col min="61" max="61" width="5.625" style="69" hidden="1" customWidth="1"/>
    <col min="62" max="63" width="5.125" style="69" hidden="1" customWidth="1"/>
    <col min="64" max="73" width="12.625" style="69" hidden="1" customWidth="1"/>
    <col min="74" max="16384" width="8" style="69" hidden="1"/>
  </cols>
  <sheetData>
    <row r="1" spans="2:73" s="65" customFormat="1" ht="20.25">
      <c r="B1" s="61" t="s">
        <v>739</v>
      </c>
      <c r="C1" s="61"/>
      <c r="D1" s="61"/>
      <c r="E1" s="61"/>
      <c r="F1" s="61"/>
      <c r="G1" s="61"/>
      <c r="H1" s="61"/>
      <c r="I1" s="63"/>
      <c r="J1" s="63"/>
      <c r="K1" s="63"/>
      <c r="L1" s="63"/>
      <c r="M1" s="63"/>
      <c r="N1" s="61"/>
      <c r="O1" s="61"/>
      <c r="P1" s="63" t="str">
        <f>Validation!B3</f>
        <v>Thames Water</v>
      </c>
      <c r="Q1" s="64"/>
      <c r="R1" s="64"/>
      <c r="S1" s="64" t="s">
        <v>94</v>
      </c>
      <c r="U1" s="66"/>
      <c r="AF1" s="66"/>
      <c r="AL1" s="66"/>
      <c r="BB1" s="66"/>
      <c r="BG1" s="61" t="s">
        <v>95</v>
      </c>
      <c r="BH1" s="61"/>
      <c r="BI1" s="61"/>
      <c r="BJ1" s="61"/>
      <c r="BK1" s="61"/>
      <c r="BL1" s="61"/>
      <c r="BM1" s="61"/>
      <c r="BN1" s="63"/>
      <c r="BO1" s="63"/>
      <c r="BP1" s="63"/>
      <c r="BQ1" s="63"/>
      <c r="BR1" s="63"/>
      <c r="BS1" s="61"/>
      <c r="BT1" s="61"/>
      <c r="BU1" s="63"/>
    </row>
    <row r="2" spans="2:73" s="65" customFormat="1" ht="15" thickBot="1">
      <c r="B2" s="68" t="s">
        <v>80</v>
      </c>
      <c r="U2" s="66"/>
      <c r="AF2" s="66"/>
      <c r="AL2" s="66"/>
      <c r="BB2" s="66"/>
      <c r="BG2" s="68" t="s">
        <v>80</v>
      </c>
    </row>
    <row r="3" spans="2:73" ht="13.5" customHeight="1">
      <c r="B3" s="2261" t="s">
        <v>96</v>
      </c>
      <c r="C3" s="2262"/>
      <c r="D3" s="2199" t="s">
        <v>97</v>
      </c>
      <c r="E3" s="2265" t="s">
        <v>98</v>
      </c>
      <c r="F3" s="2267" t="s">
        <v>99</v>
      </c>
      <c r="G3" s="2269" t="s">
        <v>740</v>
      </c>
      <c r="H3" s="2270"/>
      <c r="I3" s="2275" t="s">
        <v>741</v>
      </c>
      <c r="J3" s="2276"/>
      <c r="K3" s="2276"/>
      <c r="L3" s="2276"/>
      <c r="M3" s="2276"/>
      <c r="N3" s="2276"/>
      <c r="O3" s="2277"/>
      <c r="P3" s="2271" t="s">
        <v>680</v>
      </c>
      <c r="R3" s="2252" t="s">
        <v>675</v>
      </c>
      <c r="S3" s="2254" t="s">
        <v>103</v>
      </c>
      <c r="V3" s="2255" t="s">
        <v>107</v>
      </c>
      <c r="W3" s="2255"/>
      <c r="X3" s="2255"/>
      <c r="Y3" s="2255"/>
      <c r="Z3" s="2255"/>
      <c r="AA3" s="2255"/>
      <c r="AB3" s="2255"/>
      <c r="AC3" s="2255"/>
      <c r="AD3" s="2255"/>
      <c r="AE3" s="2255"/>
      <c r="AG3" s="2255" t="s">
        <v>86</v>
      </c>
      <c r="AH3" s="2194"/>
      <c r="AI3" s="2194"/>
      <c r="AJ3" s="2194"/>
      <c r="AK3" s="2194"/>
      <c r="AM3" s="2260" t="s">
        <v>742</v>
      </c>
      <c r="AN3" s="2260"/>
      <c r="AO3" s="2260"/>
      <c r="AP3" s="2260"/>
      <c r="AQ3" s="2260"/>
      <c r="AR3" s="2260"/>
      <c r="AS3" s="2260"/>
      <c r="AT3" s="2260"/>
      <c r="AU3" s="2260"/>
      <c r="AV3" s="2260"/>
      <c r="AW3" s="2260"/>
      <c r="AX3" s="2260"/>
      <c r="AY3" s="2196"/>
      <c r="AZ3" s="2196"/>
      <c r="BA3" s="2196"/>
      <c r="BG3" s="2261" t="s">
        <v>96</v>
      </c>
      <c r="BH3" s="2262"/>
      <c r="BI3" s="2199" t="s">
        <v>97</v>
      </c>
      <c r="BJ3" s="2265" t="s">
        <v>98</v>
      </c>
      <c r="BK3" s="2267" t="s">
        <v>99</v>
      </c>
      <c r="BL3" s="2269" t="s">
        <v>740</v>
      </c>
      <c r="BM3" s="2270"/>
      <c r="BN3" s="2275" t="s">
        <v>741</v>
      </c>
      <c r="BO3" s="2276"/>
      <c r="BP3" s="2276"/>
      <c r="BQ3" s="2276"/>
      <c r="BR3" s="2276"/>
      <c r="BS3" s="2276"/>
      <c r="BT3" s="2277"/>
      <c r="BU3" s="2271" t="s">
        <v>680</v>
      </c>
    </row>
    <row r="4" spans="2:73" ht="28.5" customHeight="1" thickBot="1">
      <c r="B4" s="2263"/>
      <c r="C4" s="2264"/>
      <c r="D4" s="2200"/>
      <c r="E4" s="2266"/>
      <c r="F4" s="2268"/>
      <c r="G4" s="221" t="s">
        <v>743</v>
      </c>
      <c r="H4" s="222" t="s">
        <v>744</v>
      </c>
      <c r="I4" s="421" t="s">
        <v>745</v>
      </c>
      <c r="J4" s="422" t="s">
        <v>746</v>
      </c>
      <c r="K4" s="422" t="s">
        <v>747</v>
      </c>
      <c r="L4" s="421" t="s">
        <v>748</v>
      </c>
      <c r="M4" s="422" t="s">
        <v>749</v>
      </c>
      <c r="N4" s="2078" t="s">
        <v>750</v>
      </c>
      <c r="O4" s="222" t="s">
        <v>751</v>
      </c>
      <c r="P4" s="2272"/>
      <c r="R4" s="2273"/>
      <c r="S4" s="2274"/>
      <c r="T4" s="74"/>
      <c r="V4" s="2255"/>
      <c r="W4" s="2255"/>
      <c r="X4" s="2255"/>
      <c r="Y4" s="2255"/>
      <c r="Z4" s="2255"/>
      <c r="AA4" s="2255"/>
      <c r="AB4" s="2255"/>
      <c r="AC4" s="2255"/>
      <c r="AD4" s="2255"/>
      <c r="AE4" s="2255"/>
      <c r="AG4" s="2255"/>
      <c r="AH4" s="2194"/>
      <c r="AI4" s="2194"/>
      <c r="AJ4" s="2194"/>
      <c r="AK4" s="2194"/>
      <c r="AM4" s="2260"/>
      <c r="AN4" s="2260"/>
      <c r="AO4" s="2260"/>
      <c r="AP4" s="2260"/>
      <c r="AQ4" s="2260"/>
      <c r="AR4" s="2260"/>
      <c r="AS4" s="2260"/>
      <c r="AT4" s="2260"/>
      <c r="AU4" s="2260"/>
      <c r="AV4" s="2260"/>
      <c r="AW4" s="2260"/>
      <c r="AX4" s="2260"/>
      <c r="AY4" s="2196"/>
      <c r="AZ4" s="2196"/>
      <c r="BA4" s="2196"/>
      <c r="BG4" s="2263"/>
      <c r="BH4" s="2264"/>
      <c r="BI4" s="2200"/>
      <c r="BJ4" s="2266"/>
      <c r="BK4" s="2268"/>
      <c r="BL4" s="221" t="s">
        <v>743</v>
      </c>
      <c r="BM4" s="222" t="s">
        <v>744</v>
      </c>
      <c r="BN4" s="421" t="s">
        <v>745</v>
      </c>
      <c r="BO4" s="422" t="s">
        <v>746</v>
      </c>
      <c r="BP4" s="422" t="s">
        <v>747</v>
      </c>
      <c r="BQ4" s="421" t="s">
        <v>748</v>
      </c>
      <c r="BR4" s="422" t="s">
        <v>749</v>
      </c>
      <c r="BS4" s="222" t="s">
        <v>750</v>
      </c>
      <c r="BT4" s="222" t="s">
        <v>751</v>
      </c>
      <c r="BU4" s="2272"/>
    </row>
    <row r="5" spans="2:73" ht="15" thickBot="1">
      <c r="V5" s="78" t="s">
        <v>108</v>
      </c>
    </row>
    <row r="6" spans="2:73" ht="56.25">
      <c r="B6" s="245" t="s">
        <v>752</v>
      </c>
      <c r="C6" s="29" t="s">
        <v>753</v>
      </c>
      <c r="D6" s="29"/>
      <c r="E6" s="255" t="s">
        <v>8</v>
      </c>
      <c r="F6" s="235">
        <v>3</v>
      </c>
      <c r="G6" s="386">
        <v>168.292</v>
      </c>
      <c r="H6" s="382">
        <v>-0.82799999999999996</v>
      </c>
      <c r="J6" s="510">
        <v>842.03599999999994</v>
      </c>
      <c r="K6" s="313">
        <f xml:space="preserve"> J6</f>
        <v>842.03599999999994</v>
      </c>
      <c r="L6" s="575">
        <v>935.4</v>
      </c>
      <c r="N6" s="587">
        <f xml:space="preserve"> L6</f>
        <v>935.4</v>
      </c>
      <c r="O6" s="575">
        <v>54.351999999999997</v>
      </c>
      <c r="P6" s="313">
        <f xml:space="preserve"> G6 + H6 + K6 + N6 + O6</f>
        <v>1999.2520000000002</v>
      </c>
      <c r="R6" s="1164" t="str">
        <f xml:space="preserve"> IF( SUM( AF6:BB6 ) = 0, 0, AO6 &amp; AR6 &amp; AU6 &amp; AX6 &amp; BA6)</f>
        <v xml:space="preserve">Retail household column should be equal to line 2I.13 (household column). Retail non-household column should be equal to line 2I.13 (non-household column). Wholesale Water column should be equal to line 2I.4. Wholesale Wastewater column should be equal to line 2I.8. Wholesale TTT column should be equal to TTT line 2I.8. </v>
      </c>
      <c r="S6" s="25">
        <f xml:space="preserve"> IF( SUM( U6:AF6 ) = 0, 0, $V$5 )</f>
        <v>0</v>
      </c>
      <c r="V6" s="86">
        <f xml:space="preserve"> IF( ISNUMBER( G6 ), 0, 1 )</f>
        <v>0</v>
      </c>
      <c r="W6" s="86">
        <f xml:space="preserve"> IF( ISNUMBER( H6 ), 0, 1 )</f>
        <v>0</v>
      </c>
      <c r="X6" s="113"/>
      <c r="Y6" s="86">
        <f xml:space="preserve"> IF( ISNUMBER( J6 ), 0, 1 )</f>
        <v>0</v>
      </c>
      <c r="Z6" s="113"/>
      <c r="AA6" s="86">
        <f xml:space="preserve"> IF( Validation!$H$3 = 1, 0, ( IF( ISNUMBER( L6 ), 0, 1 )))</f>
        <v>0</v>
      </c>
      <c r="AB6" s="113"/>
      <c r="AC6" s="113"/>
      <c r="AD6" s="86">
        <f xml:space="preserve"> IF( Validation!$H$3 = 1, 0, ( IF( ISNUMBER( O6 ), 0, 1 )))</f>
        <v>0</v>
      </c>
      <c r="AG6" s="86">
        <f xml:space="preserve"> IF( (AM6 - AN6) = 0, 0, 1 )</f>
        <v>0</v>
      </c>
      <c r="AH6" s="86">
        <f xml:space="preserve"> IF( (AP6 - AQ6) = 0, 0, 1 )</f>
        <v>0</v>
      </c>
      <c r="AI6" s="86">
        <f xml:space="preserve"> IF( (AS6 - AT6) = 0, 0, 1 )</f>
        <v>1</v>
      </c>
      <c r="AJ6" s="86">
        <f xml:space="preserve"> IF( (AV6 - AW6) = 0, 0, 1 )</f>
        <v>0</v>
      </c>
      <c r="AK6" s="86">
        <f xml:space="preserve"> IF( (AY6 - AZ6) = 0, 0, 1 )</f>
        <v>0</v>
      </c>
      <c r="AM6" s="143">
        <f xml:space="preserve"> ROUND( G6, 3)</f>
        <v>168.292</v>
      </c>
      <c r="AN6" s="143">
        <f xml:space="preserve"> ROUND( '2I'!G29, 3 )</f>
        <v>168.292</v>
      </c>
      <c r="AO6" s="1165" t="s">
        <v>754</v>
      </c>
      <c r="AP6" s="143">
        <f xml:space="preserve"> ROUND( H6, 3)</f>
        <v>-0.82799999999999996</v>
      </c>
      <c r="AQ6" s="143">
        <f xml:space="preserve"> ROUND( '2I'!H29, 3 )</f>
        <v>-0.82799999999999996</v>
      </c>
      <c r="AR6" s="1165" t="s">
        <v>755</v>
      </c>
      <c r="AS6" s="143">
        <f xml:space="preserve"> ROUND( K6, 3)</f>
        <v>842.03599999999994</v>
      </c>
      <c r="AT6" s="143">
        <f xml:space="preserve"> ROUND( '2I'!I9, 3 )</f>
        <v>842.03499999999997</v>
      </c>
      <c r="AU6" s="1165" t="s">
        <v>756</v>
      </c>
      <c r="AV6" s="143">
        <f xml:space="preserve"> ROUND( N6, 3)</f>
        <v>935.4</v>
      </c>
      <c r="AW6" s="143">
        <f xml:space="preserve"> ROUND( '2I'!I15, 3 )</f>
        <v>935.4</v>
      </c>
      <c r="AX6" s="1165" t="s">
        <v>757</v>
      </c>
      <c r="AY6" s="143">
        <f xml:space="preserve"> ROUND( O6, 3)</f>
        <v>54.351999999999997</v>
      </c>
      <c r="AZ6" s="143">
        <f xml:space="preserve"> ROUND( '2I'!I21, 3 )</f>
        <v>54.351999999999997</v>
      </c>
      <c r="BA6" s="1165" t="s">
        <v>758</v>
      </c>
      <c r="BG6" s="245" t="s">
        <v>752</v>
      </c>
      <c r="BH6" s="29" t="s">
        <v>753</v>
      </c>
      <c r="BI6" s="29"/>
      <c r="BJ6" s="255" t="s">
        <v>8</v>
      </c>
      <c r="BK6" s="235">
        <v>3</v>
      </c>
      <c r="BL6" s="386" t="s">
        <v>759</v>
      </c>
      <c r="BM6" s="382" t="s">
        <v>760</v>
      </c>
      <c r="BO6" s="510" t="s">
        <v>761</v>
      </c>
      <c r="BP6" s="313" t="s">
        <v>762</v>
      </c>
      <c r="BQ6" s="575" t="s">
        <v>763</v>
      </c>
      <c r="BS6" s="587" t="s">
        <v>764</v>
      </c>
      <c r="BT6" s="2056" t="s">
        <v>765</v>
      </c>
      <c r="BU6" s="313" t="s">
        <v>766</v>
      </c>
    </row>
    <row r="7" spans="2:73" ht="14.25" customHeight="1" thickBot="1">
      <c r="B7" s="246" t="s">
        <v>767</v>
      </c>
      <c r="C7" s="30" t="s">
        <v>768</v>
      </c>
      <c r="D7" s="30"/>
      <c r="E7" s="256" t="s">
        <v>8</v>
      </c>
      <c r="F7" s="239">
        <v>3</v>
      </c>
      <c r="G7" s="387">
        <v>0</v>
      </c>
      <c r="H7" s="383">
        <v>0</v>
      </c>
      <c r="J7" s="424">
        <v>15.442</v>
      </c>
      <c r="K7" s="314">
        <f xml:space="preserve"> J7</f>
        <v>15.442</v>
      </c>
      <c r="L7" s="576">
        <v>5.444</v>
      </c>
      <c r="N7" s="588">
        <f xml:space="preserve"> L7</f>
        <v>5.444</v>
      </c>
      <c r="O7" s="576">
        <v>0</v>
      </c>
      <c r="P7" s="314">
        <f xml:space="preserve"> G7 + H7 + K7 + N7 + O7</f>
        <v>20.885999999999999</v>
      </c>
      <c r="R7" s="1164" t="str">
        <f xml:space="preserve"> IF( SUM( AF7:AL7 ) = 0, 0, AO7 )</f>
        <v>The total of lines 2A.1 and 2A.2 should equal line 1A.1.</v>
      </c>
      <c r="S7" s="25">
        <f t="shared" ref="S7:S20" si="0" xml:space="preserve"> IF( SUM( U7:AF7 ) = 0, 0, $V$5 )</f>
        <v>0</v>
      </c>
      <c r="V7" s="86">
        <f xml:space="preserve"> IF( ISNUMBER( G7 ), 0, 1 )</f>
        <v>0</v>
      </c>
      <c r="W7" s="86">
        <f xml:space="preserve"> IF( ISNUMBER( H7 ), 0, 1 )</f>
        <v>0</v>
      </c>
      <c r="X7" s="113"/>
      <c r="Y7" s="86">
        <f xml:space="preserve"> IF( ISNUMBER( J7 ), 0, 1 )</f>
        <v>0</v>
      </c>
      <c r="Z7" s="113"/>
      <c r="AA7" s="86">
        <f xml:space="preserve"> IF( Validation!$H$3 = 1, 0, ( IF( ISNUMBER( L7 ), 0, 1 )))</f>
        <v>0</v>
      </c>
      <c r="AB7" s="113"/>
      <c r="AC7" s="113"/>
      <c r="AD7" s="86">
        <f xml:space="preserve"> IF( Validation!$H$3 = 1, 0, ( IF( ISNUMBER( O7 ), 0, 1 )))</f>
        <v>0</v>
      </c>
      <c r="AG7" s="86">
        <f xml:space="preserve"> IF( (AM7 - AN7) = 0, 0, 1 )</f>
        <v>1</v>
      </c>
      <c r="AM7" s="143">
        <f xml:space="preserve"> ROUND( P6 + P7, 3)</f>
        <v>2020.1379999999999</v>
      </c>
      <c r="AN7" s="143">
        <f xml:space="preserve"> ROUND( '1A'!K6, 3 )</f>
        <v>2020.1369999999999</v>
      </c>
      <c r="AO7" s="1165" t="s">
        <v>769</v>
      </c>
      <c r="AP7" s="143"/>
      <c r="AQ7" s="143"/>
      <c r="AR7" s="1165"/>
      <c r="AS7" s="143"/>
      <c r="AT7" s="143"/>
      <c r="AU7" s="1165"/>
      <c r="AV7" s="143"/>
      <c r="AW7" s="143"/>
      <c r="AX7" s="1165"/>
      <c r="AY7" s="1165"/>
      <c r="AZ7" s="1165"/>
      <c r="BA7" s="1165"/>
      <c r="BG7" s="246" t="s">
        <v>767</v>
      </c>
      <c r="BH7" s="30" t="s">
        <v>768</v>
      </c>
      <c r="BI7" s="30"/>
      <c r="BJ7" s="256" t="s">
        <v>8</v>
      </c>
      <c r="BK7" s="239">
        <v>3</v>
      </c>
      <c r="BL7" s="387" t="s">
        <v>770</v>
      </c>
      <c r="BM7" s="383" t="s">
        <v>771</v>
      </c>
      <c r="BO7" s="424" t="s">
        <v>772</v>
      </c>
      <c r="BP7" s="314" t="s">
        <v>773</v>
      </c>
      <c r="BQ7" s="576" t="s">
        <v>774</v>
      </c>
      <c r="BS7" s="588" t="s">
        <v>775</v>
      </c>
      <c r="BT7" s="2057" t="s">
        <v>776</v>
      </c>
      <c r="BU7" s="314" t="s">
        <v>777</v>
      </c>
    </row>
    <row r="8" spans="2:73" ht="14.25" customHeight="1">
      <c r="B8" s="246" t="s">
        <v>778</v>
      </c>
      <c r="C8" s="30" t="s">
        <v>779</v>
      </c>
      <c r="D8" s="30"/>
      <c r="E8" s="256" t="s">
        <v>8</v>
      </c>
      <c r="F8" s="239">
        <v>3</v>
      </c>
      <c r="G8" s="318">
        <f xml:space="preserve"> -1 * ( '2C'!G14 )</f>
        <v>-168.547</v>
      </c>
      <c r="H8" s="276">
        <f xml:space="preserve"> -1 * ( '2C'!H14 )</f>
        <v>-6.1170000000000009</v>
      </c>
      <c r="I8" s="638">
        <f xml:space="preserve"> -1 * ( '2B'!G17 )</f>
        <v>-62.2</v>
      </c>
      <c r="J8" s="276">
        <f xml:space="preserve"> -1 * ( '2B'!H17 )</f>
        <v>-408.40099999999995</v>
      </c>
      <c r="K8" s="314">
        <f t="shared" ref="K8:K11" si="1" xml:space="preserve"> I8 + J8</f>
        <v>-470.60099999999994</v>
      </c>
      <c r="L8" s="585">
        <f xml:space="preserve"> -1 * ( '2B'!I17 )</f>
        <v>-364.07499999999999</v>
      </c>
      <c r="M8" s="586">
        <f xml:space="preserve"> -1 * ( '2B'!J17 )</f>
        <v>-66.155999999999992</v>
      </c>
      <c r="N8" s="589">
        <f t="shared" ref="N8:N15" si="2" xml:space="preserve"> L8 + M8</f>
        <v>-430.23099999999999</v>
      </c>
      <c r="O8" s="589">
        <f xml:space="preserve"> -1 * ( '2B'!K17 )</f>
        <v>0</v>
      </c>
      <c r="P8" s="314">
        <f t="shared" ref="P8:P12" si="3" xml:space="preserve"> G8 + H8 + K8 + N8 + O8</f>
        <v>-1075.4959999999999</v>
      </c>
      <c r="R8" s="1164" t="str">
        <f xml:space="preserve"> IF( SUM( AF8:AL8 ) = 0, 0, AO8 )</f>
        <v>The total of lines 2A.3, 2A.4 and 2A.5 should equal line 1A.2.</v>
      </c>
      <c r="S8" s="25">
        <f xml:space="preserve"> IF( SUM( U8:AF8 ) = 0, 0, $V$5 )</f>
        <v>0</v>
      </c>
      <c r="V8" s="113"/>
      <c r="W8" s="113"/>
      <c r="X8" s="113"/>
      <c r="Y8" s="113"/>
      <c r="Z8" s="113"/>
      <c r="AA8" s="113"/>
      <c r="AB8" s="113"/>
      <c r="AC8" s="113"/>
      <c r="AD8" s="113"/>
      <c r="AG8" s="86">
        <f xml:space="preserve"> IF( (AM8 - AN8) = 0, 0, 1 )</f>
        <v>1</v>
      </c>
      <c r="AM8" s="143">
        <f xml:space="preserve"> ROUND( P8 + P9 + P10, 3)</f>
        <v>-1598.598</v>
      </c>
      <c r="AN8" s="143">
        <f xml:space="preserve"> ROUND( '1A'!K7, 3 )</f>
        <v>-1598.595</v>
      </c>
      <c r="AO8" s="1165" t="s">
        <v>780</v>
      </c>
      <c r="AP8" s="143"/>
      <c r="AQ8" s="143"/>
      <c r="AR8" s="1165"/>
      <c r="AS8" s="143"/>
      <c r="AT8" s="143"/>
      <c r="AU8" s="1165"/>
      <c r="AV8" s="143"/>
      <c r="AW8" s="143"/>
      <c r="AX8" s="1165"/>
      <c r="AY8" s="1165"/>
      <c r="AZ8" s="1165"/>
      <c r="BA8" s="1165"/>
      <c r="BG8" s="246" t="s">
        <v>778</v>
      </c>
      <c r="BH8" s="30" t="s">
        <v>779</v>
      </c>
      <c r="BI8" s="30"/>
      <c r="BJ8" s="256" t="s">
        <v>8</v>
      </c>
      <c r="BK8" s="239">
        <v>3</v>
      </c>
      <c r="BL8" s="318" t="s">
        <v>781</v>
      </c>
      <c r="BM8" s="276" t="s">
        <v>782</v>
      </c>
      <c r="BN8" s="638" t="s">
        <v>783</v>
      </c>
      <c r="BO8" s="276" t="s">
        <v>784</v>
      </c>
      <c r="BP8" s="314" t="s">
        <v>785</v>
      </c>
      <c r="BQ8" s="585" t="s">
        <v>786</v>
      </c>
      <c r="BR8" s="586" t="s">
        <v>787</v>
      </c>
      <c r="BS8" s="589" t="s">
        <v>788</v>
      </c>
      <c r="BT8" s="589" t="s">
        <v>789</v>
      </c>
      <c r="BU8" s="314" t="s">
        <v>790</v>
      </c>
    </row>
    <row r="9" spans="2:73" ht="14.25" customHeight="1">
      <c r="B9" s="246" t="s">
        <v>791</v>
      </c>
      <c r="C9" s="30" t="s">
        <v>792</v>
      </c>
      <c r="D9" s="30"/>
      <c r="E9" s="256" t="s">
        <v>8</v>
      </c>
      <c r="F9" s="239">
        <v>3</v>
      </c>
      <c r="G9" s="641">
        <f>'2D'!L18</f>
        <v>-2.2530000000000001</v>
      </c>
      <c r="H9" s="642">
        <f>'2D'!M18</f>
        <v>0</v>
      </c>
      <c r="I9" s="643">
        <f>'2D'!G18</f>
        <v>-4.2190000000000003</v>
      </c>
      <c r="J9" s="644">
        <f>'2D'!H18</f>
        <v>-264.18400000000003</v>
      </c>
      <c r="K9" s="314">
        <f xml:space="preserve"> I9 + J9</f>
        <v>-268.40300000000002</v>
      </c>
      <c r="L9" s="645">
        <f>'2D'!I18</f>
        <v>-177.964</v>
      </c>
      <c r="M9" s="626">
        <f>'2D'!J18</f>
        <v>-46.332999999999998</v>
      </c>
      <c r="N9" s="589">
        <f t="shared" si="2"/>
        <v>-224.297</v>
      </c>
      <c r="O9" s="589">
        <f>'2D'!K18</f>
        <v>-0.65300000000000002</v>
      </c>
      <c r="P9" s="314">
        <f t="shared" si="3"/>
        <v>-495.60599999999999</v>
      </c>
      <c r="R9" s="1164">
        <f xml:space="preserve"> IF( SUM( AF9:AL9 ) = 0, 0, AO9 )</f>
        <v>0</v>
      </c>
      <c r="S9" s="25">
        <f t="shared" ref="S9:S10" si="4" xml:space="preserve"> IF( SUM( U9:AF9 ) = 0, 0, $V$5 )</f>
        <v>0</v>
      </c>
      <c r="V9" s="113"/>
      <c r="W9" s="113"/>
      <c r="X9" s="113"/>
      <c r="Y9" s="113"/>
      <c r="Z9" s="113"/>
      <c r="AA9" s="113"/>
      <c r="AB9" s="113"/>
      <c r="AC9" s="113"/>
      <c r="AD9" s="113"/>
      <c r="AG9" s="86">
        <f xml:space="preserve"> IF( (AM9 - AN9) = 0, 0, 1 )</f>
        <v>0</v>
      </c>
      <c r="AM9" s="143">
        <f xml:space="preserve"> ROUND( P9, 3)</f>
        <v>-495.60599999999999</v>
      </c>
      <c r="AN9" s="143">
        <f xml:space="preserve"> ROUND( '2D'!N18, 3)</f>
        <v>-495.60599999999999</v>
      </c>
      <c r="AO9" s="1165" t="s">
        <v>793</v>
      </c>
      <c r="AP9" s="143"/>
      <c r="AQ9" s="143"/>
      <c r="AR9" s="1165"/>
      <c r="AS9" s="143"/>
      <c r="AT9" s="143"/>
      <c r="AU9" s="1165"/>
      <c r="AV9" s="143"/>
      <c r="AW9" s="143"/>
      <c r="AX9" s="1165"/>
      <c r="AY9" s="1165"/>
      <c r="AZ9" s="1165"/>
      <c r="BA9" s="1165"/>
      <c r="BG9" s="246" t="s">
        <v>791</v>
      </c>
      <c r="BH9" s="30" t="s">
        <v>792</v>
      </c>
      <c r="BI9" s="30"/>
      <c r="BJ9" s="256" t="s">
        <v>8</v>
      </c>
      <c r="BK9" s="239">
        <v>3</v>
      </c>
      <c r="BL9" s="641" t="str">
        <f>'2D'!BN18</f>
        <v>BM4046H</v>
      </c>
      <c r="BM9" s="642" t="str">
        <f>'2D'!BO18</f>
        <v>BM4046NH</v>
      </c>
      <c r="BN9" s="643" t="str">
        <f>'2D'!BI18</f>
        <v>BM4046WR</v>
      </c>
      <c r="BO9" s="644" t="str">
        <f>'2D'!BJ18</f>
        <v>BM4046WN</v>
      </c>
      <c r="BP9" s="314" t="s">
        <v>794</v>
      </c>
      <c r="BQ9" s="645" t="str">
        <f>'2D'!BK18</f>
        <v>BM4046WNK</v>
      </c>
      <c r="BR9" s="626" t="str">
        <f>'2D'!BL18</f>
        <v>BM4046SG</v>
      </c>
      <c r="BS9" s="589" t="s">
        <v>795</v>
      </c>
      <c r="BT9" s="589" t="s">
        <v>796</v>
      </c>
      <c r="BU9" s="314" t="s">
        <v>797</v>
      </c>
    </row>
    <row r="10" spans="2:73" ht="14.25" customHeight="1">
      <c r="B10" s="246" t="s">
        <v>798</v>
      </c>
      <c r="C10" s="30" t="s">
        <v>799</v>
      </c>
      <c r="D10" s="30"/>
      <c r="E10" s="256" t="s">
        <v>8</v>
      </c>
      <c r="F10" s="239">
        <v>3</v>
      </c>
      <c r="G10" s="387">
        <v>-1.0009999999999999</v>
      </c>
      <c r="H10" s="383">
        <v>0</v>
      </c>
      <c r="I10" s="555">
        <v>-0.19800000000000001</v>
      </c>
      <c r="J10" s="423">
        <v>-13.324999999999999</v>
      </c>
      <c r="K10" s="314">
        <f t="shared" si="1"/>
        <v>-13.523</v>
      </c>
      <c r="L10" s="572">
        <v>-10.241</v>
      </c>
      <c r="M10" s="573">
        <v>-2.7309999999999999</v>
      </c>
      <c r="N10" s="589">
        <f t="shared" si="2"/>
        <v>-12.972</v>
      </c>
      <c r="O10" s="2102">
        <v>0</v>
      </c>
      <c r="P10" s="314">
        <f t="shared" si="3"/>
        <v>-27.495999999999999</v>
      </c>
      <c r="R10" s="116"/>
      <c r="S10" s="25">
        <f t="shared" si="4"/>
        <v>0</v>
      </c>
      <c r="V10" s="86">
        <f t="shared" ref="V10" si="5" xml:space="preserve"> IF( ISNUMBER( G10 ), 0, 1 )</f>
        <v>0</v>
      </c>
      <c r="W10" s="86">
        <f t="shared" ref="W10" si="6" xml:space="preserve"> IF( ISNUMBER( H10 ), 0, 1 )</f>
        <v>0</v>
      </c>
      <c r="X10" s="86">
        <f t="shared" ref="X10:X11" si="7" xml:space="preserve"> IF( ISNUMBER( I10 ), 0, 1 )</f>
        <v>0</v>
      </c>
      <c r="Y10" s="86">
        <f t="shared" ref="Y10:Y11" si="8" xml:space="preserve"> IF( ISNUMBER( J10 ), 0, 1 )</f>
        <v>0</v>
      </c>
      <c r="Z10" s="113"/>
      <c r="AA10" s="86">
        <f xml:space="preserve"> IF( Validation!$H$3 = 1, 0, ( IF( ISNUMBER( L10 ), 0, 1 )))</f>
        <v>0</v>
      </c>
      <c r="AB10" s="86">
        <f xml:space="preserve"> IF( Validation!$H$3 = 1, 0, ( IF( ISNUMBER( M10 ), 0, 1 )))</f>
        <v>0</v>
      </c>
      <c r="AC10" s="113"/>
      <c r="AD10" s="86">
        <f xml:space="preserve"> IF( Validation!$H$3 = 1, 0, ( IF( ISNUMBER( O10 ), 0, 1 )))</f>
        <v>0</v>
      </c>
      <c r="AG10" s="113"/>
      <c r="AM10" s="143"/>
      <c r="AN10" s="143"/>
      <c r="AO10" s="1165"/>
      <c r="AP10" s="143"/>
      <c r="AQ10" s="143"/>
      <c r="AR10" s="1165"/>
      <c r="AS10" s="143"/>
      <c r="AT10" s="143"/>
      <c r="AU10" s="1165"/>
      <c r="AV10" s="143"/>
      <c r="AW10" s="143"/>
      <c r="AX10" s="1165"/>
      <c r="AY10" s="1165"/>
      <c r="AZ10" s="1165"/>
      <c r="BA10" s="1165"/>
      <c r="BG10" s="246" t="s">
        <v>798</v>
      </c>
      <c r="BH10" s="30" t="s">
        <v>799</v>
      </c>
      <c r="BI10" s="30"/>
      <c r="BJ10" s="256" t="s">
        <v>8</v>
      </c>
      <c r="BK10" s="239">
        <v>3</v>
      </c>
      <c r="BL10" s="387" t="s">
        <v>800</v>
      </c>
      <c r="BM10" s="383" t="s">
        <v>801</v>
      </c>
      <c r="BN10" s="555" t="s">
        <v>802</v>
      </c>
      <c r="BO10" s="423" t="s">
        <v>803</v>
      </c>
      <c r="BP10" s="314" t="s">
        <v>804</v>
      </c>
      <c r="BQ10" s="572" t="s">
        <v>805</v>
      </c>
      <c r="BR10" s="573" t="s">
        <v>806</v>
      </c>
      <c r="BS10" s="589" t="s">
        <v>807</v>
      </c>
      <c r="BT10" s="2058" t="s">
        <v>808</v>
      </c>
      <c r="BU10" s="314" t="s">
        <v>809</v>
      </c>
    </row>
    <row r="11" spans="2:73" ht="14.25" customHeight="1" thickBot="1">
      <c r="B11" s="246" t="s">
        <v>810</v>
      </c>
      <c r="C11" s="30" t="s">
        <v>124</v>
      </c>
      <c r="D11" s="30"/>
      <c r="E11" s="256" t="s">
        <v>8</v>
      </c>
      <c r="F11" s="239">
        <v>3</v>
      </c>
      <c r="G11" s="387">
        <v>5.2999999999999999E-2</v>
      </c>
      <c r="H11" s="383">
        <v>88.778999999999996</v>
      </c>
      <c r="I11" s="556">
        <v>7.3999999999999996E-2</v>
      </c>
      <c r="J11" s="384">
        <v>0.66900000000000004</v>
      </c>
      <c r="K11" s="314">
        <f t="shared" si="1"/>
        <v>0.74299999999999999</v>
      </c>
      <c r="L11" s="581">
        <v>12.577999999999999</v>
      </c>
      <c r="M11" s="582">
        <v>0.35</v>
      </c>
      <c r="N11" s="589">
        <f t="shared" si="2"/>
        <v>12.927999999999999</v>
      </c>
      <c r="O11" s="2102">
        <v>0</v>
      </c>
      <c r="P11" s="314">
        <f t="shared" si="3"/>
        <v>102.50299999999999</v>
      </c>
      <c r="R11" s="1164" t="str">
        <f xml:space="preserve"> IF( SUM( AF11:AL11 ) = 0, 0, AO11 )</f>
        <v>The total of line 2A.6 should equal line 1A.3.</v>
      </c>
      <c r="S11" s="25">
        <f t="shared" si="0"/>
        <v>0</v>
      </c>
      <c r="V11" s="86">
        <f xml:space="preserve"> IF( ISNUMBER( G11 ), 0, 1 )</f>
        <v>0</v>
      </c>
      <c r="W11" s="86">
        <f xml:space="preserve"> IF( ISNUMBER( H11 ), 0, 1 )</f>
        <v>0</v>
      </c>
      <c r="X11" s="86">
        <f t="shared" si="7"/>
        <v>0</v>
      </c>
      <c r="Y11" s="86">
        <f t="shared" si="8"/>
        <v>0</v>
      </c>
      <c r="Z11" s="113"/>
      <c r="AA11" s="86">
        <f xml:space="preserve"> IF( Validation!$H$3 = 1, 0, ( IF( ISNUMBER( L11 ), 0, 1 )))</f>
        <v>0</v>
      </c>
      <c r="AB11" s="86">
        <f xml:space="preserve"> IF( Validation!$H$3 = 1, 0, ( IF( ISNUMBER( M11 ), 0, 1 )))</f>
        <v>0</v>
      </c>
      <c r="AC11" s="113"/>
      <c r="AD11" s="86">
        <f xml:space="preserve"> IF( Validation!$H$3 = 1, 0, ( IF( ISNUMBER( O11 ), 0, 1 )))</f>
        <v>0</v>
      </c>
      <c r="AG11" s="86">
        <f xml:space="preserve"> IF( (AM11 - AN11) = 0, 0, 1 )</f>
        <v>1</v>
      </c>
      <c r="AM11" s="143">
        <f xml:space="preserve"> ROUND( P11, 3)</f>
        <v>102.503</v>
      </c>
      <c r="AN11" s="143">
        <f xml:space="preserve"> ROUND( '1A'!K8, 3 )</f>
        <v>102.504</v>
      </c>
      <c r="AO11" s="1165" t="s">
        <v>811</v>
      </c>
      <c r="AP11" s="143"/>
      <c r="AQ11" s="143"/>
      <c r="AR11" s="1165"/>
      <c r="AS11" s="143"/>
      <c r="AT11" s="143"/>
      <c r="AU11" s="1165"/>
      <c r="AV11" s="143"/>
      <c r="AW11" s="143"/>
      <c r="AX11" s="1165"/>
      <c r="AY11" s="1165"/>
      <c r="AZ11" s="1165"/>
      <c r="BA11" s="1165"/>
      <c r="BG11" s="246" t="s">
        <v>810</v>
      </c>
      <c r="BH11" s="30" t="s">
        <v>124</v>
      </c>
      <c r="BI11" s="30"/>
      <c r="BJ11" s="256" t="s">
        <v>8</v>
      </c>
      <c r="BK11" s="239">
        <v>3</v>
      </c>
      <c r="BL11" s="387" t="s">
        <v>812</v>
      </c>
      <c r="BM11" s="383" t="s">
        <v>813</v>
      </c>
      <c r="BN11" s="556" t="s">
        <v>814</v>
      </c>
      <c r="BO11" s="384" t="s">
        <v>815</v>
      </c>
      <c r="BP11" s="314" t="s">
        <v>816</v>
      </c>
      <c r="BQ11" s="581" t="s">
        <v>817</v>
      </c>
      <c r="BR11" s="582" t="s">
        <v>818</v>
      </c>
      <c r="BS11" s="589" t="s">
        <v>819</v>
      </c>
      <c r="BT11" s="2058" t="s">
        <v>820</v>
      </c>
      <c r="BU11" s="314" t="s">
        <v>821</v>
      </c>
    </row>
    <row r="12" spans="2:73" ht="14.25" customHeight="1" thickBot="1">
      <c r="B12" s="247" t="s">
        <v>822</v>
      </c>
      <c r="C12" s="31" t="s">
        <v>823</v>
      </c>
      <c r="D12" s="31"/>
      <c r="E12" s="243" t="s">
        <v>8</v>
      </c>
      <c r="F12" s="244">
        <v>3</v>
      </c>
      <c r="G12" s="319">
        <f>SUM(G6:G11)</f>
        <v>-3.4559999999999955</v>
      </c>
      <c r="H12" s="279">
        <f>SUM(H6:H11)</f>
        <v>81.833999999999989</v>
      </c>
      <c r="K12" s="287">
        <f>SUM(K6:K11)</f>
        <v>105.69399999999999</v>
      </c>
      <c r="N12" s="590">
        <f>SUM(N6:N11)</f>
        <v>286.27199999999993</v>
      </c>
      <c r="O12" s="590">
        <f>SUM(O6:O11)</f>
        <v>53.698999999999998</v>
      </c>
      <c r="P12" s="287">
        <f t="shared" si="3"/>
        <v>524.04299999999989</v>
      </c>
      <c r="R12" s="116"/>
      <c r="S12" s="116"/>
      <c r="BG12" s="247" t="s">
        <v>822</v>
      </c>
      <c r="BH12" s="31" t="s">
        <v>823</v>
      </c>
      <c r="BI12" s="31"/>
      <c r="BJ12" s="243" t="s">
        <v>8</v>
      </c>
      <c r="BK12" s="244">
        <v>3</v>
      </c>
      <c r="BL12" s="319" t="s">
        <v>824</v>
      </c>
      <c r="BM12" s="279" t="s">
        <v>825</v>
      </c>
      <c r="BP12" s="287" t="s">
        <v>826</v>
      </c>
      <c r="BS12" s="590" t="s">
        <v>827</v>
      </c>
      <c r="BT12" s="590" t="s">
        <v>828</v>
      </c>
      <c r="BU12" s="287" t="s">
        <v>829</v>
      </c>
    </row>
    <row r="13" spans="2:73" s="103" customFormat="1" ht="15" thickBot="1">
      <c r="C13" s="138"/>
      <c r="D13" s="138"/>
      <c r="H13" s="142"/>
      <c r="N13" s="110"/>
      <c r="O13" s="110"/>
      <c r="P13" s="110"/>
      <c r="Q13" s="110"/>
      <c r="R13" s="116"/>
      <c r="S13" s="112"/>
      <c r="T13" s="65"/>
      <c r="U13" s="66"/>
      <c r="V13" s="65"/>
      <c r="W13" s="65"/>
      <c r="X13" s="65"/>
      <c r="Y13" s="65"/>
      <c r="Z13" s="65"/>
      <c r="AA13" s="65"/>
      <c r="AB13" s="65"/>
      <c r="AC13" s="65"/>
      <c r="AD13" s="65"/>
      <c r="AE13" s="65"/>
      <c r="AF13" s="66"/>
      <c r="AL13" s="66"/>
      <c r="BB13" s="66"/>
      <c r="BH13" s="138"/>
      <c r="BI13" s="138"/>
      <c r="BM13" s="142"/>
      <c r="BS13" s="110"/>
      <c r="BT13" s="110"/>
      <c r="BU13" s="110"/>
    </row>
    <row r="14" spans="2:73" ht="14.25" customHeight="1" thickBot="1">
      <c r="B14" s="2221" t="s">
        <v>214</v>
      </c>
      <c r="C14" s="77" t="s">
        <v>830</v>
      </c>
      <c r="D14" s="1292"/>
      <c r="E14" s="103"/>
      <c r="F14" s="103"/>
      <c r="G14" s="103"/>
      <c r="H14" s="103"/>
      <c r="I14" s="103"/>
      <c r="J14" s="103"/>
      <c r="K14" s="103"/>
      <c r="L14" s="103"/>
      <c r="M14" s="103"/>
      <c r="N14" s="103"/>
      <c r="O14" s="103"/>
      <c r="P14" s="103"/>
      <c r="Q14" s="103"/>
      <c r="R14" s="116"/>
      <c r="S14" s="116"/>
      <c r="BG14" s="2221" t="s">
        <v>214</v>
      </c>
      <c r="BH14" s="77" t="s">
        <v>830</v>
      </c>
      <c r="BI14" s="1292"/>
      <c r="BJ14" s="103"/>
      <c r="BK14" s="103"/>
      <c r="BL14" s="103"/>
      <c r="BM14" s="103"/>
      <c r="BN14" s="103"/>
      <c r="BO14" s="103"/>
      <c r="BP14" s="103"/>
      <c r="BQ14" s="103"/>
      <c r="BR14" s="103"/>
      <c r="BS14" s="103"/>
      <c r="BT14" s="103"/>
      <c r="BU14" s="103"/>
    </row>
    <row r="15" spans="2:73" ht="14.25" customHeight="1">
      <c r="B15" s="246" t="s">
        <v>831</v>
      </c>
      <c r="C15" s="30" t="s">
        <v>832</v>
      </c>
      <c r="D15" s="1311"/>
      <c r="E15" s="255" t="s">
        <v>8</v>
      </c>
      <c r="F15" s="235">
        <v>3</v>
      </c>
      <c r="G15" s="386">
        <v>0</v>
      </c>
      <c r="H15" s="382">
        <v>0</v>
      </c>
      <c r="I15" s="512">
        <v>0</v>
      </c>
      <c r="J15" s="382">
        <v>0</v>
      </c>
      <c r="K15" s="313">
        <f xml:space="preserve"> I15 + J15</f>
        <v>0</v>
      </c>
      <c r="L15" s="385">
        <v>-3.617</v>
      </c>
      <c r="M15" s="577">
        <v>-0.88900000000000001</v>
      </c>
      <c r="N15" s="646">
        <f t="shared" si="2"/>
        <v>-4.5060000000000002</v>
      </c>
      <c r="O15" s="2103">
        <v>0</v>
      </c>
      <c r="P15" s="313">
        <f xml:space="preserve"> G15 + H15 + K15 + N15 + O15</f>
        <v>-4.5060000000000002</v>
      </c>
      <c r="R15" s="116"/>
      <c r="S15" s="25">
        <f t="shared" si="0"/>
        <v>0</v>
      </c>
      <c r="V15" s="86">
        <f t="shared" ref="V15:Y16" si="9" xml:space="preserve"> IF( ISNUMBER( G15 ), 0, 1 )</f>
        <v>0</v>
      </c>
      <c r="W15" s="86">
        <f t="shared" si="9"/>
        <v>0</v>
      </c>
      <c r="X15" s="86">
        <f t="shared" si="9"/>
        <v>0</v>
      </c>
      <c r="Y15" s="86">
        <f t="shared" si="9"/>
        <v>0</v>
      </c>
      <c r="Z15" s="113"/>
      <c r="AA15" s="86">
        <f xml:space="preserve"> IF( Validation!$H$3 = 1, 0, ( IF( ISNUMBER( L15 ), 0, 1 )))</f>
        <v>0</v>
      </c>
      <c r="AB15" s="86">
        <f xml:space="preserve"> IF( Validation!$H$3 = 1, 0, ( IF( ISNUMBER( M15 ), 0, 1 )))</f>
        <v>0</v>
      </c>
      <c r="AC15" s="113"/>
      <c r="AD15" s="86">
        <f xml:space="preserve"> IF( Validation!$H$3 = 1, 0, ( IF( ISNUMBER( O15 ), 0, 1 )))</f>
        <v>0</v>
      </c>
      <c r="BG15" s="246" t="s">
        <v>831</v>
      </c>
      <c r="BH15" s="30" t="s">
        <v>832</v>
      </c>
      <c r="BI15" s="1311"/>
      <c r="BJ15" s="255" t="s">
        <v>8</v>
      </c>
      <c r="BK15" s="235">
        <v>3</v>
      </c>
      <c r="BL15" s="386" t="s">
        <v>833</v>
      </c>
      <c r="BM15" s="382" t="s">
        <v>834</v>
      </c>
      <c r="BN15" s="512" t="s">
        <v>835</v>
      </c>
      <c r="BO15" s="382" t="s">
        <v>836</v>
      </c>
      <c r="BP15" s="313" t="s">
        <v>837</v>
      </c>
      <c r="BQ15" s="385" t="s">
        <v>838</v>
      </c>
      <c r="BR15" s="577" t="s">
        <v>839</v>
      </c>
      <c r="BS15" s="646" t="s">
        <v>840</v>
      </c>
      <c r="BT15" s="2059" t="s">
        <v>841</v>
      </c>
      <c r="BU15" s="313" t="s">
        <v>842</v>
      </c>
    </row>
    <row r="16" spans="2:73" ht="14.25" customHeight="1" thickBot="1">
      <c r="B16" s="247" t="s">
        <v>843</v>
      </c>
      <c r="C16" s="31" t="s">
        <v>844</v>
      </c>
      <c r="D16" s="31"/>
      <c r="E16" s="243" t="s">
        <v>8</v>
      </c>
      <c r="F16" s="244">
        <v>3</v>
      </c>
      <c r="G16" s="649">
        <v>0</v>
      </c>
      <c r="H16" s="384">
        <v>0</v>
      </c>
      <c r="I16" s="511">
        <v>0.26800000000000002</v>
      </c>
      <c r="J16" s="384">
        <v>4.2380000000000004</v>
      </c>
      <c r="K16" s="287">
        <f xml:space="preserve"> I16 + J16</f>
        <v>4.5060000000000002</v>
      </c>
      <c r="L16" s="581">
        <v>0</v>
      </c>
      <c r="M16" s="582">
        <v>0</v>
      </c>
      <c r="N16" s="590">
        <f t="shared" ref="N16" si="10" xml:space="preserve"> L16 + M16</f>
        <v>0</v>
      </c>
      <c r="O16" s="2104">
        <v>0</v>
      </c>
      <c r="P16" s="287">
        <f xml:space="preserve"> G16 + H16 + K16 + N16 + O16</f>
        <v>4.5060000000000002</v>
      </c>
      <c r="R16" s="116"/>
      <c r="S16" s="25">
        <f t="shared" si="0"/>
        <v>0</v>
      </c>
      <c r="V16" s="86">
        <f t="shared" si="9"/>
        <v>0</v>
      </c>
      <c r="W16" s="86">
        <f t="shared" si="9"/>
        <v>0</v>
      </c>
      <c r="X16" s="86">
        <f t="shared" si="9"/>
        <v>0</v>
      </c>
      <c r="Y16" s="86">
        <f t="shared" si="9"/>
        <v>0</v>
      </c>
      <c r="Z16" s="113"/>
      <c r="AA16" s="86">
        <f xml:space="preserve"> IF( Validation!$H$3 = 1, 0, ( IF( ISNUMBER( L16 ), 0, 1 )))</f>
        <v>0</v>
      </c>
      <c r="AB16" s="86">
        <f xml:space="preserve"> IF( Validation!$H$3 = 1, 0, ( IF( ISNUMBER( M16 ), 0, 1 )))</f>
        <v>0</v>
      </c>
      <c r="AC16" s="113"/>
      <c r="AD16" s="86">
        <f xml:space="preserve"> IF( Validation!$H$3 = 1, 0, ( IF( ISNUMBER( O16 ), 0, 1 )))</f>
        <v>0</v>
      </c>
      <c r="BG16" s="247" t="s">
        <v>843</v>
      </c>
      <c r="BH16" s="31" t="s">
        <v>844</v>
      </c>
      <c r="BI16" s="31"/>
      <c r="BJ16" s="243" t="s">
        <v>8</v>
      </c>
      <c r="BK16" s="244">
        <v>3</v>
      </c>
      <c r="BL16" s="649" t="s">
        <v>845</v>
      </c>
      <c r="BM16" s="384" t="s">
        <v>846</v>
      </c>
      <c r="BN16" s="511" t="s">
        <v>847</v>
      </c>
      <c r="BO16" s="384" t="s">
        <v>848</v>
      </c>
      <c r="BP16" s="287" t="s">
        <v>849</v>
      </c>
      <c r="BQ16" s="581" t="s">
        <v>850</v>
      </c>
      <c r="BR16" s="582" t="s">
        <v>851</v>
      </c>
      <c r="BS16" s="590" t="s">
        <v>852</v>
      </c>
      <c r="BT16" s="2060" t="s">
        <v>853</v>
      </c>
      <c r="BU16" s="287" t="s">
        <v>854</v>
      </c>
    </row>
    <row r="17" spans="2:73" s="103" customFormat="1" ht="15" thickBot="1">
      <c r="C17" s="138"/>
      <c r="D17" s="138"/>
      <c r="H17" s="142"/>
      <c r="N17" s="110"/>
      <c r="O17" s="110"/>
      <c r="P17" s="110"/>
      <c r="Q17" s="110"/>
      <c r="R17" s="116"/>
      <c r="S17" s="112"/>
      <c r="T17" s="65"/>
      <c r="U17" s="66"/>
      <c r="V17" s="65"/>
      <c r="W17" s="65"/>
      <c r="X17" s="65"/>
      <c r="Y17" s="65"/>
      <c r="Z17" s="65"/>
      <c r="AA17" s="65"/>
      <c r="AB17" s="65"/>
      <c r="AC17" s="65"/>
      <c r="AD17" s="65"/>
      <c r="AE17" s="65"/>
      <c r="AF17" s="66"/>
      <c r="AL17" s="66"/>
      <c r="BB17" s="66"/>
      <c r="BH17" s="138"/>
      <c r="BI17" s="138"/>
      <c r="BM17" s="142"/>
      <c r="BS17" s="110"/>
      <c r="BT17" s="110"/>
      <c r="BU17" s="110"/>
    </row>
    <row r="18" spans="2:73" ht="14.25" customHeight="1" thickBot="1">
      <c r="B18" s="282" t="s">
        <v>855</v>
      </c>
      <c r="C18" s="28" t="s">
        <v>131</v>
      </c>
      <c r="D18" s="28"/>
      <c r="E18" s="283" t="s">
        <v>8</v>
      </c>
      <c r="F18" s="227">
        <v>3</v>
      </c>
      <c r="G18" s="284">
        <f xml:space="preserve"> G12 + SUM(G15:G16)</f>
        <v>-3.4559999999999955</v>
      </c>
      <c r="H18" s="286">
        <f xml:space="preserve"> H12 + SUM(H15:H16)</f>
        <v>81.833999999999989</v>
      </c>
      <c r="K18" s="531">
        <f xml:space="preserve"> K12 + SUM(K15:K16)</f>
        <v>110.19999999999999</v>
      </c>
      <c r="N18" s="648">
        <f xml:space="preserve"> N12 + SUM(N15:N16)</f>
        <v>281.76599999999996</v>
      </c>
      <c r="O18" s="648">
        <f xml:space="preserve"> O12 + SUM(O15:O16)</f>
        <v>53.698999999999998</v>
      </c>
      <c r="P18" s="531">
        <f xml:space="preserve"> G18 + H18 + K18 + N18 + O18</f>
        <v>524.04299999999989</v>
      </c>
      <c r="R18" s="116"/>
      <c r="S18" s="116"/>
      <c r="BG18" s="282" t="s">
        <v>855</v>
      </c>
      <c r="BH18" s="28" t="s">
        <v>131</v>
      </c>
      <c r="BI18" s="28"/>
      <c r="BJ18" s="283" t="s">
        <v>8</v>
      </c>
      <c r="BK18" s="227">
        <v>3</v>
      </c>
      <c r="BL18" s="284" t="s">
        <v>856</v>
      </c>
      <c r="BM18" s="286" t="s">
        <v>857</v>
      </c>
      <c r="BP18" s="531" t="s">
        <v>858</v>
      </c>
      <c r="BS18" s="648" t="s">
        <v>859</v>
      </c>
      <c r="BT18" s="648" t="s">
        <v>860</v>
      </c>
      <c r="BU18" s="531" t="s">
        <v>861</v>
      </c>
    </row>
    <row r="19" spans="2:73" s="103" customFormat="1" ht="15" thickBot="1">
      <c r="C19" s="138"/>
      <c r="D19" s="138"/>
      <c r="H19" s="142"/>
      <c r="N19" s="110"/>
      <c r="O19" s="110"/>
      <c r="P19" s="110"/>
      <c r="Q19" s="110"/>
      <c r="R19" s="116"/>
      <c r="S19" s="112"/>
      <c r="T19" s="65"/>
      <c r="U19" s="66"/>
      <c r="V19" s="65"/>
      <c r="W19" s="65"/>
      <c r="X19" s="65"/>
      <c r="Y19" s="65"/>
      <c r="Z19" s="65"/>
      <c r="AA19" s="65"/>
      <c r="AB19" s="65"/>
      <c r="AC19" s="65"/>
      <c r="AD19" s="65"/>
      <c r="AE19" s="65"/>
      <c r="AF19" s="66"/>
      <c r="AL19" s="66"/>
      <c r="BB19" s="66"/>
      <c r="BH19" s="138"/>
      <c r="BI19" s="138"/>
      <c r="BM19" s="142"/>
      <c r="BS19" s="110"/>
      <c r="BT19" s="110"/>
      <c r="BU19" s="110"/>
    </row>
    <row r="20" spans="2:73" ht="14.25" customHeight="1" thickBot="1">
      <c r="B20" s="282" t="s">
        <v>862</v>
      </c>
      <c r="C20" s="28" t="s">
        <v>863</v>
      </c>
      <c r="D20" s="28"/>
      <c r="E20" s="283" t="s">
        <v>8</v>
      </c>
      <c r="F20" s="227">
        <v>3</v>
      </c>
      <c r="G20" s="320"/>
      <c r="H20" s="320"/>
      <c r="I20" s="320"/>
      <c r="J20" s="320"/>
      <c r="K20" s="320"/>
      <c r="L20" s="320"/>
      <c r="M20" s="320"/>
      <c r="N20" s="320"/>
      <c r="O20" s="320"/>
      <c r="P20" s="647">
        <v>1.3580000000000001</v>
      </c>
      <c r="R20" s="116"/>
      <c r="S20" s="25">
        <f t="shared" si="0"/>
        <v>0</v>
      </c>
      <c r="AE20" s="86">
        <f t="shared" ref="AE20" si="11" xml:space="preserve"> IF( ISNUMBER( P20 ), 0, 1 )</f>
        <v>0</v>
      </c>
      <c r="BG20" s="282" t="s">
        <v>862</v>
      </c>
      <c r="BH20" s="28" t="s">
        <v>863</v>
      </c>
      <c r="BI20" s="28"/>
      <c r="BJ20" s="283" t="s">
        <v>8</v>
      </c>
      <c r="BK20" s="227">
        <v>3</v>
      </c>
      <c r="BL20" s="320"/>
      <c r="BM20" s="320"/>
      <c r="BN20" s="320"/>
      <c r="BO20" s="320"/>
      <c r="BP20" s="320"/>
      <c r="BQ20" s="320"/>
      <c r="BR20" s="320"/>
      <c r="BS20" s="320"/>
      <c r="BT20" s="320"/>
      <c r="BU20" s="647" t="s">
        <v>864</v>
      </c>
    </row>
    <row r="21" spans="2:73" s="103" customFormat="1">
      <c r="C21" s="138"/>
      <c r="D21" s="138"/>
      <c r="H21" s="142"/>
      <c r="N21" s="110"/>
      <c r="O21" s="110"/>
      <c r="P21" s="110"/>
      <c r="Q21" s="110"/>
      <c r="R21" s="116"/>
      <c r="S21" s="112"/>
      <c r="T21" s="65"/>
      <c r="U21" s="66"/>
      <c r="V21" s="65"/>
      <c r="W21" s="65"/>
      <c r="X21" s="65"/>
      <c r="Y21" s="65"/>
      <c r="Z21" s="65"/>
      <c r="AA21" s="65"/>
      <c r="AB21" s="65"/>
      <c r="AC21" s="65"/>
      <c r="AD21" s="65"/>
      <c r="AE21" s="65"/>
      <c r="AF21" s="66"/>
      <c r="AL21" s="66"/>
      <c r="BB21" s="66"/>
      <c r="BH21" s="138"/>
      <c r="BI21" s="138"/>
      <c r="BM21" s="142"/>
      <c r="BS21" s="110"/>
      <c r="BT21" s="110"/>
      <c r="BU21" s="110"/>
    </row>
    <row r="22" spans="2:73" s="142" customFormat="1">
      <c r="B22" s="2256" t="s">
        <v>275</v>
      </c>
      <c r="C22" s="2256"/>
      <c r="D22" s="2195"/>
      <c r="N22" s="116"/>
      <c r="O22" s="116"/>
      <c r="P22" s="116"/>
      <c r="Q22" s="116"/>
      <c r="R22" s="116"/>
      <c r="S22" s="116"/>
      <c r="T22" s="65"/>
      <c r="U22" s="66"/>
      <c r="V22" s="65"/>
      <c r="W22" s="65"/>
      <c r="X22" s="65"/>
      <c r="Y22" s="65"/>
      <c r="Z22" s="65"/>
      <c r="AA22" s="65"/>
      <c r="AB22" s="65"/>
      <c r="AC22" s="65"/>
      <c r="AD22" s="65"/>
      <c r="AE22" s="65"/>
      <c r="AF22" s="66"/>
      <c r="AL22" s="66"/>
      <c r="BB22" s="66"/>
    </row>
    <row r="23" spans="2:73" s="142" customFormat="1">
      <c r="B23" s="127"/>
      <c r="C23" s="128"/>
      <c r="D23" s="128"/>
      <c r="N23" s="116"/>
      <c r="O23" s="116"/>
      <c r="P23" s="116"/>
      <c r="Q23" s="116"/>
      <c r="R23" s="116"/>
      <c r="S23" s="116"/>
      <c r="T23" s="65"/>
      <c r="U23" s="66"/>
      <c r="V23" s="65"/>
      <c r="W23" s="65"/>
      <c r="X23" s="65"/>
      <c r="Y23" s="65"/>
      <c r="Z23" s="65"/>
      <c r="AA23" s="65"/>
      <c r="AB23" s="65"/>
      <c r="AC23" s="65"/>
      <c r="AD23" s="65"/>
      <c r="AE23" s="65"/>
      <c r="AF23" s="66"/>
      <c r="AL23" s="66"/>
      <c r="BB23" s="66"/>
    </row>
    <row r="24" spans="2:73" s="142" customFormat="1">
      <c r="B24" s="26"/>
      <c r="C24" s="129" t="s">
        <v>249</v>
      </c>
      <c r="D24" s="129"/>
      <c r="N24" s="116"/>
      <c r="O24" s="116"/>
      <c r="P24" s="116"/>
      <c r="Q24" s="116"/>
      <c r="R24" s="116"/>
      <c r="S24" s="116"/>
      <c r="T24" s="65"/>
      <c r="U24" s="66"/>
      <c r="V24" s="65"/>
      <c r="W24" s="65"/>
      <c r="X24" s="65"/>
      <c r="Y24" s="65"/>
      <c r="Z24" s="65"/>
      <c r="AA24" s="65"/>
      <c r="AB24" s="65"/>
      <c r="AC24" s="65"/>
      <c r="AD24" s="65"/>
      <c r="AE24" s="65"/>
      <c r="AF24" s="66"/>
      <c r="AL24" s="66"/>
      <c r="BB24" s="66"/>
    </row>
    <row r="25" spans="2:73" s="142" customFormat="1">
      <c r="B25" s="127"/>
      <c r="C25" s="128"/>
      <c r="D25" s="128"/>
      <c r="N25" s="116"/>
      <c r="O25" s="116"/>
      <c r="P25" s="116"/>
      <c r="Q25" s="116"/>
      <c r="R25" s="116"/>
      <c r="S25" s="116"/>
      <c r="T25" s="65"/>
      <c r="U25" s="66"/>
      <c r="V25" s="65"/>
      <c r="W25" s="65"/>
      <c r="X25" s="65"/>
      <c r="Y25" s="65"/>
      <c r="Z25" s="65"/>
      <c r="AA25" s="65"/>
      <c r="AB25" s="65"/>
      <c r="AC25" s="65"/>
      <c r="AD25" s="65"/>
      <c r="AE25" s="65"/>
      <c r="AF25" s="66"/>
      <c r="AL25" s="66"/>
      <c r="BB25" s="66"/>
    </row>
    <row r="26" spans="2:73" s="142" customFormat="1">
      <c r="B26" s="130"/>
      <c r="C26" s="129" t="s">
        <v>250</v>
      </c>
      <c r="D26" s="129"/>
      <c r="N26" s="116"/>
      <c r="O26" s="116"/>
      <c r="P26" s="116"/>
      <c r="Q26" s="116"/>
      <c r="R26" s="116"/>
      <c r="S26" s="116"/>
      <c r="T26" s="65"/>
      <c r="U26" s="66"/>
      <c r="V26" s="65"/>
      <c r="W26" s="65"/>
      <c r="X26" s="65"/>
      <c r="Y26" s="65"/>
      <c r="Z26" s="65"/>
      <c r="AA26" s="65"/>
      <c r="AB26" s="65"/>
      <c r="AC26" s="65"/>
      <c r="AD26" s="65"/>
      <c r="AE26" s="65"/>
      <c r="AF26" s="66"/>
      <c r="AL26" s="66"/>
      <c r="BB26" s="66"/>
    </row>
    <row r="27" spans="2:73" s="142" customFormat="1">
      <c r="B27" s="131"/>
      <c r="C27" s="129"/>
      <c r="D27" s="129"/>
      <c r="N27" s="116"/>
      <c r="O27" s="116"/>
      <c r="P27" s="116"/>
      <c r="Q27" s="116"/>
      <c r="R27" s="116"/>
      <c r="S27" s="116"/>
      <c r="T27" s="65"/>
      <c r="U27" s="66"/>
      <c r="V27" s="65"/>
      <c r="W27" s="65"/>
      <c r="X27" s="65"/>
      <c r="Y27" s="65"/>
      <c r="Z27" s="65"/>
      <c r="AA27" s="65"/>
      <c r="AB27" s="65"/>
      <c r="AC27" s="65"/>
      <c r="AD27" s="65"/>
      <c r="AE27" s="65"/>
      <c r="AF27" s="66"/>
      <c r="AL27" s="66"/>
      <c r="BB27" s="66"/>
    </row>
    <row r="28" spans="2:73" s="155" customFormat="1" ht="13.5" thickBot="1">
      <c r="C28" s="156"/>
      <c r="D28" s="156"/>
      <c r="N28" s="118"/>
      <c r="O28" s="118"/>
      <c r="P28" s="118"/>
      <c r="Q28" s="118"/>
      <c r="R28" s="116"/>
      <c r="S28" s="116"/>
      <c r="T28" s="116"/>
      <c r="U28" s="111"/>
      <c r="V28" s="116"/>
      <c r="W28" s="116"/>
      <c r="X28" s="116"/>
      <c r="Y28" s="116"/>
      <c r="Z28" s="116"/>
      <c r="AA28" s="177"/>
      <c r="AB28" s="177"/>
      <c r="AC28" s="177"/>
      <c r="AD28" s="177"/>
      <c r="AE28" s="142"/>
      <c r="AF28" s="111"/>
      <c r="AL28" s="111"/>
      <c r="BB28" s="111"/>
    </row>
    <row r="29" spans="2:73" s="155" customFormat="1" ht="21" thickBot="1">
      <c r="B29" s="1166" t="s">
        <v>251</v>
      </c>
      <c r="C29" s="133"/>
      <c r="D29" s="133"/>
      <c r="E29" s="134"/>
      <c r="F29" s="134"/>
      <c r="G29" s="134"/>
      <c r="H29" s="134"/>
      <c r="I29" s="134"/>
      <c r="J29" s="134"/>
      <c r="K29" s="134"/>
      <c r="L29" s="134"/>
      <c r="M29" s="134"/>
      <c r="N29" s="134"/>
      <c r="O29" s="134"/>
      <c r="P29" s="140"/>
      <c r="Q29" s="118"/>
      <c r="R29" s="116"/>
      <c r="S29" s="116"/>
      <c r="T29" s="116"/>
      <c r="U29" s="111"/>
      <c r="V29" s="116"/>
      <c r="W29" s="116"/>
      <c r="X29" s="116"/>
      <c r="Y29" s="116"/>
      <c r="Z29" s="116"/>
      <c r="AA29" s="177"/>
      <c r="AB29" s="177"/>
      <c r="AC29" s="177"/>
      <c r="AD29" s="177"/>
      <c r="AE29" s="142"/>
      <c r="AF29" s="111"/>
      <c r="AL29" s="111"/>
      <c r="BB29" s="111"/>
    </row>
    <row r="30" spans="2:73" s="155" customFormat="1" ht="12.75">
      <c r="C30" s="156"/>
      <c r="D30" s="156"/>
      <c r="N30" s="118"/>
      <c r="O30" s="118"/>
      <c r="P30" s="118"/>
      <c r="Q30" s="118"/>
      <c r="R30" s="116"/>
      <c r="S30" s="116"/>
      <c r="T30" s="116"/>
      <c r="U30" s="111"/>
      <c r="V30" s="116"/>
      <c r="W30" s="116"/>
      <c r="X30" s="116"/>
      <c r="Y30" s="116"/>
      <c r="Z30" s="116"/>
      <c r="AA30" s="177"/>
      <c r="AB30" s="177"/>
      <c r="AC30" s="177"/>
      <c r="AD30" s="177"/>
      <c r="AE30" s="142"/>
      <c r="AF30" s="111"/>
      <c r="AL30" s="111"/>
      <c r="BB30" s="111"/>
    </row>
  </sheetData>
  <sheetProtection algorithmName="SHA-512" hashValue="TRHjpBth36UzAx9skWAixofsXZDNO2uhHokVQsYKRPv/udBoai71l7YkiJkGSxiw40GIGjJQPeEwBLfKKLN5kg==" saltValue="2oSpv4aGoaG9cqs9lNH4wg==" spinCount="100000" sheet="1" objects="1" scenarios="1"/>
  <mergeCells count="21">
    <mergeCell ref="BU3:BU4"/>
    <mergeCell ref="BG3:BH4"/>
    <mergeCell ref="BJ3:BJ4"/>
    <mergeCell ref="BK3:BK4"/>
    <mergeCell ref="BL3:BM3"/>
    <mergeCell ref="BN3:BT3"/>
    <mergeCell ref="B22:C22"/>
    <mergeCell ref="AP3:AR4"/>
    <mergeCell ref="AS3:AU4"/>
    <mergeCell ref="AV3:AX4"/>
    <mergeCell ref="B3:C4"/>
    <mergeCell ref="E3:E4"/>
    <mergeCell ref="F3:F4"/>
    <mergeCell ref="G3:H3"/>
    <mergeCell ref="P3:P4"/>
    <mergeCell ref="R3:R4"/>
    <mergeCell ref="S3:S4"/>
    <mergeCell ref="V3:AE4"/>
    <mergeCell ref="AG3:AG4"/>
    <mergeCell ref="AM3:AO4"/>
    <mergeCell ref="I3:O3"/>
  </mergeCells>
  <conditionalFormatting sqref="R5:R6">
    <cfRule type="cellIs" dxfId="600" priority="13" operator="equal">
      <formula>0</formula>
    </cfRule>
  </conditionalFormatting>
  <conditionalFormatting sqref="R9">
    <cfRule type="cellIs" dxfId="599" priority="16" operator="equal">
      <formula>0</formula>
    </cfRule>
  </conditionalFormatting>
  <conditionalFormatting sqref="R7:S8 R11:S11 S6 S9:S10 S15:S16 S20">
    <cfRule type="cellIs" dxfId="598"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4" id="{6904E0D7-9B3E-41DF-90CE-7925EE91B07E}">
            <xm:f>Validation!$H$3=1</xm:f>
            <x14:dxf>
              <fill>
                <patternFill>
                  <bgColor rgb="FFE0DCD8"/>
                </patternFill>
              </fill>
            </x14:dxf>
          </x14:cfRule>
          <xm:sqref>L8:O9 N6:N7 N10:N11 N12:O12 N15:O16 N18:O18</xm:sqref>
        </x14:conditionalFormatting>
        <x14:conditionalFormatting xmlns:xm="http://schemas.microsoft.com/office/excel/2006/main">
          <x14:cfRule type="expression" priority="3" id="{F4E1E0FE-06B4-47CE-B758-A8E4BDB1BB6F}">
            <xm:f>Validation!$H$3=1</xm:f>
            <x14:dxf>
              <fill>
                <patternFill>
                  <bgColor rgb="FFE0DCD8"/>
                </patternFill>
              </fill>
            </x14:dxf>
          </x14:cfRule>
          <xm:sqref>BQ6:BQ8 BR8</xm:sqref>
        </x14:conditionalFormatting>
        <x14:conditionalFormatting xmlns:xm="http://schemas.microsoft.com/office/excel/2006/main">
          <x14:cfRule type="expression" priority="2" id="{480D4BF2-2D17-4D35-B04C-033EC3B9E660}">
            <xm:f>Validation!$H$3=1</xm:f>
            <x14:dxf>
              <fill>
                <patternFill>
                  <bgColor rgb="FFE0DCD8"/>
                </patternFill>
              </fill>
            </x14:dxf>
          </x14:cfRule>
          <xm:sqref>BQ9:BR11</xm:sqref>
        </x14:conditionalFormatting>
        <x14:conditionalFormatting xmlns:xm="http://schemas.microsoft.com/office/excel/2006/main">
          <x14:cfRule type="expression" priority="1" id="{4636C007-DACE-4F0C-B322-B2524CC962C0}">
            <xm:f>Validation!$H$3=1</xm:f>
            <x14:dxf>
              <fill>
                <patternFill>
                  <bgColor rgb="FFE0DCD8"/>
                </patternFill>
              </fill>
            </x14:dxf>
          </x14:cfRule>
          <xm:sqref>BQ15:BT16 BS6:BT12 BS18:BT18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BN49"/>
  <sheetViews>
    <sheetView showGridLines="0" zoomScale="80" zoomScaleNormal="80" workbookViewId="0"/>
  </sheetViews>
  <sheetFormatPr defaultColWidth="0" defaultRowHeight="14.25" zeroHeight="1"/>
  <cols>
    <col min="1" max="1" width="0.625" customWidth="1"/>
    <col min="2" max="2" width="6.125" customWidth="1"/>
    <col min="3" max="3" width="58.125" bestFit="1" customWidth="1"/>
    <col min="4" max="4" width="5.625" hidden="1" customWidth="1"/>
    <col min="5" max="6" width="5.125" customWidth="1"/>
    <col min="7" max="12" width="12.625" style="69" customWidth="1"/>
    <col min="13" max="13" width="2.625" style="69" customWidth="1"/>
    <col min="14" max="14" width="66.625" style="69" bestFit="1" customWidth="1"/>
    <col min="15" max="15" width="22.125" style="69" customWidth="1"/>
    <col min="16" max="16" width="1.625" style="65" customWidth="1"/>
    <col min="17" max="17" width="1.625" style="66" hidden="1" customWidth="1"/>
    <col min="18" max="21" width="5.125" style="65" hidden="1" customWidth="1"/>
    <col min="22" max="22" width="1.625" style="66" hidden="1" customWidth="1"/>
    <col min="23" max="23" width="8" style="69" hidden="1" customWidth="1"/>
    <col min="24" max="24" width="1.625" style="66" hidden="1" customWidth="1"/>
    <col min="25" max="28" width="6.625" style="69" hidden="1" customWidth="1"/>
    <col min="29" max="29" width="66.625" style="69" hidden="1" customWidth="1"/>
    <col min="30" max="30" width="1.625" style="66" hidden="1" customWidth="1"/>
    <col min="31" max="55" width="9" hidden="1" customWidth="1"/>
    <col min="56" max="56" width="6.125" hidden="1" customWidth="1"/>
    <col min="57" max="57" width="58.125" hidden="1" customWidth="1"/>
    <col min="58" max="58" width="5.625" hidden="1" customWidth="1"/>
    <col min="59" max="60" width="5.125" hidden="1" customWidth="1"/>
    <col min="61" max="66" width="12.625" style="69" hidden="1" customWidth="1"/>
    <col min="67" max="16384" width="9" hidden="1"/>
  </cols>
  <sheetData>
    <row r="1" spans="2:66" s="65" customFormat="1" ht="20.25">
      <c r="B1" s="61" t="s">
        <v>865</v>
      </c>
      <c r="C1" s="61"/>
      <c r="D1" s="61"/>
      <c r="E1" s="61"/>
      <c r="F1" s="61"/>
      <c r="G1" s="61"/>
      <c r="H1" s="61"/>
      <c r="I1" s="61"/>
      <c r="J1" s="61"/>
      <c r="K1" s="61"/>
      <c r="L1" s="63" t="str">
        <f>Validation!B3</f>
        <v>Thames Water</v>
      </c>
      <c r="M1" s="61"/>
      <c r="N1" s="64"/>
      <c r="O1" s="64" t="s">
        <v>94</v>
      </c>
      <c r="Q1" s="66"/>
      <c r="V1" s="66"/>
      <c r="X1" s="66"/>
      <c r="AD1" s="66"/>
      <c r="BD1" s="61" t="s">
        <v>95</v>
      </c>
      <c r="BE1" s="61"/>
      <c r="BF1" s="61"/>
      <c r="BG1" s="61"/>
      <c r="BH1" s="61"/>
      <c r="BI1" s="61"/>
      <c r="BJ1" s="61"/>
      <c r="BK1" s="61"/>
      <c r="BL1" s="61"/>
      <c r="BM1" s="61"/>
      <c r="BN1" s="63"/>
    </row>
    <row r="2" spans="2:66" s="2" customFormat="1" ht="15.75" customHeight="1" thickBot="1">
      <c r="B2" s="68" t="s">
        <v>80</v>
      </c>
      <c r="C2" s="259"/>
      <c r="D2" s="259"/>
      <c r="E2" s="69"/>
      <c r="F2" s="69"/>
      <c r="G2" s="69"/>
      <c r="H2" s="69"/>
      <c r="I2" s="69"/>
      <c r="J2" s="69"/>
      <c r="K2" s="69"/>
      <c r="L2" s="69"/>
      <c r="M2" s="69"/>
      <c r="N2" s="65"/>
      <c r="O2" s="65"/>
      <c r="P2" s="65"/>
      <c r="Q2" s="66"/>
      <c r="R2" s="65"/>
      <c r="S2" s="65"/>
      <c r="T2" s="65"/>
      <c r="U2" s="65"/>
      <c r="V2" s="66"/>
      <c r="W2" s="65"/>
      <c r="X2" s="66"/>
      <c r="Y2" s="65"/>
      <c r="Z2" s="65"/>
      <c r="AA2" s="65"/>
      <c r="AB2" s="65"/>
      <c r="AC2" s="65"/>
      <c r="AD2" s="66"/>
      <c r="BD2" s="68" t="s">
        <v>80</v>
      </c>
      <c r="BE2" s="259"/>
      <c r="BF2" s="259"/>
      <c r="BG2" s="69"/>
      <c r="BH2" s="69"/>
      <c r="BI2" s="69"/>
      <c r="BJ2" s="69"/>
      <c r="BK2" s="69"/>
      <c r="BL2" s="69"/>
      <c r="BM2" s="69"/>
      <c r="BN2" s="69"/>
    </row>
    <row r="3" spans="2:66" s="517" customFormat="1" ht="29.25" customHeight="1" thickBot="1">
      <c r="B3" s="2278" t="s">
        <v>96</v>
      </c>
      <c r="C3" s="2279"/>
      <c r="D3" s="2204" t="s">
        <v>97</v>
      </c>
      <c r="E3" s="262" t="s">
        <v>98</v>
      </c>
      <c r="F3" s="253" t="s">
        <v>99</v>
      </c>
      <c r="G3" s="252" t="s">
        <v>866</v>
      </c>
      <c r="H3" s="253" t="s">
        <v>746</v>
      </c>
      <c r="I3" s="513" t="s">
        <v>867</v>
      </c>
      <c r="J3" s="2086" t="s">
        <v>749</v>
      </c>
      <c r="K3" s="253" t="s">
        <v>751</v>
      </c>
      <c r="L3" s="293" t="s">
        <v>680</v>
      </c>
      <c r="M3" s="514"/>
      <c r="N3" s="162" t="s">
        <v>675</v>
      </c>
      <c r="O3" s="162" t="s">
        <v>103</v>
      </c>
      <c r="P3" s="515"/>
      <c r="Q3" s="516"/>
      <c r="R3" s="2255" t="s">
        <v>107</v>
      </c>
      <c r="S3" s="2255"/>
      <c r="T3" s="2255"/>
      <c r="U3" s="2255"/>
      <c r="V3" s="516"/>
      <c r="W3" s="2255" t="s">
        <v>86</v>
      </c>
      <c r="X3" s="66"/>
      <c r="Y3" s="2260" t="s">
        <v>742</v>
      </c>
      <c r="Z3" s="2260"/>
      <c r="AA3" s="2260"/>
      <c r="AB3" s="2260"/>
      <c r="AC3" s="2260"/>
      <c r="AD3" s="66"/>
      <c r="BD3" s="2278" t="s">
        <v>96</v>
      </c>
      <c r="BE3" s="2279"/>
      <c r="BF3" s="2204" t="s">
        <v>97</v>
      </c>
      <c r="BG3" s="262" t="s">
        <v>98</v>
      </c>
      <c r="BH3" s="253" t="s">
        <v>99</v>
      </c>
      <c r="BI3" s="252" t="s">
        <v>866</v>
      </c>
      <c r="BJ3" s="253" t="s">
        <v>746</v>
      </c>
      <c r="BK3" s="513" t="s">
        <v>867</v>
      </c>
      <c r="BL3" s="253" t="s">
        <v>749</v>
      </c>
      <c r="BM3" s="2061" t="s">
        <v>751</v>
      </c>
      <c r="BN3" s="293" t="s">
        <v>680</v>
      </c>
    </row>
    <row r="4" spans="2:66" s="2" customFormat="1" ht="15" thickBot="1">
      <c r="B4" s="69"/>
      <c r="C4" s="274"/>
      <c r="D4" s="274"/>
      <c r="E4" s="69"/>
      <c r="F4" s="69"/>
      <c r="G4" s="69"/>
      <c r="H4" s="69"/>
      <c r="I4" s="69"/>
      <c r="J4" s="69"/>
      <c r="K4" s="69"/>
      <c r="L4" s="69"/>
      <c r="M4" s="69"/>
      <c r="N4" s="69"/>
      <c r="O4" s="69"/>
      <c r="P4" s="74"/>
      <c r="Q4" s="66"/>
      <c r="R4" s="2255"/>
      <c r="S4" s="2255"/>
      <c r="T4" s="2255"/>
      <c r="U4" s="2255"/>
      <c r="V4" s="66"/>
      <c r="W4" s="2255"/>
      <c r="X4" s="66"/>
      <c r="Y4" s="2260"/>
      <c r="Z4" s="2260"/>
      <c r="AA4" s="2260"/>
      <c r="AB4" s="2260"/>
      <c r="AC4" s="2260"/>
      <c r="AD4" s="66"/>
      <c r="BD4" s="69"/>
      <c r="BE4" s="274"/>
      <c r="BF4" s="274"/>
      <c r="BG4" s="69"/>
      <c r="BH4" s="69"/>
      <c r="BI4" s="69"/>
      <c r="BJ4" s="69"/>
      <c r="BK4" s="69"/>
      <c r="BL4" s="69"/>
      <c r="BM4" s="69"/>
      <c r="BN4" s="69"/>
    </row>
    <row r="5" spans="2:66" s="2" customFormat="1" ht="15" thickBot="1">
      <c r="B5" s="2211" t="s">
        <v>214</v>
      </c>
      <c r="C5" s="254" t="s">
        <v>779</v>
      </c>
      <c r="D5" s="1295"/>
      <c r="E5" s="69"/>
      <c r="F5" s="69"/>
      <c r="G5" s="69"/>
      <c r="H5" s="69"/>
      <c r="I5" s="69"/>
      <c r="J5" s="69"/>
      <c r="K5" s="69"/>
      <c r="L5" s="69"/>
      <c r="M5" s="69"/>
      <c r="N5" s="118"/>
      <c r="O5" s="118"/>
      <c r="P5" s="65"/>
      <c r="Q5" s="66"/>
      <c r="R5" s="78" t="s">
        <v>108</v>
      </c>
      <c r="S5" s="78"/>
      <c r="T5" s="78"/>
      <c r="U5" s="65"/>
      <c r="V5" s="66"/>
      <c r="W5" s="69"/>
      <c r="X5" s="66"/>
      <c r="Y5" s="69"/>
      <c r="Z5" s="69"/>
      <c r="AA5" s="69"/>
      <c r="AB5" s="69"/>
      <c r="AC5" s="69"/>
      <c r="AD5" s="66"/>
      <c r="BD5" s="2211" t="s">
        <v>214</v>
      </c>
      <c r="BE5" s="254" t="s">
        <v>779</v>
      </c>
      <c r="BF5" s="1295"/>
      <c r="BG5" s="69"/>
      <c r="BH5" s="69"/>
      <c r="BI5" s="69"/>
      <c r="BJ5" s="69"/>
      <c r="BK5" s="69"/>
      <c r="BL5" s="69"/>
      <c r="BM5" s="69"/>
      <c r="BN5" s="69"/>
    </row>
    <row r="6" spans="2:66" s="2" customFormat="1">
      <c r="B6" s="245" t="s">
        <v>868</v>
      </c>
      <c r="C6" s="233" t="s">
        <v>869</v>
      </c>
      <c r="D6" s="233"/>
      <c r="E6" s="255" t="s">
        <v>8</v>
      </c>
      <c r="F6" s="235">
        <v>3</v>
      </c>
      <c r="G6" s="622">
        <f xml:space="preserve"> SUM( '4D'!G7:H7 )</f>
        <v>13.356</v>
      </c>
      <c r="H6" s="623">
        <f xml:space="preserve"> SUM( '4D'!I7:L7 )</f>
        <v>41.180999999999997</v>
      </c>
      <c r="I6" s="622">
        <f xml:space="preserve"> SUM( '4E'!G7:K7 )</f>
        <v>64.495999999999995</v>
      </c>
      <c r="J6" s="2087">
        <f xml:space="preserve"> SUM( '4E'!L7:N7 )</f>
        <v>-13.8</v>
      </c>
      <c r="K6" s="2105">
        <v>0</v>
      </c>
      <c r="L6" s="313">
        <f xml:space="preserve"> SUM( G6:K6 )</f>
        <v>105.23299999999999</v>
      </c>
      <c r="M6" s="69"/>
      <c r="N6" s="118"/>
      <c r="O6" s="25">
        <f xml:space="preserve"> IF( SUM( Q6:V6 ) = 0, 0, $R$5 )</f>
        <v>0</v>
      </c>
      <c r="P6" s="65"/>
      <c r="Q6" s="66"/>
      <c r="R6" s="113"/>
      <c r="S6" s="113"/>
      <c r="T6" s="113"/>
      <c r="U6" s="86">
        <f xml:space="preserve"> IF( Validation!$H$3 = 1, 0, ( IF( ISNUMBER( K6 ), 0, 1 )))</f>
        <v>0</v>
      </c>
      <c r="V6" s="66"/>
      <c r="W6" s="113"/>
      <c r="X6" s="66"/>
      <c r="Y6" s="143"/>
      <c r="Z6" s="143"/>
      <c r="AA6" s="143"/>
      <c r="AB6" s="143"/>
      <c r="AC6" s="2280"/>
      <c r="AD6" s="66"/>
      <c r="BD6" s="245" t="s">
        <v>868</v>
      </c>
      <c r="BE6" s="233" t="s">
        <v>869</v>
      </c>
      <c r="BF6" s="233"/>
      <c r="BG6" s="255" t="s">
        <v>8</v>
      </c>
      <c r="BH6" s="235">
        <v>3</v>
      </c>
      <c r="BI6" s="622" t="s">
        <v>870</v>
      </c>
      <c r="BJ6" s="623" t="s">
        <v>871</v>
      </c>
      <c r="BK6" s="622" t="s">
        <v>872</v>
      </c>
      <c r="BL6" s="623" t="s">
        <v>873</v>
      </c>
      <c r="BM6" s="2065" t="s">
        <v>874</v>
      </c>
      <c r="BN6" s="313" t="s">
        <v>875</v>
      </c>
    </row>
    <row r="7" spans="2:66" s="2" customFormat="1">
      <c r="B7" s="246" t="s">
        <v>876</v>
      </c>
      <c r="C7" s="237" t="s">
        <v>877</v>
      </c>
      <c r="D7" s="237"/>
      <c r="E7" s="256" t="s">
        <v>8</v>
      </c>
      <c r="F7" s="239">
        <v>3</v>
      </c>
      <c r="G7" s="624">
        <f xml:space="preserve"> SUM( '4D'!G8:H8 )</f>
        <v>-0.122</v>
      </c>
      <c r="H7" s="625">
        <f xml:space="preserve"> SUM( '4D'!I8:L8 )</f>
        <v>-0.14200000000000002</v>
      </c>
      <c r="I7" s="624">
        <f xml:space="preserve"> SUM( '4E'!G8:K8 )</f>
        <v>-0.16500000000000001</v>
      </c>
      <c r="J7" s="2088">
        <f xml:space="preserve"> SUM( '4E'!L8:N8 )</f>
        <v>-10.424999999999999</v>
      </c>
      <c r="K7" s="2106">
        <v>0</v>
      </c>
      <c r="L7" s="314">
        <f t="shared" ref="L7:L13" si="0" xml:space="preserve"> SUM( G7:K7 )</f>
        <v>-10.853999999999999</v>
      </c>
      <c r="M7" s="69"/>
      <c r="N7" s="118"/>
      <c r="O7" s="25">
        <f t="shared" ref="O7:O13" si="1" xml:space="preserve"> IF( SUM( Q7:V7 ) = 0, 0, $R$5 )</f>
        <v>0</v>
      </c>
      <c r="P7" s="65"/>
      <c r="Q7" s="66"/>
      <c r="R7" s="113"/>
      <c r="S7" s="113"/>
      <c r="T7" s="113"/>
      <c r="U7" s="86">
        <f xml:space="preserve"> IF( Validation!$H$3 = 1, 0, ( IF( ISNUMBER( K7 ), 0, 1 )))</f>
        <v>0</v>
      </c>
      <c r="V7" s="66"/>
      <c r="W7" s="69"/>
      <c r="X7" s="66"/>
      <c r="Y7" s="69"/>
      <c r="Z7" s="69"/>
      <c r="AA7" s="69"/>
      <c r="AB7" s="69"/>
      <c r="AC7" s="2280"/>
      <c r="AD7" s="66"/>
      <c r="BD7" s="246" t="s">
        <v>876</v>
      </c>
      <c r="BE7" s="237" t="s">
        <v>877</v>
      </c>
      <c r="BF7" s="237"/>
      <c r="BG7" s="256" t="s">
        <v>8</v>
      </c>
      <c r="BH7" s="239">
        <v>3</v>
      </c>
      <c r="BI7" s="624" t="s">
        <v>878</v>
      </c>
      <c r="BJ7" s="625" t="s">
        <v>879</v>
      </c>
      <c r="BK7" s="624" t="s">
        <v>880</v>
      </c>
      <c r="BL7" s="625" t="s">
        <v>881</v>
      </c>
      <c r="BM7" s="2066" t="s">
        <v>882</v>
      </c>
      <c r="BN7" s="314" t="s">
        <v>883</v>
      </c>
    </row>
    <row r="8" spans="2:66" s="2" customFormat="1">
      <c r="B8" s="246" t="s">
        <v>884</v>
      </c>
      <c r="C8" s="237" t="s">
        <v>885</v>
      </c>
      <c r="D8" s="237"/>
      <c r="E8" s="256" t="s">
        <v>8</v>
      </c>
      <c r="F8" s="239">
        <v>3</v>
      </c>
      <c r="G8" s="624">
        <f xml:space="preserve"> SUM( '4D'!G9:H9 )</f>
        <v>13.116</v>
      </c>
      <c r="H8" s="625">
        <f xml:space="preserve"> SUM( '4D'!I9:L9 )</f>
        <v>0</v>
      </c>
      <c r="I8" s="624">
        <f xml:space="preserve"> SUM( '4E'!G9:K9 )</f>
        <v>5.266</v>
      </c>
      <c r="J8" s="2088">
        <f xml:space="preserve"> SUM( '4E'!L9:N9 )</f>
        <v>7.5000000000000011E-2</v>
      </c>
      <c r="K8" s="2106">
        <v>0</v>
      </c>
      <c r="L8" s="314">
        <f t="shared" si="0"/>
        <v>18.456999999999997</v>
      </c>
      <c r="M8" s="85"/>
      <c r="N8" s="118"/>
      <c r="O8" s="25">
        <f t="shared" si="1"/>
        <v>0</v>
      </c>
      <c r="P8" s="65"/>
      <c r="Q8" s="66"/>
      <c r="R8" s="113"/>
      <c r="S8" s="113"/>
      <c r="T8" s="113"/>
      <c r="U8" s="86">
        <f xml:space="preserve"> IF( Validation!$H$3 = 1, 0, ( IF( ISNUMBER( K8 ), 0, 1 )))</f>
        <v>0</v>
      </c>
      <c r="V8" s="66"/>
      <c r="W8" s="113"/>
      <c r="X8" s="66"/>
      <c r="Y8" s="143"/>
      <c r="Z8" s="143"/>
      <c r="AA8" s="143"/>
      <c r="AB8" s="143"/>
      <c r="AC8" s="2205"/>
      <c r="AD8" s="66"/>
      <c r="BD8" s="246" t="s">
        <v>884</v>
      </c>
      <c r="BE8" s="237" t="s">
        <v>885</v>
      </c>
      <c r="BF8" s="237"/>
      <c r="BG8" s="256" t="s">
        <v>8</v>
      </c>
      <c r="BH8" s="239">
        <v>3</v>
      </c>
      <c r="BI8" s="624" t="s">
        <v>886</v>
      </c>
      <c r="BJ8" s="625" t="s">
        <v>887</v>
      </c>
      <c r="BK8" s="624" t="s">
        <v>888</v>
      </c>
      <c r="BL8" s="625" t="s">
        <v>889</v>
      </c>
      <c r="BM8" s="2066" t="s">
        <v>890</v>
      </c>
      <c r="BN8" s="314" t="s">
        <v>891</v>
      </c>
    </row>
    <row r="9" spans="2:66" s="2" customFormat="1" ht="14.25" customHeight="1">
      <c r="B9" s="246" t="s">
        <v>892</v>
      </c>
      <c r="C9" s="237" t="s">
        <v>893</v>
      </c>
      <c r="D9" s="237"/>
      <c r="E9" s="256" t="s">
        <v>8</v>
      </c>
      <c r="F9" s="239">
        <v>3</v>
      </c>
      <c r="G9" s="624">
        <f xml:space="preserve"> SUM( '4D'!G10:H10 )</f>
        <v>2.5760000000000001</v>
      </c>
      <c r="H9" s="625">
        <f xml:space="preserve"> SUM( '4D'!I10:L10 )</f>
        <v>0.107</v>
      </c>
      <c r="I9" s="624">
        <f xml:space="preserve"> SUM( '4E'!G10:K10 )</f>
        <v>2.39</v>
      </c>
      <c r="J9" s="2088">
        <f xml:space="preserve"> SUM( '4E'!L10:N10 )</f>
        <v>0.106</v>
      </c>
      <c r="K9" s="2106">
        <v>0</v>
      </c>
      <c r="L9" s="314">
        <f t="shared" si="0"/>
        <v>5.1790000000000003</v>
      </c>
      <c r="M9" s="85"/>
      <c r="N9" s="118"/>
      <c r="O9" s="25">
        <f t="shared" si="1"/>
        <v>0</v>
      </c>
      <c r="P9" s="65"/>
      <c r="Q9" s="66"/>
      <c r="R9" s="113"/>
      <c r="S9" s="113"/>
      <c r="T9" s="113"/>
      <c r="U9" s="86">
        <f xml:space="preserve"> IF( Validation!$H$3 = 1, 0, ( IF( ISNUMBER( K9 ), 0, 1 )))</f>
        <v>0</v>
      </c>
      <c r="V9" s="66"/>
      <c r="W9" s="113"/>
      <c r="X9" s="66"/>
      <c r="Y9" s="143"/>
      <c r="Z9" s="143"/>
      <c r="AA9" s="143"/>
      <c r="AB9" s="143"/>
      <c r="AC9" s="2205"/>
      <c r="AD9" s="66"/>
      <c r="BD9" s="246" t="s">
        <v>892</v>
      </c>
      <c r="BE9" s="237" t="s">
        <v>893</v>
      </c>
      <c r="BF9" s="237"/>
      <c r="BG9" s="256" t="s">
        <v>8</v>
      </c>
      <c r="BH9" s="239">
        <v>3</v>
      </c>
      <c r="BI9" s="624" t="s">
        <v>894</v>
      </c>
      <c r="BJ9" s="625" t="s">
        <v>895</v>
      </c>
      <c r="BK9" s="624" t="s">
        <v>896</v>
      </c>
      <c r="BL9" s="625" t="s">
        <v>897</v>
      </c>
      <c r="BM9" s="2066" t="s">
        <v>898</v>
      </c>
      <c r="BN9" s="314" t="s">
        <v>899</v>
      </c>
    </row>
    <row r="10" spans="2:66" s="2" customFormat="1">
      <c r="B10" s="246" t="s">
        <v>900</v>
      </c>
      <c r="C10" s="237" t="s">
        <v>901</v>
      </c>
      <c r="D10" s="237"/>
      <c r="E10" s="256" t="s">
        <v>8</v>
      </c>
      <c r="F10" s="239">
        <v>3</v>
      </c>
      <c r="G10" s="624">
        <f xml:space="preserve"> SUM( '4D'!G11:H11 )</f>
        <v>0</v>
      </c>
      <c r="H10" s="625">
        <f xml:space="preserve"> SUM( '4D'!I11:L11 )</f>
        <v>63.095999999999997</v>
      </c>
      <c r="I10" s="624">
        <f xml:space="preserve"> SUM( '4E'!G11:K11 )</f>
        <v>68.987000000000009</v>
      </c>
      <c r="J10" s="2088">
        <f xml:space="preserve"> SUM( '4E'!L11:N11 )</f>
        <v>0</v>
      </c>
      <c r="K10" s="2106">
        <v>0</v>
      </c>
      <c r="L10" s="314">
        <f t="shared" si="0"/>
        <v>132.083</v>
      </c>
      <c r="M10" s="85"/>
      <c r="N10" s="118"/>
      <c r="O10" s="25">
        <f t="shared" si="1"/>
        <v>0</v>
      </c>
      <c r="P10" s="65"/>
      <c r="Q10" s="66"/>
      <c r="R10" s="113"/>
      <c r="S10" s="113"/>
      <c r="T10" s="113"/>
      <c r="U10" s="86">
        <f xml:space="preserve"> IF( Validation!$H$3 = 1, 0, ( IF( ISNUMBER( K10 ), 0, 1 )))</f>
        <v>0</v>
      </c>
      <c r="V10" s="66"/>
      <c r="W10" s="113"/>
      <c r="X10" s="66"/>
      <c r="Y10" s="143"/>
      <c r="Z10" s="143"/>
      <c r="AA10" s="143"/>
      <c r="AB10" s="143"/>
      <c r="AC10" s="2205"/>
      <c r="AD10" s="66"/>
      <c r="BD10" s="246" t="s">
        <v>900</v>
      </c>
      <c r="BE10" s="237" t="s">
        <v>901</v>
      </c>
      <c r="BF10" s="237"/>
      <c r="BG10" s="256" t="s">
        <v>8</v>
      </c>
      <c r="BH10" s="239">
        <v>3</v>
      </c>
      <c r="BI10" s="1583" t="s">
        <v>902</v>
      </c>
      <c r="BJ10" s="1584" t="s">
        <v>903</v>
      </c>
      <c r="BK10" s="1583" t="s">
        <v>904</v>
      </c>
      <c r="BL10" s="1584" t="s">
        <v>905</v>
      </c>
      <c r="BM10" s="2096" t="s">
        <v>906</v>
      </c>
      <c r="BN10" s="1585" t="s">
        <v>907</v>
      </c>
    </row>
    <row r="11" spans="2:66" s="2" customFormat="1">
      <c r="B11" s="246" t="s">
        <v>908</v>
      </c>
      <c r="C11" s="237" t="s">
        <v>909</v>
      </c>
      <c r="D11" s="237"/>
      <c r="E11" s="256" t="s">
        <v>8</v>
      </c>
      <c r="F11" s="239">
        <v>3</v>
      </c>
      <c r="G11" s="624">
        <f xml:space="preserve"> SUM( '4D'!G12:H12 )</f>
        <v>0</v>
      </c>
      <c r="H11" s="625">
        <f xml:space="preserve"> SUM( '4D'!I12:L12 )</f>
        <v>0</v>
      </c>
      <c r="I11" s="624">
        <f xml:space="preserve"> SUM( '4E'!G12:K12 )</f>
        <v>0</v>
      </c>
      <c r="J11" s="2088">
        <f xml:space="preserve"> SUM( '4E'!L12:N12 )</f>
        <v>0</v>
      </c>
      <c r="K11" s="2106">
        <v>0</v>
      </c>
      <c r="L11" s="314">
        <f t="shared" si="0"/>
        <v>0</v>
      </c>
      <c r="M11" s="85"/>
      <c r="N11" s="118"/>
      <c r="O11" s="25">
        <f t="shared" si="1"/>
        <v>0</v>
      </c>
      <c r="P11" s="65"/>
      <c r="Q11" s="66"/>
      <c r="R11" s="113"/>
      <c r="S11" s="113"/>
      <c r="T11" s="113"/>
      <c r="U11" s="86">
        <f xml:space="preserve"> IF( Validation!$H$3 = 1, 0, ( IF( ISNUMBER( K11 ), 0, 1 )))</f>
        <v>0</v>
      </c>
      <c r="V11" s="66"/>
      <c r="W11" s="113"/>
      <c r="X11" s="66"/>
      <c r="Y11" s="143"/>
      <c r="Z11" s="143"/>
      <c r="AA11" s="143"/>
      <c r="AB11" s="143"/>
      <c r="AC11" s="2205"/>
      <c r="AD11" s="66"/>
      <c r="BD11" s="246" t="s">
        <v>908</v>
      </c>
      <c r="BE11" s="237" t="s">
        <v>909</v>
      </c>
      <c r="BF11" s="237"/>
      <c r="BG11" s="256" t="s">
        <v>8</v>
      </c>
      <c r="BH11" s="239">
        <v>3</v>
      </c>
      <c r="BI11" s="1583" t="s">
        <v>910</v>
      </c>
      <c r="BJ11" s="1584" t="s">
        <v>911</v>
      </c>
      <c r="BK11" s="1583" t="s">
        <v>912</v>
      </c>
      <c r="BL11" s="1584" t="s">
        <v>913</v>
      </c>
      <c r="BM11" s="2096" t="s">
        <v>914</v>
      </c>
      <c r="BN11" s="1585" t="s">
        <v>915</v>
      </c>
    </row>
    <row r="12" spans="2:66" s="2" customFormat="1">
      <c r="B12" s="246" t="s">
        <v>916</v>
      </c>
      <c r="C12" s="237" t="s">
        <v>917</v>
      </c>
      <c r="D12" s="237"/>
      <c r="E12" s="256" t="s">
        <v>8</v>
      </c>
      <c r="F12" s="239">
        <v>3</v>
      </c>
      <c r="G12" s="624">
        <f xml:space="preserve"> SUM( '4D'!G13:H13 )</f>
        <v>27.445</v>
      </c>
      <c r="H12" s="625">
        <f xml:space="preserve"> SUM( '4D'!I13:L13 )</f>
        <v>227.96100000000001</v>
      </c>
      <c r="I12" s="624">
        <f xml:space="preserve"> SUM( '4E'!G13:K13 )</f>
        <v>190.55799999999999</v>
      </c>
      <c r="J12" s="2088">
        <f xml:space="preserve"> SUM( '4E'!L13:N13 )</f>
        <v>80.251999999999995</v>
      </c>
      <c r="K12" s="2106">
        <v>0</v>
      </c>
      <c r="L12" s="314">
        <f t="shared" si="0"/>
        <v>526.21600000000001</v>
      </c>
      <c r="M12" s="85"/>
      <c r="N12" s="118"/>
      <c r="O12" s="25">
        <f t="shared" si="1"/>
        <v>0</v>
      </c>
      <c r="P12" s="65"/>
      <c r="Q12" s="66"/>
      <c r="R12" s="113"/>
      <c r="S12" s="113"/>
      <c r="T12" s="113"/>
      <c r="U12" s="86">
        <f xml:space="preserve"> IF( Validation!$H$3 = 1, 0, ( IF( ISNUMBER( K12 ), 0, 1 )))</f>
        <v>0</v>
      </c>
      <c r="V12" s="66"/>
      <c r="W12" s="113"/>
      <c r="X12" s="66"/>
      <c r="Y12" s="143"/>
      <c r="Z12" s="143"/>
      <c r="AA12" s="143"/>
      <c r="AB12" s="143"/>
      <c r="AC12" s="2205"/>
      <c r="AD12" s="66"/>
      <c r="BD12" s="246" t="s">
        <v>916</v>
      </c>
      <c r="BE12" s="237" t="s">
        <v>917</v>
      </c>
      <c r="BF12" s="237"/>
      <c r="BG12" s="256" t="s">
        <v>8</v>
      </c>
      <c r="BH12" s="239">
        <v>3</v>
      </c>
      <c r="BI12" s="1583" t="s">
        <v>918</v>
      </c>
      <c r="BJ12" s="1584" t="s">
        <v>919</v>
      </c>
      <c r="BK12" s="1583" t="s">
        <v>920</v>
      </c>
      <c r="BL12" s="1584" t="s">
        <v>921</v>
      </c>
      <c r="BM12" s="2096" t="s">
        <v>922</v>
      </c>
      <c r="BN12" s="1585" t="s">
        <v>923</v>
      </c>
    </row>
    <row r="13" spans="2:66" s="2" customFormat="1">
      <c r="B13" s="246" t="s">
        <v>924</v>
      </c>
      <c r="C13" s="237" t="s">
        <v>925</v>
      </c>
      <c r="D13" s="237"/>
      <c r="E13" s="256" t="s">
        <v>8</v>
      </c>
      <c r="F13" s="239">
        <v>3</v>
      </c>
      <c r="G13" s="624">
        <f xml:space="preserve"> SUM( '4D'!G14:H14 )</f>
        <v>3.4950000000000001</v>
      </c>
      <c r="H13" s="625">
        <f xml:space="preserve"> SUM( '4D'!I14:L14 )</f>
        <v>72.475999999999999</v>
      </c>
      <c r="I13" s="624">
        <f xml:space="preserve"> SUM( '4E'!G14:K14 )</f>
        <v>28.538</v>
      </c>
      <c r="J13" s="2088">
        <f xml:space="preserve"> SUM( '4E'!L14:N14 )</f>
        <v>9.8560000000000016</v>
      </c>
      <c r="K13" s="2106">
        <v>0</v>
      </c>
      <c r="L13" s="314">
        <f t="shared" si="0"/>
        <v>114.36500000000001</v>
      </c>
      <c r="M13" s="85"/>
      <c r="N13" s="118"/>
      <c r="O13" s="25">
        <f t="shared" si="1"/>
        <v>0</v>
      </c>
      <c r="P13" s="65"/>
      <c r="Q13" s="66"/>
      <c r="R13" s="113"/>
      <c r="S13" s="113"/>
      <c r="T13" s="113"/>
      <c r="U13" s="86">
        <f xml:space="preserve"> IF( Validation!$H$3 = 1, 0, ( IF( ISNUMBER( K13 ), 0, 1 )))</f>
        <v>0</v>
      </c>
      <c r="V13" s="66"/>
      <c r="W13" s="113"/>
      <c r="X13" s="66"/>
      <c r="Y13" s="143"/>
      <c r="Z13" s="143"/>
      <c r="AA13" s="143"/>
      <c r="AB13" s="143"/>
      <c r="AC13" s="2205"/>
      <c r="AD13" s="66"/>
      <c r="BD13" s="246" t="s">
        <v>924</v>
      </c>
      <c r="BE13" s="237" t="s">
        <v>925</v>
      </c>
      <c r="BF13" s="237"/>
      <c r="BG13" s="256" t="s">
        <v>8</v>
      </c>
      <c r="BH13" s="239">
        <v>3</v>
      </c>
      <c r="BI13" s="624" t="s">
        <v>926</v>
      </c>
      <c r="BJ13" s="625" t="s">
        <v>927</v>
      </c>
      <c r="BK13" s="624" t="s">
        <v>928</v>
      </c>
      <c r="BL13" s="625" t="s">
        <v>929</v>
      </c>
      <c r="BM13" s="2066" t="s">
        <v>930</v>
      </c>
      <c r="BN13" s="314" t="s">
        <v>931</v>
      </c>
    </row>
    <row r="14" spans="2:66" s="2" customFormat="1" ht="15" thickBot="1">
      <c r="B14" s="247" t="s">
        <v>932</v>
      </c>
      <c r="C14" s="242" t="s">
        <v>933</v>
      </c>
      <c r="D14" s="242"/>
      <c r="E14" s="243" t="s">
        <v>8</v>
      </c>
      <c r="F14" s="244">
        <v>3</v>
      </c>
      <c r="G14" s="277">
        <f t="shared" ref="G14:L14" si="2" xml:space="preserve"> SUM( G6:G13 )</f>
        <v>59.866</v>
      </c>
      <c r="H14" s="279">
        <f t="shared" si="2"/>
        <v>404.67899999999997</v>
      </c>
      <c r="I14" s="319">
        <f t="shared" si="2"/>
        <v>360.07</v>
      </c>
      <c r="J14" s="2089">
        <f t="shared" si="2"/>
        <v>66.063999999999993</v>
      </c>
      <c r="K14" s="279">
        <f t="shared" si="2"/>
        <v>0</v>
      </c>
      <c r="L14" s="287">
        <f t="shared" si="2"/>
        <v>890.67899999999997</v>
      </c>
      <c r="M14" s="85"/>
      <c r="N14" s="118"/>
      <c r="O14" s="118"/>
      <c r="P14" s="65"/>
      <c r="Q14" s="66"/>
      <c r="R14" s="65"/>
      <c r="S14" s="65"/>
      <c r="T14" s="65"/>
      <c r="U14" s="65"/>
      <c r="V14" s="66"/>
      <c r="W14" s="69"/>
      <c r="X14" s="66"/>
      <c r="Y14" s="69"/>
      <c r="Z14" s="69"/>
      <c r="AA14" s="69"/>
      <c r="AB14" s="69"/>
      <c r="AC14" s="69"/>
      <c r="AD14" s="66"/>
      <c r="BD14" s="247" t="s">
        <v>932</v>
      </c>
      <c r="BE14" s="242" t="s">
        <v>933</v>
      </c>
      <c r="BF14" s="242"/>
      <c r="BG14" s="243" t="s">
        <v>8</v>
      </c>
      <c r="BH14" s="244">
        <v>3</v>
      </c>
      <c r="BI14" s="277" t="s">
        <v>934</v>
      </c>
      <c r="BJ14" s="279" t="s">
        <v>935</v>
      </c>
      <c r="BK14" s="319" t="s">
        <v>936</v>
      </c>
      <c r="BL14" s="279" t="s">
        <v>937</v>
      </c>
      <c r="BM14" s="2062" t="s">
        <v>938</v>
      </c>
      <c r="BN14" s="287" t="s">
        <v>939</v>
      </c>
    </row>
    <row r="15" spans="2:66" s="2" customFormat="1" ht="15" thickBot="1">
      <c r="E15" s="7"/>
      <c r="F15" s="7"/>
      <c r="G15" s="654"/>
      <c r="H15" s="654"/>
      <c r="I15" s="654"/>
      <c r="J15" s="654"/>
      <c r="K15" s="654"/>
      <c r="L15" s="654"/>
      <c r="N15" s="116"/>
      <c r="O15" s="116"/>
      <c r="P15" s="65"/>
      <c r="Q15" s="66"/>
      <c r="R15" s="65"/>
      <c r="S15" s="65"/>
      <c r="T15" s="65"/>
      <c r="U15" s="65"/>
      <c r="V15" s="66"/>
      <c r="W15" s="69"/>
      <c r="X15" s="66"/>
      <c r="Y15" s="69"/>
      <c r="Z15" s="69"/>
      <c r="AA15" s="69"/>
      <c r="AB15" s="69"/>
      <c r="AC15" s="69"/>
      <c r="AD15" s="66"/>
      <c r="BG15" s="7"/>
      <c r="BH15" s="7"/>
      <c r="BI15" s="654"/>
      <c r="BJ15" s="654"/>
      <c r="BK15" s="654"/>
      <c r="BL15" s="654"/>
      <c r="BM15" s="654"/>
      <c r="BN15" s="654"/>
    </row>
    <row r="16" spans="2:66" s="2" customFormat="1">
      <c r="B16" s="245" t="s">
        <v>940</v>
      </c>
      <c r="C16" s="29" t="s">
        <v>941</v>
      </c>
      <c r="D16" s="29"/>
      <c r="E16" s="255" t="s">
        <v>8</v>
      </c>
      <c r="F16" s="235">
        <v>3</v>
      </c>
      <c r="G16" s="622">
        <f xml:space="preserve"> SUM( '4D'!G17:H17 )</f>
        <v>2.3340000000000001</v>
      </c>
      <c r="H16" s="586">
        <f xml:space="preserve"> SUM( '4D'!I17:L17 )</f>
        <v>3.722</v>
      </c>
      <c r="I16" s="622">
        <f xml:space="preserve"> SUM( '4E'!G17:K17 )</f>
        <v>4.0049999999999999</v>
      </c>
      <c r="J16" s="2087">
        <f xml:space="preserve"> SUM( '4E'!L17:N17 )</f>
        <v>9.1999999999999998E-2</v>
      </c>
      <c r="K16" s="2105">
        <v>0</v>
      </c>
      <c r="L16" s="313">
        <f xml:space="preserve"> SUM( G16:K16 )</f>
        <v>10.153</v>
      </c>
      <c r="M16" s="85"/>
      <c r="N16" s="116"/>
      <c r="O16" s="25">
        <f xml:space="preserve"> IF( SUM( Q16:V16 ) = 0, 0, $R$5 )</f>
        <v>0</v>
      </c>
      <c r="P16" s="65"/>
      <c r="Q16" s="66"/>
      <c r="R16" s="113"/>
      <c r="S16" s="113"/>
      <c r="T16" s="113"/>
      <c r="U16" s="86">
        <f xml:space="preserve"> IF( Validation!$H$3 = 1, 0, ( IF( ISNUMBER( K16 ), 0, 1 )))</f>
        <v>0</v>
      </c>
      <c r="V16" s="66"/>
      <c r="W16" s="69"/>
      <c r="X16" s="66"/>
      <c r="Y16" s="69"/>
      <c r="Z16" s="69"/>
      <c r="AA16" s="69"/>
      <c r="AB16" s="69"/>
      <c r="AC16" s="69"/>
      <c r="AD16" s="66"/>
      <c r="BD16" s="245" t="s">
        <v>940</v>
      </c>
      <c r="BE16" s="29" t="s">
        <v>941</v>
      </c>
      <c r="BF16" s="29"/>
      <c r="BG16" s="255" t="s">
        <v>8</v>
      </c>
      <c r="BH16" s="235">
        <v>3</v>
      </c>
      <c r="BI16" s="622" t="s">
        <v>942</v>
      </c>
      <c r="BJ16" s="586" t="s">
        <v>943</v>
      </c>
      <c r="BK16" s="622" t="s">
        <v>944</v>
      </c>
      <c r="BL16" s="623" t="s">
        <v>945</v>
      </c>
      <c r="BM16" s="2065" t="s">
        <v>946</v>
      </c>
      <c r="BN16" s="313" t="s">
        <v>947</v>
      </c>
    </row>
    <row r="17" spans="2:66" s="2" customFormat="1" ht="15" thickBot="1">
      <c r="B17" s="247" t="s">
        <v>948</v>
      </c>
      <c r="C17" s="31" t="s">
        <v>949</v>
      </c>
      <c r="D17" s="31"/>
      <c r="E17" s="243" t="s">
        <v>8</v>
      </c>
      <c r="F17" s="244">
        <v>3</v>
      </c>
      <c r="G17" s="277">
        <f xml:space="preserve"> G14 + G16</f>
        <v>62.2</v>
      </c>
      <c r="H17" s="279">
        <f t="shared" ref="H17:J17" si="3" xml:space="preserve"> H14 + H16</f>
        <v>408.40099999999995</v>
      </c>
      <c r="I17" s="319">
        <f t="shared" si="3"/>
        <v>364.07499999999999</v>
      </c>
      <c r="J17" s="2089">
        <f t="shared" si="3"/>
        <v>66.155999999999992</v>
      </c>
      <c r="K17" s="279">
        <f xml:space="preserve"> K14 + K16</f>
        <v>0</v>
      </c>
      <c r="L17" s="287">
        <f t="shared" ref="L17" si="4" xml:space="preserve"> L14 + L16</f>
        <v>900.83199999999999</v>
      </c>
      <c r="M17" s="85"/>
      <c r="N17" s="116"/>
      <c r="O17" s="116"/>
      <c r="P17" s="65"/>
      <c r="Q17" s="66"/>
      <c r="R17" s="65"/>
      <c r="S17" s="65"/>
      <c r="T17" s="65"/>
      <c r="U17" s="65"/>
      <c r="V17" s="66"/>
      <c r="W17" s="69"/>
      <c r="X17" s="66"/>
      <c r="Y17" s="69"/>
      <c r="Z17" s="69"/>
      <c r="AA17" s="69"/>
      <c r="AB17" s="69"/>
      <c r="AC17" s="69"/>
      <c r="AD17" s="66"/>
      <c r="BD17" s="247" t="s">
        <v>948</v>
      </c>
      <c r="BE17" s="31" t="s">
        <v>949</v>
      </c>
      <c r="BF17" s="31"/>
      <c r="BG17" s="243" t="s">
        <v>8</v>
      </c>
      <c r="BH17" s="244">
        <v>3</v>
      </c>
      <c r="BI17" s="277" t="s">
        <v>950</v>
      </c>
      <c r="BJ17" s="279" t="s">
        <v>951</v>
      </c>
      <c r="BK17" s="319" t="s">
        <v>952</v>
      </c>
      <c r="BL17" s="279" t="s">
        <v>953</v>
      </c>
      <c r="BM17" s="2062" t="s">
        <v>954</v>
      </c>
      <c r="BN17" s="287" t="s">
        <v>955</v>
      </c>
    </row>
    <row r="18" spans="2:66" s="2" customFormat="1" ht="15" thickBot="1">
      <c r="E18" s="7"/>
      <c r="F18" s="7"/>
      <c r="G18" s="654"/>
      <c r="H18" s="654"/>
      <c r="I18" s="654"/>
      <c r="J18" s="654"/>
      <c r="K18" s="654"/>
      <c r="L18" s="654"/>
      <c r="N18" s="116"/>
      <c r="O18" s="116"/>
      <c r="P18" s="65"/>
      <c r="Q18" s="66"/>
      <c r="R18" s="65"/>
      <c r="S18" s="65"/>
      <c r="T18" s="65"/>
      <c r="U18" s="65"/>
      <c r="V18" s="66"/>
      <c r="W18" s="69"/>
      <c r="X18" s="66"/>
      <c r="Y18" s="69"/>
      <c r="Z18" s="69"/>
      <c r="AA18" s="69"/>
      <c r="AB18" s="69"/>
      <c r="AC18" s="69"/>
      <c r="AD18" s="66"/>
      <c r="BG18" s="7"/>
      <c r="BH18" s="7"/>
      <c r="BI18" s="654"/>
      <c r="BJ18" s="654"/>
      <c r="BK18" s="654"/>
      <c r="BL18" s="654"/>
      <c r="BM18" s="654"/>
      <c r="BN18" s="654"/>
    </row>
    <row r="19" spans="2:66" s="2" customFormat="1" ht="15" thickBot="1">
      <c r="B19" s="2211" t="s">
        <v>236</v>
      </c>
      <c r="C19" s="254" t="s">
        <v>956</v>
      </c>
      <c r="D19" s="1295"/>
      <c r="E19" s="7"/>
      <c r="F19" s="7"/>
      <c r="G19" s="654"/>
      <c r="H19" s="654"/>
      <c r="I19" s="654"/>
      <c r="J19" s="654"/>
      <c r="K19" s="654"/>
      <c r="L19" s="654"/>
      <c r="N19" s="116"/>
      <c r="O19" s="116"/>
      <c r="P19" s="65"/>
      <c r="Q19" s="66"/>
      <c r="R19" s="65"/>
      <c r="S19" s="65"/>
      <c r="T19" s="65"/>
      <c r="U19" s="65"/>
      <c r="V19" s="66"/>
      <c r="W19" s="103"/>
      <c r="X19" s="66"/>
      <c r="Y19" s="103"/>
      <c r="Z19" s="103"/>
      <c r="AA19" s="103"/>
      <c r="AB19" s="103"/>
      <c r="AC19" s="103"/>
      <c r="AD19" s="66"/>
      <c r="BD19" s="2211" t="s">
        <v>236</v>
      </c>
      <c r="BE19" s="254" t="s">
        <v>956</v>
      </c>
      <c r="BF19" s="1295"/>
      <c r="BG19" s="7"/>
      <c r="BH19" s="7"/>
      <c r="BI19" s="654"/>
      <c r="BJ19" s="654"/>
      <c r="BK19" s="654"/>
      <c r="BL19" s="654"/>
      <c r="BM19" s="654"/>
      <c r="BN19" s="654"/>
    </row>
    <row r="20" spans="2:66" s="2" customFormat="1">
      <c r="B20" s="245" t="s">
        <v>957</v>
      </c>
      <c r="C20" s="233" t="s">
        <v>958</v>
      </c>
      <c r="D20" s="233"/>
      <c r="E20" s="255" t="s">
        <v>8</v>
      </c>
      <c r="F20" s="235">
        <v>3</v>
      </c>
      <c r="G20" s="622">
        <f xml:space="preserve"> SUM( '4D'!G21:H21 )</f>
        <v>6.2859999999999996</v>
      </c>
      <c r="H20" s="623">
        <f xml:space="preserve"> SUM( '4D'!I21:L21 )</f>
        <v>139.29499999999999</v>
      </c>
      <c r="I20" s="622">
        <f xml:space="preserve"> SUM( '4E'!G21:K21 )</f>
        <v>70.800000000000011</v>
      </c>
      <c r="J20" s="2087">
        <f xml:space="preserve"> SUM( '4E'!L21:N21 )</f>
        <v>0</v>
      </c>
      <c r="K20" s="2105">
        <v>0</v>
      </c>
      <c r="L20" s="313">
        <f t="shared" ref="L20:L24" si="5" xml:space="preserve"> SUM( G20:K20 )</f>
        <v>216.381</v>
      </c>
      <c r="M20" s="85"/>
      <c r="N20" s="116"/>
      <c r="O20" s="25">
        <f t="shared" ref="O20:O24" si="6" xml:space="preserve"> IF( SUM( Q20:V20 ) = 0, 0, $R$5 )</f>
        <v>0</v>
      </c>
      <c r="P20" s="65"/>
      <c r="Q20" s="66"/>
      <c r="R20" s="113"/>
      <c r="S20" s="113"/>
      <c r="T20" s="113"/>
      <c r="U20" s="86">
        <f xml:space="preserve"> IF( Validation!$H$3 = 1, 0, ( IF( ISNUMBER( K20 ), 0, 1 )))</f>
        <v>0</v>
      </c>
      <c r="V20" s="66"/>
      <c r="W20" s="142"/>
      <c r="X20" s="66"/>
      <c r="Y20" s="142"/>
      <c r="Z20" s="142"/>
      <c r="AA20" s="142"/>
      <c r="AB20" s="142"/>
      <c r="AC20" s="142"/>
      <c r="AD20" s="66"/>
      <c r="BD20" s="245" t="s">
        <v>957</v>
      </c>
      <c r="BE20" s="233" t="s">
        <v>958</v>
      </c>
      <c r="BF20" s="233"/>
      <c r="BG20" s="255" t="s">
        <v>8</v>
      </c>
      <c r="BH20" s="235">
        <v>3</v>
      </c>
      <c r="BI20" s="622" t="s">
        <v>959</v>
      </c>
      <c r="BJ20" s="623" t="s">
        <v>960</v>
      </c>
      <c r="BK20" s="622" t="s">
        <v>961</v>
      </c>
      <c r="BL20" s="623" t="s">
        <v>962</v>
      </c>
      <c r="BM20" s="2065" t="s">
        <v>963</v>
      </c>
      <c r="BN20" s="313" t="s">
        <v>964</v>
      </c>
    </row>
    <row r="21" spans="2:66" s="2" customFormat="1">
      <c r="B21" s="246" t="s">
        <v>965</v>
      </c>
      <c r="C21" s="237" t="s">
        <v>966</v>
      </c>
      <c r="D21" s="237"/>
      <c r="E21" s="256" t="s">
        <v>8</v>
      </c>
      <c r="F21" s="239">
        <v>3</v>
      </c>
      <c r="G21" s="624">
        <f xml:space="preserve"> SUM( '4D'!G22:H22 )</f>
        <v>15.544</v>
      </c>
      <c r="H21" s="625">
        <f xml:space="preserve"> SUM( '4D'!I22:L22 )</f>
        <v>170.21299999999999</v>
      </c>
      <c r="I21" s="624">
        <f xml:space="preserve"> SUM( '4E'!G22:K22 )</f>
        <v>148.4285001159754</v>
      </c>
      <c r="J21" s="2088">
        <f xml:space="preserve"> SUM( '4E'!L22:N22 )</f>
        <v>87.154562957058104</v>
      </c>
      <c r="K21" s="2106">
        <v>-6.9000000000000006E-2</v>
      </c>
      <c r="L21" s="314">
        <f t="shared" si="5"/>
        <v>421.27106307303347</v>
      </c>
      <c r="M21" s="85"/>
      <c r="N21" s="116"/>
      <c r="O21" s="25">
        <f t="shared" si="6"/>
        <v>0</v>
      </c>
      <c r="P21" s="65"/>
      <c r="Q21" s="66"/>
      <c r="R21" s="113"/>
      <c r="S21" s="113"/>
      <c r="T21" s="113"/>
      <c r="U21" s="86">
        <f xml:space="preserve"> IF( Validation!$H$3 = 1, 0, ( IF( ISNUMBER( K21 ), 0, 1 )))</f>
        <v>0</v>
      </c>
      <c r="V21" s="66"/>
      <c r="W21" s="142"/>
      <c r="X21" s="66"/>
      <c r="Y21" s="142"/>
      <c r="Z21" s="142"/>
      <c r="AA21" s="142"/>
      <c r="AB21" s="142"/>
      <c r="AC21" s="142"/>
      <c r="AD21" s="66"/>
      <c r="BD21" s="246" t="s">
        <v>965</v>
      </c>
      <c r="BE21" s="237" t="s">
        <v>966</v>
      </c>
      <c r="BF21" s="237"/>
      <c r="BG21" s="256" t="s">
        <v>8</v>
      </c>
      <c r="BH21" s="239">
        <v>3</v>
      </c>
      <c r="BI21" s="624" t="s">
        <v>967</v>
      </c>
      <c r="BJ21" s="625" t="s">
        <v>968</v>
      </c>
      <c r="BK21" s="624" t="s">
        <v>969</v>
      </c>
      <c r="BL21" s="625" t="s">
        <v>970</v>
      </c>
      <c r="BM21" s="2066" t="s">
        <v>971</v>
      </c>
      <c r="BN21" s="314" t="s">
        <v>972</v>
      </c>
    </row>
    <row r="22" spans="2:66" s="2" customFormat="1">
      <c r="B22" s="246" t="s">
        <v>973</v>
      </c>
      <c r="C22" s="315" t="s">
        <v>974</v>
      </c>
      <c r="D22" s="315"/>
      <c r="E22" s="256" t="s">
        <v>8</v>
      </c>
      <c r="F22" s="239">
        <v>3</v>
      </c>
      <c r="G22" s="624">
        <f xml:space="preserve"> SUM( '4D'!G23:H23 )</f>
        <v>1.954</v>
      </c>
      <c r="H22" s="625">
        <f xml:space="preserve"> SUM( '4D'!I23:L23 )</f>
        <v>65.248999999999995</v>
      </c>
      <c r="I22" s="624">
        <f xml:space="preserve"> SUM( '4E'!G23:K23 )</f>
        <v>29.750999999999998</v>
      </c>
      <c r="J22" s="2088">
        <f xml:space="preserve"> SUM( '4E'!L23:N23 )</f>
        <v>0</v>
      </c>
      <c r="K22" s="2106">
        <v>36.353999999999999</v>
      </c>
      <c r="L22" s="314">
        <f t="shared" si="5"/>
        <v>133.30799999999999</v>
      </c>
      <c r="M22" s="85"/>
      <c r="N22" s="116"/>
      <c r="O22" s="25">
        <f t="shared" si="6"/>
        <v>0</v>
      </c>
      <c r="P22" s="65"/>
      <c r="Q22" s="66"/>
      <c r="R22" s="113"/>
      <c r="S22" s="113"/>
      <c r="T22" s="113"/>
      <c r="U22" s="86">
        <f xml:space="preserve"> IF( Validation!$H$3 = 1, 0, ( IF( ISNUMBER( K22 ), 0, 1 )))</f>
        <v>0</v>
      </c>
      <c r="V22" s="66"/>
      <c r="W22" s="142"/>
      <c r="X22" s="66"/>
      <c r="Y22" s="142"/>
      <c r="Z22" s="142"/>
      <c r="AA22" s="142"/>
      <c r="AB22" s="142"/>
      <c r="AC22" s="142"/>
      <c r="AD22" s="66"/>
      <c r="BD22" s="246" t="s">
        <v>973</v>
      </c>
      <c r="BE22" s="315" t="s">
        <v>974</v>
      </c>
      <c r="BF22" s="315"/>
      <c r="BG22" s="256" t="s">
        <v>8</v>
      </c>
      <c r="BH22" s="239">
        <v>3</v>
      </c>
      <c r="BI22" s="624" t="s">
        <v>975</v>
      </c>
      <c r="BJ22" s="625" t="s">
        <v>976</v>
      </c>
      <c r="BK22" s="624" t="s">
        <v>977</v>
      </c>
      <c r="BL22" s="625" t="s">
        <v>978</v>
      </c>
      <c r="BM22" s="2066" t="s">
        <v>979</v>
      </c>
      <c r="BN22" s="314" t="s">
        <v>980</v>
      </c>
    </row>
    <row r="23" spans="2:66" s="2" customFormat="1">
      <c r="B23" s="246" t="s">
        <v>981</v>
      </c>
      <c r="C23" s="315" t="s">
        <v>982</v>
      </c>
      <c r="D23" s="315"/>
      <c r="E23" s="256" t="s">
        <v>8</v>
      </c>
      <c r="F23" s="239">
        <v>3</v>
      </c>
      <c r="G23" s="624">
        <f xml:space="preserve"> SUM( '4D'!G24:H24 )</f>
        <v>-1.381</v>
      </c>
      <c r="H23" s="625">
        <f xml:space="preserve"> SUM( '4D'!I24:L24 )</f>
        <v>67.289999999999992</v>
      </c>
      <c r="I23" s="624">
        <f xml:space="preserve"> SUM( '4E'!G24:K24 )</f>
        <v>141.84198629624223</v>
      </c>
      <c r="J23" s="2088">
        <f xml:space="preserve"> SUM( '4E'!L24:N24 )</f>
        <v>-1.2673729148618</v>
      </c>
      <c r="K23" s="2106">
        <v>2.4409999999999998</v>
      </c>
      <c r="L23" s="314">
        <f t="shared" si="5"/>
        <v>208.92461338138042</v>
      </c>
      <c r="M23" s="85"/>
      <c r="N23" s="116"/>
      <c r="O23" s="25">
        <f t="shared" si="6"/>
        <v>0</v>
      </c>
      <c r="P23" s="65"/>
      <c r="Q23" s="66"/>
      <c r="R23" s="113"/>
      <c r="S23" s="113"/>
      <c r="T23" s="113"/>
      <c r="U23" s="86">
        <f xml:space="preserve"> IF( Validation!$H$3 = 1, 0, ( IF( ISNUMBER( K23 ), 0, 1 )))</f>
        <v>0</v>
      </c>
      <c r="V23" s="66"/>
      <c r="W23" s="142"/>
      <c r="X23" s="66"/>
      <c r="Y23" s="142"/>
      <c r="Z23" s="142"/>
      <c r="AA23" s="142"/>
      <c r="AB23" s="142"/>
      <c r="AC23" s="142"/>
      <c r="AD23" s="66"/>
      <c r="BD23" s="246" t="s">
        <v>981</v>
      </c>
      <c r="BE23" s="315" t="s">
        <v>982</v>
      </c>
      <c r="BF23" s="315"/>
      <c r="BG23" s="256" t="s">
        <v>8</v>
      </c>
      <c r="BH23" s="239">
        <v>3</v>
      </c>
      <c r="BI23" s="624" t="s">
        <v>983</v>
      </c>
      <c r="BJ23" s="625" t="s">
        <v>984</v>
      </c>
      <c r="BK23" s="624" t="s">
        <v>985</v>
      </c>
      <c r="BL23" s="625" t="s">
        <v>986</v>
      </c>
      <c r="BM23" s="2066" t="s">
        <v>987</v>
      </c>
      <c r="BN23" s="314" t="s">
        <v>988</v>
      </c>
    </row>
    <row r="24" spans="2:66" s="2" customFormat="1">
      <c r="B24" s="246" t="s">
        <v>989</v>
      </c>
      <c r="C24" s="315" t="s">
        <v>990</v>
      </c>
      <c r="D24" s="315"/>
      <c r="E24" s="256" t="s">
        <v>8</v>
      </c>
      <c r="F24" s="239">
        <v>3</v>
      </c>
      <c r="G24" s="624">
        <f xml:space="preserve"> SUM( '4D'!G25:H25 )</f>
        <v>0</v>
      </c>
      <c r="H24" s="625">
        <f xml:space="preserve"> SUM( '4D'!I25:L25 )</f>
        <v>8.2900000000000009</v>
      </c>
      <c r="I24" s="624">
        <f xml:space="preserve"> SUM( '4E'!G25:K25 )</f>
        <v>7.32</v>
      </c>
      <c r="J24" s="2088">
        <f xml:space="preserve"> SUM( '4E'!L25:N25 )</f>
        <v>0</v>
      </c>
      <c r="K24" s="2106">
        <v>0</v>
      </c>
      <c r="L24" s="314">
        <f t="shared" si="5"/>
        <v>15.610000000000001</v>
      </c>
      <c r="M24" s="85"/>
      <c r="N24" s="116"/>
      <c r="O24" s="25">
        <f t="shared" si="6"/>
        <v>0</v>
      </c>
      <c r="P24" s="65"/>
      <c r="Q24" s="66"/>
      <c r="R24" s="113"/>
      <c r="S24" s="113"/>
      <c r="T24" s="113"/>
      <c r="U24" s="86">
        <f xml:space="preserve"> IF( Validation!$H$3 = 1, 0, ( IF( ISNUMBER( K24 ), 0, 1 )))</f>
        <v>0</v>
      </c>
      <c r="V24" s="66"/>
      <c r="W24" s="142"/>
      <c r="X24" s="66"/>
      <c r="Y24" s="142"/>
      <c r="Z24" s="142"/>
      <c r="AA24" s="142"/>
      <c r="AB24" s="142"/>
      <c r="AC24" s="142"/>
      <c r="AD24" s="66"/>
      <c r="BD24" s="246" t="s">
        <v>989</v>
      </c>
      <c r="BE24" s="315" t="s">
        <v>990</v>
      </c>
      <c r="BF24" s="315"/>
      <c r="BG24" s="256" t="s">
        <v>8</v>
      </c>
      <c r="BH24" s="239">
        <v>3</v>
      </c>
      <c r="BI24" s="1583" t="s">
        <v>991</v>
      </c>
      <c r="BJ24" s="1584" t="s">
        <v>992</v>
      </c>
      <c r="BK24" s="1583" t="s">
        <v>993</v>
      </c>
      <c r="BL24" s="1584" t="s">
        <v>994</v>
      </c>
      <c r="BM24" s="2096" t="s">
        <v>995</v>
      </c>
      <c r="BN24" s="1585" t="s">
        <v>996</v>
      </c>
    </row>
    <row r="25" spans="2:66" s="2" customFormat="1">
      <c r="B25" s="246" t="s">
        <v>997</v>
      </c>
      <c r="C25" s="237" t="s">
        <v>998</v>
      </c>
      <c r="D25" s="237"/>
      <c r="E25" s="256" t="s">
        <v>8</v>
      </c>
      <c r="F25" s="239">
        <v>3</v>
      </c>
      <c r="G25" s="290">
        <f t="shared" ref="G25:L25" si="7" xml:space="preserve"> SUM( G20:G24 )</f>
        <v>22.402999999999999</v>
      </c>
      <c r="H25" s="276">
        <f t="shared" si="7"/>
        <v>450.33699999999993</v>
      </c>
      <c r="I25" s="318">
        <f t="shared" si="7"/>
        <v>398.1414864122176</v>
      </c>
      <c r="J25" s="2090">
        <f t="shared" si="7"/>
        <v>85.887190042196309</v>
      </c>
      <c r="K25" s="276">
        <f t="shared" si="7"/>
        <v>38.725999999999999</v>
      </c>
      <c r="L25" s="314">
        <f t="shared" si="7"/>
        <v>995.49467645441393</v>
      </c>
      <c r="M25" s="85"/>
      <c r="N25" s="116"/>
      <c r="O25" s="116"/>
      <c r="P25" s="110"/>
      <c r="Q25" s="66"/>
      <c r="R25" s="65"/>
      <c r="S25" s="65"/>
      <c r="T25" s="65"/>
      <c r="U25" s="65"/>
      <c r="V25" s="66"/>
      <c r="W25" s="142"/>
      <c r="X25" s="66"/>
      <c r="Y25" s="142"/>
      <c r="Z25" s="142"/>
      <c r="AA25" s="142"/>
      <c r="AB25" s="142"/>
      <c r="AC25" s="142"/>
      <c r="AD25" s="66"/>
      <c r="BD25" s="246" t="s">
        <v>997</v>
      </c>
      <c r="BE25" s="237" t="s">
        <v>998</v>
      </c>
      <c r="BF25" s="237"/>
      <c r="BG25" s="256" t="s">
        <v>8</v>
      </c>
      <c r="BH25" s="239">
        <v>3</v>
      </c>
      <c r="BI25" s="290" t="s">
        <v>999</v>
      </c>
      <c r="BJ25" s="276" t="s">
        <v>1000</v>
      </c>
      <c r="BK25" s="318" t="s">
        <v>1001</v>
      </c>
      <c r="BL25" s="276" t="s">
        <v>1002</v>
      </c>
      <c r="BM25" s="2063" t="s">
        <v>1003</v>
      </c>
      <c r="BN25" s="314" t="s">
        <v>1004</v>
      </c>
    </row>
    <row r="26" spans="2:66" s="2" customFormat="1">
      <c r="B26" s="246" t="s">
        <v>1005</v>
      </c>
      <c r="C26" s="237" t="s">
        <v>941</v>
      </c>
      <c r="D26" s="237"/>
      <c r="E26" s="256" t="s">
        <v>8</v>
      </c>
      <c r="F26" s="239">
        <v>3</v>
      </c>
      <c r="G26" s="624">
        <f xml:space="preserve"> SUM( '4D'!G27:H27 )</f>
        <v>0</v>
      </c>
      <c r="H26" s="625">
        <f xml:space="preserve"> SUM( '4D'!I27:L27 )</f>
        <v>3.6999999999999998E-2</v>
      </c>
      <c r="I26" s="624">
        <f xml:space="preserve"> SUM( '4E'!G27:K27 )</f>
        <v>0.04</v>
      </c>
      <c r="J26" s="2088">
        <f xml:space="preserve"> SUM( '4E'!L27:N27 )</f>
        <v>0</v>
      </c>
      <c r="K26" s="2106">
        <v>0</v>
      </c>
      <c r="L26" s="314">
        <f xml:space="preserve"> SUM( G26:K26 )</f>
        <v>7.6999999999999999E-2</v>
      </c>
      <c r="M26" s="85"/>
      <c r="N26" s="116"/>
      <c r="O26" s="25">
        <f xml:space="preserve"> IF( SUM( Q26:V26 ) = 0, 0, $R$5 )</f>
        <v>0</v>
      </c>
      <c r="P26" s="116"/>
      <c r="Q26" s="114"/>
      <c r="R26" s="113"/>
      <c r="S26" s="113"/>
      <c r="T26" s="113"/>
      <c r="U26" s="86">
        <f xml:space="preserve"> IF( Validation!$H$3 = 1, 0, ( IF( ISNUMBER( K26 ), 0, 1 )))</f>
        <v>0</v>
      </c>
      <c r="V26" s="114"/>
      <c r="W26" s="142"/>
      <c r="X26" s="66"/>
      <c r="Y26" s="142"/>
      <c r="Z26" s="142"/>
      <c r="AA26" s="142"/>
      <c r="AB26" s="142"/>
      <c r="AC26" s="142"/>
      <c r="AD26" s="66"/>
      <c r="BD26" s="246" t="s">
        <v>1005</v>
      </c>
      <c r="BE26" s="237" t="s">
        <v>941</v>
      </c>
      <c r="BF26" s="237"/>
      <c r="BG26" s="256" t="s">
        <v>8</v>
      </c>
      <c r="BH26" s="239">
        <v>3</v>
      </c>
      <c r="BI26" s="624" t="s">
        <v>1006</v>
      </c>
      <c r="BJ26" s="625" t="s">
        <v>1007</v>
      </c>
      <c r="BK26" s="624" t="s">
        <v>1008</v>
      </c>
      <c r="BL26" s="625" t="s">
        <v>1009</v>
      </c>
      <c r="BM26" s="2066" t="s">
        <v>1010</v>
      </c>
      <c r="BN26" s="314" t="s">
        <v>1011</v>
      </c>
    </row>
    <row r="27" spans="2:66" s="2" customFormat="1" ht="15" thickBot="1">
      <c r="B27" s="247" t="s">
        <v>1012</v>
      </c>
      <c r="C27" s="242" t="s">
        <v>1013</v>
      </c>
      <c r="D27" s="242"/>
      <c r="E27" s="243" t="s">
        <v>8</v>
      </c>
      <c r="F27" s="244">
        <v>3</v>
      </c>
      <c r="G27" s="277">
        <f xml:space="preserve"> G25 + G26</f>
        <v>22.402999999999999</v>
      </c>
      <c r="H27" s="279">
        <f t="shared" ref="H27:K27" si="8" xml:space="preserve"> H25 + H26</f>
        <v>450.37399999999991</v>
      </c>
      <c r="I27" s="650">
        <f t="shared" si="8"/>
        <v>398.18148641221762</v>
      </c>
      <c r="J27" s="2091">
        <f t="shared" si="8"/>
        <v>85.887190042196309</v>
      </c>
      <c r="K27" s="651">
        <f t="shared" si="8"/>
        <v>38.725999999999999</v>
      </c>
      <c r="L27" s="287">
        <f t="shared" ref="L27" si="9" xml:space="preserve"> L25 + L26</f>
        <v>995.57167645441393</v>
      </c>
      <c r="M27" s="85"/>
      <c r="N27" s="116"/>
      <c r="O27" s="116"/>
      <c r="P27" s="116"/>
      <c r="Q27" s="111"/>
      <c r="R27" s="116"/>
      <c r="S27" s="116"/>
      <c r="T27" s="116"/>
      <c r="U27" s="116"/>
      <c r="V27" s="111"/>
      <c r="W27" s="142"/>
      <c r="X27" s="66"/>
      <c r="Y27" s="142"/>
      <c r="Z27" s="142"/>
      <c r="AA27" s="142"/>
      <c r="AB27" s="142"/>
      <c r="AC27" s="142"/>
      <c r="AD27" s="66"/>
      <c r="BD27" s="247" t="s">
        <v>1012</v>
      </c>
      <c r="BE27" s="242" t="s">
        <v>1013</v>
      </c>
      <c r="BF27" s="242"/>
      <c r="BG27" s="243" t="s">
        <v>8</v>
      </c>
      <c r="BH27" s="244">
        <v>3</v>
      </c>
      <c r="BI27" s="277" t="s">
        <v>1014</v>
      </c>
      <c r="BJ27" s="279" t="s">
        <v>1015</v>
      </c>
      <c r="BK27" s="650" t="s">
        <v>1016</v>
      </c>
      <c r="BL27" s="651" t="s">
        <v>1017</v>
      </c>
      <c r="BM27" s="2064" t="s">
        <v>1018</v>
      </c>
      <c r="BN27" s="287" t="s">
        <v>1019</v>
      </c>
    </row>
    <row r="28" spans="2:66" s="2" customFormat="1" ht="15" thickBot="1">
      <c r="B28" s="316"/>
      <c r="E28" s="7"/>
      <c r="F28" s="7"/>
      <c r="G28" s="654"/>
      <c r="H28" s="654"/>
      <c r="I28" s="654"/>
      <c r="J28" s="654"/>
      <c r="K28" s="654"/>
      <c r="L28" s="654"/>
      <c r="N28" s="112"/>
      <c r="O28" s="112"/>
      <c r="P28" s="116"/>
      <c r="Q28" s="111"/>
      <c r="R28" s="116"/>
      <c r="S28" s="116"/>
      <c r="T28" s="116"/>
      <c r="U28" s="116"/>
      <c r="V28" s="111"/>
      <c r="W28" s="103"/>
      <c r="X28" s="111"/>
      <c r="Y28" s="103"/>
      <c r="Z28" s="103"/>
      <c r="AA28" s="103"/>
      <c r="AB28" s="103"/>
      <c r="AC28" s="103"/>
      <c r="AD28" s="111"/>
      <c r="BD28" s="316"/>
      <c r="BG28" s="7"/>
      <c r="BH28" s="7"/>
      <c r="BI28" s="654"/>
      <c r="BJ28" s="654"/>
      <c r="BK28" s="654"/>
      <c r="BL28" s="654"/>
      <c r="BM28" s="654"/>
      <c r="BN28" s="654"/>
    </row>
    <row r="29" spans="2:66" s="2" customFormat="1" ht="15" thickBot="1">
      <c r="B29" s="2211" t="s">
        <v>362</v>
      </c>
      <c r="C29" s="254" t="s">
        <v>1020</v>
      </c>
      <c r="D29" s="1295"/>
      <c r="E29" s="7"/>
      <c r="F29" s="7"/>
      <c r="G29" s="654"/>
      <c r="H29" s="654"/>
      <c r="I29" s="654"/>
      <c r="J29" s="654"/>
      <c r="K29" s="654"/>
      <c r="L29" s="654"/>
      <c r="N29" s="116"/>
      <c r="O29" s="116"/>
      <c r="P29" s="65"/>
      <c r="Q29" s="66"/>
      <c r="R29" s="65"/>
      <c r="S29" s="65"/>
      <c r="T29" s="65"/>
      <c r="U29" s="65"/>
      <c r="V29" s="66"/>
      <c r="W29" s="103"/>
      <c r="X29" s="66"/>
      <c r="Y29" s="103"/>
      <c r="Z29" s="103"/>
      <c r="AA29" s="103"/>
      <c r="AB29" s="103"/>
      <c r="AC29" s="103"/>
      <c r="AD29" s="66"/>
      <c r="BD29" s="2211" t="s">
        <v>362</v>
      </c>
      <c r="BE29" s="254" t="s">
        <v>1020</v>
      </c>
      <c r="BF29" s="1295"/>
      <c r="BG29" s="7"/>
      <c r="BH29" s="7"/>
      <c r="BI29" s="654"/>
      <c r="BJ29" s="654"/>
      <c r="BK29" s="654"/>
      <c r="BL29" s="654"/>
      <c r="BM29" s="654"/>
      <c r="BN29" s="654"/>
    </row>
    <row r="30" spans="2:66" s="2" customFormat="1" ht="23.25" thickBot="1">
      <c r="B30" s="282" t="s">
        <v>1021</v>
      </c>
      <c r="C30" s="225" t="s">
        <v>1020</v>
      </c>
      <c r="D30" s="225"/>
      <c r="E30" s="283" t="s">
        <v>8</v>
      </c>
      <c r="F30" s="227">
        <v>3</v>
      </c>
      <c r="G30" s="652">
        <f xml:space="preserve"> SUM( '4D'!G31:H31 )</f>
        <v>0</v>
      </c>
      <c r="H30" s="653">
        <f xml:space="preserve"> SUM( '4D'!I31:L31 )</f>
        <v>58.446000000000005</v>
      </c>
      <c r="I30" s="652">
        <f xml:space="preserve"> SUM( '4E'!G31:K31 )</f>
        <v>0</v>
      </c>
      <c r="J30" s="2092">
        <f xml:space="preserve"> SUM( '4E'!L31:N31 )</f>
        <v>0</v>
      </c>
      <c r="K30" s="2107">
        <v>0</v>
      </c>
      <c r="L30" s="531">
        <f xml:space="preserve"> SUM( G30:K30 )</f>
        <v>58.446000000000005</v>
      </c>
      <c r="M30" s="85"/>
      <c r="N30" s="1164" t="str">
        <f xml:space="preserve"> IF( SUM( V30:X30 ) = 0, 0, AC30 )</f>
        <v>The total of line 2B.20 should be equal to the sum of lines 2E.7 for water, 2E.14 for wastewater and 2E.14 for TTT.</v>
      </c>
      <c r="O30" s="25">
        <f xml:space="preserve"> IF( SUM( Q30:V30 ) = 0, 0, $R$5 )</f>
        <v>0</v>
      </c>
      <c r="P30" s="116"/>
      <c r="Q30" s="111"/>
      <c r="R30" s="113"/>
      <c r="S30" s="113"/>
      <c r="T30" s="113"/>
      <c r="U30" s="86">
        <f xml:space="preserve"> IF( Validation!$H$3 = 1, 0, ( IF( ISNUMBER( K30 ), 0, 1 )))</f>
        <v>0</v>
      </c>
      <c r="V30" s="111"/>
      <c r="W30" s="86">
        <f xml:space="preserve"> IF( (Y30 - Z30 - AA30 - AB30 ) = 0, 0, 1 )</f>
        <v>1</v>
      </c>
      <c r="X30" s="66"/>
      <c r="Y30" s="143">
        <f xml:space="preserve"> ROUND( L30, 3)</f>
        <v>58.445999999999998</v>
      </c>
      <c r="Z30" s="143">
        <f xml:space="preserve"> ROUND( '2E'!J13, 3 )</f>
        <v>58.445999999999998</v>
      </c>
      <c r="AA30" s="143">
        <f xml:space="preserve"> ROUND( '2E'!J24, 3 )</f>
        <v>35.473999999999997</v>
      </c>
      <c r="AB30" s="143">
        <f xml:space="preserve"> ROUND( '2E'!J35, 3 )</f>
        <v>0</v>
      </c>
      <c r="AC30" s="2205" t="s">
        <v>1022</v>
      </c>
      <c r="AD30" s="114"/>
      <c r="BD30" s="282" t="s">
        <v>1021</v>
      </c>
      <c r="BE30" s="225" t="s">
        <v>1020</v>
      </c>
      <c r="BF30" s="225"/>
      <c r="BG30" s="283" t="s">
        <v>8</v>
      </c>
      <c r="BH30" s="227">
        <v>3</v>
      </c>
      <c r="BI30" s="652" t="s">
        <v>1023</v>
      </c>
      <c r="BJ30" s="653" t="s">
        <v>1024</v>
      </c>
      <c r="BK30" s="652" t="s">
        <v>1025</v>
      </c>
      <c r="BL30" s="653" t="s">
        <v>1026</v>
      </c>
      <c r="BM30" s="2067" t="s">
        <v>1027</v>
      </c>
      <c r="BN30" s="531" t="s">
        <v>1028</v>
      </c>
    </row>
    <row r="31" spans="2:66" s="2" customFormat="1" ht="15" thickBot="1">
      <c r="B31" s="316"/>
      <c r="E31" s="7"/>
      <c r="F31" s="7"/>
      <c r="G31" s="654"/>
      <c r="H31" s="654"/>
      <c r="I31" s="654"/>
      <c r="J31" s="654"/>
      <c r="K31" s="654"/>
      <c r="L31" s="654"/>
      <c r="N31" s="112"/>
      <c r="O31" s="112"/>
      <c r="P31" s="116"/>
      <c r="Q31" s="111"/>
      <c r="R31" s="116"/>
      <c r="S31" s="116"/>
      <c r="T31" s="116"/>
      <c r="U31" s="116"/>
      <c r="V31" s="111"/>
      <c r="W31" s="103"/>
      <c r="X31" s="111"/>
      <c r="Y31" s="103"/>
      <c r="Z31" s="103"/>
      <c r="AA31" s="103"/>
      <c r="AB31" s="103"/>
      <c r="AC31" s="103"/>
      <c r="AD31" s="111"/>
      <c r="BD31" s="316"/>
      <c r="BG31" s="7"/>
      <c r="BH31" s="7"/>
      <c r="BI31" s="654"/>
      <c r="BJ31" s="654"/>
      <c r="BK31" s="654"/>
      <c r="BL31" s="654"/>
      <c r="BM31" s="654"/>
      <c r="BN31" s="654"/>
    </row>
    <row r="32" spans="2:66" s="2" customFormat="1" ht="15" thickBot="1">
      <c r="B32" s="282" t="s">
        <v>1029</v>
      </c>
      <c r="C32" s="225" t="s">
        <v>1030</v>
      </c>
      <c r="D32" s="225"/>
      <c r="E32" s="283" t="s">
        <v>8</v>
      </c>
      <c r="F32" s="227">
        <v>3</v>
      </c>
      <c r="G32" s="284">
        <f xml:space="preserve"> G17 + G27 - G30</f>
        <v>84.603000000000009</v>
      </c>
      <c r="H32" s="286">
        <f t="shared" ref="H32:K32" si="10" xml:space="preserve"> H17 + H27 - H30</f>
        <v>800.32899999999984</v>
      </c>
      <c r="I32" s="655">
        <f t="shared" si="10"/>
        <v>762.25648641221755</v>
      </c>
      <c r="J32" s="2093">
        <f t="shared" si="10"/>
        <v>152.0431900421963</v>
      </c>
      <c r="K32" s="286">
        <f t="shared" si="10"/>
        <v>38.725999999999999</v>
      </c>
      <c r="L32" s="531">
        <f xml:space="preserve"> SUM( G32:K32 )</f>
        <v>1837.9576764544136</v>
      </c>
      <c r="M32" s="85"/>
      <c r="N32" s="116"/>
      <c r="O32" s="116"/>
      <c r="P32" s="116"/>
      <c r="Q32" s="111"/>
      <c r="R32" s="116"/>
      <c r="S32" s="116"/>
      <c r="T32" s="116"/>
      <c r="U32" s="116"/>
      <c r="V32" s="111"/>
      <c r="W32" s="155"/>
      <c r="X32" s="111"/>
      <c r="Y32" s="155"/>
      <c r="Z32" s="155"/>
      <c r="AA32" s="155"/>
      <c r="AB32" s="155"/>
      <c r="AC32" s="155"/>
      <c r="AD32" s="111"/>
      <c r="BD32" s="282" t="s">
        <v>1029</v>
      </c>
      <c r="BE32" s="225" t="s">
        <v>1030</v>
      </c>
      <c r="BF32" s="225"/>
      <c r="BG32" s="283" t="s">
        <v>8</v>
      </c>
      <c r="BH32" s="227">
        <v>3</v>
      </c>
      <c r="BI32" s="284" t="s">
        <v>1031</v>
      </c>
      <c r="BJ32" s="286" t="s">
        <v>1032</v>
      </c>
      <c r="BK32" s="655" t="s">
        <v>1033</v>
      </c>
      <c r="BL32" s="286" t="s">
        <v>1034</v>
      </c>
      <c r="BM32" s="286" t="s">
        <v>1035</v>
      </c>
      <c r="BN32" s="531" t="s">
        <v>1036</v>
      </c>
    </row>
    <row r="33" spans="2:66" s="2" customFormat="1" ht="15" thickBot="1">
      <c r="B33" s="316"/>
      <c r="E33" s="7"/>
      <c r="F33" s="7"/>
      <c r="G33" s="654"/>
      <c r="H33" s="654"/>
      <c r="I33" s="654"/>
      <c r="J33" s="654"/>
      <c r="K33" s="654"/>
      <c r="L33" s="654"/>
      <c r="N33" s="112"/>
      <c r="O33" s="112"/>
      <c r="P33" s="116"/>
      <c r="Q33" s="111"/>
      <c r="R33" s="116"/>
      <c r="S33" s="116"/>
      <c r="T33" s="116"/>
      <c r="U33" s="116"/>
      <c r="V33" s="111"/>
      <c r="W33" s="103"/>
      <c r="X33" s="111"/>
      <c r="Y33" s="103"/>
      <c r="Z33" s="103"/>
      <c r="AA33" s="103"/>
      <c r="AB33" s="103"/>
      <c r="AC33" s="103"/>
      <c r="AD33" s="111"/>
      <c r="BD33" s="316"/>
      <c r="BG33" s="7"/>
      <c r="BH33" s="7"/>
      <c r="BI33" s="654"/>
      <c r="BJ33" s="654"/>
      <c r="BK33" s="654"/>
      <c r="BL33" s="654"/>
      <c r="BM33" s="654"/>
      <c r="BN33" s="654"/>
    </row>
    <row r="34" spans="2:66" s="2" customFormat="1" ht="15" thickBot="1">
      <c r="B34" s="2211" t="s">
        <v>419</v>
      </c>
      <c r="C34" s="254" t="s">
        <v>1037</v>
      </c>
      <c r="D34" s="1295"/>
      <c r="E34" s="7"/>
      <c r="F34" s="7"/>
      <c r="G34" s="654"/>
      <c r="H34" s="654"/>
      <c r="I34" s="654"/>
      <c r="J34" s="654"/>
      <c r="K34" s="654"/>
      <c r="L34" s="654"/>
      <c r="N34" s="112"/>
      <c r="O34" s="112"/>
      <c r="P34" s="116"/>
      <c r="Q34" s="111"/>
      <c r="R34" s="116"/>
      <c r="S34" s="116"/>
      <c r="T34" s="116"/>
      <c r="U34" s="116"/>
      <c r="V34" s="111"/>
      <c r="W34" s="103"/>
      <c r="X34" s="111"/>
      <c r="Y34" s="103"/>
      <c r="Z34" s="103"/>
      <c r="AA34" s="103"/>
      <c r="AB34" s="103"/>
      <c r="AC34" s="103"/>
      <c r="AD34" s="111"/>
      <c r="BD34" s="2211" t="s">
        <v>419</v>
      </c>
      <c r="BE34" s="254" t="s">
        <v>1037</v>
      </c>
      <c r="BF34" s="1295"/>
      <c r="BG34" s="7"/>
      <c r="BH34" s="7"/>
      <c r="BI34" s="654"/>
      <c r="BJ34" s="654"/>
      <c r="BK34" s="654"/>
      <c r="BL34" s="654"/>
      <c r="BM34" s="654"/>
      <c r="BN34" s="654"/>
    </row>
    <row r="35" spans="2:66" s="2" customFormat="1">
      <c r="B35" s="245" t="s">
        <v>1038</v>
      </c>
      <c r="C35" s="233" t="s">
        <v>1039</v>
      </c>
      <c r="D35" s="233"/>
      <c r="E35" s="255" t="s">
        <v>8</v>
      </c>
      <c r="F35" s="235">
        <v>3</v>
      </c>
      <c r="G35" s="627">
        <f xml:space="preserve"> SUM( '4D'!G36:H36 )</f>
        <v>1.0609999999999999</v>
      </c>
      <c r="H35" s="628">
        <f xml:space="preserve"> SUM( '4D'!I36:L36 )</f>
        <v>9.2889999999999997</v>
      </c>
      <c r="I35" s="627">
        <f xml:space="preserve"> SUM( '4E'!G36:K36 )</f>
        <v>0</v>
      </c>
      <c r="J35" s="2094">
        <f xml:space="preserve"> SUM( '4E'!L36:N36 )</f>
        <v>0</v>
      </c>
      <c r="K35" s="2108">
        <v>0</v>
      </c>
      <c r="L35" s="313">
        <f t="shared" ref="L35:L36" si="11" xml:space="preserve"> SUM( G35:K35 )</f>
        <v>10.35</v>
      </c>
      <c r="M35" s="85"/>
      <c r="N35" s="118"/>
      <c r="O35" s="25">
        <f t="shared" ref="O35:O36" si="12" xml:space="preserve"> IF( SUM( Q35:V35 ) = 0, 0, $R$5 )</f>
        <v>0</v>
      </c>
      <c r="P35" s="116"/>
      <c r="Q35" s="111"/>
      <c r="R35" s="113"/>
      <c r="S35" s="113"/>
      <c r="T35" s="113"/>
      <c r="U35" s="86">
        <f xml:space="preserve"> IF( Validation!$H$3 = 1, 0, ( IF( ISNUMBER( K35 ), 0, 1 )))</f>
        <v>0</v>
      </c>
      <c r="V35" s="111"/>
      <c r="W35" s="155"/>
      <c r="X35" s="111"/>
      <c r="Y35" s="155"/>
      <c r="Z35" s="155"/>
      <c r="AA35" s="155"/>
      <c r="AB35" s="155"/>
      <c r="AC35" s="155"/>
      <c r="AD35" s="111"/>
      <c r="BD35" s="245" t="s">
        <v>1038</v>
      </c>
      <c r="BE35" s="233" t="s">
        <v>1039</v>
      </c>
      <c r="BF35" s="233"/>
      <c r="BG35" s="255" t="s">
        <v>8</v>
      </c>
      <c r="BH35" s="235">
        <v>3</v>
      </c>
      <c r="BI35" s="627" t="s">
        <v>1040</v>
      </c>
      <c r="BJ35" s="628" t="s">
        <v>1041</v>
      </c>
      <c r="BK35" s="627" t="s">
        <v>1042</v>
      </c>
      <c r="BL35" s="628" t="s">
        <v>1043</v>
      </c>
      <c r="BM35" s="2068" t="s">
        <v>1044</v>
      </c>
      <c r="BN35" s="313" t="s">
        <v>1045</v>
      </c>
    </row>
    <row r="36" spans="2:66" s="2" customFormat="1" ht="15" thickBot="1">
      <c r="B36" s="247" t="s">
        <v>1046</v>
      </c>
      <c r="C36" s="242" t="s">
        <v>1047</v>
      </c>
      <c r="D36" s="242"/>
      <c r="E36" s="243" t="s">
        <v>8</v>
      </c>
      <c r="F36" s="244">
        <v>3</v>
      </c>
      <c r="G36" s="629">
        <f xml:space="preserve"> SUM( '4D'!G37:H37 )</f>
        <v>0</v>
      </c>
      <c r="H36" s="630">
        <f xml:space="preserve"> SUM( '4D'!I37:L37 )</f>
        <v>0</v>
      </c>
      <c r="I36" s="629">
        <f xml:space="preserve"> SUM( '4E'!G37:K37 )</f>
        <v>0</v>
      </c>
      <c r="J36" s="2095">
        <f xml:space="preserve"> SUM( '4E'!L37:N37 )</f>
        <v>0</v>
      </c>
      <c r="K36" s="2109">
        <v>0</v>
      </c>
      <c r="L36" s="287">
        <f t="shared" si="11"/>
        <v>0</v>
      </c>
      <c r="M36" s="85"/>
      <c r="N36" s="112"/>
      <c r="O36" s="25">
        <f t="shared" si="12"/>
        <v>0</v>
      </c>
      <c r="P36" s="116"/>
      <c r="Q36" s="111"/>
      <c r="R36" s="113"/>
      <c r="S36" s="113"/>
      <c r="T36" s="113"/>
      <c r="U36" s="86">
        <f xml:space="preserve"> IF( Validation!$H$3 = 1, 0, ( IF( ISNUMBER( K36 ), 0, 1 )))</f>
        <v>0</v>
      </c>
      <c r="V36" s="111"/>
      <c r="W36" s="103"/>
      <c r="X36" s="111"/>
      <c r="Y36" s="103"/>
      <c r="Z36" s="103"/>
      <c r="AA36" s="103"/>
      <c r="AB36" s="103"/>
      <c r="AC36" s="103"/>
      <c r="AD36" s="111"/>
      <c r="BD36" s="247" t="s">
        <v>1046</v>
      </c>
      <c r="BE36" s="242" t="s">
        <v>1047</v>
      </c>
      <c r="BF36" s="242"/>
      <c r="BG36" s="243" t="s">
        <v>8</v>
      </c>
      <c r="BH36" s="244">
        <v>3</v>
      </c>
      <c r="BI36" s="629" t="s">
        <v>1048</v>
      </c>
      <c r="BJ36" s="630" t="s">
        <v>1049</v>
      </c>
      <c r="BK36" s="629" t="s">
        <v>1050</v>
      </c>
      <c r="BL36" s="630" t="s">
        <v>1051</v>
      </c>
      <c r="BM36" s="2069" t="s">
        <v>1052</v>
      </c>
      <c r="BN36" s="287" t="s">
        <v>1053</v>
      </c>
    </row>
    <row r="37" spans="2:66" s="2" customFormat="1" ht="15" thickBot="1">
      <c r="B37" s="230"/>
      <c r="C37" s="141"/>
      <c r="D37" s="141"/>
      <c r="E37" s="229"/>
      <c r="F37" s="229"/>
      <c r="G37" s="317"/>
      <c r="H37" s="317"/>
      <c r="I37" s="317"/>
      <c r="J37" s="317"/>
      <c r="K37" s="317"/>
      <c r="L37" s="320"/>
      <c r="M37" s="85"/>
      <c r="N37" s="112"/>
      <c r="O37" s="112"/>
      <c r="P37" s="116"/>
      <c r="Q37" s="111"/>
      <c r="R37" s="116"/>
      <c r="S37" s="116"/>
      <c r="T37" s="116"/>
      <c r="U37" s="116"/>
      <c r="V37" s="111"/>
      <c r="W37" s="103"/>
      <c r="X37" s="111"/>
      <c r="Y37" s="103"/>
      <c r="Z37" s="103"/>
      <c r="AA37" s="103"/>
      <c r="AB37" s="103"/>
      <c r="AC37" s="103"/>
      <c r="AD37" s="111"/>
      <c r="BD37" s="230"/>
      <c r="BE37" s="141"/>
      <c r="BF37" s="141"/>
      <c r="BG37" s="229"/>
      <c r="BH37" s="229"/>
      <c r="BI37" s="317"/>
      <c r="BJ37" s="317"/>
      <c r="BK37" s="317"/>
      <c r="BL37" s="317"/>
      <c r="BM37" s="317"/>
      <c r="BN37" s="320"/>
    </row>
    <row r="38" spans="2:66" s="2" customFormat="1" ht="15" thickBot="1">
      <c r="B38" s="223" t="s">
        <v>493</v>
      </c>
      <c r="C38" s="27" t="s">
        <v>680</v>
      </c>
      <c r="D38" s="1295"/>
      <c r="E38" s="229"/>
      <c r="F38" s="229"/>
      <c r="G38" s="317"/>
      <c r="H38" s="317"/>
      <c r="I38" s="317"/>
      <c r="J38" s="317"/>
      <c r="K38" s="317"/>
      <c r="L38" s="320"/>
      <c r="M38" s="85"/>
      <c r="N38" s="112"/>
      <c r="O38" s="112"/>
      <c r="P38" s="110"/>
      <c r="Q38" s="111"/>
      <c r="R38" s="112"/>
      <c r="S38" s="112"/>
      <c r="T38" s="112"/>
      <c r="U38" s="110"/>
      <c r="V38" s="111"/>
      <c r="W38" s="103"/>
      <c r="X38" s="111"/>
      <c r="Y38" s="103"/>
      <c r="Z38" s="103"/>
      <c r="AA38" s="103"/>
      <c r="AB38" s="103"/>
      <c r="AC38" s="103"/>
      <c r="AD38" s="111"/>
      <c r="BD38" s="223" t="s">
        <v>493</v>
      </c>
      <c r="BE38" s="27" t="s">
        <v>680</v>
      </c>
      <c r="BF38" s="1295"/>
      <c r="BG38" s="229"/>
      <c r="BH38" s="229"/>
      <c r="BI38" s="317"/>
      <c r="BJ38" s="317"/>
      <c r="BK38" s="317"/>
      <c r="BL38" s="317"/>
      <c r="BM38" s="317"/>
      <c r="BN38" s="320"/>
    </row>
    <row r="39" spans="2:66" s="2" customFormat="1" ht="15" thickBot="1">
      <c r="B39" s="282" t="s">
        <v>1054</v>
      </c>
      <c r="C39" s="225" t="s">
        <v>1055</v>
      </c>
      <c r="D39" s="225"/>
      <c r="E39" s="283" t="s">
        <v>8</v>
      </c>
      <c r="F39" s="227">
        <v>3</v>
      </c>
      <c r="G39" s="284">
        <f xml:space="preserve"> G32 + SUM( G35:G36 )</f>
        <v>85.664000000000016</v>
      </c>
      <c r="H39" s="286">
        <f t="shared" ref="H39:K39" si="13" xml:space="preserve"> H32 + SUM( H35:H36 )</f>
        <v>809.61799999999982</v>
      </c>
      <c r="I39" s="655">
        <f xml:space="preserve"> I32 + SUM( I35:I36 )</f>
        <v>762.25648641221755</v>
      </c>
      <c r="J39" s="2093">
        <f t="shared" si="13"/>
        <v>152.0431900421963</v>
      </c>
      <c r="K39" s="286">
        <f t="shared" si="13"/>
        <v>38.725999999999999</v>
      </c>
      <c r="L39" s="531">
        <f t="shared" ref="L39" si="14" xml:space="preserve"> L32 + SUM( L35:L36 )</f>
        <v>1848.3076764544135</v>
      </c>
      <c r="M39" s="85"/>
      <c r="N39" s="112"/>
      <c r="O39" s="112"/>
      <c r="P39" s="110"/>
      <c r="Q39" s="114"/>
      <c r="R39" s="112"/>
      <c r="S39" s="112"/>
      <c r="T39" s="112"/>
      <c r="U39" s="110"/>
      <c r="V39" s="114"/>
      <c r="W39" s="103"/>
      <c r="X39" s="111"/>
      <c r="Y39" s="103"/>
      <c r="Z39" s="103"/>
      <c r="AA39" s="103"/>
      <c r="AB39" s="103"/>
      <c r="AC39" s="103"/>
      <c r="AD39" s="111"/>
      <c r="BD39" s="282" t="s">
        <v>1054</v>
      </c>
      <c r="BE39" s="225" t="s">
        <v>1055</v>
      </c>
      <c r="BF39" s="225"/>
      <c r="BG39" s="283" t="s">
        <v>8</v>
      </c>
      <c r="BH39" s="227">
        <v>3</v>
      </c>
      <c r="BI39" s="284" t="s">
        <v>1056</v>
      </c>
      <c r="BJ39" s="286" t="s">
        <v>1057</v>
      </c>
      <c r="BK39" s="655" t="s">
        <v>1058</v>
      </c>
      <c r="BL39" s="286" t="s">
        <v>1059</v>
      </c>
      <c r="BM39" s="2084" t="s">
        <v>1060</v>
      </c>
      <c r="BN39" s="531" t="s">
        <v>1061</v>
      </c>
    </row>
    <row r="40" spans="2:66" s="103" customFormat="1">
      <c r="C40" s="138"/>
      <c r="D40" s="138"/>
      <c r="J40" s="142"/>
      <c r="K40" s="142"/>
      <c r="M40" s="110"/>
      <c r="N40" s="112"/>
      <c r="O40" s="112"/>
      <c r="P40" s="110"/>
      <c r="Q40" s="114"/>
      <c r="R40" s="118"/>
      <c r="S40" s="118"/>
      <c r="T40" s="118"/>
      <c r="U40" s="110"/>
      <c r="V40" s="114"/>
      <c r="X40" s="111"/>
      <c r="AD40" s="111"/>
      <c r="BE40" s="138"/>
      <c r="BF40" s="138"/>
      <c r="BL40" s="142"/>
      <c r="BM40" s="142"/>
    </row>
    <row r="41" spans="2:66" s="142" customFormat="1">
      <c r="B41" s="2256" t="s">
        <v>275</v>
      </c>
      <c r="C41" s="2256"/>
      <c r="D41" s="2195"/>
      <c r="M41" s="116"/>
      <c r="N41" s="112"/>
      <c r="O41" s="112"/>
      <c r="P41" s="110"/>
      <c r="Q41" s="114"/>
      <c r="R41" s="112"/>
      <c r="S41" s="112"/>
      <c r="T41" s="112"/>
      <c r="U41" s="110"/>
      <c r="V41" s="114"/>
      <c r="W41" s="103"/>
      <c r="X41" s="111"/>
      <c r="Y41" s="103"/>
      <c r="Z41" s="103"/>
      <c r="AA41" s="103"/>
      <c r="AB41" s="103"/>
      <c r="AC41" s="103"/>
      <c r="AD41" s="111"/>
    </row>
    <row r="42" spans="2:66" s="142" customFormat="1">
      <c r="B42" s="127"/>
      <c r="C42" s="128"/>
      <c r="D42" s="128"/>
      <c r="M42" s="116"/>
      <c r="N42" s="112"/>
      <c r="O42" s="112"/>
      <c r="P42" s="103"/>
      <c r="Q42" s="114"/>
      <c r="R42" s="103"/>
      <c r="S42" s="103"/>
      <c r="T42" s="103"/>
      <c r="U42" s="103"/>
      <c r="V42" s="114"/>
      <c r="W42" s="103"/>
      <c r="X42" s="111"/>
      <c r="Y42" s="103"/>
      <c r="Z42" s="103"/>
      <c r="AA42" s="103"/>
      <c r="AB42" s="103"/>
      <c r="AC42" s="103"/>
      <c r="AD42" s="111"/>
    </row>
    <row r="43" spans="2:66" s="142" customFormat="1">
      <c r="B43" s="26"/>
      <c r="C43" s="129" t="s">
        <v>249</v>
      </c>
      <c r="D43" s="129"/>
      <c r="M43" s="116"/>
      <c r="N43" s="112"/>
      <c r="O43" s="112"/>
      <c r="P43" s="103"/>
      <c r="Q43" s="114"/>
      <c r="R43" s="103"/>
      <c r="S43" s="103"/>
      <c r="T43" s="103"/>
      <c r="U43" s="103"/>
      <c r="V43" s="114"/>
      <c r="W43" s="103"/>
      <c r="X43" s="114"/>
      <c r="Y43" s="103"/>
      <c r="Z43" s="103"/>
      <c r="AA43" s="103"/>
      <c r="AB43" s="103"/>
      <c r="AC43" s="103"/>
      <c r="AD43" s="114"/>
    </row>
    <row r="44" spans="2:66" s="142" customFormat="1">
      <c r="B44" s="127"/>
      <c r="C44" s="128"/>
      <c r="D44" s="128"/>
      <c r="M44" s="116"/>
      <c r="N44" s="112"/>
      <c r="O44" s="112"/>
      <c r="P44" s="112"/>
      <c r="Q44" s="114"/>
      <c r="R44" s="112"/>
      <c r="S44" s="112"/>
      <c r="T44" s="112"/>
      <c r="U44" s="112"/>
      <c r="V44" s="114"/>
      <c r="W44" s="103"/>
      <c r="X44" s="114"/>
      <c r="Y44" s="103"/>
      <c r="Z44" s="103"/>
      <c r="AA44" s="103"/>
      <c r="AB44" s="103"/>
      <c r="AC44" s="103"/>
      <c r="AD44" s="114"/>
    </row>
    <row r="45" spans="2:66" s="142" customFormat="1">
      <c r="B45" s="130"/>
      <c r="C45" s="129" t="s">
        <v>250</v>
      </c>
      <c r="D45" s="129"/>
      <c r="M45" s="116"/>
      <c r="N45" s="112"/>
      <c r="O45" s="112"/>
      <c r="P45" s="112"/>
      <c r="Q45" s="114"/>
      <c r="R45" s="112"/>
      <c r="S45" s="112"/>
      <c r="T45" s="112"/>
      <c r="U45" s="112"/>
      <c r="V45" s="114"/>
      <c r="W45" s="103"/>
      <c r="X45" s="114"/>
      <c r="Y45" s="103"/>
      <c r="Z45" s="103"/>
      <c r="AA45" s="103"/>
      <c r="AB45" s="103"/>
      <c r="AC45" s="103"/>
      <c r="AD45" s="114"/>
    </row>
    <row r="46" spans="2:66" s="142" customFormat="1">
      <c r="B46" s="131"/>
      <c r="C46" s="129"/>
      <c r="D46" s="129"/>
      <c r="M46" s="116"/>
      <c r="N46" s="112"/>
      <c r="O46" s="112"/>
      <c r="P46" s="112"/>
      <c r="Q46" s="114"/>
      <c r="R46" s="112"/>
      <c r="S46" s="112"/>
      <c r="T46" s="112"/>
      <c r="U46" s="112"/>
      <c r="V46" s="114"/>
      <c r="W46" s="103"/>
      <c r="X46" s="114"/>
      <c r="Y46" s="103"/>
      <c r="Z46" s="103"/>
      <c r="AA46" s="103"/>
      <c r="AB46" s="103"/>
      <c r="AC46" s="103"/>
      <c r="AD46" s="114"/>
    </row>
    <row r="47" spans="2:66" s="155" customFormat="1" ht="15" thickBot="1">
      <c r="C47" s="156"/>
      <c r="D47" s="156"/>
      <c r="M47" s="118"/>
      <c r="N47" s="69"/>
      <c r="O47" s="69"/>
      <c r="P47" s="65"/>
      <c r="Q47" s="66"/>
      <c r="R47" s="65"/>
      <c r="S47" s="65"/>
      <c r="T47" s="65"/>
      <c r="U47" s="65"/>
      <c r="V47" s="66"/>
      <c r="W47" s="69"/>
      <c r="X47" s="114"/>
      <c r="Y47" s="69"/>
      <c r="Z47" s="69"/>
      <c r="AA47" s="69"/>
      <c r="AB47" s="69"/>
      <c r="AC47" s="69"/>
      <c r="AD47" s="114"/>
    </row>
    <row r="48" spans="2:66" s="155" customFormat="1" ht="16.5" thickBot="1">
      <c r="B48" s="1166" t="s">
        <v>251</v>
      </c>
      <c r="C48" s="133"/>
      <c r="D48" s="133"/>
      <c r="E48" s="134"/>
      <c r="F48" s="134"/>
      <c r="G48" s="134"/>
      <c r="H48" s="134"/>
      <c r="I48" s="134"/>
      <c r="J48" s="134"/>
      <c r="K48" s="134"/>
      <c r="L48" s="216"/>
      <c r="M48" s="118"/>
      <c r="N48" s="69"/>
      <c r="O48" s="69"/>
      <c r="P48" s="65"/>
      <c r="Q48" s="66"/>
      <c r="R48" s="65"/>
      <c r="S48" s="65"/>
      <c r="T48" s="65"/>
      <c r="U48" s="65"/>
      <c r="V48" s="66"/>
      <c r="W48" s="69"/>
      <c r="X48" s="114"/>
      <c r="Y48" s="69"/>
      <c r="Z48" s="69"/>
      <c r="AA48" s="69"/>
      <c r="AB48" s="69"/>
      <c r="AC48" s="69"/>
      <c r="AD48" s="114"/>
    </row>
    <row r="49" spans="3:30" s="155" customFormat="1">
      <c r="C49" s="156"/>
      <c r="D49" s="156"/>
      <c r="M49" s="118"/>
      <c r="N49" s="69"/>
      <c r="O49" s="69"/>
      <c r="P49" s="65"/>
      <c r="Q49" s="66"/>
      <c r="R49" s="65"/>
      <c r="S49" s="65"/>
      <c r="T49" s="65"/>
      <c r="U49" s="65"/>
      <c r="V49" s="66"/>
      <c r="W49" s="69"/>
      <c r="X49" s="114"/>
      <c r="Y49" s="69"/>
      <c r="Z49" s="69"/>
      <c r="AA49" s="69"/>
      <c r="AB49" s="69"/>
      <c r="AC49" s="69"/>
      <c r="AD49" s="114"/>
    </row>
  </sheetData>
  <sheetProtection algorithmName="SHA-512" hashValue="pmPxe0tivMzvhKkwURQ3UjWDATqdsGASKZ/LCTT8kl/A6iKILGEHPq2tNe0jDAZjaig3JdtMCBwRqvh3m8U/0Q==" saltValue="iNgsdYP5VkCcFD83nlgnkA==" spinCount="100000" sheet="1" objects="1" scenarios="1"/>
  <mergeCells count="7">
    <mergeCell ref="B41:C41"/>
    <mergeCell ref="BD3:BE3"/>
    <mergeCell ref="W3:W4"/>
    <mergeCell ref="Y3:AC4"/>
    <mergeCell ref="AC6:AC7"/>
    <mergeCell ref="B3:C3"/>
    <mergeCell ref="R3:U4"/>
  </mergeCells>
  <conditionalFormatting sqref="N30:O30">
    <cfRule type="cellIs" dxfId="593" priority="2" operator="equal">
      <formula>0</formula>
    </cfRule>
  </conditionalFormatting>
  <conditionalFormatting sqref="O6:O13">
    <cfRule type="cellIs" dxfId="592" priority="6" operator="equal">
      <formula>0</formula>
    </cfRule>
  </conditionalFormatting>
  <conditionalFormatting sqref="O16">
    <cfRule type="cellIs" dxfId="591" priority="5" operator="equal">
      <formula>0</formula>
    </cfRule>
  </conditionalFormatting>
  <conditionalFormatting sqref="O20:O24">
    <cfRule type="cellIs" dxfId="590" priority="4" operator="equal">
      <formula>0</formula>
    </cfRule>
  </conditionalFormatting>
  <conditionalFormatting sqref="O26">
    <cfRule type="cellIs" dxfId="589" priority="3" operator="equal">
      <formula>0</formula>
    </cfRule>
  </conditionalFormatting>
  <conditionalFormatting sqref="O35:O36">
    <cfRule type="cellIs" dxfId="58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6" id="{12652496-AA06-4D42-9C79-16D396A94CAC}">
            <xm:f>Validation!$H$3=1</xm:f>
            <x14:dxf>
              <fill>
                <patternFill>
                  <bgColor rgb="FFE0DCD8"/>
                </patternFill>
              </fill>
            </x14:dxf>
          </x14:cfRule>
          <xm:sqref>I6:J13 I20:J24 I26:J26 I14:K14 I16:K17 I25:K25 I27:K27 I30:K30 I32:K32 I35:K36 I39:K39</xm:sqref>
        </x14:conditionalFormatting>
        <x14:conditionalFormatting xmlns:xm="http://schemas.microsoft.com/office/excel/2006/main">
          <x14:cfRule type="expression" priority="8" id="{01F0F4FF-5E82-409A-856E-B857E4CBECBD}">
            <xm:f>Validation!$H$3=1</xm:f>
            <x14:dxf>
              <fill>
                <patternFill>
                  <bgColor rgb="FFE0DCD8"/>
                </patternFill>
              </fill>
            </x14:dxf>
          </x14:cfRule>
          <xm:sqref>BK6:BM39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pageSetUpPr fitToPage="1"/>
  </sheetPr>
  <dimension ref="A1:AH31"/>
  <sheetViews>
    <sheetView showGridLines="0" zoomScale="80" zoomScaleNormal="80" workbookViewId="0"/>
  </sheetViews>
  <sheetFormatPr defaultColWidth="0" defaultRowHeight="14.25" zeroHeight="1"/>
  <cols>
    <col min="1" max="1" width="0.625" style="69" customWidth="1"/>
    <col min="2" max="2" width="5.125" style="69" customWidth="1"/>
    <col min="3" max="3" width="47.125" style="69" customWidth="1"/>
    <col min="4" max="4" width="5.625" style="69" hidden="1" customWidth="1"/>
    <col min="5" max="6" width="5.125" style="69" customWidth="1"/>
    <col min="7" max="9" width="13.625" style="69" customWidth="1"/>
    <col min="10" max="10" width="2.625" style="65" customWidth="1"/>
    <col min="11" max="11" width="18.625" style="65" bestFit="1" customWidth="1"/>
    <col min="12" max="12" width="1.625" style="65" customWidth="1"/>
    <col min="13" max="13" width="1.625" style="66" hidden="1" customWidth="1"/>
    <col min="14" max="15" width="8.625" style="65" hidden="1" customWidth="1"/>
    <col min="16" max="16" width="1.625" style="66" hidden="1" customWidth="1"/>
    <col min="17" max="26" width="8" style="69" hidden="1" customWidth="1"/>
    <col min="27" max="27" width="5.125" style="69" hidden="1" customWidth="1"/>
    <col min="28" max="28" width="47.125" style="69" hidden="1" customWidth="1"/>
    <col min="29" max="29" width="5.625" style="69" hidden="1" customWidth="1"/>
    <col min="30" max="31" width="5.125" style="69" hidden="1" customWidth="1"/>
    <col min="32" max="34" width="13.625" style="69" hidden="1" customWidth="1"/>
    <col min="35" max="16384" width="8" style="69" hidden="1"/>
  </cols>
  <sheetData>
    <row r="1" spans="2:34" s="65" customFormat="1" ht="20.25">
      <c r="B1" s="61" t="s">
        <v>1062</v>
      </c>
      <c r="C1" s="61"/>
      <c r="D1" s="61"/>
      <c r="E1" s="61"/>
      <c r="F1" s="61"/>
      <c r="G1" s="62"/>
      <c r="H1" s="61"/>
      <c r="I1" s="63" t="str">
        <f>Validation!B3</f>
        <v>Thames Water</v>
      </c>
      <c r="J1" s="61"/>
      <c r="K1" s="64" t="s">
        <v>94</v>
      </c>
      <c r="M1" s="66"/>
      <c r="P1" s="66"/>
      <c r="AA1" s="61" t="s">
        <v>95</v>
      </c>
      <c r="AB1" s="61"/>
      <c r="AC1" s="61"/>
      <c r="AD1" s="61"/>
      <c r="AE1" s="61"/>
      <c r="AF1" s="62"/>
      <c r="AG1" s="61"/>
      <c r="AH1" s="63"/>
    </row>
    <row r="2" spans="2:34" ht="19.5" thickBot="1">
      <c r="B2" s="68" t="s">
        <v>80</v>
      </c>
      <c r="C2" s="259"/>
      <c r="D2" s="259"/>
      <c r="AA2" s="68" t="s">
        <v>80</v>
      </c>
      <c r="AB2" s="259"/>
      <c r="AC2" s="259"/>
    </row>
    <row r="3" spans="2:34" ht="15" customHeight="1" thickBot="1">
      <c r="B3" s="2281" t="s">
        <v>96</v>
      </c>
      <c r="C3" s="2282"/>
      <c r="D3" s="2207" t="s">
        <v>97</v>
      </c>
      <c r="E3" s="310" t="s">
        <v>98</v>
      </c>
      <c r="F3" s="311" t="s">
        <v>99</v>
      </c>
      <c r="G3" s="252" t="s">
        <v>743</v>
      </c>
      <c r="H3" s="253" t="s">
        <v>1063</v>
      </c>
      <c r="I3" s="312" t="s">
        <v>680</v>
      </c>
      <c r="J3" s="307"/>
      <c r="K3" s="162" t="s">
        <v>103</v>
      </c>
      <c r="N3" s="2255" t="s">
        <v>107</v>
      </c>
      <c r="O3" s="2255"/>
      <c r="AA3" s="2281" t="s">
        <v>96</v>
      </c>
      <c r="AB3" s="2282"/>
      <c r="AC3" s="2207" t="s">
        <v>97</v>
      </c>
      <c r="AD3" s="310" t="s">
        <v>98</v>
      </c>
      <c r="AE3" s="311" t="s">
        <v>99</v>
      </c>
      <c r="AF3" s="252" t="s">
        <v>743</v>
      </c>
      <c r="AG3" s="253" t="s">
        <v>1063</v>
      </c>
      <c r="AH3" s="312" t="s">
        <v>680</v>
      </c>
    </row>
    <row r="4" spans="2:34" ht="15" thickBot="1">
      <c r="C4" s="274"/>
      <c r="D4" s="274"/>
      <c r="J4" s="69"/>
      <c r="K4" s="69"/>
      <c r="L4" s="74"/>
      <c r="N4" s="2255"/>
      <c r="O4" s="2255"/>
      <c r="AB4" s="274"/>
      <c r="AC4" s="274"/>
    </row>
    <row r="5" spans="2:34" ht="15" customHeight="1" thickBot="1">
      <c r="B5" s="2281" t="s">
        <v>779</v>
      </c>
      <c r="C5" s="2283"/>
      <c r="D5" s="1310"/>
      <c r="N5" s="78" t="s">
        <v>108</v>
      </c>
      <c r="AA5" s="2281" t="s">
        <v>779</v>
      </c>
      <c r="AB5" s="2283"/>
      <c r="AC5" s="1310"/>
    </row>
    <row r="6" spans="2:34" ht="14.25" customHeight="1">
      <c r="B6" s="245" t="s">
        <v>1064</v>
      </c>
      <c r="C6" s="233" t="s">
        <v>1065</v>
      </c>
      <c r="D6" s="233"/>
      <c r="E6" s="255" t="s">
        <v>8</v>
      </c>
      <c r="F6" s="235">
        <v>3</v>
      </c>
      <c r="G6" s="672">
        <f xml:space="preserve"> '4F'!O7</f>
        <v>65.081000000000003</v>
      </c>
      <c r="H6" s="382">
        <v>0.629</v>
      </c>
      <c r="I6" s="313">
        <f xml:space="preserve"> G6 + H6</f>
        <v>65.710000000000008</v>
      </c>
      <c r="K6" s="25">
        <f xml:space="preserve"> IF( SUM( M6:P6 ) = 0, 0, $N$5 )</f>
        <v>0</v>
      </c>
      <c r="N6" s="113"/>
      <c r="O6" s="86">
        <f t="shared" ref="O6:O11" si="0" xml:space="preserve"> IF( ISNUMBER( H6 ), 0, 1 )</f>
        <v>0</v>
      </c>
      <c r="AA6" s="245" t="s">
        <v>1064</v>
      </c>
      <c r="AB6" s="233" t="s">
        <v>1065</v>
      </c>
      <c r="AC6" s="233"/>
      <c r="AD6" s="255" t="s">
        <v>8</v>
      </c>
      <c r="AE6" s="235">
        <v>3</v>
      </c>
      <c r="AF6" s="672" t="str">
        <f xml:space="preserve"> '4F'!BN7</f>
        <v>BM9030</v>
      </c>
      <c r="AG6" s="382" t="s">
        <v>1066</v>
      </c>
      <c r="AH6" s="313" t="s">
        <v>1067</v>
      </c>
    </row>
    <row r="7" spans="2:34" ht="14.25" customHeight="1">
      <c r="B7" s="246" t="s">
        <v>1068</v>
      </c>
      <c r="C7" s="237" t="s">
        <v>1069</v>
      </c>
      <c r="D7" s="237"/>
      <c r="E7" s="256" t="s">
        <v>8</v>
      </c>
      <c r="F7" s="239">
        <v>3</v>
      </c>
      <c r="G7" s="673">
        <f xml:space="preserve"> '4F'!O8</f>
        <v>12.495999999999999</v>
      </c>
      <c r="H7" s="383">
        <v>0</v>
      </c>
      <c r="I7" s="314">
        <f t="shared" ref="I7:I17" si="1" xml:space="preserve"> G7 + H7</f>
        <v>12.495999999999999</v>
      </c>
      <c r="K7" s="25">
        <f t="shared" ref="K7:K17" si="2" xml:space="preserve"> IF( SUM( M7:P7 ) = 0, 0, $N$5 )</f>
        <v>0</v>
      </c>
      <c r="N7" s="113"/>
      <c r="O7" s="86">
        <f t="shared" si="0"/>
        <v>0</v>
      </c>
      <c r="AA7" s="246" t="s">
        <v>1068</v>
      </c>
      <c r="AB7" s="237" t="s">
        <v>1069</v>
      </c>
      <c r="AC7" s="237"/>
      <c r="AD7" s="256" t="s">
        <v>8</v>
      </c>
      <c r="AE7" s="239">
        <v>3</v>
      </c>
      <c r="AF7" s="673" t="str">
        <f xml:space="preserve"> '4F'!BN8</f>
        <v>BM9002</v>
      </c>
      <c r="AG7" s="383" t="s">
        <v>1070</v>
      </c>
      <c r="AH7" s="314" t="s">
        <v>1071</v>
      </c>
    </row>
    <row r="8" spans="2:34" ht="14.25" customHeight="1">
      <c r="B8" s="246" t="s">
        <v>1072</v>
      </c>
      <c r="C8" s="237" t="s">
        <v>1073</v>
      </c>
      <c r="D8" s="237"/>
      <c r="E8" s="256" t="s">
        <v>8</v>
      </c>
      <c r="F8" s="239">
        <v>3</v>
      </c>
      <c r="G8" s="673">
        <f xml:space="preserve"> '4F'!O9</f>
        <v>52.046999999999997</v>
      </c>
      <c r="H8" s="383">
        <v>4.5620000000000003</v>
      </c>
      <c r="I8" s="314">
        <f t="shared" si="1"/>
        <v>56.608999999999995</v>
      </c>
      <c r="K8" s="25">
        <f t="shared" si="2"/>
        <v>0</v>
      </c>
      <c r="N8" s="113"/>
      <c r="O8" s="86">
        <f t="shared" si="0"/>
        <v>0</v>
      </c>
      <c r="AA8" s="246" t="s">
        <v>1072</v>
      </c>
      <c r="AB8" s="237" t="s">
        <v>1073</v>
      </c>
      <c r="AC8" s="237"/>
      <c r="AD8" s="256" t="s">
        <v>8</v>
      </c>
      <c r="AE8" s="239">
        <v>3</v>
      </c>
      <c r="AF8" s="673" t="str">
        <f xml:space="preserve"> '4F'!BN9</f>
        <v>BM9003</v>
      </c>
      <c r="AG8" s="383" t="s">
        <v>1074</v>
      </c>
      <c r="AH8" s="314" t="s">
        <v>1075</v>
      </c>
    </row>
    <row r="9" spans="2:34" ht="14.25" customHeight="1" thickBot="1">
      <c r="B9" s="246" t="s">
        <v>1076</v>
      </c>
      <c r="C9" s="237" t="s">
        <v>1077</v>
      </c>
      <c r="D9" s="237"/>
      <c r="E9" s="256" t="s">
        <v>8</v>
      </c>
      <c r="F9" s="239">
        <v>3</v>
      </c>
      <c r="G9" s="673">
        <f xml:space="preserve"> '4F'!O10</f>
        <v>8.702</v>
      </c>
      <c r="H9" s="383">
        <v>5.0000000000000001E-3</v>
      </c>
      <c r="I9" s="314">
        <f t="shared" si="1"/>
        <v>8.7070000000000007</v>
      </c>
      <c r="K9" s="25">
        <f t="shared" si="2"/>
        <v>0</v>
      </c>
      <c r="N9" s="113"/>
      <c r="O9" s="86">
        <f t="shared" si="0"/>
        <v>0</v>
      </c>
      <c r="AA9" s="246" t="s">
        <v>1076</v>
      </c>
      <c r="AB9" s="237" t="s">
        <v>1077</v>
      </c>
      <c r="AC9" s="237"/>
      <c r="AD9" s="256" t="s">
        <v>8</v>
      </c>
      <c r="AE9" s="239">
        <v>3</v>
      </c>
      <c r="AF9" s="673" t="str">
        <f xml:space="preserve"> '4F'!BN10</f>
        <v>BM9007</v>
      </c>
      <c r="AG9" s="383" t="s">
        <v>1078</v>
      </c>
      <c r="AH9" s="314" t="s">
        <v>1079</v>
      </c>
    </row>
    <row r="10" spans="2:34" ht="14.25" customHeight="1" thickBot="1">
      <c r="B10" s="246" t="s">
        <v>1080</v>
      </c>
      <c r="C10" s="237" t="s">
        <v>1081</v>
      </c>
      <c r="D10" s="237"/>
      <c r="E10" s="256" t="s">
        <v>8</v>
      </c>
      <c r="F10" s="239">
        <v>3</v>
      </c>
      <c r="G10" s="632"/>
      <c r="H10" s="567">
        <v>0.69</v>
      </c>
      <c r="I10" s="314">
        <f xml:space="preserve"> H10</f>
        <v>0.69</v>
      </c>
      <c r="K10" s="25">
        <f t="shared" si="2"/>
        <v>0</v>
      </c>
      <c r="N10" s="113"/>
      <c r="O10" s="86">
        <f t="shared" si="0"/>
        <v>0</v>
      </c>
      <c r="AA10" s="246" t="s">
        <v>1080</v>
      </c>
      <c r="AB10" s="237" t="s">
        <v>1081</v>
      </c>
      <c r="AC10" s="237"/>
      <c r="AD10" s="256" t="s">
        <v>8</v>
      </c>
      <c r="AE10" s="239">
        <v>3</v>
      </c>
      <c r="AF10" s="1587"/>
      <c r="AG10" s="567" t="s">
        <v>1082</v>
      </c>
      <c r="AH10" s="314" t="s">
        <v>1083</v>
      </c>
    </row>
    <row r="11" spans="2:34" ht="14.25" customHeight="1">
      <c r="B11" s="246" t="s">
        <v>1084</v>
      </c>
      <c r="C11" s="237" t="s">
        <v>1085</v>
      </c>
      <c r="D11" s="237"/>
      <c r="E11" s="256" t="s">
        <v>8</v>
      </c>
      <c r="F11" s="239">
        <v>3</v>
      </c>
      <c r="G11" s="673">
        <f xml:space="preserve"> '4F'!O11</f>
        <v>30.221</v>
      </c>
      <c r="H11" s="383">
        <v>0.23100000000000001</v>
      </c>
      <c r="I11" s="314">
        <f xml:space="preserve"> G11 + H11</f>
        <v>30.452000000000002</v>
      </c>
      <c r="K11" s="25">
        <f t="shared" si="2"/>
        <v>0</v>
      </c>
      <c r="N11" s="113"/>
      <c r="O11" s="86">
        <f t="shared" si="0"/>
        <v>0</v>
      </c>
      <c r="AA11" s="246" t="s">
        <v>1084</v>
      </c>
      <c r="AB11" s="237" t="s">
        <v>1085</v>
      </c>
      <c r="AC11" s="237"/>
      <c r="AD11" s="256" t="s">
        <v>8</v>
      </c>
      <c r="AE11" s="239">
        <v>3</v>
      </c>
      <c r="AF11" s="673" t="str">
        <f xml:space="preserve"> '4F'!BN11</f>
        <v>BM9033</v>
      </c>
      <c r="AG11" s="383" t="s">
        <v>1086</v>
      </c>
      <c r="AH11" s="314" t="s">
        <v>1087</v>
      </c>
    </row>
    <row r="12" spans="2:34" ht="14.25" customHeight="1">
      <c r="B12" s="246" t="s">
        <v>1088</v>
      </c>
      <c r="C12" s="237" t="s">
        <v>933</v>
      </c>
      <c r="D12" s="237"/>
      <c r="E12" s="256" t="s">
        <v>8</v>
      </c>
      <c r="F12" s="239">
        <v>3</v>
      </c>
      <c r="G12" s="290">
        <f xml:space="preserve"> SUM( G6:G9 ) + G11</f>
        <v>168.547</v>
      </c>
      <c r="H12" s="276">
        <f xml:space="preserve"> SUM( H6:H11 )</f>
        <v>6.1170000000000009</v>
      </c>
      <c r="I12" s="314">
        <f xml:space="preserve"> SUM( I6:I11 )</f>
        <v>174.66399999999999</v>
      </c>
      <c r="K12" s="193"/>
      <c r="AA12" s="246" t="s">
        <v>1088</v>
      </c>
      <c r="AB12" s="237" t="s">
        <v>933</v>
      </c>
      <c r="AC12" s="237"/>
      <c r="AD12" s="256" t="s">
        <v>8</v>
      </c>
      <c r="AE12" s="239">
        <v>3</v>
      </c>
      <c r="AF12" s="290" t="str">
        <f xml:space="preserve"> '4F'!BN12</f>
        <v>BM9021</v>
      </c>
      <c r="AG12" s="276" t="s">
        <v>1089</v>
      </c>
      <c r="AH12" s="314" t="s">
        <v>1090</v>
      </c>
    </row>
    <row r="13" spans="2:34" ht="14.25" customHeight="1">
      <c r="B13" s="246" t="s">
        <v>1091</v>
      </c>
      <c r="C13" s="237" t="s">
        <v>1092</v>
      </c>
      <c r="D13" s="237"/>
      <c r="E13" s="256" t="s">
        <v>8</v>
      </c>
      <c r="F13" s="239">
        <v>3</v>
      </c>
      <c r="G13" s="673">
        <f xml:space="preserve"> '4F'!O14</f>
        <v>0</v>
      </c>
      <c r="H13" s="383">
        <v>0</v>
      </c>
      <c r="I13" s="314">
        <f t="shared" si="1"/>
        <v>0</v>
      </c>
      <c r="K13" s="25">
        <f t="shared" si="2"/>
        <v>0</v>
      </c>
      <c r="N13" s="113"/>
      <c r="O13" s="86">
        <f t="shared" ref="N13:O21" si="3" xml:space="preserve"> IF( ISNUMBER( H13 ), 0, 1 )</f>
        <v>0</v>
      </c>
      <c r="AA13" s="246" t="s">
        <v>1091</v>
      </c>
      <c r="AB13" s="237" t="s">
        <v>1092</v>
      </c>
      <c r="AC13" s="237"/>
      <c r="AD13" s="256" t="s">
        <v>8</v>
      </c>
      <c r="AE13" s="239">
        <v>3</v>
      </c>
      <c r="AF13" s="673" t="str">
        <f xml:space="preserve"> '4F'!BN14</f>
        <v>BM9022</v>
      </c>
      <c r="AG13" s="383" t="s">
        <v>1093</v>
      </c>
      <c r="AH13" s="314" t="s">
        <v>1094</v>
      </c>
    </row>
    <row r="14" spans="2:34" ht="14.25" customHeight="1" thickBot="1">
      <c r="B14" s="247" t="s">
        <v>1095</v>
      </c>
      <c r="C14" s="242" t="s">
        <v>949</v>
      </c>
      <c r="D14" s="242"/>
      <c r="E14" s="243" t="s">
        <v>8</v>
      </c>
      <c r="F14" s="244">
        <v>3</v>
      </c>
      <c r="G14" s="277">
        <f xml:space="preserve"> SUM( G12:G13 )</f>
        <v>168.547</v>
      </c>
      <c r="H14" s="279">
        <f xml:space="preserve"> SUM( H12:H13 )</f>
        <v>6.1170000000000009</v>
      </c>
      <c r="I14" s="287">
        <f xml:space="preserve"> SUM( I12:I13 )</f>
        <v>174.66399999999999</v>
      </c>
      <c r="K14" s="193"/>
      <c r="AA14" s="247" t="s">
        <v>1095</v>
      </c>
      <c r="AB14" s="242" t="s">
        <v>949</v>
      </c>
      <c r="AC14" s="242"/>
      <c r="AD14" s="243" t="s">
        <v>8</v>
      </c>
      <c r="AE14" s="244">
        <v>3</v>
      </c>
      <c r="AF14" s="277" t="str">
        <f xml:space="preserve"> '4F'!BN15</f>
        <v>BM9023</v>
      </c>
      <c r="AG14" s="279" t="s">
        <v>1096</v>
      </c>
      <c r="AH14" s="287" t="s">
        <v>1097</v>
      </c>
    </row>
    <row r="15" spans="2:34" s="103" customFormat="1" ht="15" thickBot="1">
      <c r="C15" s="138"/>
      <c r="D15" s="138"/>
      <c r="H15" s="142"/>
      <c r="J15" s="65"/>
      <c r="K15" s="65"/>
      <c r="L15" s="65"/>
      <c r="M15" s="66"/>
      <c r="N15" s="65"/>
      <c r="O15" s="65"/>
      <c r="P15" s="66"/>
      <c r="AB15" s="138"/>
      <c r="AC15" s="138"/>
      <c r="AF15" s="1589"/>
      <c r="AG15" s="142"/>
    </row>
    <row r="16" spans="2:34" ht="14.25" customHeight="1">
      <c r="B16" s="245" t="s">
        <v>1098</v>
      </c>
      <c r="C16" s="233" t="s">
        <v>792</v>
      </c>
      <c r="D16" s="233"/>
      <c r="E16" s="255" t="s">
        <v>8</v>
      </c>
      <c r="F16" s="235">
        <v>3</v>
      </c>
      <c r="G16" s="672">
        <f xml:space="preserve"> '4F'!O17 + '4F'!O18</f>
        <v>2.2529999999999997</v>
      </c>
      <c r="H16" s="382">
        <v>0</v>
      </c>
      <c r="I16" s="313">
        <f t="shared" si="1"/>
        <v>2.2529999999999997</v>
      </c>
      <c r="K16" s="25">
        <f t="shared" si="2"/>
        <v>0</v>
      </c>
      <c r="N16" s="113"/>
      <c r="O16" s="86">
        <f t="shared" si="3"/>
        <v>0</v>
      </c>
      <c r="AA16" s="245" t="s">
        <v>1098</v>
      </c>
      <c r="AB16" s="233" t="s">
        <v>792</v>
      </c>
      <c r="AC16" s="233"/>
      <c r="AD16" s="255" t="s">
        <v>8</v>
      </c>
      <c r="AE16" s="235">
        <v>3</v>
      </c>
      <c r="AF16" s="672" t="s">
        <v>1099</v>
      </c>
      <c r="AG16" s="382" t="s">
        <v>1100</v>
      </c>
      <c r="AH16" s="313" t="s">
        <v>1101</v>
      </c>
    </row>
    <row r="17" spans="2:34" ht="14.25" customHeight="1" thickBot="1">
      <c r="B17" s="247" t="s">
        <v>1102</v>
      </c>
      <c r="C17" s="242" t="s">
        <v>799</v>
      </c>
      <c r="D17" s="242"/>
      <c r="E17" s="243" t="s">
        <v>8</v>
      </c>
      <c r="F17" s="244">
        <v>3</v>
      </c>
      <c r="G17" s="674">
        <f xml:space="preserve"> '4F'!O19 + '4F'!O20</f>
        <v>1</v>
      </c>
      <c r="H17" s="384">
        <v>0</v>
      </c>
      <c r="I17" s="287">
        <f t="shared" si="1"/>
        <v>1</v>
      </c>
      <c r="K17" s="25">
        <f t="shared" si="2"/>
        <v>0</v>
      </c>
      <c r="N17" s="113"/>
      <c r="O17" s="86">
        <f t="shared" ref="O17" si="4" xml:space="preserve"> IF( ISNUMBER( H17 ), 0, 1 )</f>
        <v>0</v>
      </c>
      <c r="AA17" s="247" t="s">
        <v>1102</v>
      </c>
      <c r="AB17" s="242" t="s">
        <v>799</v>
      </c>
      <c r="AC17" s="242"/>
      <c r="AD17" s="243" t="s">
        <v>8</v>
      </c>
      <c r="AE17" s="244">
        <v>3</v>
      </c>
      <c r="AF17" s="674" t="s">
        <v>1103</v>
      </c>
      <c r="AG17" s="384" t="s">
        <v>1104</v>
      </c>
      <c r="AH17" s="287" t="s">
        <v>1105</v>
      </c>
    </row>
    <row r="18" spans="2:34" s="103" customFormat="1" ht="15" thickBot="1">
      <c r="C18" s="138"/>
      <c r="D18" s="138"/>
      <c r="H18" s="142"/>
      <c r="J18" s="65"/>
      <c r="K18" s="65"/>
      <c r="L18" s="65"/>
      <c r="M18" s="66"/>
      <c r="N18" s="65"/>
      <c r="O18" s="65"/>
      <c r="P18" s="66"/>
      <c r="AB18" s="138"/>
      <c r="AC18" s="138"/>
      <c r="AF18" s="1589"/>
      <c r="AG18" s="142"/>
    </row>
    <row r="19" spans="2:34" ht="14.25" customHeight="1" thickBot="1">
      <c r="B19" s="282" t="s">
        <v>1106</v>
      </c>
      <c r="C19" s="225" t="s">
        <v>1107</v>
      </c>
      <c r="D19" s="225"/>
      <c r="E19" s="283" t="s">
        <v>8</v>
      </c>
      <c r="F19" s="227">
        <v>3</v>
      </c>
      <c r="G19" s="284">
        <f xml:space="preserve"> G14 + SUM( G16:G17 )</f>
        <v>171.79999999999998</v>
      </c>
      <c r="H19" s="286">
        <f xml:space="preserve"> H14 + SUM( H16:H17 )</f>
        <v>6.1170000000000009</v>
      </c>
      <c r="I19" s="531">
        <f xml:space="preserve"> I14 + SUM( I16:I17 )</f>
        <v>177.91699999999997</v>
      </c>
      <c r="K19" s="193"/>
      <c r="AA19" s="282" t="s">
        <v>1106</v>
      </c>
      <c r="AB19" s="225" t="s">
        <v>1107</v>
      </c>
      <c r="AC19" s="225"/>
      <c r="AD19" s="283" t="s">
        <v>8</v>
      </c>
      <c r="AE19" s="227">
        <v>3</v>
      </c>
      <c r="AF19" s="284" t="str">
        <f xml:space="preserve"> '4F'!BN21</f>
        <v>BM9029</v>
      </c>
      <c r="AG19" s="286" t="s">
        <v>1108</v>
      </c>
      <c r="AH19" s="531" t="s">
        <v>1109</v>
      </c>
    </row>
    <row r="20" spans="2:34" s="103" customFormat="1" ht="15" thickBot="1">
      <c r="C20" s="138"/>
      <c r="D20" s="138"/>
      <c r="H20" s="142"/>
      <c r="J20" s="65"/>
      <c r="K20" s="65"/>
      <c r="L20" s="65"/>
      <c r="M20" s="66"/>
      <c r="N20" s="65"/>
      <c r="O20" s="65"/>
      <c r="P20" s="66"/>
      <c r="AB20" s="138"/>
      <c r="AC20" s="138"/>
      <c r="AG20" s="142"/>
    </row>
    <row r="21" spans="2:34" ht="14.25" customHeight="1" thickBot="1">
      <c r="B21" s="282" t="s">
        <v>1110</v>
      </c>
      <c r="C21" s="225" t="s">
        <v>1111</v>
      </c>
      <c r="D21" s="225"/>
      <c r="E21" s="283" t="s">
        <v>8</v>
      </c>
      <c r="F21" s="227">
        <v>3</v>
      </c>
      <c r="G21" s="670">
        <v>65.769000000000005</v>
      </c>
      <c r="H21" s="671">
        <v>2.1789999999999998</v>
      </c>
      <c r="I21" s="531">
        <f xml:space="preserve"> G21 + H21</f>
        <v>67.948000000000008</v>
      </c>
      <c r="K21" s="25">
        <f xml:space="preserve"> IF( SUM( M21:P21 ) = 0, 0, $N$5 )</f>
        <v>0</v>
      </c>
      <c r="N21" s="86">
        <f t="shared" si="3"/>
        <v>0</v>
      </c>
      <c r="O21" s="86">
        <f t="shared" si="3"/>
        <v>0</v>
      </c>
      <c r="AA21" s="282" t="s">
        <v>1110</v>
      </c>
      <c r="AB21" s="225" t="s">
        <v>1111</v>
      </c>
      <c r="AC21" s="225"/>
      <c r="AD21" s="283" t="s">
        <v>8</v>
      </c>
      <c r="AE21" s="227">
        <v>3</v>
      </c>
      <c r="AF21" s="670" t="s">
        <v>1112</v>
      </c>
      <c r="AG21" s="671" t="s">
        <v>1113</v>
      </c>
      <c r="AH21" s="531" t="s">
        <v>1114</v>
      </c>
    </row>
    <row r="22" spans="2:34" s="103" customFormat="1">
      <c r="C22" s="138"/>
      <c r="D22" s="138"/>
      <c r="H22" s="142"/>
      <c r="J22" s="65"/>
      <c r="K22" s="65"/>
      <c r="L22" s="65"/>
      <c r="M22" s="66"/>
      <c r="N22" s="65"/>
      <c r="O22" s="65"/>
      <c r="P22" s="66"/>
      <c r="AB22" s="138"/>
      <c r="AC22" s="138"/>
      <c r="AG22" s="142"/>
    </row>
    <row r="23" spans="2:34" s="142" customFormat="1">
      <c r="B23" s="2256" t="s">
        <v>275</v>
      </c>
      <c r="C23" s="2256"/>
      <c r="D23" s="2195"/>
      <c r="J23" s="65"/>
      <c r="K23" s="65"/>
      <c r="L23" s="65"/>
      <c r="M23" s="66"/>
      <c r="N23" s="65"/>
      <c r="O23" s="65"/>
      <c r="P23" s="66"/>
    </row>
    <row r="24" spans="2:34" s="142" customFormat="1">
      <c r="B24" s="127"/>
      <c r="C24" s="128"/>
      <c r="D24" s="128"/>
      <c r="J24" s="65"/>
      <c r="K24" s="65"/>
      <c r="L24" s="65"/>
      <c r="M24" s="66"/>
      <c r="N24" s="65"/>
      <c r="O24" s="65"/>
      <c r="P24" s="66"/>
    </row>
    <row r="25" spans="2:34" s="142" customFormat="1">
      <c r="B25" s="26"/>
      <c r="C25" s="129" t="s">
        <v>249</v>
      </c>
      <c r="D25" s="129"/>
      <c r="J25" s="65"/>
      <c r="K25" s="65"/>
      <c r="L25" s="65"/>
      <c r="M25" s="66"/>
      <c r="N25" s="65"/>
      <c r="O25" s="65"/>
      <c r="P25" s="66"/>
    </row>
    <row r="26" spans="2:34" s="142" customFormat="1">
      <c r="B26" s="127"/>
      <c r="C26" s="128"/>
      <c r="D26" s="128"/>
      <c r="J26" s="110"/>
      <c r="K26" s="112"/>
      <c r="L26" s="110"/>
      <c r="M26" s="66"/>
      <c r="N26" s="65"/>
      <c r="O26" s="65"/>
      <c r="P26" s="66"/>
    </row>
    <row r="27" spans="2:34" s="142" customFormat="1" ht="12">
      <c r="B27" s="130"/>
      <c r="C27" s="129" t="s">
        <v>250</v>
      </c>
      <c r="D27" s="129"/>
      <c r="J27" s="116"/>
      <c r="K27" s="116"/>
      <c r="L27" s="116"/>
      <c r="M27" s="114"/>
      <c r="N27" s="116"/>
      <c r="O27" s="116"/>
      <c r="P27" s="114"/>
    </row>
    <row r="28" spans="2:34" s="142" customFormat="1" ht="12">
      <c r="B28" s="131"/>
      <c r="C28" s="129"/>
      <c r="D28" s="129"/>
      <c r="J28" s="116"/>
      <c r="K28" s="116"/>
      <c r="L28" s="116"/>
      <c r="M28" s="111"/>
      <c r="N28" s="116"/>
      <c r="O28" s="116"/>
      <c r="P28" s="111"/>
    </row>
    <row r="29" spans="2:34" s="155" customFormat="1" ht="13.5" thickBot="1">
      <c r="C29" s="156"/>
      <c r="D29" s="156"/>
      <c r="J29" s="116"/>
      <c r="K29" s="116"/>
      <c r="L29" s="116"/>
      <c r="M29" s="111"/>
      <c r="N29" s="116"/>
      <c r="O29" s="116"/>
      <c r="P29" s="111"/>
    </row>
    <row r="30" spans="2:34" s="155" customFormat="1" ht="16.5" thickBot="1">
      <c r="B30" s="1166" t="s">
        <v>251</v>
      </c>
      <c r="C30" s="133"/>
      <c r="D30" s="133"/>
      <c r="E30" s="134"/>
      <c r="F30" s="134"/>
      <c r="G30" s="134"/>
      <c r="H30" s="134"/>
      <c r="I30" s="216"/>
      <c r="J30" s="116"/>
      <c r="K30" s="116"/>
      <c r="L30" s="116"/>
      <c r="M30" s="111"/>
      <c r="N30" s="116"/>
      <c r="O30" s="116"/>
      <c r="P30" s="111"/>
    </row>
    <row r="31" spans="2:34" s="155" customFormat="1" ht="12.75">
      <c r="C31" s="156"/>
      <c r="D31" s="156"/>
      <c r="J31" s="116"/>
      <c r="K31" s="116"/>
      <c r="L31" s="116"/>
      <c r="M31" s="111"/>
      <c r="N31" s="116"/>
      <c r="O31" s="116"/>
      <c r="P31" s="111"/>
    </row>
  </sheetData>
  <sheetProtection algorithmName="SHA-512" hashValue="iJBnBASWBPBQEuUoiSfkL43bIxuayFe4KMgpUaFPRMJgHrGovKOeC7K7xGA4wQRqY5uo9EIAQNy1pS/+ZobwnA==" saltValue="1Ut5JgAX+jYIG3gG17mfKg==" spinCount="100000" sheet="1" objects="1" scenarios="1"/>
  <mergeCells count="6">
    <mergeCell ref="B23:C23"/>
    <mergeCell ref="AA3:AB3"/>
    <mergeCell ref="AA5:AB5"/>
    <mergeCell ref="B3:C3"/>
    <mergeCell ref="N3:O4"/>
    <mergeCell ref="B5:C5"/>
  </mergeCells>
  <conditionalFormatting sqref="K6:K11">
    <cfRule type="cellIs" dxfId="585" priority="5" operator="equal">
      <formula>0</formula>
    </cfRule>
  </conditionalFormatting>
  <conditionalFormatting sqref="K13">
    <cfRule type="cellIs" dxfId="584" priority="3" operator="equal">
      <formula>0</formula>
    </cfRule>
  </conditionalFormatting>
  <conditionalFormatting sqref="K16:K17">
    <cfRule type="cellIs" dxfId="583" priority="2" operator="equal">
      <formula>0</formula>
    </cfRule>
  </conditionalFormatting>
  <conditionalFormatting sqref="K21">
    <cfRule type="cellIs" dxfId="582" priority="1" operator="equal">
      <formula>0</formula>
    </cfRule>
  </conditionalFormatting>
  <conditionalFormatting sqref="K24:K25">
    <cfRule type="cellIs" dxfId="581" priority="4" operator="equal">
      <formula>2</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A1:BP40"/>
  <sheetViews>
    <sheetView showGridLines="0" zoomScale="80" zoomScaleNormal="80" workbookViewId="0">
      <selection activeCell="G24" sqref="G24"/>
    </sheetView>
  </sheetViews>
  <sheetFormatPr defaultColWidth="0" defaultRowHeight="14.25" zeroHeight="1"/>
  <cols>
    <col min="1" max="1" width="0.625" style="65" customWidth="1"/>
    <col min="2" max="2" width="5.125" style="65" customWidth="1"/>
    <col min="3" max="3" width="38.125" style="65" customWidth="1"/>
    <col min="4" max="4" width="5.625" style="65" hidden="1" customWidth="1"/>
    <col min="5" max="6" width="5.125" style="65" customWidth="1"/>
    <col min="7" max="14" width="12.625" style="65" customWidth="1"/>
    <col min="15" max="15" width="2.625" style="65" customWidth="1"/>
    <col min="16" max="16" width="36.625" style="69" customWidth="1"/>
    <col min="17" max="17" width="18.625" style="65" bestFit="1" customWidth="1"/>
    <col min="18" max="18" width="1.625" style="65" customWidth="1"/>
    <col min="19" max="19" width="1.625" style="66" hidden="1" customWidth="1"/>
    <col min="20" max="26" width="4.625" style="65" hidden="1" customWidth="1"/>
    <col min="27" max="27" width="1.625" style="66" hidden="1" customWidth="1"/>
    <col min="28" max="35" width="5.125" style="69" hidden="1" customWidth="1"/>
    <col min="36" max="36" width="1.625" style="66" hidden="1" customWidth="1"/>
    <col min="37" max="55" width="9" style="65" hidden="1" customWidth="1"/>
    <col min="56" max="56" width="5.125" style="65" hidden="1" customWidth="1"/>
    <col min="57" max="57" width="38.125" style="65" hidden="1" customWidth="1"/>
    <col min="58" max="58" width="5.625" style="65" hidden="1" customWidth="1"/>
    <col min="59" max="60" width="5.125" style="65" hidden="1" customWidth="1"/>
    <col min="61" max="68" width="12.625" style="65" hidden="1" customWidth="1"/>
    <col min="69" max="16384" width="9" style="65" hidden="1"/>
  </cols>
  <sheetData>
    <row r="1" spans="2:68" ht="20.25">
      <c r="B1" s="61" t="s">
        <v>1115</v>
      </c>
      <c r="C1" s="61"/>
      <c r="D1" s="61"/>
      <c r="E1" s="61"/>
      <c r="F1" s="61"/>
      <c r="G1" s="61"/>
      <c r="H1" s="61"/>
      <c r="I1" s="61"/>
      <c r="J1" s="61"/>
      <c r="K1" s="61"/>
      <c r="L1" s="61"/>
      <c r="M1" s="61"/>
      <c r="N1" s="63" t="str">
        <f>Validation!B3</f>
        <v>Thames Water</v>
      </c>
      <c r="O1" s="61"/>
      <c r="P1" s="64"/>
      <c r="Q1" s="64" t="s">
        <v>94</v>
      </c>
      <c r="AB1" s="65"/>
      <c r="AC1" s="65"/>
      <c r="AD1" s="65"/>
      <c r="AE1" s="65"/>
      <c r="AF1" s="65"/>
      <c r="AG1" s="65"/>
      <c r="AH1" s="65"/>
      <c r="AI1" s="65"/>
      <c r="BD1" s="61" t="s">
        <v>95</v>
      </c>
      <c r="BE1" s="61"/>
      <c r="BF1" s="61"/>
      <c r="BG1" s="61"/>
      <c r="BH1" s="61"/>
      <c r="BI1" s="61"/>
      <c r="BJ1" s="61"/>
      <c r="BK1" s="61"/>
      <c r="BL1" s="61"/>
      <c r="BM1" s="61"/>
      <c r="BN1" s="61"/>
      <c r="BO1" s="61"/>
      <c r="BP1" s="63"/>
    </row>
    <row r="2" spans="2:68" ht="15" thickBot="1">
      <c r="B2" s="68" t="s">
        <v>80</v>
      </c>
      <c r="P2" s="65"/>
      <c r="AB2" s="65"/>
      <c r="AC2" s="65"/>
      <c r="AD2" s="65"/>
      <c r="AE2" s="65"/>
      <c r="AF2" s="65"/>
      <c r="AG2" s="65"/>
      <c r="AH2" s="65"/>
      <c r="AI2" s="65"/>
      <c r="BD2" s="68" t="s">
        <v>80</v>
      </c>
    </row>
    <row r="3" spans="2:68" ht="15" customHeight="1">
      <c r="B3" s="2242" t="s">
        <v>96</v>
      </c>
      <c r="C3" s="2243"/>
      <c r="D3" s="2192" t="s">
        <v>97</v>
      </c>
      <c r="E3" s="2246" t="s">
        <v>98</v>
      </c>
      <c r="F3" s="2248" t="s">
        <v>99</v>
      </c>
      <c r="G3" s="2252" t="s">
        <v>741</v>
      </c>
      <c r="H3" s="2258"/>
      <c r="I3" s="2258"/>
      <c r="J3" s="2258"/>
      <c r="K3" s="2254"/>
      <c r="L3" s="2258" t="s">
        <v>740</v>
      </c>
      <c r="M3" s="2259"/>
      <c r="N3" s="2240" t="s">
        <v>680</v>
      </c>
      <c r="O3" s="307"/>
      <c r="P3" s="2240" t="s">
        <v>675</v>
      </c>
      <c r="Q3" s="2240" t="s">
        <v>103</v>
      </c>
      <c r="T3" s="2255" t="s">
        <v>107</v>
      </c>
      <c r="U3" s="2255"/>
      <c r="V3" s="2255"/>
      <c r="W3" s="2255"/>
      <c r="X3" s="2255"/>
      <c r="Y3" s="2286"/>
      <c r="Z3" s="2286"/>
      <c r="AB3" s="2284" t="s">
        <v>86</v>
      </c>
      <c r="AC3" s="2285"/>
      <c r="AD3" s="2285"/>
      <c r="AE3" s="2285"/>
      <c r="AF3" s="2285"/>
      <c r="AG3" s="2285"/>
      <c r="AH3" s="2285"/>
      <c r="AI3" s="2285"/>
      <c r="BD3" s="2242" t="s">
        <v>96</v>
      </c>
      <c r="BE3" s="2243"/>
      <c r="BF3" s="2192" t="s">
        <v>97</v>
      </c>
      <c r="BG3" s="2246" t="s">
        <v>98</v>
      </c>
      <c r="BH3" s="2248" t="s">
        <v>99</v>
      </c>
      <c r="BI3" s="2252" t="s">
        <v>741</v>
      </c>
      <c r="BJ3" s="2258"/>
      <c r="BK3" s="2258"/>
      <c r="BL3" s="2258"/>
      <c r="BM3" s="2254"/>
      <c r="BN3" s="2258" t="s">
        <v>740</v>
      </c>
      <c r="BO3" s="2259"/>
      <c r="BP3" s="2240" t="s">
        <v>680</v>
      </c>
    </row>
    <row r="4" spans="2:68" ht="27.75" thickBot="1">
      <c r="B4" s="2244"/>
      <c r="C4" s="2245"/>
      <c r="D4" s="2193"/>
      <c r="E4" s="2247"/>
      <c r="F4" s="2249"/>
      <c r="G4" s="1177" t="s">
        <v>866</v>
      </c>
      <c r="H4" s="73" t="s">
        <v>746</v>
      </c>
      <c r="I4" s="2212" t="s">
        <v>867</v>
      </c>
      <c r="J4" s="755" t="s">
        <v>749</v>
      </c>
      <c r="K4" s="2202" t="s">
        <v>751</v>
      </c>
      <c r="L4" s="309" t="s">
        <v>743</v>
      </c>
      <c r="M4" s="2202" t="s">
        <v>744</v>
      </c>
      <c r="N4" s="2241"/>
      <c r="O4" s="307"/>
      <c r="P4" s="2241"/>
      <c r="Q4" s="2241"/>
      <c r="R4" s="74"/>
      <c r="T4" s="2255"/>
      <c r="U4" s="2255"/>
      <c r="V4" s="2255"/>
      <c r="W4" s="2255"/>
      <c r="X4" s="2255"/>
      <c r="Y4" s="2286"/>
      <c r="Z4" s="2286"/>
      <c r="AB4" s="2284"/>
      <c r="AC4" s="2285"/>
      <c r="AD4" s="2285"/>
      <c r="AE4" s="2285"/>
      <c r="AF4" s="2285"/>
      <c r="AG4" s="2285"/>
      <c r="AH4" s="2285"/>
      <c r="AI4" s="2285"/>
      <c r="BD4" s="2244"/>
      <c r="BE4" s="2245"/>
      <c r="BF4" s="2193"/>
      <c r="BG4" s="2247"/>
      <c r="BH4" s="2249"/>
      <c r="BI4" s="1177" t="s">
        <v>866</v>
      </c>
      <c r="BJ4" s="73" t="s">
        <v>746</v>
      </c>
      <c r="BK4" s="2212" t="s">
        <v>867</v>
      </c>
      <c r="BL4" s="308" t="s">
        <v>749</v>
      </c>
      <c r="BM4" s="308" t="s">
        <v>751</v>
      </c>
      <c r="BN4" s="309" t="s">
        <v>743</v>
      </c>
      <c r="BO4" s="2202" t="s">
        <v>744</v>
      </c>
      <c r="BP4" s="2241"/>
    </row>
    <row r="5" spans="2:68" ht="15" thickBot="1">
      <c r="P5" s="118"/>
      <c r="T5" s="78" t="s">
        <v>108</v>
      </c>
      <c r="U5" s="78"/>
      <c r="V5" s="78"/>
      <c r="W5" s="78"/>
      <c r="AB5" s="78" t="s">
        <v>1116</v>
      </c>
    </row>
    <row r="6" spans="2:68" ht="15" thickBot="1">
      <c r="B6" s="2221" t="s">
        <v>214</v>
      </c>
      <c r="C6" s="77" t="s">
        <v>1117</v>
      </c>
      <c r="D6" s="1292"/>
      <c r="P6" s="118"/>
      <c r="AB6" s="113"/>
      <c r="AC6" s="113"/>
      <c r="AD6" s="113"/>
      <c r="AE6" s="113"/>
      <c r="AF6" s="113"/>
      <c r="AG6" s="113"/>
      <c r="AH6" s="113"/>
      <c r="AI6" s="113"/>
      <c r="BD6" s="2221" t="s">
        <v>214</v>
      </c>
      <c r="BE6" s="77" t="s">
        <v>1117</v>
      </c>
      <c r="BF6" s="1292"/>
    </row>
    <row r="7" spans="2:68">
      <c r="B7" s="79" t="s">
        <v>1118</v>
      </c>
      <c r="C7" s="109" t="s">
        <v>1119</v>
      </c>
      <c r="D7" s="109"/>
      <c r="E7" s="81" t="s">
        <v>8</v>
      </c>
      <c r="F7" s="82">
        <v>3</v>
      </c>
      <c r="G7" s="342">
        <v>261.31</v>
      </c>
      <c r="H7" s="395">
        <v>8721.2999999999993</v>
      </c>
      <c r="I7" s="353">
        <v>7334.2389999999996</v>
      </c>
      <c r="J7" s="353">
        <v>1332.3340000000001</v>
      </c>
      <c r="K7" s="399">
        <v>1074.645</v>
      </c>
      <c r="L7" s="352">
        <v>79.406999999999996</v>
      </c>
      <c r="M7" s="378">
        <v>0</v>
      </c>
      <c r="N7" s="173">
        <f>SUM(G7:M7)</f>
        <v>18803.234999999997</v>
      </c>
      <c r="P7" s="118"/>
      <c r="Q7" s="25">
        <f xml:space="preserve"> IF( SUM( S7:AA7 ) = 0, 0, $T$5 )</f>
        <v>0</v>
      </c>
      <c r="T7" s="86">
        <f t="shared" ref="T7:U9" si="0" xml:space="preserve"> IF( ISNUMBER( G7 ), 0, 1 )</f>
        <v>0</v>
      </c>
      <c r="U7" s="86">
        <f t="shared" si="0"/>
        <v>0</v>
      </c>
      <c r="V7" s="86">
        <f>IF(Validation!$H$3=1,0,IF(ISNUMBER(I7),0,1))</f>
        <v>0</v>
      </c>
      <c r="W7" s="86">
        <f>IF(Validation!$H$3=1,0,IF(ISNUMBER(J7),0,1))</f>
        <v>0</v>
      </c>
      <c r="X7" s="86">
        <f>IF(Validation!$H$3=1,0,IF(ISNUMBER(K7),0,1))</f>
        <v>0</v>
      </c>
      <c r="Y7" s="86">
        <f t="shared" ref="Y7:Z9" si="1" xml:space="preserve"> IF( ISNUMBER( L7 ), 0, 1 )</f>
        <v>0</v>
      </c>
      <c r="Z7" s="86">
        <f t="shared" si="1"/>
        <v>0</v>
      </c>
      <c r="BD7" s="79" t="s">
        <v>1118</v>
      </c>
      <c r="BE7" s="109" t="s">
        <v>1119</v>
      </c>
      <c r="BF7" s="109"/>
      <c r="BG7" s="81" t="s">
        <v>8</v>
      </c>
      <c r="BH7" s="82">
        <v>3</v>
      </c>
      <c r="BI7" s="342" t="s">
        <v>1120</v>
      </c>
      <c r="BJ7" s="395" t="s">
        <v>1121</v>
      </c>
      <c r="BK7" s="353" t="s">
        <v>1122</v>
      </c>
      <c r="BL7" s="399" t="s">
        <v>1123</v>
      </c>
      <c r="BM7" s="399" t="s">
        <v>1124</v>
      </c>
      <c r="BN7" s="352" t="s">
        <v>1125</v>
      </c>
      <c r="BO7" s="378" t="s">
        <v>1126</v>
      </c>
      <c r="BP7" s="173" t="s">
        <v>1127</v>
      </c>
    </row>
    <row r="8" spans="2:68">
      <c r="B8" s="87" t="s">
        <v>1128</v>
      </c>
      <c r="C8" s="80" t="s">
        <v>1129</v>
      </c>
      <c r="D8" s="80"/>
      <c r="E8" s="88" t="s">
        <v>8</v>
      </c>
      <c r="F8" s="89">
        <v>3</v>
      </c>
      <c r="G8" s="340">
        <v>0</v>
      </c>
      <c r="H8" s="391">
        <v>-8.6750000000000007</v>
      </c>
      <c r="I8" s="341">
        <v>-4.8129999999999997</v>
      </c>
      <c r="J8" s="341">
        <v>-3.2000000000000001E-2</v>
      </c>
      <c r="K8" s="400">
        <v>0</v>
      </c>
      <c r="L8" s="354">
        <v>0</v>
      </c>
      <c r="M8" s="379">
        <v>0</v>
      </c>
      <c r="N8" s="206">
        <f t="shared" ref="N8:N12" si="2">SUM(G8:M8)</f>
        <v>-13.52</v>
      </c>
      <c r="P8" s="118"/>
      <c r="Q8" s="25">
        <f t="shared" ref="Q8:Q11" si="3" xml:space="preserve"> IF( SUM( S8:AA8 ) = 0, 0, $T$5 )</f>
        <v>0</v>
      </c>
      <c r="T8" s="86">
        <f t="shared" si="0"/>
        <v>0</v>
      </c>
      <c r="U8" s="86">
        <f t="shared" si="0"/>
        <v>0</v>
      </c>
      <c r="V8" s="86">
        <f>IF(Validation!$H$3=1,0,IF(ISNUMBER(I8),0,1))</f>
        <v>0</v>
      </c>
      <c r="W8" s="86">
        <f>IF(Validation!$H$3=1,0,IF(ISNUMBER(J8),0,1))</f>
        <v>0</v>
      </c>
      <c r="X8" s="86">
        <f>IF(Validation!$H$3=1,0,IF(ISNUMBER(K8),0,1))</f>
        <v>0</v>
      </c>
      <c r="Y8" s="86">
        <f t="shared" si="1"/>
        <v>0</v>
      </c>
      <c r="Z8" s="86">
        <f t="shared" si="1"/>
        <v>0</v>
      </c>
      <c r="AB8" s="113"/>
      <c r="AC8" s="113"/>
      <c r="AD8" s="113"/>
      <c r="AE8" s="113"/>
      <c r="AF8" s="113"/>
      <c r="AG8" s="113"/>
      <c r="AH8" s="113"/>
      <c r="AI8" s="113"/>
      <c r="BD8" s="87" t="s">
        <v>1128</v>
      </c>
      <c r="BE8" s="80" t="s">
        <v>1129</v>
      </c>
      <c r="BF8" s="80"/>
      <c r="BG8" s="88" t="s">
        <v>8</v>
      </c>
      <c r="BH8" s="89">
        <v>3</v>
      </c>
      <c r="BI8" s="340" t="s">
        <v>1130</v>
      </c>
      <c r="BJ8" s="391" t="s">
        <v>1131</v>
      </c>
      <c r="BK8" s="341" t="s">
        <v>1132</v>
      </c>
      <c r="BL8" s="400" t="s">
        <v>1133</v>
      </c>
      <c r="BM8" s="400" t="s">
        <v>1134</v>
      </c>
      <c r="BN8" s="354" t="s">
        <v>1135</v>
      </c>
      <c r="BO8" s="379" t="s">
        <v>1136</v>
      </c>
      <c r="BP8" s="206" t="s">
        <v>1137</v>
      </c>
    </row>
    <row r="9" spans="2:68">
      <c r="B9" s="87" t="s">
        <v>1138</v>
      </c>
      <c r="C9" s="80" t="s">
        <v>1139</v>
      </c>
      <c r="D9" s="80"/>
      <c r="E9" s="88" t="s">
        <v>8</v>
      </c>
      <c r="F9" s="89">
        <v>3</v>
      </c>
      <c r="G9" s="340">
        <v>21.952999999999999</v>
      </c>
      <c r="H9" s="391">
        <v>444.23700000000002</v>
      </c>
      <c r="I9" s="341">
        <v>384.78500000000003</v>
      </c>
      <c r="J9" s="341">
        <v>82.647999999999996</v>
      </c>
      <c r="K9" s="400">
        <v>38.725999999999999</v>
      </c>
      <c r="L9" s="354">
        <v>5.5389999999999997</v>
      </c>
      <c r="M9" s="379">
        <v>0</v>
      </c>
      <c r="N9" s="206">
        <f t="shared" si="2"/>
        <v>977.88800000000003</v>
      </c>
      <c r="P9" s="118"/>
      <c r="Q9" s="25">
        <f t="shared" si="3"/>
        <v>0</v>
      </c>
      <c r="T9" s="86">
        <f t="shared" si="0"/>
        <v>0</v>
      </c>
      <c r="U9" s="86">
        <f t="shared" si="0"/>
        <v>0</v>
      </c>
      <c r="V9" s="86">
        <f>IF(Validation!$H$3=1,0,IF(ISNUMBER(I9),0,1))</f>
        <v>0</v>
      </c>
      <c r="W9" s="86">
        <f>IF(Validation!$H$3=1,0,IF(ISNUMBER(J9),0,1))</f>
        <v>0</v>
      </c>
      <c r="X9" s="86">
        <f>IF(Validation!$H$3=1,0,IF(ISNUMBER(K9),0,1))</f>
        <v>0</v>
      </c>
      <c r="Y9" s="86">
        <f t="shared" si="1"/>
        <v>0</v>
      </c>
      <c r="Z9" s="86">
        <f t="shared" si="1"/>
        <v>0</v>
      </c>
      <c r="AB9" s="113"/>
      <c r="AC9" s="113"/>
      <c r="AD9" s="113"/>
      <c r="AE9" s="113"/>
      <c r="AF9" s="113"/>
      <c r="AG9" s="113"/>
      <c r="AH9" s="113"/>
      <c r="AI9" s="113"/>
      <c r="BD9" s="87" t="s">
        <v>1138</v>
      </c>
      <c r="BE9" s="80" t="s">
        <v>1139</v>
      </c>
      <c r="BF9" s="80"/>
      <c r="BG9" s="88" t="s">
        <v>8</v>
      </c>
      <c r="BH9" s="89">
        <v>3</v>
      </c>
      <c r="BI9" s="340" t="s">
        <v>1140</v>
      </c>
      <c r="BJ9" s="391" t="s">
        <v>1141</v>
      </c>
      <c r="BK9" s="341" t="s">
        <v>1142</v>
      </c>
      <c r="BL9" s="400" t="s">
        <v>1143</v>
      </c>
      <c r="BM9" s="400" t="s">
        <v>1144</v>
      </c>
      <c r="BN9" s="354" t="s">
        <v>1145</v>
      </c>
      <c r="BO9" s="379" t="s">
        <v>1146</v>
      </c>
      <c r="BP9" s="206" t="s">
        <v>1147</v>
      </c>
    </row>
    <row r="10" spans="2:68">
      <c r="B10" s="87" t="s">
        <v>1148</v>
      </c>
      <c r="C10" s="189" t="s">
        <v>101</v>
      </c>
      <c r="D10" s="189"/>
      <c r="E10" s="88" t="s">
        <v>8</v>
      </c>
      <c r="F10" s="89">
        <v>3</v>
      </c>
      <c r="G10" s="393">
        <v>-0.187</v>
      </c>
      <c r="H10" s="392">
        <v>-6.0359999999999996</v>
      </c>
      <c r="I10" s="394">
        <v>-3.6406253500000001</v>
      </c>
      <c r="J10" s="394">
        <v>-0.93200000000000005</v>
      </c>
      <c r="K10" s="574">
        <v>0</v>
      </c>
      <c r="L10" s="519">
        <v>0</v>
      </c>
      <c r="M10" s="520">
        <v>0</v>
      </c>
      <c r="N10" s="206">
        <f t="shared" si="2"/>
        <v>-10.79562535</v>
      </c>
      <c r="P10" s="118"/>
      <c r="Q10" s="25">
        <f t="shared" ref="Q10" si="4" xml:space="preserve"> IF( SUM( S10:AA10 ) = 0, 0, $T$5 )</f>
        <v>0</v>
      </c>
      <c r="T10" s="86">
        <f t="shared" ref="T10" si="5" xml:space="preserve"> IF( ISNUMBER( G10 ), 0, 1 )</f>
        <v>0</v>
      </c>
      <c r="U10" s="86">
        <f t="shared" ref="U10" si="6" xml:space="preserve"> IF( ISNUMBER( H10 ), 0, 1 )</f>
        <v>0</v>
      </c>
      <c r="V10" s="86">
        <f>IF(Validation!$H$3=1,0,IF(ISNUMBER(I10),0,1))</f>
        <v>0</v>
      </c>
      <c r="W10" s="86">
        <f>IF(Validation!$H$3=1,0,IF(ISNUMBER(J10),0,1))</f>
        <v>0</v>
      </c>
      <c r="X10" s="86">
        <f>IF(Validation!$H$3=1,0,IF(ISNUMBER(K10),0,1))</f>
        <v>0</v>
      </c>
      <c r="Y10" s="86">
        <f t="shared" ref="Y10" si="7" xml:space="preserve"> IF( ISNUMBER( L10 ), 0, 1 )</f>
        <v>0</v>
      </c>
      <c r="Z10" s="86">
        <f t="shared" ref="Z10" si="8" xml:space="preserve"> IF( ISNUMBER( M10 ), 0, 1 )</f>
        <v>0</v>
      </c>
      <c r="AB10" s="113"/>
      <c r="AC10" s="113"/>
      <c r="AD10" s="113"/>
      <c r="AE10" s="113"/>
      <c r="AF10" s="113"/>
      <c r="AG10" s="113"/>
      <c r="AH10" s="113"/>
      <c r="AI10" s="113"/>
      <c r="BD10" s="87" t="s">
        <v>1148</v>
      </c>
      <c r="BE10" s="189" t="s">
        <v>101</v>
      </c>
      <c r="BF10" s="189"/>
      <c r="BG10" s="88" t="s">
        <v>8</v>
      </c>
      <c r="BH10" s="89">
        <v>3</v>
      </c>
      <c r="BI10" s="1590" t="s">
        <v>1149</v>
      </c>
      <c r="BJ10" s="1591" t="s">
        <v>1150</v>
      </c>
      <c r="BK10" s="1592" t="s">
        <v>1151</v>
      </c>
      <c r="BL10" s="1593" t="s">
        <v>1152</v>
      </c>
      <c r="BM10" s="1593" t="s">
        <v>1153</v>
      </c>
      <c r="BN10" s="1594" t="s">
        <v>1154</v>
      </c>
      <c r="BO10" s="1595" t="s">
        <v>1155</v>
      </c>
      <c r="BP10" s="1504" t="s">
        <v>1156</v>
      </c>
    </row>
    <row r="11" spans="2:68">
      <c r="B11" s="87" t="s">
        <v>1157</v>
      </c>
      <c r="C11" s="189" t="s">
        <v>1158</v>
      </c>
      <c r="D11" s="189"/>
      <c r="E11" s="88" t="s">
        <v>8</v>
      </c>
      <c r="F11" s="89">
        <v>3</v>
      </c>
      <c r="G11" s="393">
        <v>0</v>
      </c>
      <c r="H11" s="392">
        <v>7.8470000000000004</v>
      </c>
      <c r="I11" s="394">
        <v>14.326000000000001</v>
      </c>
      <c r="J11" s="394">
        <v>0</v>
      </c>
      <c r="K11" s="574">
        <v>0</v>
      </c>
      <c r="L11" s="519">
        <v>0</v>
      </c>
      <c r="M11" s="520">
        <v>0</v>
      </c>
      <c r="N11" s="206">
        <f t="shared" si="2"/>
        <v>22.173000000000002</v>
      </c>
      <c r="P11" s="118"/>
      <c r="Q11" s="25">
        <f t="shared" si="3"/>
        <v>0</v>
      </c>
      <c r="T11" s="86">
        <f xml:space="preserve"> IF( ISNUMBER( G11 ), 0, 1 )</f>
        <v>0</v>
      </c>
      <c r="U11" s="86">
        <f xml:space="preserve"> IF( ISNUMBER( H11 ), 0, 1 )</f>
        <v>0</v>
      </c>
      <c r="V11" s="86">
        <f>IF(Validation!$H$3=1,0,IF(ISNUMBER(I11),0,1))</f>
        <v>0</v>
      </c>
      <c r="W11" s="86">
        <f>IF(Validation!$H$3=1,0,IF(ISNUMBER(J11),0,1))</f>
        <v>0</v>
      </c>
      <c r="X11" s="86">
        <f>IF(Validation!$H$3=1,0,IF(ISNUMBER(K11),0,1))</f>
        <v>0</v>
      </c>
      <c r="Y11" s="86">
        <f xml:space="preserve"> IF( ISNUMBER( L11 ), 0, 1 )</f>
        <v>0</v>
      </c>
      <c r="Z11" s="86">
        <f xml:space="preserve"> IF( ISNUMBER( M11 ), 0, 1 )</f>
        <v>0</v>
      </c>
      <c r="AB11" s="113"/>
      <c r="AC11" s="113"/>
      <c r="AD11" s="113"/>
      <c r="AE11" s="113"/>
      <c r="AF11" s="113"/>
      <c r="AG11" s="113"/>
      <c r="AH11" s="113"/>
      <c r="AI11" s="113"/>
      <c r="BD11" s="87" t="s">
        <v>1157</v>
      </c>
      <c r="BE11" s="189" t="s">
        <v>1158</v>
      </c>
      <c r="BF11" s="189"/>
      <c r="BG11" s="88" t="s">
        <v>8</v>
      </c>
      <c r="BH11" s="89">
        <v>3</v>
      </c>
      <c r="BI11" s="393" t="s">
        <v>1159</v>
      </c>
      <c r="BJ11" s="392" t="s">
        <v>1160</v>
      </c>
      <c r="BK11" s="394" t="s">
        <v>1161</v>
      </c>
      <c r="BL11" s="574" t="s">
        <v>1162</v>
      </c>
      <c r="BM11" s="574" t="s">
        <v>1163</v>
      </c>
      <c r="BN11" s="519" t="s">
        <v>1164</v>
      </c>
      <c r="BO11" s="520" t="s">
        <v>1165</v>
      </c>
      <c r="BP11" s="206" t="s">
        <v>1166</v>
      </c>
    </row>
    <row r="12" spans="2:68" ht="15" thickBot="1">
      <c r="B12" s="94" t="s">
        <v>1167</v>
      </c>
      <c r="C12" s="95" t="s">
        <v>1168</v>
      </c>
      <c r="D12" s="95"/>
      <c r="E12" s="96" t="s">
        <v>8</v>
      </c>
      <c r="F12" s="93">
        <v>3</v>
      </c>
      <c r="G12" s="167">
        <f>SUM(G7:G11)</f>
        <v>283.07599999999996</v>
      </c>
      <c r="H12" s="518">
        <f t="shared" ref="H12:M12" si="9">SUM(H7:H11)</f>
        <v>9158.6729999999989</v>
      </c>
      <c r="I12" s="168">
        <f t="shared" si="9"/>
        <v>7724.8963746499994</v>
      </c>
      <c r="J12" s="168">
        <f t="shared" ref="J12" si="10">SUM(J7:J11)</f>
        <v>1414.018</v>
      </c>
      <c r="K12" s="172">
        <f t="shared" si="9"/>
        <v>1113.3710000000001</v>
      </c>
      <c r="L12" s="207">
        <f t="shared" si="9"/>
        <v>84.945999999999998</v>
      </c>
      <c r="M12" s="305">
        <f t="shared" si="9"/>
        <v>0</v>
      </c>
      <c r="N12" s="174">
        <f t="shared" si="2"/>
        <v>19778.980374649997</v>
      </c>
      <c r="P12" s="118"/>
      <c r="AB12" s="113"/>
      <c r="AC12" s="113"/>
      <c r="AD12" s="113"/>
      <c r="AE12" s="113"/>
      <c r="AF12" s="113"/>
      <c r="AG12" s="113"/>
      <c r="AH12" s="113"/>
      <c r="AI12" s="113"/>
      <c r="BD12" s="94" t="s">
        <v>1167</v>
      </c>
      <c r="BE12" s="95" t="s">
        <v>1168</v>
      </c>
      <c r="BF12" s="95"/>
      <c r="BG12" s="96" t="s">
        <v>8</v>
      </c>
      <c r="BH12" s="93">
        <v>3</v>
      </c>
      <c r="BI12" s="167" t="s">
        <v>1169</v>
      </c>
      <c r="BJ12" s="518" t="s">
        <v>1170</v>
      </c>
      <c r="BK12" s="168" t="s">
        <v>1171</v>
      </c>
      <c r="BL12" s="172" t="s">
        <v>1172</v>
      </c>
      <c r="BM12" s="172" t="s">
        <v>1173</v>
      </c>
      <c r="BN12" s="207" t="s">
        <v>1174</v>
      </c>
      <c r="BO12" s="305" t="s">
        <v>1175</v>
      </c>
      <c r="BP12" s="174" t="s">
        <v>1176</v>
      </c>
    </row>
    <row r="13" spans="2:68" ht="15" thickBot="1">
      <c r="P13" s="118"/>
    </row>
    <row r="14" spans="2:68" ht="15" thickBot="1">
      <c r="B14" s="2221" t="s">
        <v>236</v>
      </c>
      <c r="C14" s="77" t="s">
        <v>526</v>
      </c>
      <c r="D14" s="1292"/>
      <c r="P14" s="116"/>
      <c r="BD14" s="2221" t="s">
        <v>236</v>
      </c>
      <c r="BE14" s="77" t="s">
        <v>526</v>
      </c>
      <c r="BF14" s="1292"/>
    </row>
    <row r="15" spans="2:68">
      <c r="B15" s="79" t="s">
        <v>1177</v>
      </c>
      <c r="C15" s="109" t="s">
        <v>1119</v>
      </c>
      <c r="D15" s="109"/>
      <c r="E15" s="81" t="s">
        <v>8</v>
      </c>
      <c r="F15" s="82">
        <v>3</v>
      </c>
      <c r="G15" s="342">
        <v>-68.497</v>
      </c>
      <c r="H15" s="352">
        <v>-2274.1889999999999</v>
      </c>
      <c r="I15" s="353">
        <v>-2013.6289999999999</v>
      </c>
      <c r="J15" s="353">
        <v>-561.00900000000001</v>
      </c>
      <c r="K15" s="399">
        <v>-1.9790000000000001</v>
      </c>
      <c r="L15" s="352">
        <v>-59.429000000000002</v>
      </c>
      <c r="M15" s="378">
        <v>0</v>
      </c>
      <c r="N15" s="173">
        <f>SUM(G15:M15)</f>
        <v>-4978.732</v>
      </c>
      <c r="P15" s="116"/>
      <c r="Q15" s="25">
        <f t="shared" ref="Q15:Q18" si="11" xml:space="preserve"> IF( SUM( S15:AA15 ) = 0, 0, $T$5 )</f>
        <v>0</v>
      </c>
      <c r="T15" s="86">
        <f xml:space="preserve"> IF( ISNUMBER( G15 ), 0, 1 )</f>
        <v>0</v>
      </c>
      <c r="U15" s="86">
        <f xml:space="preserve"> IF( ISNUMBER( H15 ), 0, 1 )</f>
        <v>0</v>
      </c>
      <c r="V15" s="86">
        <f>IF(Validation!$H$3=1,0,IF(ISNUMBER(I15),0,1))</f>
        <v>0</v>
      </c>
      <c r="W15" s="86">
        <f>IF(Validation!$H$3=1,0,IF(ISNUMBER(J15),0,1))</f>
        <v>0</v>
      </c>
      <c r="X15" s="86">
        <f>IF(Validation!$H$3=1,0,IF(ISNUMBER(K15),0,1))</f>
        <v>0</v>
      </c>
      <c r="Y15" s="86">
        <f xml:space="preserve"> IF( ISNUMBER( L15 ), 0, 1 )</f>
        <v>0</v>
      </c>
      <c r="Z15" s="86">
        <f xml:space="preserve"> IF( ISNUMBER( M15 ), 0, 1 )</f>
        <v>0</v>
      </c>
      <c r="BD15" s="79" t="s">
        <v>1177</v>
      </c>
      <c r="BE15" s="109" t="s">
        <v>1119</v>
      </c>
      <c r="BF15" s="109"/>
      <c r="BG15" s="81" t="s">
        <v>8</v>
      </c>
      <c r="BH15" s="82">
        <v>3</v>
      </c>
      <c r="BI15" s="342" t="s">
        <v>1178</v>
      </c>
      <c r="BJ15" s="352" t="s">
        <v>1179</v>
      </c>
      <c r="BK15" s="353" t="s">
        <v>1180</v>
      </c>
      <c r="BL15" s="399" t="s">
        <v>1181</v>
      </c>
      <c r="BM15" s="399" t="s">
        <v>1182</v>
      </c>
      <c r="BN15" s="352" t="s">
        <v>1183</v>
      </c>
      <c r="BO15" s="378" t="s">
        <v>1184</v>
      </c>
      <c r="BP15" s="173" t="s">
        <v>1185</v>
      </c>
    </row>
    <row r="16" spans="2:68">
      <c r="B16" s="87" t="s">
        <v>1186</v>
      </c>
      <c r="C16" s="80" t="s">
        <v>1129</v>
      </c>
      <c r="D16" s="80"/>
      <c r="E16" s="88" t="s">
        <v>8</v>
      </c>
      <c r="F16" s="89">
        <v>3</v>
      </c>
      <c r="G16" s="340">
        <v>0</v>
      </c>
      <c r="H16" s="354">
        <v>4.4859999999999998</v>
      </c>
      <c r="I16" s="341">
        <v>4.0490000000000004</v>
      </c>
      <c r="J16" s="341">
        <v>6.2E-2</v>
      </c>
      <c r="K16" s="400">
        <v>0</v>
      </c>
      <c r="L16" s="354">
        <v>0</v>
      </c>
      <c r="M16" s="379">
        <v>0</v>
      </c>
      <c r="N16" s="206">
        <f>SUM(G16:M16)</f>
        <v>8.5969999999999995</v>
      </c>
      <c r="P16" s="116"/>
      <c r="Q16" s="25">
        <f t="shared" si="11"/>
        <v>0</v>
      </c>
      <c r="T16" s="86">
        <f xml:space="preserve"> IF( ISNUMBER( G16 ), 0, 1 )</f>
        <v>0</v>
      </c>
      <c r="U16" s="86">
        <f xml:space="preserve"> IF( ISNUMBER( H16 ), 0, 1 )</f>
        <v>0</v>
      </c>
      <c r="V16" s="86">
        <f>IF(Validation!$H$3=1,0,IF(ISNUMBER(I16),0,1))</f>
        <v>0</v>
      </c>
      <c r="W16" s="86">
        <f>IF(Validation!$H$3=1,0,IF(ISNUMBER(J16),0,1))</f>
        <v>0</v>
      </c>
      <c r="X16" s="86">
        <f>IF(Validation!$H$3=1,0,IF(ISNUMBER(K16),0,1))</f>
        <v>0</v>
      </c>
      <c r="Y16" s="86">
        <f xml:space="preserve"> IF( ISNUMBER( L16 ), 0, 1 )</f>
        <v>0</v>
      </c>
      <c r="Z16" s="86">
        <f xml:space="preserve"> IF( ISNUMBER( M16 ), 0, 1 )</f>
        <v>0</v>
      </c>
      <c r="BD16" s="87" t="s">
        <v>1186</v>
      </c>
      <c r="BE16" s="80" t="s">
        <v>1129</v>
      </c>
      <c r="BF16" s="80"/>
      <c r="BG16" s="88" t="s">
        <v>8</v>
      </c>
      <c r="BH16" s="89">
        <v>3</v>
      </c>
      <c r="BI16" s="340" t="s">
        <v>1187</v>
      </c>
      <c r="BJ16" s="354" t="s">
        <v>1188</v>
      </c>
      <c r="BK16" s="341" t="s">
        <v>1189</v>
      </c>
      <c r="BL16" s="400" t="s">
        <v>1190</v>
      </c>
      <c r="BM16" s="400" t="s">
        <v>1191</v>
      </c>
      <c r="BN16" s="354" t="s">
        <v>1192</v>
      </c>
      <c r="BO16" s="379" t="s">
        <v>1193</v>
      </c>
      <c r="BP16" s="206" t="s">
        <v>1194</v>
      </c>
    </row>
    <row r="17" spans="2:68">
      <c r="B17" s="87" t="s">
        <v>1195</v>
      </c>
      <c r="C17" s="189" t="s">
        <v>101</v>
      </c>
      <c r="D17" s="189"/>
      <c r="E17" s="88" t="s">
        <v>8</v>
      </c>
      <c r="F17" s="89">
        <v>3</v>
      </c>
      <c r="G17" s="340">
        <v>0</v>
      </c>
      <c r="H17" s="354">
        <v>0</v>
      </c>
      <c r="I17" s="341">
        <v>0</v>
      </c>
      <c r="J17" s="341">
        <v>0</v>
      </c>
      <c r="K17" s="400">
        <v>0</v>
      </c>
      <c r="L17" s="354">
        <v>0</v>
      </c>
      <c r="M17" s="379">
        <v>0</v>
      </c>
      <c r="N17" s="206">
        <f>SUM(G17:M17)</f>
        <v>0</v>
      </c>
      <c r="P17" s="116"/>
      <c r="Q17" s="25">
        <f t="shared" ref="Q17" si="12" xml:space="preserve"> IF( SUM( S17:AA17 ) = 0, 0, $T$5 )</f>
        <v>0</v>
      </c>
      <c r="T17" s="86">
        <f t="shared" ref="T17" si="13" xml:space="preserve"> IF( ISNUMBER( G17 ), 0, 1 )</f>
        <v>0</v>
      </c>
      <c r="U17" s="86">
        <f t="shared" ref="U17" si="14" xml:space="preserve"> IF( ISNUMBER( H17 ), 0, 1 )</f>
        <v>0</v>
      </c>
      <c r="V17" s="86">
        <f>IF(Validation!$H$3=1,0,IF(ISNUMBER(I17),0,1))</f>
        <v>0</v>
      </c>
      <c r="W17" s="86">
        <f>IF(Validation!$H$3=1,0,IF(ISNUMBER(J17),0,1))</f>
        <v>0</v>
      </c>
      <c r="X17" s="86">
        <f>IF(Validation!$H$3=1,0,IF(ISNUMBER(K17),0,1))</f>
        <v>0</v>
      </c>
      <c r="Y17" s="86">
        <f t="shared" ref="Y17" si="15" xml:space="preserve"> IF( ISNUMBER( L17 ), 0, 1 )</f>
        <v>0</v>
      </c>
      <c r="Z17" s="86">
        <f t="shared" ref="Z17" si="16" xml:space="preserve"> IF( ISNUMBER( M17 ), 0, 1 )</f>
        <v>0</v>
      </c>
      <c r="BD17" s="87" t="s">
        <v>1195</v>
      </c>
      <c r="BE17" s="189" t="s">
        <v>101</v>
      </c>
      <c r="BF17" s="189"/>
      <c r="BG17" s="88" t="s">
        <v>8</v>
      </c>
      <c r="BH17" s="89">
        <v>3</v>
      </c>
      <c r="BI17" s="1400" t="s">
        <v>1196</v>
      </c>
      <c r="BJ17" s="1596" t="s">
        <v>1197</v>
      </c>
      <c r="BK17" s="1401" t="s">
        <v>1198</v>
      </c>
      <c r="BL17" s="1597" t="s">
        <v>1199</v>
      </c>
      <c r="BM17" s="1597" t="s">
        <v>1200</v>
      </c>
      <c r="BN17" s="1596" t="s">
        <v>1201</v>
      </c>
      <c r="BO17" s="1598" t="s">
        <v>1202</v>
      </c>
      <c r="BP17" s="1504" t="s">
        <v>1203</v>
      </c>
    </row>
    <row r="18" spans="2:68">
      <c r="B18" s="87" t="s">
        <v>1204</v>
      </c>
      <c r="C18" s="80" t="s">
        <v>1205</v>
      </c>
      <c r="D18" s="80"/>
      <c r="E18" s="88" t="s">
        <v>8</v>
      </c>
      <c r="F18" s="89">
        <v>3</v>
      </c>
      <c r="G18" s="340">
        <v>-4.2190000000000003</v>
      </c>
      <c r="H18" s="354">
        <v>-264.18400000000003</v>
      </c>
      <c r="I18" s="341">
        <v>-177.964</v>
      </c>
      <c r="J18" s="341">
        <v>-46.332999999999998</v>
      </c>
      <c r="K18" s="400">
        <v>-0.65300000000000002</v>
      </c>
      <c r="L18" s="354">
        <v>-2.2530000000000001</v>
      </c>
      <c r="M18" s="379">
        <v>0</v>
      </c>
      <c r="N18" s="206">
        <f>SUM(G18:M18)</f>
        <v>-495.60600000000005</v>
      </c>
      <c r="P18" s="116"/>
      <c r="Q18" s="25">
        <f t="shared" si="11"/>
        <v>0</v>
      </c>
      <c r="T18" s="86">
        <f xml:space="preserve"> IF( ISNUMBER( G18 ), 0, 1 )</f>
        <v>0</v>
      </c>
      <c r="U18" s="86">
        <f xml:space="preserve"> IF( ISNUMBER( H18 ), 0, 1 )</f>
        <v>0</v>
      </c>
      <c r="V18" s="86">
        <f>IF(Validation!$H$3=1,0,IF(ISNUMBER(I18),0,1))</f>
        <v>0</v>
      </c>
      <c r="W18" s="86">
        <f>IF(Validation!$H$3=1,0,IF(ISNUMBER(J18),0,1))</f>
        <v>0</v>
      </c>
      <c r="X18" s="86">
        <f>IF(Validation!$H$3=1,0,IF(ISNUMBER(K18),0,1))</f>
        <v>0</v>
      </c>
      <c r="Y18" s="86">
        <f t="shared" ref="Y18" si="17" xml:space="preserve"> IF( ISNUMBER( L18 ), 0, 1 )</f>
        <v>0</v>
      </c>
      <c r="Z18" s="86">
        <f t="shared" ref="Z18" si="18" xml:space="preserve"> IF( ISNUMBER( M18 ), 0, 1 )</f>
        <v>0</v>
      </c>
      <c r="BD18" s="87" t="s">
        <v>1204</v>
      </c>
      <c r="BE18" s="80" t="s">
        <v>1205</v>
      </c>
      <c r="BF18" s="80"/>
      <c r="BG18" s="88" t="s">
        <v>8</v>
      </c>
      <c r="BH18" s="89">
        <v>3</v>
      </c>
      <c r="BI18" s="340" t="s">
        <v>1206</v>
      </c>
      <c r="BJ18" s="354" t="s">
        <v>1207</v>
      </c>
      <c r="BK18" s="341" t="s">
        <v>1208</v>
      </c>
      <c r="BL18" s="400" t="s">
        <v>1209</v>
      </c>
      <c r="BM18" s="400" t="s">
        <v>796</v>
      </c>
      <c r="BN18" s="354" t="s">
        <v>1210</v>
      </c>
      <c r="BO18" s="379" t="s">
        <v>1211</v>
      </c>
      <c r="BP18" s="206" t="s">
        <v>1212</v>
      </c>
    </row>
    <row r="19" spans="2:68" ht="15" thickBot="1">
      <c r="B19" s="94" t="s">
        <v>1213</v>
      </c>
      <c r="C19" s="95" t="s">
        <v>1168</v>
      </c>
      <c r="D19" s="95"/>
      <c r="E19" s="96" t="s">
        <v>8</v>
      </c>
      <c r="F19" s="93">
        <v>3</v>
      </c>
      <c r="G19" s="167">
        <f t="shared" ref="G19:M19" si="19">SUM(G15:G18)</f>
        <v>-72.715999999999994</v>
      </c>
      <c r="H19" s="207">
        <f t="shared" si="19"/>
        <v>-2533.8870000000002</v>
      </c>
      <c r="I19" s="168">
        <f t="shared" si="19"/>
        <v>-2187.5439999999999</v>
      </c>
      <c r="J19" s="168">
        <f t="shared" ref="J19" si="20">SUM(J15:J18)</f>
        <v>-607.28</v>
      </c>
      <c r="K19" s="172">
        <f t="shared" si="19"/>
        <v>-2.6320000000000001</v>
      </c>
      <c r="L19" s="207">
        <f t="shared" si="19"/>
        <v>-61.682000000000002</v>
      </c>
      <c r="M19" s="305">
        <f t="shared" si="19"/>
        <v>0</v>
      </c>
      <c r="N19" s="174">
        <f>SUM(G19:M19)</f>
        <v>-5465.7409999999991</v>
      </c>
      <c r="P19" s="116"/>
      <c r="AB19" s="103"/>
      <c r="AC19" s="103"/>
      <c r="AD19" s="103"/>
      <c r="AE19" s="103"/>
      <c r="AF19" s="103"/>
      <c r="AG19" s="103"/>
      <c r="AH19" s="103"/>
      <c r="AI19" s="103"/>
      <c r="BD19" s="94" t="s">
        <v>1213</v>
      </c>
      <c r="BE19" s="95" t="s">
        <v>1168</v>
      </c>
      <c r="BF19" s="95"/>
      <c r="BG19" s="96" t="s">
        <v>8</v>
      </c>
      <c r="BH19" s="93">
        <v>3</v>
      </c>
      <c r="BI19" s="167" t="s">
        <v>1214</v>
      </c>
      <c r="BJ19" s="207" t="s">
        <v>1215</v>
      </c>
      <c r="BK19" s="168" t="s">
        <v>1216</v>
      </c>
      <c r="BL19" s="172" t="s">
        <v>1217</v>
      </c>
      <c r="BM19" s="172" t="s">
        <v>1218</v>
      </c>
      <c r="BN19" s="207" t="s">
        <v>1219</v>
      </c>
      <c r="BO19" s="305" t="s">
        <v>1220</v>
      </c>
      <c r="BP19" s="174" t="s">
        <v>1221</v>
      </c>
    </row>
    <row r="20" spans="2:68" ht="15" thickBot="1">
      <c r="P20" s="116"/>
      <c r="AB20" s="142"/>
      <c r="AC20" s="142"/>
      <c r="AD20" s="142"/>
      <c r="AE20" s="142"/>
      <c r="AF20" s="142"/>
      <c r="AG20" s="142"/>
      <c r="AH20" s="142"/>
      <c r="AI20" s="142"/>
    </row>
    <row r="21" spans="2:68">
      <c r="B21" s="79" t="s">
        <v>1222</v>
      </c>
      <c r="C21" s="109" t="s">
        <v>1223</v>
      </c>
      <c r="D21" s="109"/>
      <c r="E21" s="81" t="s">
        <v>8</v>
      </c>
      <c r="F21" s="185">
        <v>3</v>
      </c>
      <c r="G21" s="163">
        <f xml:space="preserve"> G12 + G19</f>
        <v>210.35999999999996</v>
      </c>
      <c r="H21" s="164">
        <f t="shared" ref="H21:I21" si="21" xml:space="preserve"> H12 + H19</f>
        <v>6624.7859999999982</v>
      </c>
      <c r="I21" s="164">
        <f t="shared" si="21"/>
        <v>5537.3523746499995</v>
      </c>
      <c r="J21" s="164">
        <f t="shared" ref="J21" si="22" xml:space="preserve"> J12 + J19</f>
        <v>806.73800000000006</v>
      </c>
      <c r="K21" s="170">
        <f t="shared" ref="K21:M21" si="23" xml:space="preserve"> K12 + K19</f>
        <v>1110.739</v>
      </c>
      <c r="L21" s="163">
        <f t="shared" si="23"/>
        <v>23.263999999999996</v>
      </c>
      <c r="M21" s="165">
        <f t="shared" si="23"/>
        <v>0</v>
      </c>
      <c r="N21" s="173">
        <f xml:space="preserve"> N12 + N19</f>
        <v>14313.239374649998</v>
      </c>
      <c r="P21" s="116"/>
      <c r="AB21" s="142"/>
      <c r="AC21" s="142"/>
      <c r="AD21" s="142"/>
      <c r="AE21" s="142"/>
      <c r="AF21" s="142"/>
      <c r="AG21" s="142"/>
      <c r="AH21" s="142"/>
      <c r="AI21" s="142"/>
      <c r="BD21" s="79" t="s">
        <v>1222</v>
      </c>
      <c r="BE21" s="109" t="s">
        <v>1223</v>
      </c>
      <c r="BF21" s="109"/>
      <c r="BG21" s="81" t="s">
        <v>8</v>
      </c>
      <c r="BH21" s="185">
        <v>3</v>
      </c>
      <c r="BI21" s="163" t="s">
        <v>1224</v>
      </c>
      <c r="BJ21" s="164" t="s">
        <v>1225</v>
      </c>
      <c r="BK21" s="164" t="s">
        <v>1226</v>
      </c>
      <c r="BL21" s="170" t="s">
        <v>1227</v>
      </c>
      <c r="BM21" s="170" t="s">
        <v>1228</v>
      </c>
      <c r="BN21" s="163" t="s">
        <v>1229</v>
      </c>
      <c r="BO21" s="165" t="s">
        <v>1230</v>
      </c>
      <c r="BP21" s="173" t="s">
        <v>1231</v>
      </c>
    </row>
    <row r="22" spans="2:68" ht="15" thickBot="1">
      <c r="B22" s="94" t="s">
        <v>1232</v>
      </c>
      <c r="C22" s="95" t="s">
        <v>1233</v>
      </c>
      <c r="D22" s="95"/>
      <c r="E22" s="96" t="s">
        <v>8</v>
      </c>
      <c r="F22" s="194">
        <v>3</v>
      </c>
      <c r="G22" s="167">
        <f t="shared" ref="G22:N22" si="24" xml:space="preserve"> G7 + G15</f>
        <v>192.81299999999999</v>
      </c>
      <c r="H22" s="168">
        <f t="shared" si="24"/>
        <v>6447.110999999999</v>
      </c>
      <c r="I22" s="168">
        <f t="shared" si="24"/>
        <v>5320.61</v>
      </c>
      <c r="J22" s="168">
        <f t="shared" ref="J22" si="25" xml:space="preserve"> J7 + J15</f>
        <v>771.32500000000005</v>
      </c>
      <c r="K22" s="172">
        <f t="shared" si="24"/>
        <v>1072.6659999999999</v>
      </c>
      <c r="L22" s="167">
        <f t="shared" si="24"/>
        <v>19.977999999999994</v>
      </c>
      <c r="M22" s="169">
        <f t="shared" si="24"/>
        <v>0</v>
      </c>
      <c r="N22" s="174">
        <f t="shared" si="24"/>
        <v>13824.502999999997</v>
      </c>
      <c r="P22" s="116"/>
      <c r="AB22" s="142"/>
      <c r="AC22" s="142"/>
      <c r="AD22" s="142"/>
      <c r="AE22" s="142"/>
      <c r="AF22" s="142"/>
      <c r="AG22" s="142"/>
      <c r="AH22" s="142"/>
      <c r="AI22" s="142"/>
      <c r="BD22" s="94" t="s">
        <v>1232</v>
      </c>
      <c r="BE22" s="95" t="s">
        <v>1233</v>
      </c>
      <c r="BF22" s="95"/>
      <c r="BG22" s="96" t="s">
        <v>8</v>
      </c>
      <c r="BH22" s="194">
        <v>3</v>
      </c>
      <c r="BI22" s="167" t="s">
        <v>1234</v>
      </c>
      <c r="BJ22" s="168" t="s">
        <v>1235</v>
      </c>
      <c r="BK22" s="168" t="s">
        <v>1236</v>
      </c>
      <c r="BL22" s="172" t="s">
        <v>1237</v>
      </c>
      <c r="BM22" s="172" t="s">
        <v>1238</v>
      </c>
      <c r="BN22" s="167" t="s">
        <v>1239</v>
      </c>
      <c r="BO22" s="169" t="s">
        <v>1240</v>
      </c>
      <c r="BP22" s="174" t="s">
        <v>1241</v>
      </c>
    </row>
    <row r="23" spans="2:68" ht="15" thickBot="1">
      <c r="B23" s="103"/>
      <c r="C23" s="138"/>
      <c r="D23" s="138"/>
      <c r="E23" s="103"/>
      <c r="F23" s="103"/>
      <c r="G23" s="142"/>
      <c r="H23" s="142"/>
      <c r="I23" s="142"/>
      <c r="J23" s="142"/>
      <c r="K23" s="142"/>
      <c r="L23" s="103"/>
      <c r="M23" s="110"/>
      <c r="N23" s="110"/>
      <c r="P23" s="116"/>
      <c r="AB23" s="142"/>
      <c r="AC23" s="142"/>
      <c r="AD23" s="142"/>
      <c r="AE23" s="142"/>
      <c r="AF23" s="142"/>
      <c r="AG23" s="142"/>
      <c r="AH23" s="142"/>
      <c r="AI23" s="142"/>
      <c r="BD23" s="103"/>
      <c r="BE23" s="138"/>
      <c r="BF23" s="138"/>
      <c r="BG23" s="103"/>
      <c r="BH23" s="103"/>
      <c r="BI23" s="142"/>
      <c r="BJ23" s="142"/>
      <c r="BK23" s="142"/>
      <c r="BL23" s="142"/>
      <c r="BM23" s="142"/>
      <c r="BN23" s="103"/>
      <c r="BO23" s="110"/>
      <c r="BP23" s="110"/>
    </row>
    <row r="24" spans="2:68" ht="15" thickBot="1">
      <c r="B24" s="2221" t="s">
        <v>419</v>
      </c>
      <c r="C24" s="77" t="s">
        <v>1242</v>
      </c>
      <c r="D24" s="1292"/>
      <c r="P24" s="116"/>
      <c r="AB24" s="142"/>
      <c r="AC24" s="142"/>
      <c r="AD24" s="142"/>
      <c r="AE24" s="142"/>
      <c r="AF24" s="142"/>
      <c r="AG24" s="142"/>
      <c r="AH24" s="142"/>
      <c r="AI24" s="142"/>
      <c r="BD24" s="2221" t="s">
        <v>419</v>
      </c>
      <c r="BE24" s="77" t="s">
        <v>1242</v>
      </c>
      <c r="BF24" s="1292"/>
    </row>
    <row r="25" spans="2:68">
      <c r="B25" s="79" t="s">
        <v>1243</v>
      </c>
      <c r="C25" s="109" t="s">
        <v>1244</v>
      </c>
      <c r="D25" s="109"/>
      <c r="E25" s="81" t="s">
        <v>8</v>
      </c>
      <c r="F25" s="82">
        <v>3</v>
      </c>
      <c r="G25" s="342">
        <v>-4.2190000000000003</v>
      </c>
      <c r="H25" s="352">
        <v>-264.18400000000003</v>
      </c>
      <c r="I25" s="353">
        <v>-177.95400000000001</v>
      </c>
      <c r="J25" s="353">
        <v>-46.332999999999998</v>
      </c>
      <c r="K25" s="399">
        <v>-0.65300000000000002</v>
      </c>
      <c r="L25" s="352">
        <v>-2.2530000000000001</v>
      </c>
      <c r="M25" s="378">
        <v>0</v>
      </c>
      <c r="N25" s="173">
        <f>SUM(G25:M25)</f>
        <v>-495.59600000000006</v>
      </c>
      <c r="P25" s="116"/>
      <c r="Q25" s="25">
        <f xml:space="preserve"> IF( SUM( S25:AA25 ) = 0, 0, $T$5 )</f>
        <v>0</v>
      </c>
      <c r="T25" s="86">
        <f xml:space="preserve"> IF( ISNUMBER( G25 ), 0, 1 )</f>
        <v>0</v>
      </c>
      <c r="U25" s="86">
        <f xml:space="preserve"> IF( ISNUMBER( H25 ), 0, 1 )</f>
        <v>0</v>
      </c>
      <c r="V25" s="86">
        <f>IF(Validation!$H$3=1,0,IF(ISNUMBER(I25),0,1))</f>
        <v>0</v>
      </c>
      <c r="W25" s="86">
        <f>IF(Validation!$H$3=1,0,IF(ISNUMBER(J25),0,1))</f>
        <v>0</v>
      </c>
      <c r="X25" s="86">
        <f>IF(Validation!$H$3=1,0,IF(ISNUMBER(K25),0,1))</f>
        <v>0</v>
      </c>
      <c r="Y25" s="86">
        <f t="shared" ref="Y25:Y26" si="26" xml:space="preserve"> IF( ISNUMBER( L25 ), 0, 1 )</f>
        <v>0</v>
      </c>
      <c r="Z25" s="86">
        <f t="shared" ref="Z25:Z26" si="27" xml:space="preserve"> IF( ISNUMBER( M25 ), 0, 1 )</f>
        <v>0</v>
      </c>
      <c r="AB25" s="142"/>
      <c r="AC25" s="142"/>
      <c r="AD25" s="142"/>
      <c r="AE25" s="142"/>
      <c r="AF25" s="142"/>
      <c r="AG25" s="142"/>
      <c r="AH25" s="142"/>
      <c r="AI25" s="142"/>
      <c r="BD25" s="79" t="s">
        <v>1243</v>
      </c>
      <c r="BE25" s="109" t="s">
        <v>1244</v>
      </c>
      <c r="BF25" s="109"/>
      <c r="BG25" s="81" t="s">
        <v>8</v>
      </c>
      <c r="BH25" s="82">
        <v>3</v>
      </c>
      <c r="BI25" s="342" t="s">
        <v>1245</v>
      </c>
      <c r="BJ25" s="352" t="s">
        <v>1246</v>
      </c>
      <c r="BK25" s="353" t="s">
        <v>1247</v>
      </c>
      <c r="BL25" s="399" t="s">
        <v>1248</v>
      </c>
      <c r="BM25" s="399" t="s">
        <v>1249</v>
      </c>
      <c r="BN25" s="352" t="s">
        <v>1250</v>
      </c>
      <c r="BO25" s="378" t="s">
        <v>1251</v>
      </c>
      <c r="BP25" s="173" t="s">
        <v>1252</v>
      </c>
    </row>
    <row r="26" spans="2:68">
      <c r="B26" s="87" t="s">
        <v>1253</v>
      </c>
      <c r="C26" s="80" t="s">
        <v>941</v>
      </c>
      <c r="D26" s="80"/>
      <c r="E26" s="88" t="s">
        <v>8</v>
      </c>
      <c r="F26" s="89">
        <v>3</v>
      </c>
      <c r="G26" s="340">
        <v>0</v>
      </c>
      <c r="H26" s="354">
        <v>0</v>
      </c>
      <c r="I26" s="341">
        <v>-0.01</v>
      </c>
      <c r="J26" s="341">
        <v>0</v>
      </c>
      <c r="K26" s="400">
        <v>0</v>
      </c>
      <c r="L26" s="354">
        <v>0</v>
      </c>
      <c r="M26" s="379">
        <v>0</v>
      </c>
      <c r="N26" s="206">
        <f>SUM(G26:M26)</f>
        <v>-0.01</v>
      </c>
      <c r="P26" s="116"/>
      <c r="Q26" s="25">
        <f xml:space="preserve"> IF( SUM( S26:AA26 ) = 0, 0, $T$5 )</f>
        <v>0</v>
      </c>
      <c r="T26" s="86">
        <f xml:space="preserve"> IF( ISNUMBER( G26 ), 0, 1 )</f>
        <v>0</v>
      </c>
      <c r="U26" s="86">
        <f xml:space="preserve"> IF( ISNUMBER( H26 ), 0, 1 )</f>
        <v>0</v>
      </c>
      <c r="V26" s="86">
        <f>IF(Validation!$H$3=1,0,IF(ISNUMBER(I26),0,1))</f>
        <v>0</v>
      </c>
      <c r="W26" s="86">
        <f>IF(Validation!$H$3=1,0,IF(ISNUMBER(J26),0,1))</f>
        <v>0</v>
      </c>
      <c r="X26" s="86">
        <f>IF(Validation!$H$3=1,0,IF(ISNUMBER(K26),0,1))</f>
        <v>0</v>
      </c>
      <c r="Y26" s="86">
        <f t="shared" si="26"/>
        <v>0</v>
      </c>
      <c r="Z26" s="86">
        <f t="shared" si="27"/>
        <v>0</v>
      </c>
      <c r="AB26" s="142"/>
      <c r="AC26" s="142"/>
      <c r="AD26" s="142"/>
      <c r="AE26" s="142"/>
      <c r="AF26" s="142"/>
      <c r="AG26" s="142"/>
      <c r="AH26" s="142"/>
      <c r="AI26" s="142"/>
      <c r="BD26" s="87" t="s">
        <v>1253</v>
      </c>
      <c r="BE26" s="80" t="s">
        <v>941</v>
      </c>
      <c r="BF26" s="80"/>
      <c r="BG26" s="88" t="s">
        <v>8</v>
      </c>
      <c r="BH26" s="89">
        <v>3</v>
      </c>
      <c r="BI26" s="340" t="s">
        <v>1254</v>
      </c>
      <c r="BJ26" s="354" t="s">
        <v>1255</v>
      </c>
      <c r="BK26" s="341" t="s">
        <v>1256</v>
      </c>
      <c r="BL26" s="400" t="s">
        <v>1257</v>
      </c>
      <c r="BM26" s="400" t="s">
        <v>1258</v>
      </c>
      <c r="BN26" s="354" t="s">
        <v>1259</v>
      </c>
      <c r="BO26" s="379" t="s">
        <v>1260</v>
      </c>
      <c r="BP26" s="206" t="s">
        <v>1261</v>
      </c>
    </row>
    <row r="27" spans="2:68" ht="15" thickBot="1">
      <c r="B27" s="94" t="s">
        <v>1262</v>
      </c>
      <c r="C27" s="95" t="s">
        <v>680</v>
      </c>
      <c r="D27" s="95"/>
      <c r="E27" s="96" t="s">
        <v>8</v>
      </c>
      <c r="F27" s="194">
        <v>3</v>
      </c>
      <c r="G27" s="167">
        <f>G25+G26</f>
        <v>-4.2190000000000003</v>
      </c>
      <c r="H27" s="168">
        <f t="shared" ref="H27:M27" si="28">H25+H26</f>
        <v>-264.18400000000003</v>
      </c>
      <c r="I27" s="168">
        <f t="shared" si="28"/>
        <v>-177.964</v>
      </c>
      <c r="J27" s="168">
        <f t="shared" ref="J27" si="29">J25+J26</f>
        <v>-46.332999999999998</v>
      </c>
      <c r="K27" s="172">
        <f t="shared" si="28"/>
        <v>-0.65300000000000002</v>
      </c>
      <c r="L27" s="207">
        <f t="shared" si="28"/>
        <v>-2.2530000000000001</v>
      </c>
      <c r="M27" s="169">
        <f t="shared" si="28"/>
        <v>0</v>
      </c>
      <c r="N27" s="174">
        <f>SUM(G27:M27)</f>
        <v>-495.60600000000005</v>
      </c>
      <c r="P27" s="1164">
        <f xml:space="preserve"> IF( SUM( AA27:AJ27 ) = 0, 0, AB5 )</f>
        <v>0</v>
      </c>
      <c r="T27" s="113"/>
      <c r="U27" s="113"/>
      <c r="V27" s="113"/>
      <c r="W27" s="113"/>
      <c r="X27" s="113"/>
      <c r="Y27" s="113"/>
      <c r="Z27" s="113"/>
      <c r="AB27" s="86">
        <f xml:space="preserve"> IF( (ROUND( G27, 3) - ROUND( G18, 3)) = 0, 0, 1 )</f>
        <v>0</v>
      </c>
      <c r="AC27" s="86">
        <f xml:space="preserve"> IF( (ROUND( H27, 3) - ROUND( H18, 3)) = 0, 0, 1 )</f>
        <v>0</v>
      </c>
      <c r="AD27" s="86">
        <f xml:space="preserve"> IF( (ROUND( I27, 3) - ROUND( I18, 3)) = 0, 0, 1 )</f>
        <v>0</v>
      </c>
      <c r="AE27" s="86">
        <f t="shared" ref="AE27:AH27" si="30" xml:space="preserve"> IF( (ROUND( J27, 3) - ROUND( J18, 3)) = 0, 0, 1 )</f>
        <v>0</v>
      </c>
      <c r="AF27" s="86">
        <f t="shared" si="30"/>
        <v>0</v>
      </c>
      <c r="AG27" s="86">
        <f t="shared" si="30"/>
        <v>0</v>
      </c>
      <c r="AH27" s="86">
        <f t="shared" si="30"/>
        <v>0</v>
      </c>
      <c r="AI27" s="86">
        <f xml:space="preserve"> IF( (ROUND( N27, 3) - ROUND( N18, 3)) = 0, 0, 1 )</f>
        <v>0</v>
      </c>
      <c r="BD27" s="94" t="s">
        <v>1262</v>
      </c>
      <c r="BE27" s="95" t="s">
        <v>680</v>
      </c>
      <c r="BF27" s="95"/>
      <c r="BG27" s="96" t="s">
        <v>8</v>
      </c>
      <c r="BH27" s="194">
        <v>3</v>
      </c>
      <c r="BI27" s="167" t="s">
        <v>1263</v>
      </c>
      <c r="BJ27" s="168" t="s">
        <v>1264</v>
      </c>
      <c r="BK27" s="168" t="s">
        <v>1265</v>
      </c>
      <c r="BL27" s="172" t="s">
        <v>1266</v>
      </c>
      <c r="BM27" s="172" t="s">
        <v>1267</v>
      </c>
      <c r="BN27" s="207" t="s">
        <v>1268</v>
      </c>
      <c r="BO27" s="169" t="s">
        <v>1269</v>
      </c>
      <c r="BP27" s="174" t="s">
        <v>1270</v>
      </c>
    </row>
    <row r="28" spans="2:68">
      <c r="B28" s="103"/>
      <c r="C28" s="138"/>
      <c r="D28" s="138"/>
      <c r="E28" s="103"/>
      <c r="F28" s="103"/>
      <c r="G28" s="142"/>
      <c r="H28" s="142"/>
      <c r="I28" s="142"/>
      <c r="J28" s="142"/>
      <c r="K28" s="142"/>
      <c r="L28" s="103"/>
      <c r="M28" s="110"/>
      <c r="N28" s="110"/>
      <c r="P28" s="116"/>
      <c r="AB28" s="155"/>
      <c r="AC28" s="155"/>
      <c r="AD28" s="155"/>
      <c r="AE28" s="155"/>
      <c r="AF28" s="155"/>
      <c r="AG28" s="155"/>
      <c r="AH28" s="155"/>
      <c r="AI28" s="155"/>
      <c r="AJ28" s="111"/>
      <c r="BD28" s="103"/>
      <c r="BE28" s="138"/>
      <c r="BF28" s="138"/>
      <c r="BG28" s="103"/>
      <c r="BH28" s="103"/>
      <c r="BI28" s="142"/>
      <c r="BJ28" s="142"/>
      <c r="BK28" s="142"/>
      <c r="BL28" s="142"/>
      <c r="BM28" s="142"/>
      <c r="BN28" s="103"/>
      <c r="BO28" s="110"/>
      <c r="BP28" s="110"/>
    </row>
    <row r="29" spans="2:68">
      <c r="B29" s="103"/>
      <c r="C29" s="138"/>
      <c r="D29" s="138"/>
      <c r="E29" s="103"/>
      <c r="F29" s="103"/>
      <c r="G29" s="142"/>
      <c r="H29" s="142"/>
      <c r="I29" s="142"/>
      <c r="J29" s="142"/>
      <c r="K29" s="142"/>
      <c r="L29" s="103"/>
      <c r="M29" s="110"/>
      <c r="N29" s="110"/>
      <c r="P29" s="112"/>
      <c r="AB29" s="103"/>
      <c r="AC29" s="103"/>
      <c r="AD29" s="103"/>
      <c r="AE29" s="103"/>
      <c r="AF29" s="103"/>
      <c r="AG29" s="103"/>
      <c r="AH29" s="103"/>
      <c r="AI29" s="103"/>
      <c r="AJ29" s="111"/>
    </row>
    <row r="30" spans="2:68">
      <c r="B30" s="103"/>
      <c r="C30" s="138"/>
      <c r="D30" s="138"/>
      <c r="E30" s="103"/>
      <c r="F30" s="103"/>
      <c r="G30" s="142"/>
      <c r="H30" s="142"/>
      <c r="I30" s="142"/>
      <c r="J30" s="142"/>
      <c r="K30" s="142"/>
      <c r="L30" s="103"/>
      <c r="M30" s="110"/>
      <c r="N30" s="110"/>
      <c r="P30" s="112"/>
      <c r="AB30" s="103"/>
      <c r="AC30" s="103"/>
      <c r="AD30" s="103"/>
      <c r="AE30" s="103"/>
      <c r="AF30" s="103"/>
      <c r="AG30" s="103"/>
      <c r="AH30" s="103"/>
      <c r="AI30" s="103"/>
      <c r="AJ30" s="111"/>
    </row>
    <row r="31" spans="2:68">
      <c r="B31" s="103"/>
      <c r="C31" s="138"/>
      <c r="D31" s="138"/>
      <c r="E31" s="103"/>
      <c r="F31" s="103"/>
      <c r="G31" s="142"/>
      <c r="H31" s="142"/>
      <c r="I31" s="142"/>
      <c r="J31" s="142"/>
      <c r="K31" s="142"/>
      <c r="L31" s="103"/>
      <c r="M31" s="110"/>
      <c r="N31" s="110"/>
      <c r="P31" s="118"/>
      <c r="AB31" s="155"/>
      <c r="AC31" s="155"/>
      <c r="AD31" s="155"/>
      <c r="AE31" s="155"/>
      <c r="AF31" s="155"/>
      <c r="AG31" s="155"/>
      <c r="AH31" s="155"/>
      <c r="AI31" s="155"/>
      <c r="AJ31" s="111"/>
    </row>
    <row r="32" spans="2:68">
      <c r="B32" s="2256" t="s">
        <v>275</v>
      </c>
      <c r="C32" s="2256"/>
      <c r="D32" s="2195"/>
      <c r="E32" s="142"/>
      <c r="F32" s="142"/>
      <c r="G32" s="142"/>
      <c r="H32" s="142"/>
      <c r="I32" s="142"/>
      <c r="J32" s="142"/>
      <c r="K32" s="142"/>
      <c r="L32" s="142"/>
      <c r="M32" s="116"/>
      <c r="N32" s="116"/>
      <c r="P32" s="112"/>
      <c r="AB32" s="103"/>
      <c r="AC32" s="103"/>
      <c r="AD32" s="103"/>
      <c r="AE32" s="103"/>
      <c r="AF32" s="103"/>
      <c r="AG32" s="103"/>
      <c r="AH32" s="103"/>
      <c r="AI32" s="103"/>
      <c r="AJ32" s="111"/>
    </row>
    <row r="33" spans="2:36">
      <c r="B33" s="127"/>
      <c r="C33" s="128"/>
      <c r="D33" s="128"/>
      <c r="E33" s="142"/>
      <c r="F33" s="142"/>
      <c r="G33" s="142"/>
      <c r="H33" s="142"/>
      <c r="I33" s="142"/>
      <c r="J33" s="142"/>
      <c r="K33" s="142"/>
      <c r="L33" s="142"/>
      <c r="M33" s="116"/>
      <c r="N33" s="116"/>
      <c r="O33" s="110"/>
      <c r="P33" s="112"/>
      <c r="Q33" s="112"/>
      <c r="R33" s="110"/>
      <c r="AB33" s="103"/>
      <c r="AC33" s="103"/>
      <c r="AD33" s="103"/>
      <c r="AE33" s="103"/>
      <c r="AF33" s="103"/>
      <c r="AG33" s="103"/>
      <c r="AH33" s="103"/>
      <c r="AI33" s="103"/>
      <c r="AJ33" s="111"/>
    </row>
    <row r="34" spans="2:36">
      <c r="B34" s="26"/>
      <c r="C34" s="129" t="s">
        <v>249</v>
      </c>
      <c r="D34" s="129"/>
      <c r="E34" s="142"/>
      <c r="F34" s="142"/>
      <c r="G34" s="142"/>
      <c r="H34" s="142"/>
      <c r="I34" s="142"/>
      <c r="J34" s="142"/>
      <c r="K34" s="142"/>
      <c r="L34" s="142"/>
      <c r="M34" s="116"/>
      <c r="N34" s="116"/>
      <c r="O34" s="116"/>
      <c r="P34" s="112"/>
      <c r="Q34" s="116"/>
      <c r="R34" s="116"/>
      <c r="S34" s="114"/>
      <c r="T34" s="116"/>
      <c r="U34" s="116"/>
      <c r="V34" s="116"/>
      <c r="W34" s="116"/>
      <c r="X34" s="116"/>
      <c r="Y34" s="116"/>
      <c r="Z34" s="116"/>
      <c r="AA34" s="114"/>
      <c r="AB34" s="103"/>
      <c r="AC34" s="103"/>
      <c r="AD34" s="103"/>
      <c r="AE34" s="103"/>
      <c r="AF34" s="103"/>
      <c r="AG34" s="103"/>
      <c r="AH34" s="103"/>
      <c r="AI34" s="103"/>
      <c r="AJ34" s="111"/>
    </row>
    <row r="35" spans="2:36">
      <c r="B35" s="127"/>
      <c r="C35" s="128"/>
      <c r="D35" s="128"/>
      <c r="E35" s="142"/>
      <c r="F35" s="142"/>
      <c r="G35" s="142"/>
      <c r="H35" s="142"/>
      <c r="I35" s="142"/>
      <c r="J35" s="142"/>
      <c r="K35" s="142"/>
      <c r="L35" s="142"/>
      <c r="M35" s="116"/>
      <c r="N35" s="116"/>
      <c r="O35" s="116"/>
      <c r="P35" s="112"/>
      <c r="Q35" s="116"/>
      <c r="R35" s="116"/>
      <c r="S35" s="111"/>
      <c r="T35" s="116"/>
      <c r="U35" s="116"/>
      <c r="V35" s="116"/>
      <c r="W35" s="116"/>
      <c r="X35" s="116"/>
      <c r="Y35" s="116"/>
      <c r="Z35" s="116"/>
      <c r="AA35" s="111"/>
      <c r="AB35" s="103"/>
      <c r="AC35" s="103"/>
      <c r="AD35" s="103"/>
      <c r="AE35" s="103"/>
      <c r="AF35" s="103"/>
      <c r="AG35" s="103"/>
      <c r="AH35" s="103"/>
      <c r="AI35" s="103"/>
      <c r="AJ35" s="111"/>
    </row>
    <row r="36" spans="2:36">
      <c r="B36" s="130"/>
      <c r="C36" s="129" t="s">
        <v>250</v>
      </c>
      <c r="D36" s="129"/>
      <c r="E36" s="142"/>
      <c r="F36" s="142"/>
      <c r="G36" s="142"/>
      <c r="H36" s="142"/>
      <c r="I36" s="142"/>
      <c r="J36" s="142"/>
      <c r="K36" s="142"/>
      <c r="L36" s="142"/>
      <c r="M36" s="116"/>
      <c r="N36" s="116"/>
      <c r="O36" s="116"/>
      <c r="P36" s="112"/>
      <c r="Q36" s="116"/>
      <c r="R36" s="116"/>
      <c r="S36" s="111"/>
      <c r="T36" s="116"/>
      <c r="U36" s="116"/>
      <c r="V36" s="116"/>
      <c r="W36" s="116"/>
      <c r="X36" s="116"/>
      <c r="Y36" s="116"/>
      <c r="Z36" s="116"/>
      <c r="AA36" s="111"/>
      <c r="AB36" s="103"/>
      <c r="AC36" s="103"/>
      <c r="AD36" s="103"/>
      <c r="AE36" s="103"/>
      <c r="AF36" s="103"/>
      <c r="AG36" s="103"/>
      <c r="AH36" s="103"/>
      <c r="AI36" s="103"/>
      <c r="AJ36" s="111"/>
    </row>
    <row r="37" spans="2:36">
      <c r="B37" s="131"/>
      <c r="C37" s="129"/>
      <c r="D37" s="129"/>
      <c r="E37" s="142"/>
      <c r="F37" s="142"/>
      <c r="G37" s="142"/>
      <c r="H37" s="142"/>
      <c r="I37" s="142"/>
      <c r="J37" s="142"/>
      <c r="K37" s="142"/>
      <c r="L37" s="142"/>
      <c r="M37" s="116"/>
      <c r="N37" s="116"/>
      <c r="O37" s="116"/>
      <c r="P37" s="112"/>
      <c r="Q37" s="116"/>
      <c r="R37" s="116"/>
      <c r="S37" s="111"/>
      <c r="T37" s="116"/>
      <c r="U37" s="116"/>
      <c r="V37" s="116"/>
      <c r="W37" s="116"/>
      <c r="X37" s="116"/>
      <c r="Y37" s="116"/>
      <c r="Z37" s="116"/>
      <c r="AA37" s="111"/>
      <c r="AB37" s="103"/>
      <c r="AC37" s="103"/>
      <c r="AD37" s="103"/>
      <c r="AE37" s="103"/>
      <c r="AF37" s="103"/>
      <c r="AG37" s="103"/>
      <c r="AH37" s="103"/>
      <c r="AI37" s="103"/>
      <c r="AJ37" s="111"/>
    </row>
    <row r="38" spans="2:36" ht="15" thickBot="1">
      <c r="B38" s="155"/>
      <c r="C38" s="156"/>
      <c r="D38" s="156"/>
      <c r="E38" s="155"/>
      <c r="F38" s="155"/>
      <c r="G38" s="155"/>
      <c r="H38" s="155"/>
      <c r="I38" s="155"/>
      <c r="J38" s="155"/>
      <c r="K38" s="155"/>
      <c r="L38" s="155"/>
      <c r="M38" s="118"/>
      <c r="N38" s="118"/>
      <c r="O38" s="116"/>
      <c r="P38" s="112"/>
      <c r="Q38" s="116"/>
      <c r="R38" s="116"/>
      <c r="S38" s="111"/>
      <c r="T38" s="116"/>
      <c r="U38" s="116"/>
      <c r="V38" s="116"/>
      <c r="W38" s="116"/>
      <c r="X38" s="116"/>
      <c r="Y38" s="116"/>
      <c r="Z38" s="116"/>
      <c r="AA38" s="111"/>
      <c r="AB38" s="103"/>
      <c r="AC38" s="103"/>
      <c r="AD38" s="103"/>
      <c r="AE38" s="103"/>
      <c r="AF38" s="103"/>
      <c r="AG38" s="103"/>
      <c r="AH38" s="103"/>
      <c r="AI38" s="103"/>
      <c r="AJ38" s="114"/>
    </row>
    <row r="39" spans="2:36" ht="21" thickBot="1">
      <c r="B39" s="1166" t="s">
        <v>251</v>
      </c>
      <c r="C39" s="133"/>
      <c r="D39" s="133"/>
      <c r="E39" s="134"/>
      <c r="F39" s="134"/>
      <c r="G39" s="134"/>
      <c r="H39" s="134"/>
      <c r="I39" s="134"/>
      <c r="J39" s="134"/>
      <c r="K39" s="134"/>
      <c r="L39" s="134"/>
      <c r="M39" s="134"/>
      <c r="N39" s="140"/>
      <c r="O39" s="116"/>
      <c r="P39" s="112"/>
      <c r="Q39" s="116"/>
      <c r="R39" s="116"/>
      <c r="S39" s="111"/>
      <c r="T39" s="116"/>
      <c r="U39" s="116"/>
      <c r="V39" s="116"/>
      <c r="W39" s="116"/>
      <c r="X39" s="116"/>
      <c r="Y39" s="116"/>
      <c r="Z39" s="116"/>
      <c r="AA39" s="111"/>
      <c r="AB39" s="103"/>
      <c r="AC39" s="103"/>
      <c r="AD39" s="103"/>
      <c r="AE39" s="103"/>
      <c r="AF39" s="103"/>
      <c r="AG39" s="103"/>
      <c r="AH39" s="103"/>
      <c r="AI39" s="103"/>
      <c r="AJ39" s="114"/>
    </row>
    <row r="40" spans="2:36">
      <c r="B40" s="155"/>
      <c r="C40" s="156"/>
      <c r="D40" s="156"/>
      <c r="E40" s="155"/>
      <c r="F40" s="155"/>
      <c r="G40" s="155"/>
      <c r="H40" s="155"/>
      <c r="I40" s="155"/>
      <c r="J40" s="155"/>
      <c r="K40" s="155"/>
      <c r="L40" s="155"/>
      <c r="M40" s="118"/>
      <c r="N40" s="118"/>
      <c r="O40" s="116"/>
      <c r="P40" s="112"/>
      <c r="Q40" s="116"/>
      <c r="R40" s="116"/>
      <c r="S40" s="111"/>
      <c r="T40" s="116"/>
      <c r="U40" s="116"/>
      <c r="V40" s="116"/>
      <c r="W40" s="116"/>
      <c r="X40" s="116"/>
      <c r="Y40" s="116"/>
      <c r="Z40" s="116"/>
      <c r="AA40" s="111"/>
      <c r="AB40" s="103"/>
      <c r="AC40" s="103"/>
      <c r="AD40" s="103"/>
      <c r="AE40" s="103"/>
      <c r="AF40" s="103"/>
      <c r="AG40" s="103"/>
      <c r="AH40" s="103"/>
      <c r="AI40" s="103"/>
      <c r="AJ40" s="114"/>
    </row>
  </sheetData>
  <sheetProtection algorithmName="SHA-512" hashValue="CCNEb8nzP74NXKYq2d5CuzKD0LLgZmXQaBMSmalOsJB/O5S6tAwYjl0GOnbMJvRVGHnyK4y4kZZFjpHOFuPM/A==" saltValue="LvgaV4wA4571imJv3J5vrw==" spinCount="100000" sheet="1" objects="1" scenarios="1"/>
  <mergeCells count="17">
    <mergeCell ref="BP3:BP4"/>
    <mergeCell ref="BD3:BE4"/>
    <mergeCell ref="BG3:BG4"/>
    <mergeCell ref="BH3:BH4"/>
    <mergeCell ref="BN3:BO3"/>
    <mergeCell ref="BI3:BM3"/>
    <mergeCell ref="N3:N4"/>
    <mergeCell ref="B32:C32"/>
    <mergeCell ref="B3:C4"/>
    <mergeCell ref="E3:E4"/>
    <mergeCell ref="AB3:AI4"/>
    <mergeCell ref="Q3:Q4"/>
    <mergeCell ref="T3:Z4"/>
    <mergeCell ref="F3:F4"/>
    <mergeCell ref="G3:K3"/>
    <mergeCell ref="L3:M3"/>
    <mergeCell ref="P3:P4"/>
  </mergeCells>
  <conditionalFormatting sqref="P27">
    <cfRule type="cellIs" dxfId="580" priority="18" operator="equal">
      <formula>0</formula>
    </cfRule>
  </conditionalFormatting>
  <conditionalFormatting sqref="Q7:Q11">
    <cfRule type="cellIs" dxfId="579" priority="14" operator="equal">
      <formula>0</formula>
    </cfRule>
  </conditionalFormatting>
  <conditionalFormatting sqref="Q12:Q14">
    <cfRule type="cellIs" dxfId="578" priority="20" operator="equal">
      <formula>2</formula>
    </cfRule>
  </conditionalFormatting>
  <conditionalFormatting sqref="Q15:Q18">
    <cfRule type="cellIs" dxfId="577" priority="13" operator="equal">
      <formula>0</formula>
    </cfRule>
  </conditionalFormatting>
  <conditionalFormatting sqref="Q19:Q24">
    <cfRule type="cellIs" dxfId="576" priority="21" operator="equal">
      <formula>2</formula>
    </cfRule>
  </conditionalFormatting>
  <conditionalFormatting sqref="Q25:Q26">
    <cfRule type="cellIs" dxfId="575" priority="24" operator="equal">
      <formula>0</formula>
    </cfRule>
  </conditionalFormatting>
  <conditionalFormatting sqref="Q27:Q32">
    <cfRule type="cellIs" dxfId="574" priority="22" operator="equal">
      <formula>2</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1A55C809-BFF1-4BDB-A924-84FE3EDA4D81}">
            <xm:f>Validation!$H$3=1</xm:f>
            <x14:dxf>
              <fill>
                <patternFill>
                  <bgColor rgb="FFE0DCD8"/>
                </patternFill>
              </fill>
            </x14:dxf>
          </x14:cfRule>
          <xm:sqref>I12:K12 I19:K19 I21:K22</xm:sqref>
        </x14:conditionalFormatting>
        <x14:conditionalFormatting xmlns:xm="http://schemas.microsoft.com/office/excel/2006/main">
          <x14:cfRule type="expression" priority="4" id="{2D2DCB7D-EC09-4D36-A8B3-51BCFB0E21EA}">
            <xm:f>Validation!$H$3=1</xm:f>
            <x14:dxf>
              <fill>
                <patternFill>
                  <bgColor rgb="FFE0DCD8"/>
                </patternFill>
              </fill>
            </x14:dxf>
          </x14:cfRule>
          <xm:sqref>I27:K27</xm:sqref>
        </x14:conditionalFormatting>
        <x14:conditionalFormatting xmlns:xm="http://schemas.microsoft.com/office/excel/2006/main">
          <x14:cfRule type="expression" priority="3" id="{205304BA-96B1-4E35-AFB4-51C1890511CE}">
            <xm:f>Validation!$H$3=1</xm:f>
            <x14:dxf>
              <fill>
                <patternFill>
                  <bgColor rgb="FFE0DCD8"/>
                </patternFill>
              </fill>
            </x14:dxf>
          </x14:cfRule>
          <xm:sqref>BK7:BM12 BK15:BM19 BK21:BM22</xm:sqref>
        </x14:conditionalFormatting>
        <x14:conditionalFormatting xmlns:xm="http://schemas.microsoft.com/office/excel/2006/main">
          <x14:cfRule type="expression" priority="1" id="{35CEE39D-1884-4D05-9D63-475DDE41023E}">
            <xm:f>Validation!$H$3=1</xm:f>
            <x14:dxf>
              <fill>
                <patternFill>
                  <bgColor rgb="FFE0DCD8"/>
                </patternFill>
              </fill>
            </x14:dxf>
          </x14:cfRule>
          <xm:sqref>BK25:BM27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I59"/>
  <sheetViews>
    <sheetView showGridLines="0" zoomScale="80" zoomScaleNormal="80" workbookViewId="0">
      <selection activeCell="J12" sqref="J12"/>
    </sheetView>
  </sheetViews>
  <sheetFormatPr defaultColWidth="0" defaultRowHeight="14.25" zeroHeight="1"/>
  <cols>
    <col min="1" max="1" width="0.625" style="65" customWidth="1"/>
    <col min="2" max="2" width="5.125" style="65" customWidth="1"/>
    <col min="3" max="3" width="38.125" style="65" customWidth="1"/>
    <col min="4" max="4" width="5.625" style="65" hidden="1" customWidth="1"/>
    <col min="5" max="6" width="5.125" style="65" customWidth="1"/>
    <col min="7" max="10" width="14.625" style="65" customWidth="1"/>
    <col min="11" max="11" width="2.625" style="65" customWidth="1"/>
    <col min="12" max="12" width="18.625" style="65" bestFit="1" customWidth="1"/>
    <col min="13" max="13" width="1.625" style="65" customWidth="1"/>
    <col min="14" max="14" width="1.625" style="66" hidden="1" customWidth="1"/>
    <col min="15" max="17" width="5.625" style="65" hidden="1" customWidth="1"/>
    <col min="18" max="18" width="1.625" style="66" hidden="1" customWidth="1"/>
    <col min="19" max="26" width="8.625" hidden="1" customWidth="1"/>
    <col min="27" max="27" width="5.125" style="65" hidden="1" customWidth="1"/>
    <col min="28" max="28" width="38.125" style="65" hidden="1" customWidth="1"/>
    <col min="29" max="29" width="5.625" style="65" hidden="1" customWidth="1"/>
    <col min="30" max="31" width="5.125" style="65" hidden="1" customWidth="1"/>
    <col min="32" max="32" width="21.875" style="65" hidden="1" customWidth="1"/>
    <col min="33" max="35" width="14.625" style="65" hidden="1" customWidth="1"/>
    <col min="36" max="16384" width="8.625" hidden="1"/>
  </cols>
  <sheetData>
    <row r="1" spans="2:35" ht="20.25">
      <c r="B1" s="61" t="s">
        <v>1271</v>
      </c>
      <c r="C1" s="61"/>
      <c r="D1" s="61"/>
      <c r="E1" s="61"/>
      <c r="F1" s="61"/>
      <c r="G1" s="61"/>
      <c r="H1" s="61"/>
      <c r="I1" s="61"/>
      <c r="J1" s="63" t="str">
        <f>Validation!B3</f>
        <v>Thames Water</v>
      </c>
      <c r="K1" s="61"/>
      <c r="L1" s="64" t="s">
        <v>94</v>
      </c>
      <c r="AA1" s="61" t="s">
        <v>95</v>
      </c>
      <c r="AB1" s="61"/>
      <c r="AC1" s="61"/>
      <c r="AD1" s="61"/>
      <c r="AE1" s="61"/>
      <c r="AF1" s="61"/>
      <c r="AG1" s="61"/>
      <c r="AH1" s="61"/>
      <c r="AI1" s="63"/>
    </row>
    <row r="2" spans="2:35" ht="15" thickBot="1">
      <c r="B2" s="68" t="s">
        <v>80</v>
      </c>
      <c r="AA2" s="68" t="s">
        <v>80</v>
      </c>
    </row>
    <row r="3" spans="2:35" ht="15" customHeight="1">
      <c r="B3" s="2287" t="s">
        <v>96</v>
      </c>
      <c r="C3" s="2288"/>
      <c r="D3" s="2208" t="s">
        <v>97</v>
      </c>
      <c r="E3" s="2291" t="s">
        <v>98</v>
      </c>
      <c r="F3" s="2293" t="s">
        <v>99</v>
      </c>
      <c r="G3" s="2252" t="s">
        <v>217</v>
      </c>
      <c r="H3" s="2253"/>
      <c r="I3" s="2253"/>
      <c r="J3" s="2254"/>
      <c r="L3" s="2240" t="s">
        <v>103</v>
      </c>
      <c r="O3" s="2255" t="s">
        <v>107</v>
      </c>
      <c r="P3" s="2255"/>
      <c r="Q3" s="2286"/>
      <c r="AA3" s="2287" t="s">
        <v>96</v>
      </c>
      <c r="AB3" s="2288"/>
      <c r="AC3" s="2208" t="s">
        <v>97</v>
      </c>
      <c r="AD3" s="2291" t="s">
        <v>98</v>
      </c>
      <c r="AE3" s="2293" t="s">
        <v>99</v>
      </c>
      <c r="AF3" s="2252" t="s">
        <v>217</v>
      </c>
      <c r="AG3" s="2253"/>
      <c r="AH3" s="2253"/>
      <c r="AI3" s="2254"/>
    </row>
    <row r="4" spans="2:35" ht="41.25" thickBot="1">
      <c r="B4" s="2289"/>
      <c r="C4" s="2290"/>
      <c r="D4" s="2209"/>
      <c r="E4" s="2292"/>
      <c r="F4" s="2294"/>
      <c r="G4" s="2201" t="s">
        <v>1272</v>
      </c>
      <c r="H4" s="73" t="s">
        <v>1273</v>
      </c>
      <c r="I4" s="73" t="s">
        <v>1274</v>
      </c>
      <c r="J4" s="2202" t="s">
        <v>680</v>
      </c>
      <c r="L4" s="2241"/>
      <c r="M4" s="74"/>
      <c r="O4" s="2255"/>
      <c r="P4" s="2255"/>
      <c r="Q4" s="2286"/>
      <c r="AA4" s="2289"/>
      <c r="AB4" s="2290"/>
      <c r="AC4" s="2209"/>
      <c r="AD4" s="2292"/>
      <c r="AE4" s="2294"/>
      <c r="AF4" s="2201" t="s">
        <v>1272</v>
      </c>
      <c r="AG4" s="73" t="s">
        <v>1273</v>
      </c>
      <c r="AH4" s="73" t="s">
        <v>1274</v>
      </c>
      <c r="AI4" s="2202" t="s">
        <v>680</v>
      </c>
    </row>
    <row r="5" spans="2:35" ht="15" thickBot="1">
      <c r="O5" s="78" t="s">
        <v>108</v>
      </c>
    </row>
    <row r="6" spans="2:35" ht="15" thickBot="1">
      <c r="B6" s="2221" t="s">
        <v>214</v>
      </c>
      <c r="C6" s="77" t="s">
        <v>1275</v>
      </c>
      <c r="D6" s="1292"/>
      <c r="AA6" s="2221" t="s">
        <v>214</v>
      </c>
      <c r="AB6" s="77" t="s">
        <v>1275</v>
      </c>
      <c r="AC6" s="1292"/>
    </row>
    <row r="7" spans="2:35">
      <c r="B7" s="79" t="s">
        <v>1276</v>
      </c>
      <c r="C7" s="109" t="s">
        <v>1277</v>
      </c>
      <c r="D7" s="109"/>
      <c r="E7" s="81" t="s">
        <v>8</v>
      </c>
      <c r="F7" s="82">
        <v>3</v>
      </c>
      <c r="G7" s="342">
        <v>22.683</v>
      </c>
      <c r="H7" s="353">
        <v>0</v>
      </c>
      <c r="I7" s="378">
        <v>0</v>
      </c>
      <c r="J7" s="165">
        <f>SUM(G7:I7)</f>
        <v>22.683</v>
      </c>
      <c r="L7" s="25">
        <f xml:space="preserve"> IF( SUM( N7:R7 ) = 0, 0, $O$5 )</f>
        <v>0</v>
      </c>
      <c r="O7" s="86">
        <f t="shared" ref="O7:Q12" si="0" xml:space="preserve"> IF( ISNUMBER( G7 ), 0, 1 )</f>
        <v>0</v>
      </c>
      <c r="P7" s="86">
        <f t="shared" si="0"/>
        <v>0</v>
      </c>
      <c r="Q7" s="86">
        <f t="shared" si="0"/>
        <v>0</v>
      </c>
      <c r="AA7" s="79" t="s">
        <v>1276</v>
      </c>
      <c r="AB7" s="109" t="s">
        <v>1277</v>
      </c>
      <c r="AC7" s="109"/>
      <c r="AD7" s="81" t="s">
        <v>8</v>
      </c>
      <c r="AE7" s="82">
        <v>3</v>
      </c>
      <c r="AF7" s="342" t="s">
        <v>1278</v>
      </c>
      <c r="AG7" s="353" t="s">
        <v>1279</v>
      </c>
      <c r="AH7" s="378" t="s">
        <v>1280</v>
      </c>
      <c r="AI7" s="165" t="s">
        <v>1281</v>
      </c>
    </row>
    <row r="8" spans="2:35">
      <c r="B8" s="87" t="s">
        <v>1282</v>
      </c>
      <c r="C8" s="80" t="s">
        <v>1283</v>
      </c>
      <c r="D8" s="80"/>
      <c r="E8" s="88" t="s">
        <v>8</v>
      </c>
      <c r="F8" s="89">
        <v>3</v>
      </c>
      <c r="G8" s="340">
        <v>0</v>
      </c>
      <c r="H8" s="341">
        <v>14.85</v>
      </c>
      <c r="I8" s="379">
        <v>0</v>
      </c>
      <c r="J8" s="166">
        <f t="shared" ref="J8:J13" si="1">SUM(G8:I8)</f>
        <v>14.85</v>
      </c>
      <c r="L8" s="25">
        <f t="shared" ref="L8:L12" si="2" xml:space="preserve"> IF( SUM( N8:R8 ) = 0, 0, $O$5 )</f>
        <v>0</v>
      </c>
      <c r="O8" s="86">
        <f t="shared" si="0"/>
        <v>0</v>
      </c>
      <c r="P8" s="86">
        <f t="shared" si="0"/>
        <v>0</v>
      </c>
      <c r="Q8" s="86">
        <f t="shared" si="0"/>
        <v>0</v>
      </c>
      <c r="AA8" s="87" t="s">
        <v>1282</v>
      </c>
      <c r="AB8" s="80" t="s">
        <v>1283</v>
      </c>
      <c r="AC8" s="80"/>
      <c r="AD8" s="88" t="s">
        <v>8</v>
      </c>
      <c r="AE8" s="89">
        <v>3</v>
      </c>
      <c r="AF8" s="340" t="s">
        <v>1284</v>
      </c>
      <c r="AG8" s="341" t="s">
        <v>1285</v>
      </c>
      <c r="AH8" s="379" t="s">
        <v>1286</v>
      </c>
      <c r="AI8" s="166" t="s">
        <v>1287</v>
      </c>
    </row>
    <row r="9" spans="2:35">
      <c r="B9" s="87" t="s">
        <v>1288</v>
      </c>
      <c r="C9" s="80" t="s">
        <v>1289</v>
      </c>
      <c r="D9" s="80"/>
      <c r="E9" s="88" t="s">
        <v>8</v>
      </c>
      <c r="F9" s="89">
        <v>3</v>
      </c>
      <c r="G9" s="340">
        <v>5.4390000000000001</v>
      </c>
      <c r="H9" s="341">
        <v>0</v>
      </c>
      <c r="I9" s="379">
        <v>0</v>
      </c>
      <c r="J9" s="166">
        <f t="shared" si="1"/>
        <v>5.4390000000000001</v>
      </c>
      <c r="L9" s="25">
        <f t="shared" si="2"/>
        <v>0</v>
      </c>
      <c r="O9" s="86">
        <f t="shared" si="0"/>
        <v>0</v>
      </c>
      <c r="P9" s="86">
        <f t="shared" si="0"/>
        <v>0</v>
      </c>
      <c r="Q9" s="86">
        <f t="shared" si="0"/>
        <v>0</v>
      </c>
      <c r="AA9" s="87" t="s">
        <v>1288</v>
      </c>
      <c r="AB9" s="80" t="s">
        <v>1289</v>
      </c>
      <c r="AC9" s="80"/>
      <c r="AD9" s="88" t="s">
        <v>8</v>
      </c>
      <c r="AE9" s="89">
        <v>3</v>
      </c>
      <c r="AF9" s="340" t="s">
        <v>1290</v>
      </c>
      <c r="AG9" s="341" t="s">
        <v>1291</v>
      </c>
      <c r="AH9" s="379" t="s">
        <v>1292</v>
      </c>
      <c r="AI9" s="166" t="s">
        <v>1293</v>
      </c>
    </row>
    <row r="10" spans="2:35">
      <c r="B10" s="87" t="s">
        <v>1294</v>
      </c>
      <c r="C10" s="80" t="s">
        <v>1295</v>
      </c>
      <c r="D10" s="80"/>
      <c r="E10" s="88" t="s">
        <v>8</v>
      </c>
      <c r="F10" s="89">
        <v>3</v>
      </c>
      <c r="G10" s="340">
        <v>0.377</v>
      </c>
      <c r="H10" s="341">
        <v>4.1980000000000004</v>
      </c>
      <c r="I10" s="379">
        <v>0</v>
      </c>
      <c r="J10" s="166">
        <f t="shared" si="1"/>
        <v>4.5750000000000002</v>
      </c>
      <c r="L10" s="25">
        <f t="shared" ref="L10" si="3" xml:space="preserve"> IF( SUM( N10:R10 ) = 0, 0, $O$5 )</f>
        <v>0</v>
      </c>
      <c r="O10" s="86">
        <f t="shared" ref="O10" si="4" xml:space="preserve"> IF( ISNUMBER( G10 ), 0, 1 )</f>
        <v>0</v>
      </c>
      <c r="P10" s="86">
        <f t="shared" ref="P10" si="5" xml:space="preserve"> IF( ISNUMBER( H10 ), 0, 1 )</f>
        <v>0</v>
      </c>
      <c r="Q10" s="86">
        <f t="shared" ref="Q10" si="6" xml:space="preserve"> IF( ISNUMBER( I10 ), 0, 1 )</f>
        <v>0</v>
      </c>
      <c r="AA10" s="87" t="s">
        <v>1294</v>
      </c>
      <c r="AB10" s="80" t="s">
        <v>1295</v>
      </c>
      <c r="AC10" s="80"/>
      <c r="AD10" s="88" t="s">
        <v>8</v>
      </c>
      <c r="AE10" s="89">
        <v>3</v>
      </c>
      <c r="AF10" s="1400" t="s">
        <v>1296</v>
      </c>
      <c r="AG10" s="1401" t="s">
        <v>1297</v>
      </c>
      <c r="AH10" s="1598" t="s">
        <v>1298</v>
      </c>
      <c r="AI10" s="1402" t="s">
        <v>1299</v>
      </c>
    </row>
    <row r="11" spans="2:35">
      <c r="B11" s="87" t="s">
        <v>1300</v>
      </c>
      <c r="C11" s="80" t="s">
        <v>1301</v>
      </c>
      <c r="D11" s="80"/>
      <c r="E11" s="88" t="s">
        <v>8</v>
      </c>
      <c r="F11" s="89">
        <v>3</v>
      </c>
      <c r="G11" s="340">
        <v>4.7359999999999998</v>
      </c>
      <c r="H11" s="341">
        <v>0</v>
      </c>
      <c r="I11" s="379">
        <v>0</v>
      </c>
      <c r="J11" s="166">
        <f t="shared" si="1"/>
        <v>4.7359999999999998</v>
      </c>
      <c r="L11" s="25">
        <f t="shared" si="2"/>
        <v>0</v>
      </c>
      <c r="O11" s="86">
        <f t="shared" si="0"/>
        <v>0</v>
      </c>
      <c r="P11" s="86">
        <f t="shared" si="0"/>
        <v>0</v>
      </c>
      <c r="Q11" s="86">
        <f t="shared" si="0"/>
        <v>0</v>
      </c>
      <c r="AA11" s="87" t="s">
        <v>1300</v>
      </c>
      <c r="AB11" s="80" t="s">
        <v>1301</v>
      </c>
      <c r="AC11" s="80"/>
      <c r="AD11" s="88" t="s">
        <v>8</v>
      </c>
      <c r="AE11" s="89">
        <v>3</v>
      </c>
      <c r="AF11" s="340" t="s">
        <v>1302</v>
      </c>
      <c r="AG11" s="341" t="s">
        <v>1303</v>
      </c>
      <c r="AH11" s="379" t="s">
        <v>1304</v>
      </c>
      <c r="AI11" s="166" t="s">
        <v>1305</v>
      </c>
    </row>
    <row r="12" spans="2:35">
      <c r="B12" s="87" t="s">
        <v>1306</v>
      </c>
      <c r="C12" s="80" t="s">
        <v>1307</v>
      </c>
      <c r="D12" s="80"/>
      <c r="E12" s="88" t="s">
        <v>8</v>
      </c>
      <c r="F12" s="89">
        <v>3</v>
      </c>
      <c r="G12" s="340">
        <v>5.5090000000000003</v>
      </c>
      <c r="H12" s="341">
        <v>0.65400000000000003</v>
      </c>
      <c r="I12" s="379">
        <v>0</v>
      </c>
      <c r="J12" s="166">
        <f t="shared" si="1"/>
        <v>6.1630000000000003</v>
      </c>
      <c r="L12" s="25">
        <f t="shared" si="2"/>
        <v>0</v>
      </c>
      <c r="O12" s="86">
        <f t="shared" si="0"/>
        <v>0</v>
      </c>
      <c r="P12" s="86">
        <f t="shared" si="0"/>
        <v>0</v>
      </c>
      <c r="Q12" s="86">
        <f t="shared" si="0"/>
        <v>0</v>
      </c>
      <c r="AA12" s="87" t="s">
        <v>1306</v>
      </c>
      <c r="AB12" s="80" t="s">
        <v>1307</v>
      </c>
      <c r="AC12" s="80"/>
      <c r="AD12" s="88" t="s">
        <v>8</v>
      </c>
      <c r="AE12" s="89">
        <v>3</v>
      </c>
      <c r="AF12" s="1400" t="s">
        <v>1308</v>
      </c>
      <c r="AG12" s="1401" t="s">
        <v>1309</v>
      </c>
      <c r="AH12" s="1598" t="s">
        <v>1310</v>
      </c>
      <c r="AI12" s="1402" t="s">
        <v>1311</v>
      </c>
    </row>
    <row r="13" spans="2:35" ht="15" thickBot="1">
      <c r="B13" s="94" t="s">
        <v>1312</v>
      </c>
      <c r="C13" s="95" t="s">
        <v>680</v>
      </c>
      <c r="D13" s="95"/>
      <c r="E13" s="96" t="s">
        <v>8</v>
      </c>
      <c r="F13" s="93">
        <v>3</v>
      </c>
      <c r="G13" s="167">
        <f>SUM(G7:G12)</f>
        <v>38.744</v>
      </c>
      <c r="H13" s="168">
        <f>SUM(H7:H12)</f>
        <v>19.702000000000002</v>
      </c>
      <c r="I13" s="305">
        <f>SUM(I7:I12)</f>
        <v>0</v>
      </c>
      <c r="J13" s="169">
        <f t="shared" si="1"/>
        <v>58.445999999999998</v>
      </c>
      <c r="L13" s="118"/>
      <c r="AA13" s="94" t="s">
        <v>1312</v>
      </c>
      <c r="AB13" s="95" t="s">
        <v>680</v>
      </c>
      <c r="AC13" s="95"/>
      <c r="AD13" s="96" t="s">
        <v>8</v>
      </c>
      <c r="AE13" s="93">
        <v>3</v>
      </c>
      <c r="AF13" s="167" t="s">
        <v>1313</v>
      </c>
      <c r="AG13" s="168" t="s">
        <v>1314</v>
      </c>
      <c r="AH13" s="305" t="s">
        <v>1315</v>
      </c>
      <c r="AI13" s="169" t="s">
        <v>1316</v>
      </c>
    </row>
    <row r="14" spans="2:35" ht="15" thickBot="1">
      <c r="B14" s="113"/>
      <c r="C14" s="68"/>
      <c r="D14" s="68"/>
      <c r="E14" s="108"/>
      <c r="F14" s="108"/>
      <c r="G14" s="143"/>
      <c r="H14" s="143"/>
      <c r="I14" s="143"/>
      <c r="J14" s="143"/>
      <c r="L14" s="118"/>
      <c r="AA14" s="113"/>
      <c r="AB14" s="68"/>
      <c r="AC14" s="68"/>
      <c r="AD14" s="108"/>
      <c r="AE14" s="108"/>
      <c r="AF14" s="143"/>
      <c r="AG14" s="143"/>
      <c r="AH14" s="143"/>
      <c r="AI14" s="143"/>
    </row>
    <row r="15" spans="2:35" ht="15" thickBot="1">
      <c r="B15" s="119" t="s">
        <v>1317</v>
      </c>
      <c r="C15" s="120" t="s">
        <v>1318</v>
      </c>
      <c r="D15" s="120"/>
      <c r="E15" s="121" t="s">
        <v>8</v>
      </c>
      <c r="F15" s="122">
        <v>3</v>
      </c>
      <c r="G15" s="143"/>
      <c r="H15" s="355">
        <v>7.851</v>
      </c>
      <c r="I15" s="143"/>
      <c r="J15" s="416">
        <f xml:space="preserve"> H15</f>
        <v>7.851</v>
      </c>
      <c r="L15" s="25">
        <f xml:space="preserve"> IF( SUM( N15:R15 ) = 0, 0, $O$5 )</f>
        <v>0</v>
      </c>
      <c r="P15" s="86">
        <f xml:space="preserve"> IF( ISNUMBER( H15 ), 0, 1 )</f>
        <v>0</v>
      </c>
      <c r="AA15" s="119" t="s">
        <v>1317</v>
      </c>
      <c r="AB15" s="120" t="s">
        <v>1318</v>
      </c>
      <c r="AC15" s="120"/>
      <c r="AD15" s="121" t="s">
        <v>8</v>
      </c>
      <c r="AE15" s="122">
        <v>3</v>
      </c>
      <c r="AF15" s="143"/>
      <c r="AG15" s="355" t="s">
        <v>1319</v>
      </c>
      <c r="AH15" s="143"/>
      <c r="AI15" s="416" t="s">
        <v>1320</v>
      </c>
    </row>
    <row r="16" spans="2:35">
      <c r="B16" s="113"/>
      <c r="C16" s="68"/>
      <c r="D16" s="68"/>
      <c r="E16" s="108"/>
      <c r="F16" s="108"/>
      <c r="G16" s="143"/>
      <c r="H16" s="143"/>
      <c r="I16" s="143"/>
      <c r="J16" s="143"/>
      <c r="L16" s="118"/>
      <c r="AA16" s="113"/>
      <c r="AB16" s="68"/>
      <c r="AC16" s="68"/>
      <c r="AD16" s="108"/>
      <c r="AE16" s="108"/>
      <c r="AF16" s="143"/>
      <c r="AG16" s="143"/>
      <c r="AH16" s="143"/>
      <c r="AI16" s="143"/>
    </row>
    <row r="17" spans="2:35" ht="15" thickBot="1">
      <c r="L17" s="118"/>
    </row>
    <row r="18" spans="2:35" ht="15" thickBot="1">
      <c r="B18" s="2221" t="s">
        <v>236</v>
      </c>
      <c r="C18" s="77" t="s">
        <v>1321</v>
      </c>
      <c r="D18" s="1292"/>
      <c r="L18" s="118"/>
      <c r="AA18" s="2221" t="s">
        <v>236</v>
      </c>
      <c r="AB18" s="77" t="s">
        <v>1321</v>
      </c>
      <c r="AC18" s="1292"/>
    </row>
    <row r="19" spans="2:35">
      <c r="B19" s="79" t="s">
        <v>1322</v>
      </c>
      <c r="C19" s="109" t="s">
        <v>1283</v>
      </c>
      <c r="D19" s="109"/>
      <c r="E19" s="81" t="s">
        <v>8</v>
      </c>
      <c r="F19" s="82">
        <v>3</v>
      </c>
      <c r="G19" s="342">
        <v>0</v>
      </c>
      <c r="H19" s="353">
        <v>20.605</v>
      </c>
      <c r="I19" s="378">
        <v>0</v>
      </c>
      <c r="J19" s="165">
        <f t="shared" ref="J19:J24" si="7">SUM(G19:I19)</f>
        <v>20.605</v>
      </c>
      <c r="L19" s="25">
        <f t="shared" ref="L19:L23" si="8" xml:space="preserve"> IF( SUM( N19:R19 ) = 0, 0, $O$5 )</f>
        <v>0</v>
      </c>
      <c r="O19" s="86">
        <f>IF(Validation!$H$3=1,0,IF(ISNUMBER(G19),0,1))</f>
        <v>0</v>
      </c>
      <c r="P19" s="86">
        <f>IF(Validation!$H$3=1,0,IF(ISNUMBER(H19),0,1))</f>
        <v>0</v>
      </c>
      <c r="Q19" s="86">
        <f>IF(Validation!$H$3=1,0,IF(ISNUMBER(I19),0,1))</f>
        <v>0</v>
      </c>
      <c r="AA19" s="79" t="s">
        <v>1322</v>
      </c>
      <c r="AB19" s="109" t="s">
        <v>1283</v>
      </c>
      <c r="AC19" s="109"/>
      <c r="AD19" s="81" t="s">
        <v>8</v>
      </c>
      <c r="AE19" s="82">
        <v>3</v>
      </c>
      <c r="AF19" s="342" t="s">
        <v>1323</v>
      </c>
      <c r="AG19" s="353" t="s">
        <v>1324</v>
      </c>
      <c r="AH19" s="378" t="s">
        <v>1325</v>
      </c>
      <c r="AI19" s="165" t="s">
        <v>1326</v>
      </c>
    </row>
    <row r="20" spans="2:35">
      <c r="B20" s="87" t="s">
        <v>1327</v>
      </c>
      <c r="C20" s="80" t="s">
        <v>1328</v>
      </c>
      <c r="D20" s="80"/>
      <c r="E20" s="88" t="s">
        <v>8</v>
      </c>
      <c r="F20" s="89">
        <v>3</v>
      </c>
      <c r="G20" s="340">
        <v>3.5720000000000001</v>
      </c>
      <c r="H20" s="341">
        <v>0</v>
      </c>
      <c r="I20" s="379">
        <v>0</v>
      </c>
      <c r="J20" s="166">
        <f t="shared" si="7"/>
        <v>3.5720000000000001</v>
      </c>
      <c r="L20" s="25">
        <f t="shared" si="8"/>
        <v>0</v>
      </c>
      <c r="O20" s="86">
        <f>IF(Validation!$H$3=1,0,IF(ISNUMBER(G20),0,1))</f>
        <v>0</v>
      </c>
      <c r="P20" s="86">
        <f>IF(Validation!$H$3=1,0,IF(ISNUMBER(H20),0,1))</f>
        <v>0</v>
      </c>
      <c r="Q20" s="86">
        <f>IF(Validation!$H$3=1,0,IF(ISNUMBER(I20),0,1))</f>
        <v>0</v>
      </c>
      <c r="AA20" s="87" t="s">
        <v>1327</v>
      </c>
      <c r="AB20" s="80" t="s">
        <v>1328</v>
      </c>
      <c r="AC20" s="80"/>
      <c r="AD20" s="88" t="s">
        <v>8</v>
      </c>
      <c r="AE20" s="89">
        <v>3</v>
      </c>
      <c r="AF20" s="340" t="s">
        <v>1329</v>
      </c>
      <c r="AG20" s="341" t="s">
        <v>1330</v>
      </c>
      <c r="AH20" s="379" t="s">
        <v>1331</v>
      </c>
      <c r="AI20" s="166" t="s">
        <v>1332</v>
      </c>
    </row>
    <row r="21" spans="2:35">
      <c r="B21" s="87" t="s">
        <v>1333</v>
      </c>
      <c r="C21" s="80" t="s">
        <v>1295</v>
      </c>
      <c r="D21" s="80"/>
      <c r="E21" s="88" t="s">
        <v>8</v>
      </c>
      <c r="F21" s="89">
        <v>3</v>
      </c>
      <c r="G21" s="340">
        <v>0.91400000000000003</v>
      </c>
      <c r="H21" s="341">
        <v>3.109</v>
      </c>
      <c r="I21" s="379">
        <v>0</v>
      </c>
      <c r="J21" s="166">
        <f t="shared" ref="J21" si="9">SUM(G21:I21)</f>
        <v>4.0229999999999997</v>
      </c>
      <c r="L21" s="25">
        <f t="shared" ref="L21" si="10" xml:space="preserve"> IF( SUM( N21:R21 ) = 0, 0, $O$5 )</f>
        <v>0</v>
      </c>
      <c r="O21" s="86">
        <f>IF(Validation!$H$3=1,0,IF(ISNUMBER(G21),0,1))</f>
        <v>0</v>
      </c>
      <c r="P21" s="86">
        <f>IF(Validation!$H$3=1,0,IF(ISNUMBER(H21),0,1))</f>
        <v>0</v>
      </c>
      <c r="Q21" s="86">
        <f>IF(Validation!$H$3=1,0,IF(ISNUMBER(I21),0,1))</f>
        <v>0</v>
      </c>
      <c r="AA21" s="87" t="s">
        <v>1333</v>
      </c>
      <c r="AB21" s="80" t="s">
        <v>1295</v>
      </c>
      <c r="AC21" s="80"/>
      <c r="AD21" s="88" t="s">
        <v>8</v>
      </c>
      <c r="AE21" s="89">
        <v>3</v>
      </c>
      <c r="AF21" s="1400" t="s">
        <v>1334</v>
      </c>
      <c r="AG21" s="1401" t="s">
        <v>1335</v>
      </c>
      <c r="AH21" s="1598" t="s">
        <v>1336</v>
      </c>
      <c r="AI21" s="1402" t="s">
        <v>1337</v>
      </c>
    </row>
    <row r="22" spans="2:35">
      <c r="B22" s="87" t="s">
        <v>1338</v>
      </c>
      <c r="C22" s="80" t="s">
        <v>1301</v>
      </c>
      <c r="D22" s="80"/>
      <c r="E22" s="88" t="s">
        <v>8</v>
      </c>
      <c r="F22" s="89">
        <v>3</v>
      </c>
      <c r="G22" s="340">
        <v>1.595</v>
      </c>
      <c r="H22" s="341">
        <v>0</v>
      </c>
      <c r="I22" s="379">
        <v>0</v>
      </c>
      <c r="J22" s="166">
        <f t="shared" si="7"/>
        <v>1.595</v>
      </c>
      <c r="L22" s="25">
        <f t="shared" si="8"/>
        <v>0</v>
      </c>
      <c r="O22" s="86">
        <f>IF(Validation!$H$3=1,0,IF(ISNUMBER(G22),0,1))</f>
        <v>0</v>
      </c>
      <c r="P22" s="86">
        <f>IF(Validation!$H$3=1,0,IF(ISNUMBER(H22),0,1))</f>
        <v>0</v>
      </c>
      <c r="Q22" s="86">
        <f>IF(Validation!$H$3=1,0,IF(ISNUMBER(I22),0,1))</f>
        <v>0</v>
      </c>
      <c r="AA22" s="87" t="s">
        <v>1338</v>
      </c>
      <c r="AB22" s="80" t="s">
        <v>1301</v>
      </c>
      <c r="AC22" s="80"/>
      <c r="AD22" s="88" t="s">
        <v>8</v>
      </c>
      <c r="AE22" s="89">
        <v>3</v>
      </c>
      <c r="AF22" s="340" t="s">
        <v>1339</v>
      </c>
      <c r="AG22" s="341" t="s">
        <v>1340</v>
      </c>
      <c r="AH22" s="379" t="s">
        <v>1341</v>
      </c>
      <c r="AI22" s="166" t="s">
        <v>1342</v>
      </c>
    </row>
    <row r="23" spans="2:35">
      <c r="B23" s="87" t="s">
        <v>1343</v>
      </c>
      <c r="C23" s="80" t="s">
        <v>1307</v>
      </c>
      <c r="D23" s="80"/>
      <c r="E23" s="88" t="s">
        <v>8</v>
      </c>
      <c r="F23" s="89">
        <v>3</v>
      </c>
      <c r="G23" s="340">
        <v>5.2750000000000004</v>
      </c>
      <c r="H23" s="341">
        <v>0.40400000000000003</v>
      </c>
      <c r="I23" s="379">
        <v>0</v>
      </c>
      <c r="J23" s="166">
        <f t="shared" si="7"/>
        <v>5.6790000000000003</v>
      </c>
      <c r="L23" s="25">
        <f t="shared" si="8"/>
        <v>0</v>
      </c>
      <c r="O23" s="86">
        <f>IF(Validation!$H$3=1,0,IF(ISNUMBER(G23),0,1))</f>
        <v>0</v>
      </c>
      <c r="P23" s="86">
        <f>IF(Validation!$H$3=1,0,IF(ISNUMBER(H23),0,1))</f>
        <v>0</v>
      </c>
      <c r="Q23" s="86">
        <f>IF(Validation!$H$3=1,0,IF(ISNUMBER(I23),0,1))</f>
        <v>0</v>
      </c>
      <c r="AA23" s="87" t="s">
        <v>1343</v>
      </c>
      <c r="AB23" s="80" t="s">
        <v>1307</v>
      </c>
      <c r="AC23" s="80"/>
      <c r="AD23" s="88" t="s">
        <v>8</v>
      </c>
      <c r="AE23" s="89">
        <v>3</v>
      </c>
      <c r="AF23" s="1400" t="s">
        <v>1344</v>
      </c>
      <c r="AG23" s="1401" t="s">
        <v>1345</v>
      </c>
      <c r="AH23" s="1598" t="s">
        <v>1346</v>
      </c>
      <c r="AI23" s="1402" t="s">
        <v>1347</v>
      </c>
    </row>
    <row r="24" spans="2:35" ht="15" thickBot="1">
      <c r="B24" s="94" t="s">
        <v>1348</v>
      </c>
      <c r="C24" s="95" t="s">
        <v>680</v>
      </c>
      <c r="D24" s="95"/>
      <c r="E24" s="96" t="s">
        <v>8</v>
      </c>
      <c r="F24" s="93">
        <v>3</v>
      </c>
      <c r="G24" s="167">
        <f>SUM(G19:G23)</f>
        <v>11.356</v>
      </c>
      <c r="H24" s="168">
        <f>SUM(H19:H23)</f>
        <v>24.117999999999999</v>
      </c>
      <c r="I24" s="305">
        <f>SUM(I19:I23)</f>
        <v>0</v>
      </c>
      <c r="J24" s="169">
        <f t="shared" si="7"/>
        <v>35.473999999999997</v>
      </c>
      <c r="L24" s="118"/>
      <c r="AA24" s="94" t="s">
        <v>1348</v>
      </c>
      <c r="AB24" s="95" t="s">
        <v>680</v>
      </c>
      <c r="AC24" s="95"/>
      <c r="AD24" s="96" t="s">
        <v>8</v>
      </c>
      <c r="AE24" s="93">
        <v>3</v>
      </c>
      <c r="AF24" s="167" t="s">
        <v>1349</v>
      </c>
      <c r="AG24" s="168" t="s">
        <v>1350</v>
      </c>
      <c r="AH24" s="305" t="s">
        <v>1351</v>
      </c>
      <c r="AI24" s="169" t="s">
        <v>1352</v>
      </c>
    </row>
    <row r="25" spans="2:35" ht="15" thickBot="1">
      <c r="B25" s="113"/>
      <c r="C25" s="68"/>
      <c r="D25" s="68"/>
      <c r="E25" s="108"/>
      <c r="F25" s="108"/>
      <c r="G25" s="143"/>
      <c r="H25" s="143"/>
      <c r="I25" s="143"/>
      <c r="J25" s="143"/>
      <c r="L25" s="118"/>
      <c r="AA25" s="113"/>
      <c r="AB25" s="68"/>
      <c r="AC25" s="68"/>
      <c r="AD25" s="108"/>
      <c r="AE25" s="108"/>
      <c r="AF25" s="143"/>
      <c r="AG25" s="143"/>
      <c r="AH25" s="143"/>
      <c r="AI25" s="143"/>
    </row>
    <row r="26" spans="2:35" ht="15" thickBot="1">
      <c r="B26" s="119" t="s">
        <v>1353</v>
      </c>
      <c r="C26" s="120" t="s">
        <v>1318</v>
      </c>
      <c r="D26" s="120"/>
      <c r="E26" s="121" t="s">
        <v>8</v>
      </c>
      <c r="F26" s="122">
        <v>3</v>
      </c>
      <c r="G26" s="143"/>
      <c r="H26" s="355">
        <v>14.581</v>
      </c>
      <c r="I26" s="143"/>
      <c r="J26" s="416">
        <f xml:space="preserve"> H26</f>
        <v>14.581</v>
      </c>
      <c r="L26" s="25">
        <f xml:space="preserve"> IF( SUM( N26:R26 ) = 0, 0, $O$5 )</f>
        <v>0</v>
      </c>
      <c r="P26" s="86">
        <f>IF(Validation!$H$3=1,0,IF(ISNUMBER(H26),0,1))</f>
        <v>0</v>
      </c>
      <c r="AA26" s="119" t="s">
        <v>1353</v>
      </c>
      <c r="AB26" s="120" t="s">
        <v>1318</v>
      </c>
      <c r="AC26" s="120"/>
      <c r="AD26" s="121" t="s">
        <v>8</v>
      </c>
      <c r="AE26" s="122">
        <v>3</v>
      </c>
      <c r="AF26" s="143"/>
      <c r="AG26" s="355" t="s">
        <v>1354</v>
      </c>
      <c r="AH26" s="143"/>
      <c r="AI26" s="416" t="s">
        <v>1355</v>
      </c>
    </row>
    <row r="27" spans="2:35">
      <c r="L27" s="118"/>
    </row>
    <row r="28" spans="2:35" ht="15" thickBot="1">
      <c r="L28" s="118"/>
    </row>
    <row r="29" spans="2:35" ht="15" thickBot="1">
      <c r="B29" s="2221" t="s">
        <v>236</v>
      </c>
      <c r="C29" s="77" t="s">
        <v>1356</v>
      </c>
      <c r="D29" s="1292"/>
      <c r="L29" s="118"/>
      <c r="AA29" s="2221" t="s">
        <v>236</v>
      </c>
      <c r="AB29" s="77" t="str">
        <f>C29</f>
        <v>Grants and contributions - TTT</v>
      </c>
      <c r="AC29" s="1292"/>
    </row>
    <row r="30" spans="2:35">
      <c r="B30" s="79" t="s">
        <v>1322</v>
      </c>
      <c r="C30" s="109" t="s">
        <v>1283</v>
      </c>
      <c r="D30" s="109"/>
      <c r="E30" s="81" t="s">
        <v>8</v>
      </c>
      <c r="F30" s="82">
        <v>3</v>
      </c>
      <c r="G30" s="342">
        <v>0</v>
      </c>
      <c r="H30" s="353">
        <v>0</v>
      </c>
      <c r="I30" s="378">
        <v>0</v>
      </c>
      <c r="J30" s="165">
        <f t="shared" ref="J30:J31" si="11">SUM(G30:I30)</f>
        <v>0</v>
      </c>
      <c r="L30" s="25">
        <f t="shared" ref="L30:L31" si="12" xml:space="preserve"> IF( SUM( N30:R30 ) = 0, 0, $O$5 )</f>
        <v>0</v>
      </c>
      <c r="O30" s="86">
        <f>IF(Validation!$H$3=1,0,IF(ISNUMBER(G30),0,1))</f>
        <v>0</v>
      </c>
      <c r="P30" s="86">
        <f>IF(Validation!$H$3=1,0,IF(ISNUMBER(H30),0,1))</f>
        <v>0</v>
      </c>
      <c r="Q30" s="86">
        <f>IF(Validation!$H$3=1,0,IF(ISNUMBER(I30),0,1))</f>
        <v>0</v>
      </c>
      <c r="AA30" s="79" t="s">
        <v>1322</v>
      </c>
      <c r="AB30" s="109" t="s">
        <v>1283</v>
      </c>
      <c r="AC30" s="109"/>
      <c r="AD30" s="81" t="s">
        <v>8</v>
      </c>
      <c r="AE30" s="82">
        <v>3</v>
      </c>
      <c r="AF30" s="342" t="s">
        <v>1357</v>
      </c>
      <c r="AG30" s="353" t="s">
        <v>1358</v>
      </c>
      <c r="AH30" s="378" t="s">
        <v>1359</v>
      </c>
      <c r="AI30" s="165" t="s">
        <v>1360</v>
      </c>
    </row>
    <row r="31" spans="2:35">
      <c r="B31" s="87" t="s">
        <v>1327</v>
      </c>
      <c r="C31" s="80" t="s">
        <v>1328</v>
      </c>
      <c r="D31" s="80"/>
      <c r="E31" s="88" t="s">
        <v>8</v>
      </c>
      <c r="F31" s="89">
        <v>3</v>
      </c>
      <c r="G31" s="340">
        <v>0</v>
      </c>
      <c r="H31" s="341">
        <v>0</v>
      </c>
      <c r="I31" s="379">
        <v>0</v>
      </c>
      <c r="J31" s="166">
        <f t="shared" si="11"/>
        <v>0</v>
      </c>
      <c r="L31" s="25">
        <f t="shared" si="12"/>
        <v>0</v>
      </c>
      <c r="O31" s="86">
        <f>IF(Validation!$H$3=1,0,IF(ISNUMBER(G31),0,1))</f>
        <v>0</v>
      </c>
      <c r="P31" s="86">
        <f>IF(Validation!$H$3=1,0,IF(ISNUMBER(H31),0,1))</f>
        <v>0</v>
      </c>
      <c r="Q31" s="86">
        <f>IF(Validation!$H$3=1,0,IF(ISNUMBER(I31),0,1))</f>
        <v>0</v>
      </c>
      <c r="AA31" s="87" t="s">
        <v>1327</v>
      </c>
      <c r="AB31" s="80" t="s">
        <v>1328</v>
      </c>
      <c r="AC31" s="80"/>
      <c r="AD31" s="88" t="s">
        <v>8</v>
      </c>
      <c r="AE31" s="89">
        <v>3</v>
      </c>
      <c r="AF31" s="340" t="s">
        <v>1361</v>
      </c>
      <c r="AG31" s="341" t="s">
        <v>1362</v>
      </c>
      <c r="AH31" s="379" t="s">
        <v>1363</v>
      </c>
      <c r="AI31" s="166" t="s">
        <v>1364</v>
      </c>
    </row>
    <row r="32" spans="2:35">
      <c r="B32" s="87" t="s">
        <v>1333</v>
      </c>
      <c r="C32" s="80" t="s">
        <v>1295</v>
      </c>
      <c r="D32" s="80"/>
      <c r="E32" s="88" t="s">
        <v>8</v>
      </c>
      <c r="F32" s="89">
        <v>3</v>
      </c>
      <c r="G32" s="340">
        <v>0</v>
      </c>
      <c r="H32" s="341">
        <v>0</v>
      </c>
      <c r="I32" s="379">
        <v>0</v>
      </c>
      <c r="J32" s="166">
        <f t="shared" ref="J32" si="13">SUM(G32:I32)</f>
        <v>0</v>
      </c>
      <c r="L32" s="25">
        <f t="shared" ref="L32" si="14" xml:space="preserve"> IF( SUM( N32:R32 ) = 0, 0, $O$5 )</f>
        <v>0</v>
      </c>
      <c r="O32" s="86">
        <f>IF(Validation!$H$3=1,0,IF(ISNUMBER(G32),0,1))</f>
        <v>0</v>
      </c>
      <c r="P32" s="86">
        <f>IF(Validation!$H$3=1,0,IF(ISNUMBER(H32),0,1))</f>
        <v>0</v>
      </c>
      <c r="Q32" s="86">
        <f>IF(Validation!$H$3=1,0,IF(ISNUMBER(I32),0,1))</f>
        <v>0</v>
      </c>
      <c r="AA32" s="87" t="s">
        <v>1333</v>
      </c>
      <c r="AB32" s="80" t="s">
        <v>1295</v>
      </c>
      <c r="AC32" s="80"/>
      <c r="AD32" s="88" t="s">
        <v>8</v>
      </c>
      <c r="AE32" s="89">
        <v>3</v>
      </c>
      <c r="AF32" s="1400" t="s">
        <v>1365</v>
      </c>
      <c r="AG32" s="1401" t="s">
        <v>1366</v>
      </c>
      <c r="AH32" s="1598" t="s">
        <v>1367</v>
      </c>
      <c r="AI32" s="1402" t="s">
        <v>1368</v>
      </c>
    </row>
    <row r="33" spans="2:35">
      <c r="B33" s="87" t="s">
        <v>1338</v>
      </c>
      <c r="C33" s="80" t="s">
        <v>1301</v>
      </c>
      <c r="D33" s="80"/>
      <c r="E33" s="88" t="s">
        <v>8</v>
      </c>
      <c r="F33" s="89">
        <v>3</v>
      </c>
      <c r="G33" s="340">
        <v>0</v>
      </c>
      <c r="H33" s="341">
        <v>0</v>
      </c>
      <c r="I33" s="379">
        <v>0</v>
      </c>
      <c r="J33" s="166">
        <f t="shared" ref="J33:J35" si="15">SUM(G33:I33)</f>
        <v>0</v>
      </c>
      <c r="L33" s="25">
        <f t="shared" ref="L33:L34" si="16" xml:space="preserve"> IF( SUM( N33:R33 ) = 0, 0, $O$5 )</f>
        <v>0</v>
      </c>
      <c r="O33" s="86">
        <f>IF(Validation!$H$3=1,0,IF(ISNUMBER(G33),0,1))</f>
        <v>0</v>
      </c>
      <c r="P33" s="86">
        <f>IF(Validation!$H$3=1,0,IF(ISNUMBER(H33),0,1))</f>
        <v>0</v>
      </c>
      <c r="Q33" s="86">
        <f>IF(Validation!$H$3=1,0,IF(ISNUMBER(I33),0,1))</f>
        <v>0</v>
      </c>
      <c r="AA33" s="87" t="s">
        <v>1338</v>
      </c>
      <c r="AB33" s="80" t="s">
        <v>1301</v>
      </c>
      <c r="AC33" s="80"/>
      <c r="AD33" s="88" t="s">
        <v>8</v>
      </c>
      <c r="AE33" s="89">
        <v>3</v>
      </c>
      <c r="AF33" s="340" t="s">
        <v>1369</v>
      </c>
      <c r="AG33" s="341" t="s">
        <v>1370</v>
      </c>
      <c r="AH33" s="379" t="s">
        <v>1371</v>
      </c>
      <c r="AI33" s="166" t="s">
        <v>1372</v>
      </c>
    </row>
    <row r="34" spans="2:35">
      <c r="B34" s="87" t="s">
        <v>1343</v>
      </c>
      <c r="C34" s="80" t="s">
        <v>1307</v>
      </c>
      <c r="D34" s="80"/>
      <c r="E34" s="88" t="s">
        <v>8</v>
      </c>
      <c r="F34" s="89">
        <v>3</v>
      </c>
      <c r="G34" s="340">
        <v>0</v>
      </c>
      <c r="H34" s="341">
        <v>0</v>
      </c>
      <c r="I34" s="379">
        <v>0</v>
      </c>
      <c r="J34" s="166">
        <f t="shared" si="15"/>
        <v>0</v>
      </c>
      <c r="L34" s="25">
        <f t="shared" si="16"/>
        <v>0</v>
      </c>
      <c r="O34" s="86">
        <f>IF(Validation!$H$3=1,0,IF(ISNUMBER(G34),0,1))</f>
        <v>0</v>
      </c>
      <c r="P34" s="86">
        <f>IF(Validation!$H$3=1,0,IF(ISNUMBER(H34),0,1))</f>
        <v>0</v>
      </c>
      <c r="Q34" s="86">
        <f>IF(Validation!$H$3=1,0,IF(ISNUMBER(I34),0,1))</f>
        <v>0</v>
      </c>
      <c r="AA34" s="87" t="s">
        <v>1343</v>
      </c>
      <c r="AB34" s="80" t="s">
        <v>1307</v>
      </c>
      <c r="AC34" s="80"/>
      <c r="AD34" s="88" t="s">
        <v>8</v>
      </c>
      <c r="AE34" s="89">
        <v>3</v>
      </c>
      <c r="AF34" s="1400" t="s">
        <v>1373</v>
      </c>
      <c r="AG34" s="1401" t="s">
        <v>1374</v>
      </c>
      <c r="AH34" s="1598" t="s">
        <v>1375</v>
      </c>
      <c r="AI34" s="1402" t="s">
        <v>1376</v>
      </c>
    </row>
    <row r="35" spans="2:35" ht="15" thickBot="1">
      <c r="B35" s="94" t="s">
        <v>1348</v>
      </c>
      <c r="C35" s="95" t="s">
        <v>680</v>
      </c>
      <c r="D35" s="95"/>
      <c r="E35" s="96" t="s">
        <v>8</v>
      </c>
      <c r="F35" s="93">
        <v>3</v>
      </c>
      <c r="G35" s="167">
        <f>SUM(G30:G34)</f>
        <v>0</v>
      </c>
      <c r="H35" s="168">
        <f>SUM(H30:H34)</f>
        <v>0</v>
      </c>
      <c r="I35" s="305">
        <f>SUM(I30:I34)</f>
        <v>0</v>
      </c>
      <c r="J35" s="169">
        <f t="shared" si="15"/>
        <v>0</v>
      </c>
      <c r="L35" s="118"/>
      <c r="AA35" s="94" t="s">
        <v>1348</v>
      </c>
      <c r="AB35" s="95" t="s">
        <v>680</v>
      </c>
      <c r="AC35" s="95"/>
      <c r="AD35" s="96" t="s">
        <v>8</v>
      </c>
      <c r="AE35" s="93">
        <v>3</v>
      </c>
      <c r="AF35" s="167" t="s">
        <v>1377</v>
      </c>
      <c r="AG35" s="168" t="s">
        <v>1378</v>
      </c>
      <c r="AH35" s="305" t="s">
        <v>1379</v>
      </c>
      <c r="AI35" s="169" t="s">
        <v>1380</v>
      </c>
    </row>
    <row r="36" spans="2:35" ht="15" thickBot="1">
      <c r="B36" s="113"/>
      <c r="C36" s="68"/>
      <c r="D36" s="68"/>
      <c r="E36" s="108"/>
      <c r="F36" s="108"/>
      <c r="G36" s="143"/>
      <c r="H36" s="143"/>
      <c r="I36" s="143"/>
      <c r="J36" s="143"/>
      <c r="L36" s="118"/>
      <c r="AA36" s="113"/>
      <c r="AB36" s="68"/>
      <c r="AC36" s="68"/>
      <c r="AD36" s="108"/>
      <c r="AE36" s="108"/>
      <c r="AF36" s="143"/>
      <c r="AG36" s="143"/>
      <c r="AH36" s="143"/>
      <c r="AI36" s="143"/>
    </row>
    <row r="37" spans="2:35" ht="15" thickBot="1">
      <c r="B37" s="119" t="s">
        <v>1353</v>
      </c>
      <c r="C37" s="120" t="s">
        <v>1318</v>
      </c>
      <c r="D37" s="120"/>
      <c r="E37" s="121" t="s">
        <v>8</v>
      </c>
      <c r="F37" s="122">
        <v>3</v>
      </c>
      <c r="G37" s="143"/>
      <c r="H37" s="355">
        <v>0</v>
      </c>
      <c r="I37" s="143"/>
      <c r="J37" s="416">
        <f xml:space="preserve"> H37</f>
        <v>0</v>
      </c>
      <c r="L37" s="25">
        <f xml:space="preserve"> IF( SUM( N37:R37 ) = 0, 0, $O$5 )</f>
        <v>0</v>
      </c>
      <c r="P37" s="86">
        <f>IF(Validation!$H$3=1,0,IF(ISNUMBER(H37),0,1))</f>
        <v>0</v>
      </c>
      <c r="AA37" s="119" t="s">
        <v>1353</v>
      </c>
      <c r="AB37" s="120" t="s">
        <v>1318</v>
      </c>
      <c r="AC37" s="120"/>
      <c r="AD37" s="121" t="s">
        <v>8</v>
      </c>
      <c r="AE37" s="122">
        <v>3</v>
      </c>
      <c r="AF37" s="143"/>
      <c r="AG37" s="355" t="s">
        <v>1381</v>
      </c>
      <c r="AH37" s="143"/>
      <c r="AI37" s="416" t="s">
        <v>1382</v>
      </c>
    </row>
    <row r="38" spans="2:35">
      <c r="L38" s="118"/>
    </row>
    <row r="39" spans="2:35" ht="15" thickBot="1">
      <c r="L39" s="118"/>
    </row>
    <row r="40" spans="2:35">
      <c r="G40" s="2257" t="str">
        <f>G3</f>
        <v>Current year</v>
      </c>
      <c r="H40" s="2258"/>
      <c r="I40" s="2258"/>
      <c r="J40" s="2259"/>
      <c r="K40" s="110"/>
      <c r="L40" s="118"/>
      <c r="M40" s="110"/>
      <c r="AF40" s="2257" t="str">
        <f>AF3</f>
        <v>Current year</v>
      </c>
      <c r="AG40" s="2258"/>
      <c r="AH40" s="2258"/>
      <c r="AI40" s="2259"/>
    </row>
    <row r="41" spans="2:35" ht="15" thickBot="1">
      <c r="G41" s="2201" t="s">
        <v>1383</v>
      </c>
      <c r="H41" s="73" t="s">
        <v>1384</v>
      </c>
      <c r="I41" s="73" t="s">
        <v>751</v>
      </c>
      <c r="J41" s="2202" t="s">
        <v>680</v>
      </c>
      <c r="K41" s="116"/>
      <c r="L41" s="118"/>
      <c r="M41" s="116"/>
      <c r="N41" s="114"/>
      <c r="O41" s="116"/>
      <c r="P41" s="116"/>
      <c r="Q41" s="116"/>
      <c r="R41" s="114"/>
      <c r="AF41" s="2201" t="s">
        <v>1383</v>
      </c>
      <c r="AG41" s="73" t="s">
        <v>1384</v>
      </c>
      <c r="AH41" s="73" t="s">
        <v>751</v>
      </c>
      <c r="AI41" s="2202" t="s">
        <v>680</v>
      </c>
    </row>
    <row r="42" spans="2:35" ht="15" thickBot="1">
      <c r="B42" s="106" t="s">
        <v>362</v>
      </c>
      <c r="C42" s="107" t="s">
        <v>1385</v>
      </c>
      <c r="D42" s="1292"/>
      <c r="K42" s="116"/>
      <c r="L42" s="118"/>
      <c r="M42" s="116"/>
      <c r="N42" s="111"/>
      <c r="O42" s="116"/>
      <c r="P42" s="116"/>
      <c r="Q42" s="116"/>
      <c r="R42" s="111"/>
      <c r="AA42" s="106" t="s">
        <v>362</v>
      </c>
      <c r="AB42" s="107" t="s">
        <v>1385</v>
      </c>
      <c r="AC42" s="1292"/>
    </row>
    <row r="43" spans="2:35">
      <c r="B43" s="79" t="s">
        <v>1386</v>
      </c>
      <c r="C43" s="109" t="s">
        <v>1387</v>
      </c>
      <c r="D43" s="109"/>
      <c r="E43" s="81" t="s">
        <v>8</v>
      </c>
      <c r="F43" s="82">
        <v>3</v>
      </c>
      <c r="G43" s="342">
        <v>139.40700000000001</v>
      </c>
      <c r="H43" s="353">
        <v>186.81399999999999</v>
      </c>
      <c r="I43" s="353">
        <v>0</v>
      </c>
      <c r="J43" s="165">
        <f>SUM(G43:I43)</f>
        <v>326.221</v>
      </c>
      <c r="K43" s="116"/>
      <c r="L43" s="25">
        <f t="shared" ref="L43" si="17" xml:space="preserve"> IF( SUM( N43:R43 ) = 0, 0, $O$5 )</f>
        <v>0</v>
      </c>
      <c r="M43" s="116"/>
      <c r="N43" s="111"/>
      <c r="O43" s="86">
        <f xml:space="preserve"> IF( ISNUMBER( G43 ), 0, 1 )</f>
        <v>0</v>
      </c>
      <c r="P43" s="86">
        <f>IF(Validation!$H$3=1,0,IF(ISNUMBER(H43),0,1))</f>
        <v>0</v>
      </c>
      <c r="Q43" s="86">
        <f>IF(Validation!$H$3=1,0,IF(ISNUMBER(I43),0,1))</f>
        <v>0</v>
      </c>
      <c r="R43" s="111"/>
      <c r="AA43" s="79" t="s">
        <v>1386</v>
      </c>
      <c r="AB43" s="109" t="s">
        <v>1387</v>
      </c>
      <c r="AC43" s="109"/>
      <c r="AD43" s="81" t="s">
        <v>8</v>
      </c>
      <c r="AE43" s="82">
        <v>3</v>
      </c>
      <c r="AF43" s="342" t="s">
        <v>1388</v>
      </c>
      <c r="AG43" s="353" t="s">
        <v>1389</v>
      </c>
      <c r="AH43" s="353" t="s">
        <v>1390</v>
      </c>
      <c r="AI43" s="165" t="s">
        <v>1391</v>
      </c>
    </row>
    <row r="44" spans="2:35">
      <c r="B44" s="87" t="s">
        <v>1392</v>
      </c>
      <c r="C44" s="80" t="s">
        <v>1393</v>
      </c>
      <c r="D44" s="80"/>
      <c r="E44" s="88" t="s">
        <v>8</v>
      </c>
      <c r="F44" s="89">
        <v>3</v>
      </c>
      <c r="G44" s="210">
        <f>H13</f>
        <v>19.702000000000002</v>
      </c>
      <c r="H44" s="209">
        <f>H24</f>
        <v>24.117999999999999</v>
      </c>
      <c r="I44" s="209">
        <f>H35</f>
        <v>0</v>
      </c>
      <c r="J44" s="166">
        <f t="shared" ref="J44:J45" si="18">SUM(G44:I44)</f>
        <v>43.82</v>
      </c>
      <c r="K44" s="116"/>
      <c r="L44" s="118"/>
      <c r="M44" s="116"/>
      <c r="N44" s="111"/>
      <c r="O44" s="113"/>
      <c r="P44" s="113"/>
      <c r="Q44" s="113"/>
      <c r="R44" s="111"/>
      <c r="AA44" s="87" t="s">
        <v>1392</v>
      </c>
      <c r="AB44" s="80" t="s">
        <v>1393</v>
      </c>
      <c r="AC44" s="80"/>
      <c r="AD44" s="88" t="s">
        <v>8</v>
      </c>
      <c r="AE44" s="89">
        <v>3</v>
      </c>
      <c r="AF44" s="210" t="str">
        <f>AF13</f>
        <v>BA1090REV</v>
      </c>
      <c r="AG44" s="209" t="str">
        <f>AF24</f>
        <v>BA2090REV</v>
      </c>
      <c r="AH44" s="209" t="s">
        <v>1378</v>
      </c>
      <c r="AI44" s="166" t="s">
        <v>1394</v>
      </c>
    </row>
    <row r="45" spans="2:35">
      <c r="B45" s="87" t="s">
        <v>1395</v>
      </c>
      <c r="C45" s="80" t="s">
        <v>1396</v>
      </c>
      <c r="D45" s="80"/>
      <c r="E45" s="88" t="s">
        <v>8</v>
      </c>
      <c r="F45" s="89">
        <v>3</v>
      </c>
      <c r="G45" s="340">
        <v>-6.9459999999999997</v>
      </c>
      <c r="H45" s="341">
        <v>-9.4809999999999999</v>
      </c>
      <c r="I45" s="341">
        <v>0</v>
      </c>
      <c r="J45" s="166">
        <f t="shared" si="18"/>
        <v>-16.427</v>
      </c>
      <c r="K45" s="116"/>
      <c r="L45" s="25">
        <f t="shared" ref="L45" si="19" xml:space="preserve"> IF( SUM( N45:R45 ) = 0, 0, $O$5 )</f>
        <v>0</v>
      </c>
      <c r="M45" s="116"/>
      <c r="N45" s="111"/>
      <c r="O45" s="86">
        <f xml:space="preserve"> IF( ISNUMBER( G45 ), 0, 1 )</f>
        <v>0</v>
      </c>
      <c r="P45" s="86">
        <f>IF(Validation!$H$3=1,0,IF(ISNUMBER(H45),0,1))</f>
        <v>0</v>
      </c>
      <c r="Q45" s="86">
        <f>IF(Validation!$H$3=1,0,IF(ISNUMBER(I45),0,1))</f>
        <v>0</v>
      </c>
      <c r="R45" s="111"/>
      <c r="AA45" s="87" t="s">
        <v>1395</v>
      </c>
      <c r="AB45" s="80" t="s">
        <v>1396</v>
      </c>
      <c r="AC45" s="80"/>
      <c r="AD45" s="88" t="s">
        <v>8</v>
      </c>
      <c r="AE45" s="89">
        <v>3</v>
      </c>
      <c r="AF45" s="340" t="s">
        <v>1397</v>
      </c>
      <c r="AG45" s="341" t="s">
        <v>1398</v>
      </c>
      <c r="AH45" s="341" t="s">
        <v>1399</v>
      </c>
      <c r="AI45" s="166" t="s">
        <v>1400</v>
      </c>
    </row>
    <row r="46" spans="2:35" ht="15" thickBot="1">
      <c r="B46" s="94" t="s">
        <v>1401</v>
      </c>
      <c r="C46" s="95" t="s">
        <v>1402</v>
      </c>
      <c r="D46" s="95"/>
      <c r="E46" s="96" t="s">
        <v>8</v>
      </c>
      <c r="F46" s="93">
        <v>3</v>
      </c>
      <c r="G46" s="167">
        <f>SUM(G43:G45)</f>
        <v>152.16300000000001</v>
      </c>
      <c r="H46" s="168">
        <f>SUM(H43:H45)</f>
        <v>201.45099999999999</v>
      </c>
      <c r="I46" s="168">
        <f>SUM(I43:I45)</f>
        <v>0</v>
      </c>
      <c r="J46" s="169">
        <f>SUM(G46:I46)</f>
        <v>353.61400000000003</v>
      </c>
      <c r="K46" s="116"/>
      <c r="L46" s="118"/>
      <c r="M46" s="116"/>
      <c r="N46" s="111"/>
      <c r="O46" s="116"/>
      <c r="P46" s="116"/>
      <c r="Q46" s="116"/>
      <c r="R46" s="111"/>
      <c r="AA46" s="94" t="s">
        <v>1401</v>
      </c>
      <c r="AB46" s="95" t="s">
        <v>1402</v>
      </c>
      <c r="AC46" s="95"/>
      <c r="AD46" s="96" t="s">
        <v>8</v>
      </c>
      <c r="AE46" s="93">
        <v>3</v>
      </c>
      <c r="AF46" s="167" t="s">
        <v>1403</v>
      </c>
      <c r="AG46" s="168" t="s">
        <v>1404</v>
      </c>
      <c r="AH46" s="168" t="s">
        <v>1405</v>
      </c>
      <c r="AI46" s="169" t="s">
        <v>1406</v>
      </c>
    </row>
    <row r="47" spans="2:35" ht="15" thickBot="1">
      <c r="B47" s="103"/>
      <c r="C47" s="138"/>
      <c r="D47" s="138"/>
      <c r="E47" s="103"/>
      <c r="F47" s="103"/>
      <c r="G47" s="142"/>
      <c r="H47" s="142"/>
      <c r="I47" s="142"/>
      <c r="J47" s="110"/>
      <c r="K47" s="116"/>
      <c r="L47" s="118"/>
      <c r="M47" s="116"/>
      <c r="N47" s="111"/>
      <c r="O47" s="116"/>
      <c r="P47" s="116"/>
      <c r="Q47" s="116"/>
      <c r="R47" s="111"/>
      <c r="AA47" s="103"/>
      <c r="AB47" s="138"/>
      <c r="AC47" s="138"/>
      <c r="AD47" s="103"/>
      <c r="AE47" s="103"/>
      <c r="AF47" s="142"/>
      <c r="AG47" s="142"/>
      <c r="AH47" s="142"/>
      <c r="AI47" s="110"/>
    </row>
    <row r="48" spans="2:35" ht="15" thickBot="1">
      <c r="B48" s="2221" t="s">
        <v>419</v>
      </c>
      <c r="C48" s="77" t="s">
        <v>1407</v>
      </c>
      <c r="D48" s="1292"/>
      <c r="K48" s="118"/>
      <c r="L48" s="118"/>
      <c r="M48" s="116"/>
      <c r="N48" s="111"/>
      <c r="O48" s="116"/>
      <c r="P48" s="116"/>
      <c r="Q48" s="116"/>
      <c r="R48" s="111"/>
      <c r="AA48" s="2221" t="s">
        <v>419</v>
      </c>
      <c r="AB48" s="77" t="s">
        <v>1407</v>
      </c>
      <c r="AC48" s="1292"/>
    </row>
    <row r="49" spans="1:35" ht="15" thickBot="1">
      <c r="B49" s="119" t="s">
        <v>1408</v>
      </c>
      <c r="C49" s="120" t="s">
        <v>1409</v>
      </c>
      <c r="D49" s="120"/>
      <c r="E49" s="1315" t="s">
        <v>12</v>
      </c>
      <c r="F49" s="122">
        <v>3</v>
      </c>
      <c r="G49" s="380">
        <v>2.7749999999999999</v>
      </c>
      <c r="H49" s="381">
        <v>11.153</v>
      </c>
      <c r="I49" s="381">
        <v>0</v>
      </c>
      <c r="J49" s="212">
        <f>G49+H49+I49</f>
        <v>13.928000000000001</v>
      </c>
      <c r="K49" s="118"/>
      <c r="L49" s="25">
        <f t="shared" ref="L49" si="20" xml:space="preserve"> IF( SUM( N49:R49 ) = 0, 0, $O$5 )</f>
        <v>0</v>
      </c>
      <c r="M49" s="116"/>
      <c r="N49" s="111"/>
      <c r="O49" s="86">
        <f t="shared" ref="O49" si="21" xml:space="preserve"> IF( ISNUMBER( G49 ), 0, 1 )</f>
        <v>0</v>
      </c>
      <c r="P49" s="86">
        <f>IF(Validation!$H$3=1,0,IF(ISNUMBER(H49),0,1))</f>
        <v>0</v>
      </c>
      <c r="Q49" s="86">
        <f>IF(Validation!$H$3=1,0,IF(ISNUMBER(I49),0,1))</f>
        <v>0</v>
      </c>
      <c r="R49" s="111"/>
      <c r="AA49" s="119" t="s">
        <v>1408</v>
      </c>
      <c r="AB49" s="120" t="s">
        <v>1409</v>
      </c>
      <c r="AC49" s="120"/>
      <c r="AD49" s="1315" t="s">
        <v>12</v>
      </c>
      <c r="AE49" s="122">
        <v>3</v>
      </c>
      <c r="AF49" s="380" t="s">
        <v>1410</v>
      </c>
      <c r="AG49" s="381" t="s">
        <v>1411</v>
      </c>
      <c r="AH49" s="388" t="s">
        <v>1412</v>
      </c>
      <c r="AI49" s="212" t="s">
        <v>1413</v>
      </c>
    </row>
    <row r="50" spans="1:35">
      <c r="B50" s="103"/>
      <c r="C50" s="138"/>
      <c r="D50" s="138"/>
      <c r="E50" s="103"/>
      <c r="F50" s="103"/>
      <c r="H50" s="142"/>
      <c r="I50" s="142"/>
      <c r="J50" s="110"/>
      <c r="K50" s="110"/>
      <c r="L50" s="112"/>
      <c r="M50" s="110"/>
      <c r="N50" s="111"/>
      <c r="O50" s="112"/>
      <c r="P50" s="110"/>
      <c r="Q50" s="110"/>
      <c r="R50" s="111"/>
      <c r="AA50" s="103"/>
      <c r="AB50" s="138"/>
      <c r="AC50" s="138"/>
      <c r="AD50" s="103"/>
      <c r="AE50" s="103"/>
      <c r="AG50" s="142"/>
      <c r="AH50" s="142"/>
      <c r="AI50" s="110"/>
    </row>
    <row r="51" spans="1:35">
      <c r="B51" s="2256" t="s">
        <v>275</v>
      </c>
      <c r="C51" s="2256"/>
      <c r="D51" s="2195"/>
      <c r="E51" s="142"/>
      <c r="F51" s="142"/>
      <c r="G51" s="142"/>
      <c r="H51" s="142"/>
      <c r="I51" s="142"/>
      <c r="J51" s="116"/>
      <c r="K51" s="110"/>
      <c r="L51" s="112"/>
      <c r="M51" s="110"/>
      <c r="N51" s="114"/>
      <c r="O51" s="112"/>
      <c r="P51" s="110"/>
      <c r="Q51" s="110"/>
      <c r="R51" s="114"/>
      <c r="AA51"/>
      <c r="AB51"/>
      <c r="AC51"/>
      <c r="AD51"/>
      <c r="AE51"/>
      <c r="AF51"/>
      <c r="AG51"/>
      <c r="AH51"/>
      <c r="AI51"/>
    </row>
    <row r="52" spans="1:35">
      <c r="B52" s="127"/>
      <c r="C52" s="128"/>
      <c r="D52" s="128"/>
      <c r="E52" s="142"/>
      <c r="F52" s="142"/>
      <c r="G52" s="142"/>
      <c r="H52" s="142"/>
      <c r="I52" s="142"/>
      <c r="J52" s="116"/>
      <c r="K52" s="289"/>
      <c r="L52" s="118"/>
      <c r="M52" s="110"/>
      <c r="N52" s="114"/>
      <c r="O52" s="118"/>
      <c r="P52" s="110"/>
      <c r="Q52" s="110"/>
      <c r="R52" s="114"/>
      <c r="AA52"/>
      <c r="AB52"/>
      <c r="AC52"/>
      <c r="AD52"/>
      <c r="AE52"/>
      <c r="AF52"/>
      <c r="AG52"/>
      <c r="AH52"/>
      <c r="AI52"/>
    </row>
    <row r="53" spans="1:35">
      <c r="B53" s="26"/>
      <c r="C53" s="129" t="s">
        <v>249</v>
      </c>
      <c r="D53" s="129"/>
      <c r="E53" s="142"/>
      <c r="F53" s="142"/>
      <c r="G53" s="142"/>
      <c r="H53" s="142"/>
      <c r="I53" s="142"/>
      <c r="J53" s="116"/>
      <c r="K53" s="291"/>
      <c r="L53" s="112"/>
      <c r="M53" s="110"/>
      <c r="N53" s="114"/>
      <c r="O53" s="112"/>
      <c r="P53" s="110"/>
      <c r="Q53" s="110"/>
      <c r="R53" s="114"/>
      <c r="AA53"/>
      <c r="AB53"/>
      <c r="AC53"/>
      <c r="AD53"/>
      <c r="AE53"/>
      <c r="AF53"/>
      <c r="AG53"/>
      <c r="AH53"/>
      <c r="AI53"/>
    </row>
    <row r="54" spans="1:35">
      <c r="B54" s="127"/>
      <c r="C54" s="128"/>
      <c r="D54" s="128"/>
      <c r="E54" s="142"/>
      <c r="F54" s="142"/>
      <c r="G54" s="142"/>
      <c r="H54" s="142"/>
      <c r="I54" s="142"/>
      <c r="J54" s="116"/>
      <c r="K54" s="291"/>
      <c r="L54" s="103"/>
      <c r="M54" s="103"/>
      <c r="N54" s="114"/>
      <c r="O54" s="103"/>
      <c r="P54" s="103"/>
      <c r="Q54" s="103"/>
      <c r="R54" s="114"/>
      <c r="AA54"/>
      <c r="AB54"/>
      <c r="AC54"/>
      <c r="AD54"/>
      <c r="AE54"/>
      <c r="AF54"/>
      <c r="AG54"/>
      <c r="AH54"/>
      <c r="AI54"/>
    </row>
    <row r="55" spans="1:35">
      <c r="B55" s="130"/>
      <c r="C55" s="129" t="s">
        <v>250</v>
      </c>
      <c r="D55" s="129"/>
      <c r="E55" s="142"/>
      <c r="F55" s="142"/>
      <c r="G55" s="142"/>
      <c r="H55" s="142"/>
      <c r="I55" s="142"/>
      <c r="J55" s="116"/>
      <c r="K55" s="291"/>
      <c r="L55" s="103"/>
      <c r="M55" s="103"/>
      <c r="N55" s="114"/>
      <c r="O55" s="103"/>
      <c r="P55" s="103"/>
      <c r="Q55" s="103"/>
      <c r="R55" s="114"/>
      <c r="AA55"/>
      <c r="AB55"/>
      <c r="AC55"/>
      <c r="AD55"/>
      <c r="AE55"/>
      <c r="AF55"/>
      <c r="AG55"/>
      <c r="AH55"/>
      <c r="AI55"/>
    </row>
    <row r="56" spans="1:35">
      <c r="B56" s="131"/>
      <c r="C56" s="129"/>
      <c r="D56" s="129"/>
      <c r="E56" s="142"/>
      <c r="F56" s="142"/>
      <c r="G56" s="142"/>
      <c r="H56" s="142"/>
      <c r="I56" s="142"/>
      <c r="J56" s="116"/>
      <c r="K56" s="291"/>
      <c r="L56" s="112"/>
      <c r="M56" s="112"/>
      <c r="N56" s="114"/>
      <c r="O56" s="112"/>
      <c r="P56" s="112"/>
      <c r="Q56" s="112"/>
      <c r="R56" s="114"/>
      <c r="AA56"/>
      <c r="AB56"/>
      <c r="AC56"/>
      <c r="AD56"/>
      <c r="AE56"/>
      <c r="AF56"/>
      <c r="AG56"/>
      <c r="AH56"/>
      <c r="AI56"/>
    </row>
    <row r="57" spans="1:35" ht="15" thickBot="1">
      <c r="A57" s="142"/>
      <c r="B57" s="155"/>
      <c r="C57" s="156"/>
      <c r="D57" s="156"/>
      <c r="E57" s="155"/>
      <c r="F57" s="155"/>
      <c r="G57" s="155"/>
      <c r="H57" s="155"/>
      <c r="I57" s="155"/>
      <c r="J57" s="118"/>
      <c r="K57" s="291"/>
      <c r="N57" s="114"/>
      <c r="R57" s="114"/>
      <c r="AA57"/>
      <c r="AB57"/>
      <c r="AC57"/>
      <c r="AD57"/>
      <c r="AE57"/>
      <c r="AF57"/>
      <c r="AG57"/>
      <c r="AH57"/>
      <c r="AI57"/>
    </row>
    <row r="58" spans="1:35" ht="16.5" thickBot="1">
      <c r="A58" s="142"/>
      <c r="B58" s="1166" t="s">
        <v>251</v>
      </c>
      <c r="C58" s="133"/>
      <c r="D58" s="133"/>
      <c r="E58" s="134"/>
      <c r="F58" s="134"/>
      <c r="G58" s="134"/>
      <c r="H58" s="134"/>
      <c r="I58" s="134"/>
      <c r="J58" s="216"/>
      <c r="K58" s="291"/>
      <c r="N58" s="114"/>
      <c r="R58" s="114"/>
      <c r="AA58"/>
      <c r="AB58"/>
      <c r="AC58"/>
      <c r="AD58"/>
      <c r="AE58"/>
      <c r="AF58"/>
      <c r="AG58"/>
      <c r="AH58"/>
      <c r="AI58"/>
    </row>
    <row r="59" spans="1:35">
      <c r="A59" s="142"/>
      <c r="B59" s="155"/>
      <c r="C59" s="156"/>
      <c r="D59" s="156"/>
      <c r="E59" s="155"/>
      <c r="F59" s="155"/>
      <c r="G59" s="155"/>
      <c r="H59" s="155"/>
      <c r="I59" s="155"/>
      <c r="J59" s="118"/>
      <c r="K59" s="291"/>
      <c r="N59" s="114"/>
      <c r="R59" s="114"/>
      <c r="AA59"/>
      <c r="AB59"/>
      <c r="AC59"/>
      <c r="AD59"/>
      <c r="AE59"/>
      <c r="AF59"/>
      <c r="AG59"/>
      <c r="AH59"/>
      <c r="AI59"/>
    </row>
  </sheetData>
  <sheetProtection algorithmName="SHA-512" hashValue="mWp8HT9JtxnYU1v/H7Io2JH8jq0HdHSWILpwMZj//0sjTJMpn7VY3UpgN9fExGbyKaW/PlnquXl8QvEc+aRXbg==" saltValue="d7MtAKF7NzY0Ivw2Vf2E8w==" spinCount="100000" sheet="1" objects="1" scenarios="1"/>
  <mergeCells count="13">
    <mergeCell ref="AA3:AB4"/>
    <mergeCell ref="AD3:AD4"/>
    <mergeCell ref="AE3:AE4"/>
    <mergeCell ref="AF3:AI3"/>
    <mergeCell ref="AF40:AI40"/>
    <mergeCell ref="O3:Q4"/>
    <mergeCell ref="B51:C51"/>
    <mergeCell ref="L3:L4"/>
    <mergeCell ref="B3:C4"/>
    <mergeCell ref="E3:E4"/>
    <mergeCell ref="F3:F4"/>
    <mergeCell ref="G3:J3"/>
    <mergeCell ref="G40:J40"/>
  </mergeCells>
  <conditionalFormatting sqref="L7:L37">
    <cfRule type="cellIs" dxfId="569" priority="5" operator="equal">
      <formula>0</formula>
    </cfRule>
  </conditionalFormatting>
  <conditionalFormatting sqref="L43">
    <cfRule type="cellIs" dxfId="568" priority="24" operator="equal">
      <formula>0</formula>
    </cfRule>
  </conditionalFormatting>
  <conditionalFormatting sqref="L45">
    <cfRule type="cellIs" dxfId="567" priority="27" operator="equal">
      <formula>0</formula>
    </cfRule>
  </conditionalFormatting>
  <conditionalFormatting sqref="L49">
    <cfRule type="cellIs" dxfId="566" priority="26"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0" id="{429FCC6C-ED21-40C3-AB35-125F0856F654}">
            <xm:f>Validation!$H$3=1</xm:f>
            <x14:dxf>
              <fill>
                <patternFill>
                  <bgColor theme="0" tint="-0.14996795556505021"/>
                </patternFill>
              </fill>
            </x14:dxf>
          </x14:cfRule>
          <xm:sqref>G24:J24 J19:J23 J26</xm:sqref>
        </x14:conditionalFormatting>
        <x14:conditionalFormatting xmlns:xm="http://schemas.microsoft.com/office/excel/2006/main">
          <x14:cfRule type="expression" priority="7" id="{101019FF-8252-421C-8120-B293EE250903}">
            <xm:f>Validation!$H$3=1</xm:f>
            <x14:dxf>
              <fill>
                <patternFill>
                  <bgColor theme="0" tint="-0.14996795556505021"/>
                </patternFill>
              </fill>
            </x14:dxf>
          </x14:cfRule>
          <xm:sqref>G35:J35 H37 J30:J34 J37</xm:sqref>
        </x14:conditionalFormatting>
        <x14:conditionalFormatting xmlns:xm="http://schemas.microsoft.com/office/excel/2006/main">
          <x14:cfRule type="expression" priority="3" id="{4B91D8AB-E003-45A5-9A86-0481460D3C3C}">
            <xm:f>Validation!$H$3=1</xm:f>
            <x14:dxf>
              <fill>
                <patternFill>
                  <bgColor rgb="FFE0DCD8"/>
                </patternFill>
              </fill>
            </x14:dxf>
          </x14:cfRule>
          <xm:sqref>H44:I44 H46:I46</xm:sqref>
        </x14:conditionalFormatting>
        <x14:conditionalFormatting xmlns:xm="http://schemas.microsoft.com/office/excel/2006/main">
          <x14:cfRule type="expression" priority="14" id="{96E77EC5-F3C6-4812-8184-E5E68C84B260}">
            <xm:f>Validation!$H$3=1</xm:f>
            <x14:dxf>
              <fill>
                <patternFill>
                  <bgColor theme="0" tint="-0.14996795556505021"/>
                </patternFill>
              </fill>
            </x14:dxf>
          </x14:cfRule>
          <xm:sqref>AF19:AI24 AG26 AI26</xm:sqref>
        </x14:conditionalFormatting>
        <x14:conditionalFormatting xmlns:xm="http://schemas.microsoft.com/office/excel/2006/main">
          <x14:cfRule type="expression" priority="4" id="{3D4B16E0-EBFD-4AB8-91DC-4B560769999D}">
            <xm:f>Validation!$H$3=1</xm:f>
            <x14:dxf>
              <fill>
                <patternFill>
                  <bgColor theme="0" tint="-0.14996795556505021"/>
                </patternFill>
              </fill>
            </x14:dxf>
          </x14:cfRule>
          <xm:sqref>AF30:AI35 AG37 AI37</xm:sqref>
        </x14:conditionalFormatting>
        <x14:conditionalFormatting xmlns:xm="http://schemas.microsoft.com/office/excel/2006/main">
          <x14:cfRule type="expression" priority="1" id="{BBFD3519-EBE1-4916-8FC9-5F1D6AE9D885}">
            <xm:f>Validation!$H$3=1</xm:f>
            <x14:dxf>
              <fill>
                <patternFill>
                  <bgColor rgb="FFE0DCD8"/>
                </patternFill>
              </fill>
            </x14:dxf>
          </x14:cfRule>
          <xm:sqref>AG43:AH46</xm:sqref>
        </x14:conditionalFormatting>
        <x14:conditionalFormatting xmlns:xm="http://schemas.microsoft.com/office/excel/2006/main">
          <x14:cfRule type="expression" priority="2" id="{78AD12DA-5477-43FF-B9DD-F9FBD70B697B}">
            <xm:f>Validation!$H$3=1</xm:f>
            <x14:dxf>
              <fill>
                <patternFill>
                  <bgColor rgb="FFE0DCD8"/>
                </patternFill>
              </fill>
            </x14:dxf>
          </x14:cfRule>
          <xm:sqref>AG49:AH49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AH21"/>
  <sheetViews>
    <sheetView showGridLines="0" zoomScale="80" zoomScaleNormal="80" workbookViewId="0"/>
  </sheetViews>
  <sheetFormatPr defaultColWidth="0" defaultRowHeight="14.25" zeroHeight="1"/>
  <cols>
    <col min="1" max="1" width="0.625" customWidth="1"/>
    <col min="2" max="2" width="4.125" customWidth="1"/>
    <col min="3" max="3" width="38.125" customWidth="1"/>
    <col min="4" max="4" width="5.625" hidden="1" customWidth="1"/>
    <col min="5" max="9" width="14.625" customWidth="1"/>
    <col min="10" max="10" width="2.625" style="65" customWidth="1"/>
    <col min="11" max="11" width="18.625" style="65" bestFit="1" customWidth="1"/>
    <col min="12" max="12" width="1.625" style="65" customWidth="1"/>
    <col min="13" max="13" width="1.625" style="66" hidden="1" customWidth="1"/>
    <col min="14" max="17" width="5.625" style="65" hidden="1" customWidth="1"/>
    <col min="18" max="18" width="1.625" style="66" hidden="1" customWidth="1"/>
    <col min="19" max="19" width="8.625" style="65" hidden="1" customWidth="1"/>
    <col min="20" max="26" width="8.625" hidden="1" customWidth="1"/>
    <col min="27" max="27" width="4.125" hidden="1" customWidth="1"/>
    <col min="28" max="28" width="38.125" hidden="1" customWidth="1"/>
    <col min="29" max="29" width="5.625" hidden="1" customWidth="1"/>
    <col min="30" max="34" width="14.625" hidden="1" customWidth="1"/>
    <col min="35" max="16384" width="8.625" hidden="1"/>
  </cols>
  <sheetData>
    <row r="1" spans="2:34" ht="20.25">
      <c r="B1" s="61" t="s">
        <v>1414</v>
      </c>
      <c r="C1" s="61"/>
      <c r="D1" s="61"/>
      <c r="E1" s="61"/>
      <c r="F1" s="61"/>
      <c r="G1" s="63"/>
      <c r="H1" s="61"/>
      <c r="I1" s="63" t="str">
        <f>Validation!B3</f>
        <v>Thames Water</v>
      </c>
      <c r="J1" s="61"/>
      <c r="K1" s="64" t="s">
        <v>94</v>
      </c>
      <c r="AA1" s="61" t="s">
        <v>95</v>
      </c>
      <c r="AB1" s="61"/>
      <c r="AC1" s="61"/>
      <c r="AD1" s="61"/>
      <c r="AE1" s="61"/>
      <c r="AF1" s="63"/>
      <c r="AG1" s="61"/>
      <c r="AH1" s="63"/>
    </row>
    <row r="2" spans="2:34" ht="15" thickBot="1">
      <c r="B2" s="68" t="s">
        <v>80</v>
      </c>
      <c r="C2" s="65"/>
      <c r="D2" s="65"/>
      <c r="E2" s="65"/>
      <c r="F2" s="65"/>
      <c r="G2" s="65"/>
      <c r="H2" s="65"/>
      <c r="I2" s="65"/>
      <c r="AA2" s="68" t="s">
        <v>80</v>
      </c>
      <c r="AB2" s="65"/>
      <c r="AC2" s="65"/>
      <c r="AD2" s="65"/>
      <c r="AE2" s="65"/>
      <c r="AF2" s="65"/>
      <c r="AG2" s="65"/>
      <c r="AH2" s="65"/>
    </row>
    <row r="3" spans="2:34" ht="54.75" thickBot="1">
      <c r="B3" s="2295" t="s">
        <v>96</v>
      </c>
      <c r="C3" s="2296"/>
      <c r="D3" s="1306" t="s">
        <v>97</v>
      </c>
      <c r="E3" s="160" t="s">
        <v>1415</v>
      </c>
      <c r="F3" s="301" t="s">
        <v>1416</v>
      </c>
      <c r="G3" s="161" t="s">
        <v>1417</v>
      </c>
      <c r="H3" s="162" t="s">
        <v>1418</v>
      </c>
      <c r="I3" s="2216" t="s">
        <v>1419</v>
      </c>
      <c r="K3" s="162" t="s">
        <v>103</v>
      </c>
      <c r="N3" s="2255" t="s">
        <v>107</v>
      </c>
      <c r="O3" s="2286"/>
      <c r="P3" s="2286"/>
      <c r="Q3" s="2286"/>
      <c r="AA3" s="2295" t="s">
        <v>96</v>
      </c>
      <c r="AB3" s="2296"/>
      <c r="AC3" s="1306" t="s">
        <v>97</v>
      </c>
      <c r="AD3" s="160" t="s">
        <v>1415</v>
      </c>
      <c r="AE3" s="301" t="s">
        <v>1416</v>
      </c>
      <c r="AF3" s="161" t="s">
        <v>1417</v>
      </c>
      <c r="AG3" s="162" t="s">
        <v>1418</v>
      </c>
      <c r="AH3" s="2216" t="s">
        <v>1419</v>
      </c>
    </row>
    <row r="4" spans="2:34" ht="15" customHeight="1" thickBot="1">
      <c r="B4" s="65"/>
      <c r="C4" s="65"/>
      <c r="D4" s="65"/>
      <c r="E4" s="65"/>
      <c r="F4" s="65"/>
      <c r="G4" s="65"/>
      <c r="H4" s="65"/>
      <c r="I4" s="65"/>
      <c r="N4" s="78" t="s">
        <v>108</v>
      </c>
      <c r="O4" s="113"/>
      <c r="P4" s="113"/>
      <c r="Q4" s="113"/>
      <c r="AA4" s="65"/>
      <c r="AB4" s="65"/>
      <c r="AC4" s="65"/>
      <c r="AD4" s="65"/>
      <c r="AE4" s="65"/>
      <c r="AF4" s="65"/>
      <c r="AG4" s="65"/>
      <c r="AH4" s="65"/>
    </row>
    <row r="5" spans="2:34">
      <c r="B5" s="79" t="s">
        <v>1420</v>
      </c>
      <c r="C5" s="302" t="s">
        <v>1421</v>
      </c>
      <c r="D5" s="1307"/>
      <c r="E5" s="342">
        <v>6.3609999999999998</v>
      </c>
      <c r="F5" s="353">
        <v>0.42899999999999999</v>
      </c>
      <c r="G5" s="165">
        <f>SUM(E5:F5)</f>
        <v>6.79</v>
      </c>
      <c r="H5" s="356">
        <v>25.661999999999999</v>
      </c>
      <c r="I5" s="1073">
        <f t="shared" ref="I5:I11" si="0">IF(H5=0,0,F5/H5 * 1000)</f>
        <v>16.717325227963524</v>
      </c>
      <c r="K5" s="25">
        <f t="shared" ref="K5:K10" si="1" xml:space="preserve"> IF( SUM( M5:R5 ) = 0, 0, $N$4 )</f>
        <v>0</v>
      </c>
      <c r="N5" s="86">
        <f xml:space="preserve"> IF( ISNUMBER( E5 ), 0, 1 )</f>
        <v>0</v>
      </c>
      <c r="O5" s="86">
        <f xml:space="preserve"> IF( ISNUMBER( F5 ), 0, 1 )</f>
        <v>0</v>
      </c>
      <c r="P5" s="113"/>
      <c r="Q5" s="86">
        <f xml:space="preserve"> IF( ISNUMBER( H5 ), 0, 1 )</f>
        <v>0</v>
      </c>
      <c r="AA5" s="79" t="s">
        <v>1420</v>
      </c>
      <c r="AB5" s="302" t="s">
        <v>1421</v>
      </c>
      <c r="AC5" s="1307"/>
      <c r="AD5" s="342" t="s">
        <v>1422</v>
      </c>
      <c r="AE5" s="353" t="s">
        <v>1423</v>
      </c>
      <c r="AF5" s="165" t="s">
        <v>1424</v>
      </c>
      <c r="AG5" s="356" t="s">
        <v>1425</v>
      </c>
      <c r="AH5" s="1073" t="s">
        <v>1426</v>
      </c>
    </row>
    <row r="6" spans="2:34">
      <c r="B6" s="87" t="s">
        <v>1427</v>
      </c>
      <c r="C6" s="303" t="s">
        <v>1428</v>
      </c>
      <c r="D6" s="1308"/>
      <c r="E6" s="340">
        <v>145.078</v>
      </c>
      <c r="F6" s="341">
        <v>17.529</v>
      </c>
      <c r="G6" s="166">
        <f t="shared" ref="G6:G10" si="2">SUM(E6:F6)</f>
        <v>162.607</v>
      </c>
      <c r="H6" s="339">
        <v>866.52700000000004</v>
      </c>
      <c r="I6" s="1076">
        <f t="shared" si="0"/>
        <v>20.229029216631449</v>
      </c>
      <c r="K6" s="25">
        <f t="shared" si="1"/>
        <v>0</v>
      </c>
      <c r="N6" s="86">
        <f>IF(Validation!$H$3=1,0,IF(ISNUMBER(E6),0,1))</f>
        <v>0</v>
      </c>
      <c r="O6" s="86">
        <f>IF(Validation!$H$3=1,0,IF(ISNUMBER(F6),0,1))</f>
        <v>0</v>
      </c>
      <c r="P6" s="113"/>
      <c r="Q6" s="86">
        <f>IF(Validation!$H$3=1,0,IF(ISNUMBER(H6),0,1))</f>
        <v>0</v>
      </c>
      <c r="AA6" s="87" t="s">
        <v>1427</v>
      </c>
      <c r="AB6" s="303" t="s">
        <v>1428</v>
      </c>
      <c r="AC6" s="1308"/>
      <c r="AD6" s="340" t="s">
        <v>1429</v>
      </c>
      <c r="AE6" s="341" t="s">
        <v>1430</v>
      </c>
      <c r="AF6" s="166" t="s">
        <v>1431</v>
      </c>
      <c r="AG6" s="339" t="s">
        <v>1432</v>
      </c>
      <c r="AH6" s="1076" t="s">
        <v>1433</v>
      </c>
    </row>
    <row r="7" spans="2:34">
      <c r="B7" s="87" t="s">
        <v>1434</v>
      </c>
      <c r="C7" s="303" t="s">
        <v>1435</v>
      </c>
      <c r="D7" s="1308"/>
      <c r="E7" s="340">
        <v>740.74</v>
      </c>
      <c r="F7" s="341">
        <v>73.224999999999994</v>
      </c>
      <c r="G7" s="166">
        <f t="shared" si="2"/>
        <v>813.96500000000003</v>
      </c>
      <c r="H7" s="339">
        <v>2091.8150000000001</v>
      </c>
      <c r="I7" s="1076">
        <f t="shared" si="0"/>
        <v>35.005485666753508</v>
      </c>
      <c r="K7" s="25">
        <f t="shared" si="1"/>
        <v>0</v>
      </c>
      <c r="N7" s="86">
        <f>IF(Validation!$H$3=1,0,IF(ISNUMBER(E7),0,1))</f>
        <v>0</v>
      </c>
      <c r="O7" s="86">
        <f>IF(Validation!$H$3=1,0,IF(ISNUMBER(F7),0,1))</f>
        <v>0</v>
      </c>
      <c r="P7" s="113"/>
      <c r="Q7" s="86">
        <f>IF(Validation!$H$3=1,0,IF(ISNUMBER(H7),0,1))</f>
        <v>0</v>
      </c>
      <c r="AA7" s="87" t="s">
        <v>1434</v>
      </c>
      <c r="AB7" s="303" t="s">
        <v>1435</v>
      </c>
      <c r="AC7" s="1308"/>
      <c r="AD7" s="340" t="s">
        <v>1436</v>
      </c>
      <c r="AE7" s="341" t="s">
        <v>1437</v>
      </c>
      <c r="AF7" s="166" t="s">
        <v>1438</v>
      </c>
      <c r="AG7" s="339" t="s">
        <v>1439</v>
      </c>
      <c r="AH7" s="1076" t="s">
        <v>1440</v>
      </c>
    </row>
    <row r="8" spans="2:34">
      <c r="B8" s="87" t="s">
        <v>1441</v>
      </c>
      <c r="C8" s="303" t="s">
        <v>1442</v>
      </c>
      <c r="D8" s="1308"/>
      <c r="E8" s="340">
        <v>5.734</v>
      </c>
      <c r="F8" s="341">
        <v>0.45100000000000001</v>
      </c>
      <c r="G8" s="166">
        <f t="shared" si="2"/>
        <v>6.1849999999999996</v>
      </c>
      <c r="H8" s="339">
        <v>22.045999999999999</v>
      </c>
      <c r="I8" s="1076">
        <f t="shared" si="0"/>
        <v>20.457225800598749</v>
      </c>
      <c r="K8" s="25">
        <f t="shared" si="1"/>
        <v>0</v>
      </c>
      <c r="N8" s="86">
        <f t="shared" ref="N8:Q8" si="3" xml:space="preserve"> IF( ISNUMBER( E8 ), 0, 1 )</f>
        <v>0</v>
      </c>
      <c r="O8" s="86">
        <f t="shared" si="3"/>
        <v>0</v>
      </c>
      <c r="P8" s="113"/>
      <c r="Q8" s="86">
        <f t="shared" si="3"/>
        <v>0</v>
      </c>
      <c r="AA8" s="87" t="s">
        <v>1441</v>
      </c>
      <c r="AB8" s="303" t="s">
        <v>1442</v>
      </c>
      <c r="AC8" s="1308"/>
      <c r="AD8" s="340" t="s">
        <v>1443</v>
      </c>
      <c r="AE8" s="341" t="s">
        <v>1444</v>
      </c>
      <c r="AF8" s="166" t="s">
        <v>1445</v>
      </c>
      <c r="AG8" s="339" t="s">
        <v>1446</v>
      </c>
      <c r="AH8" s="1076" t="s">
        <v>1447</v>
      </c>
    </row>
    <row r="9" spans="2:34">
      <c r="B9" s="87" t="s">
        <v>1448</v>
      </c>
      <c r="C9" s="303" t="s">
        <v>1449</v>
      </c>
      <c r="D9" s="1308"/>
      <c r="E9" s="340">
        <v>147.63800000000001</v>
      </c>
      <c r="F9" s="341">
        <v>26.085000000000001</v>
      </c>
      <c r="G9" s="166">
        <f t="shared" si="2"/>
        <v>173.72300000000001</v>
      </c>
      <c r="H9" s="339">
        <v>1067.268</v>
      </c>
      <c r="I9" s="1076">
        <f t="shared" si="0"/>
        <v>24.440908937586435</v>
      </c>
      <c r="K9" s="25">
        <f t="shared" si="1"/>
        <v>0</v>
      </c>
      <c r="N9" s="86">
        <f>IF(Validation!$H$3=1,0,IF(ISNUMBER(E9),0,1))</f>
        <v>0</v>
      </c>
      <c r="O9" s="86">
        <f>IF(Validation!$H$3=1,0,IF(ISNUMBER(F9),0,1))</f>
        <v>0</v>
      </c>
      <c r="P9" s="113"/>
      <c r="Q9" s="86">
        <f>IF(Validation!$H$3=1,0,IF(ISNUMBER(H9),0,1))</f>
        <v>0</v>
      </c>
      <c r="AA9" s="87" t="s">
        <v>1448</v>
      </c>
      <c r="AB9" s="303" t="s">
        <v>1449</v>
      </c>
      <c r="AC9" s="1308"/>
      <c r="AD9" s="340" t="s">
        <v>1450</v>
      </c>
      <c r="AE9" s="341" t="s">
        <v>1451</v>
      </c>
      <c r="AF9" s="166" t="s">
        <v>1452</v>
      </c>
      <c r="AG9" s="339" t="s">
        <v>1453</v>
      </c>
      <c r="AH9" s="1076" t="s">
        <v>1454</v>
      </c>
    </row>
    <row r="10" spans="2:34">
      <c r="B10" s="87" t="s">
        <v>1455</v>
      </c>
      <c r="C10" s="303" t="s">
        <v>1456</v>
      </c>
      <c r="D10" s="1308"/>
      <c r="E10" s="340">
        <v>384.45600000000002</v>
      </c>
      <c r="F10" s="341">
        <v>50.572000000000003</v>
      </c>
      <c r="G10" s="166">
        <f t="shared" si="2"/>
        <v>435.02800000000002</v>
      </c>
      <c r="H10" s="339">
        <v>1336.3230000000001</v>
      </c>
      <c r="I10" s="1076">
        <f t="shared" si="0"/>
        <v>37.844143968187332</v>
      </c>
      <c r="K10" s="25">
        <f t="shared" si="1"/>
        <v>0</v>
      </c>
      <c r="N10" s="86">
        <f>IF(Validation!$H$3=1,0,IF(ISNUMBER(E10),0,1))</f>
        <v>0</v>
      </c>
      <c r="O10" s="86">
        <f>IF(Validation!$H$3=1,0,IF(ISNUMBER(F10),0,1))</f>
        <v>0</v>
      </c>
      <c r="P10" s="113"/>
      <c r="Q10" s="86">
        <f>IF(Validation!$H$3=1,0,IF(ISNUMBER(H10),0,1))</f>
        <v>0</v>
      </c>
      <c r="AA10" s="87" t="s">
        <v>1455</v>
      </c>
      <c r="AB10" s="303" t="s">
        <v>1456</v>
      </c>
      <c r="AC10" s="1308"/>
      <c r="AD10" s="340" t="s">
        <v>1457</v>
      </c>
      <c r="AE10" s="341" t="s">
        <v>1458</v>
      </c>
      <c r="AF10" s="166" t="s">
        <v>1459</v>
      </c>
      <c r="AG10" s="339" t="s">
        <v>1460</v>
      </c>
      <c r="AH10" s="1076" t="s">
        <v>1461</v>
      </c>
    </row>
    <row r="11" spans="2:34" ht="15" thickBot="1">
      <c r="B11" s="94" t="s">
        <v>1462</v>
      </c>
      <c r="C11" s="304" t="s">
        <v>680</v>
      </c>
      <c r="D11" s="1309"/>
      <c r="E11" s="167">
        <f>SUM(E5:E10)</f>
        <v>1430.0070000000001</v>
      </c>
      <c r="F11" s="168">
        <f>SUM(F5:F10)</f>
        <v>168.291</v>
      </c>
      <c r="G11" s="169">
        <f>SUM(G5:G10)</f>
        <v>1598.298</v>
      </c>
      <c r="H11" s="174">
        <f>SUM(H5:H10)</f>
        <v>5409.6409999999996</v>
      </c>
      <c r="I11" s="1083">
        <f t="shared" si="0"/>
        <v>31.109458095278413</v>
      </c>
      <c r="K11" s="116"/>
      <c r="N11" s="240"/>
      <c r="O11" s="103"/>
      <c r="P11" s="103"/>
      <c r="Q11" s="103"/>
      <c r="AA11" s="94" t="s">
        <v>1462</v>
      </c>
      <c r="AB11" s="304" t="s">
        <v>680</v>
      </c>
      <c r="AC11" s="1309"/>
      <c r="AD11" s="167" t="s">
        <v>1463</v>
      </c>
      <c r="AE11" s="168" t="s">
        <v>1464</v>
      </c>
      <c r="AF11" s="169" t="s">
        <v>1465</v>
      </c>
      <c r="AG11" s="174" t="s">
        <v>1466</v>
      </c>
      <c r="AH11" s="1083" t="s">
        <v>1467</v>
      </c>
    </row>
    <row r="12" spans="2:34">
      <c r="B12" s="65"/>
      <c r="C12" s="65"/>
      <c r="D12" s="65"/>
      <c r="E12" s="65"/>
      <c r="F12" s="65"/>
      <c r="G12" s="65"/>
      <c r="H12" s="65"/>
      <c r="I12" s="65"/>
      <c r="K12" s="116"/>
      <c r="N12" s="240"/>
      <c r="O12" s="103"/>
      <c r="P12" s="103"/>
      <c r="Q12" s="103"/>
      <c r="AA12" s="65"/>
      <c r="AB12" s="65"/>
      <c r="AC12" s="65"/>
      <c r="AD12" s="65"/>
      <c r="AE12" s="65"/>
      <c r="AF12" s="65"/>
      <c r="AG12" s="65"/>
      <c r="AH12" s="65"/>
    </row>
    <row r="13" spans="2:34">
      <c r="B13" s="2256" t="s">
        <v>275</v>
      </c>
      <c r="C13" s="2256"/>
      <c r="D13" s="2195"/>
      <c r="E13" s="142"/>
      <c r="F13" s="142"/>
      <c r="G13" s="142"/>
      <c r="H13" s="116"/>
      <c r="I13" s="65"/>
      <c r="K13" s="116"/>
      <c r="N13" s="240"/>
      <c r="O13" s="103"/>
      <c r="P13" s="103"/>
      <c r="Q13" s="103"/>
    </row>
    <row r="14" spans="2:34">
      <c r="B14" s="127"/>
      <c r="C14" s="128"/>
      <c r="D14" s="128"/>
      <c r="E14" s="142"/>
      <c r="F14" s="142"/>
      <c r="G14" s="142"/>
      <c r="H14" s="116"/>
      <c r="I14" s="65"/>
      <c r="K14" s="116"/>
      <c r="N14" s="240"/>
      <c r="O14" s="103"/>
      <c r="P14" s="103"/>
      <c r="Q14" s="103"/>
    </row>
    <row r="15" spans="2:34">
      <c r="B15" s="26"/>
      <c r="C15" s="129" t="s">
        <v>249</v>
      </c>
      <c r="D15" s="129"/>
      <c r="E15" s="142"/>
      <c r="F15" s="142"/>
      <c r="G15" s="142"/>
      <c r="H15" s="116"/>
      <c r="I15" s="65"/>
      <c r="K15" s="116"/>
      <c r="N15" s="240"/>
      <c r="O15" s="103"/>
      <c r="P15" s="103"/>
      <c r="Q15" s="103"/>
    </row>
    <row r="16" spans="2:34">
      <c r="B16" s="127"/>
      <c r="C16" s="128"/>
      <c r="D16" s="128"/>
      <c r="E16" s="142"/>
      <c r="F16" s="142"/>
      <c r="G16" s="142"/>
      <c r="H16" s="116"/>
      <c r="I16" s="65"/>
      <c r="K16" s="116"/>
      <c r="N16" s="240"/>
      <c r="O16" s="103"/>
      <c r="P16" s="103"/>
      <c r="Q16" s="103"/>
    </row>
    <row r="17" spans="2:17">
      <c r="B17" s="130"/>
      <c r="C17" s="129" t="s">
        <v>250</v>
      </c>
      <c r="D17" s="129"/>
      <c r="E17" s="142"/>
      <c r="F17" s="142"/>
      <c r="G17" s="142"/>
      <c r="H17" s="116"/>
      <c r="I17" s="65"/>
      <c r="K17" s="116"/>
      <c r="N17" s="240"/>
      <c r="O17" s="103"/>
      <c r="P17" s="103"/>
      <c r="Q17" s="103"/>
    </row>
    <row r="18" spans="2:17">
      <c r="B18" s="131"/>
      <c r="C18" s="129"/>
      <c r="D18" s="129"/>
      <c r="E18" s="142"/>
      <c r="F18" s="142"/>
      <c r="G18" s="142"/>
      <c r="H18" s="116"/>
      <c r="I18" s="110"/>
      <c r="K18" s="116"/>
      <c r="N18" s="240"/>
      <c r="O18" s="103"/>
      <c r="P18" s="103"/>
      <c r="Q18" s="103"/>
    </row>
    <row r="19" spans="2:17" ht="15" thickBot="1">
      <c r="B19" s="155"/>
      <c r="C19" s="156"/>
      <c r="D19" s="156"/>
      <c r="E19" s="155"/>
      <c r="F19" s="155"/>
      <c r="G19" s="155"/>
      <c r="H19" s="118"/>
      <c r="I19" s="116"/>
      <c r="K19" s="116"/>
      <c r="N19" s="240"/>
      <c r="O19" s="103"/>
      <c r="P19" s="103"/>
      <c r="Q19" s="103"/>
    </row>
    <row r="20" spans="2:17" ht="16.5" thickBot="1">
      <c r="B20" s="1166" t="s">
        <v>251</v>
      </c>
      <c r="C20" s="133"/>
      <c r="D20" s="133"/>
      <c r="E20" s="134"/>
      <c r="F20" s="134"/>
      <c r="G20" s="134"/>
      <c r="H20" s="134"/>
      <c r="I20" s="216"/>
      <c r="K20" s="116"/>
      <c r="N20" s="240"/>
      <c r="O20" s="103"/>
      <c r="P20" s="103"/>
      <c r="Q20" s="103"/>
    </row>
    <row r="21" spans="2:17">
      <c r="B21" s="155"/>
      <c r="C21" s="156"/>
      <c r="D21" s="156"/>
      <c r="E21" s="155"/>
      <c r="F21" s="155"/>
      <c r="G21" s="155"/>
      <c r="H21" s="118"/>
      <c r="I21" s="116"/>
      <c r="K21" s="116"/>
      <c r="N21" s="240"/>
      <c r="O21" s="103"/>
      <c r="P21" s="103"/>
      <c r="Q21" s="103"/>
    </row>
  </sheetData>
  <sheetProtection algorithmName="SHA-512" hashValue="P82ndaTNgMd1Z3YL8zakWwu00cVVDjWg4JjrKANV/f8FMUc5TX3dreXSF58NnY9NSy087wMFV1FVAvM9FGiQ0w==" saltValue="V5/bh2YJJG4jdoBRq4qsDA==" spinCount="100000" sheet="1" objects="1" scenarios="1"/>
  <mergeCells count="4">
    <mergeCell ref="AA3:AB3"/>
    <mergeCell ref="N3:Q3"/>
    <mergeCell ref="B13:C13"/>
    <mergeCell ref="B3:C3"/>
  </mergeCells>
  <conditionalFormatting sqref="K5:K10">
    <cfRule type="cellIs" dxfId="55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G6:G7 I6:I7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G9:G10 I9:I10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FF0000"/>
    <pageSetUpPr fitToPage="1"/>
  </sheetPr>
  <dimension ref="A1:G178"/>
  <sheetViews>
    <sheetView showGridLines="0" workbookViewId="0">
      <selection activeCell="H58" sqref="H58"/>
    </sheetView>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"APR_2017-18_"&amp;INDEX(Lists!$C$4:$C$24,MATCH(Validation!$B$3,Lists!$B$4:$B$24,0))</f>
        <v>APR_2017-18_TMS</v>
      </c>
    </row>
    <row r="2" spans="1:7">
      <c r="A2" t="s">
        <v>0</v>
      </c>
      <c r="B2" t="s">
        <v>22</v>
      </c>
      <c r="C2" t="s">
        <v>1</v>
      </c>
      <c r="D2" t="s">
        <v>2</v>
      </c>
      <c r="E2" t="s">
        <v>3</v>
      </c>
      <c r="F2" t="s">
        <v>4</v>
      </c>
      <c r="G2" t="s">
        <v>6</v>
      </c>
    </row>
    <row r="3" spans="1:7" ht="15" thickBot="1"/>
    <row r="4" spans="1:7">
      <c r="A4" s="1618" t="str">
        <f>INDEX(Lists!$C$4:$C$24,MATCH(Validation!$B$3,Lists!$B$4:$B$24,0))</f>
        <v>TMS</v>
      </c>
      <c r="B4" s="1619" t="str">
        <f>INDEX(Lists!$C$4:$C$24,MATCH(Validation!$B$3,Lists!$B$4:$B$24,0))&amp;"_AIM01"</f>
        <v>TMS_AIM01</v>
      </c>
      <c r="C4" s="1619" t="s">
        <v>23</v>
      </c>
      <c r="D4" s="1619" t="s">
        <v>24</v>
      </c>
      <c r="E4" s="1619" t="s">
        <v>20</v>
      </c>
      <c r="F4" s="1619" t="s">
        <v>9</v>
      </c>
      <c r="G4" s="1627" t="str">
        <f>IF('3C'!C5="","##BLANK",'3C'!C5)</f>
        <v>RIVER LEE AT NEW GAUGE PUMPING STATION (London WRZ)</v>
      </c>
    </row>
    <row r="5" spans="1:7">
      <c r="A5" s="1620" t="str">
        <f>INDEX(Lists!$C$4:$C$24,MATCH(Validation!$B$3,Lists!$B$4:$B$24,0))</f>
        <v>TMS</v>
      </c>
      <c r="B5" t="str">
        <f>INDEX(Lists!$C$4:$C$24,MATCH(Validation!$B$3,Lists!$B$4:$B$24,0))&amp;"_AIM02"</f>
        <v>TMS_AIM02</v>
      </c>
      <c r="C5" t="s">
        <v>23</v>
      </c>
      <c r="D5" t="s">
        <v>24</v>
      </c>
      <c r="E5" t="s">
        <v>20</v>
      </c>
      <c r="F5" t="s">
        <v>9</v>
      </c>
      <c r="G5" s="1626" t="str">
        <f>IF('3C'!C6="","##BLANK",'3C'!C6)</f>
        <v>PANGBOURNE (Kennet Valley WRZ)</v>
      </c>
    </row>
    <row r="6" spans="1:7">
      <c r="A6" s="1620" t="str">
        <f>INDEX(Lists!$C$4:$C$24,MATCH(Validation!$B$3,Lists!$B$4:$B$24,0))</f>
        <v>TMS</v>
      </c>
      <c r="B6" t="str">
        <f>INDEX(Lists!$C$4:$C$24,MATCH(Validation!$B$3,Lists!$B$4:$B$24,0))&amp;"_AIM03"</f>
        <v>TMS_AIM03</v>
      </c>
      <c r="C6" t="s">
        <v>23</v>
      </c>
      <c r="D6" t="s">
        <v>24</v>
      </c>
      <c r="E6" t="s">
        <v>20</v>
      </c>
      <c r="F6" t="s">
        <v>9</v>
      </c>
      <c r="G6" s="1626" t="str">
        <f>IF('3C'!C7="","##BLANK",'3C'!C7)</f>
        <v>AXFORD PUMPING STATION (SWOX WRZ)</v>
      </c>
    </row>
    <row r="7" spans="1:7">
      <c r="A7" s="1620" t="str">
        <f>INDEX(Lists!$C$4:$C$24,MATCH(Validation!$B$3,Lists!$B$4:$B$24,0))</f>
        <v>TMS</v>
      </c>
      <c r="B7" t="str">
        <f>INDEX(Lists!$C$4:$C$24,MATCH(Validation!$B$3,Lists!$B$4:$B$24,0))&amp;"_AIM04"</f>
        <v>TMS_AIM04</v>
      </c>
      <c r="C7" t="s">
        <v>23</v>
      </c>
      <c r="D7" t="s">
        <v>24</v>
      </c>
      <c r="E7" t="s">
        <v>20</v>
      </c>
      <c r="F7" t="s">
        <v>9</v>
      </c>
      <c r="G7" s="1626" t="str">
        <f>IF('3C'!C8="","##BLANK",'3C'!C8)</f>
        <v>PANN MILL PUMPING STATION (Slough/Wycombe/Aylesbury WRZ)</v>
      </c>
    </row>
    <row r="8" spans="1:7">
      <c r="A8" s="1620" t="str">
        <f>INDEX(Lists!$C$4:$C$24,MATCH(Validation!$B$3,Lists!$B$4:$B$24,0))</f>
        <v>TMS</v>
      </c>
      <c r="B8" t="str">
        <f>INDEX(Lists!$C$4:$C$24,MATCH(Validation!$B$3,Lists!$B$4:$B$24,0))&amp;"_AIM05"</f>
        <v>TMS_AIM05</v>
      </c>
      <c r="C8" t="s">
        <v>23</v>
      </c>
      <c r="D8" t="s">
        <v>24</v>
      </c>
      <c r="E8" t="s">
        <v>20</v>
      </c>
      <c r="F8" t="s">
        <v>9</v>
      </c>
      <c r="G8" s="1626" t="str">
        <f>IF('3C'!C9="","##BLANK",'3C'!C9)</f>
        <v>NORTH ORPINGTON PS (London WRZ)</v>
      </c>
    </row>
    <row r="9" spans="1:7">
      <c r="A9" s="1620" t="str">
        <f>INDEX(Lists!$C$4:$C$24,MATCH(Validation!$B$3,Lists!$B$4:$B$24,0))</f>
        <v>TMS</v>
      </c>
      <c r="B9" t="str">
        <f>INDEX(Lists!$C$4:$C$24,MATCH(Validation!$B$3,Lists!$B$4:$B$24,0))&amp;"_AIM06"</f>
        <v>TMS_AIM06</v>
      </c>
      <c r="C9" t="s">
        <v>23</v>
      </c>
      <c r="D9" t="s">
        <v>24</v>
      </c>
      <c r="E9" t="s">
        <v>20</v>
      </c>
      <c r="F9" t="s">
        <v>9</v>
      </c>
      <c r="G9" s="1626" t="str">
        <f>IF('3C'!C10="","##BLANK",'3C'!C10)</f>
        <v>##BLANK</v>
      </c>
    </row>
    <row r="10" spans="1:7">
      <c r="A10" s="1620" t="str">
        <f>INDEX(Lists!$C$4:$C$24,MATCH(Validation!$B$3,Lists!$B$4:$B$24,0))</f>
        <v>TMS</v>
      </c>
      <c r="B10" t="str">
        <f>INDEX(Lists!$C$4:$C$24,MATCH(Validation!$B$3,Lists!$B$4:$B$24,0))&amp;"_AIM07"</f>
        <v>TMS_AIM07</v>
      </c>
      <c r="C10" t="s">
        <v>23</v>
      </c>
      <c r="D10" t="s">
        <v>24</v>
      </c>
      <c r="E10" t="s">
        <v>20</v>
      </c>
      <c r="F10" t="s">
        <v>9</v>
      </c>
      <c r="G10" s="1626" t="str">
        <f>IF('3C'!C11="","##BLANK",'3C'!C11)</f>
        <v>##BLANK</v>
      </c>
    </row>
    <row r="11" spans="1:7">
      <c r="A11" s="1620" t="str">
        <f>INDEX(Lists!$C$4:$C$24,MATCH(Validation!$B$3,Lists!$B$4:$B$24,0))</f>
        <v>TMS</v>
      </c>
      <c r="B11" t="str">
        <f>INDEX(Lists!$C$4:$C$24,MATCH(Validation!$B$3,Lists!$B$4:$B$24,0))&amp;"_AIM08"</f>
        <v>TMS_AIM08</v>
      </c>
      <c r="C11" t="s">
        <v>23</v>
      </c>
      <c r="D11" t="s">
        <v>24</v>
      </c>
      <c r="E11" t="s">
        <v>20</v>
      </c>
      <c r="F11" t="s">
        <v>9</v>
      </c>
      <c r="G11" s="1626" t="str">
        <f>IF('3C'!C12="","##BLANK",'3C'!C12)</f>
        <v>##BLANK</v>
      </c>
    </row>
    <row r="12" spans="1:7">
      <c r="A12" s="1620" t="str">
        <f>INDEX(Lists!$C$4:$C$24,MATCH(Validation!$B$3,Lists!$B$4:$B$24,0))</f>
        <v>TMS</v>
      </c>
      <c r="B12" t="str">
        <f>INDEX(Lists!$C$4:$C$24,MATCH(Validation!$B$3,Lists!$B$4:$B$24,0))&amp;"_AIM09"</f>
        <v>TMS_AIM09</v>
      </c>
      <c r="C12" t="s">
        <v>23</v>
      </c>
      <c r="D12" t="s">
        <v>24</v>
      </c>
      <c r="E12" t="s">
        <v>20</v>
      </c>
      <c r="F12" t="s">
        <v>9</v>
      </c>
      <c r="G12" s="1626" t="str">
        <f>IF('3C'!C13="","##BLANK",'3C'!C13)</f>
        <v>##BLANK</v>
      </c>
    </row>
    <row r="13" spans="1:7">
      <c r="A13" s="1620" t="str">
        <f>INDEX(Lists!$C$4:$C$24,MATCH(Validation!$B$3,Lists!$B$4:$B$24,0))</f>
        <v>TMS</v>
      </c>
      <c r="B13" t="str">
        <f>INDEX(Lists!$C$4:$C$24,MATCH(Validation!$B$3,Lists!$B$4:$B$24,0))&amp;"_AIM10"</f>
        <v>TMS_AIM10</v>
      </c>
      <c r="C13" t="s">
        <v>23</v>
      </c>
      <c r="D13" t="s">
        <v>24</v>
      </c>
      <c r="E13" t="s">
        <v>20</v>
      </c>
      <c r="F13" t="s">
        <v>9</v>
      </c>
      <c r="G13" s="1626" t="str">
        <f>IF('3C'!C14="","##BLANK",'3C'!C14)</f>
        <v>##BLANK</v>
      </c>
    </row>
    <row r="14" spans="1:7">
      <c r="A14" s="1620" t="str">
        <f>INDEX(Lists!$C$4:$C$24,MATCH(Validation!$B$3,Lists!$B$4:$B$24,0))</f>
        <v>TMS</v>
      </c>
      <c r="B14" t="str">
        <f>INDEX(Lists!$C$4:$C$24,MATCH(Validation!$B$3,Lists!$B$4:$B$24,0))&amp;"_AIM11"</f>
        <v>TMS_AIM11</v>
      </c>
      <c r="C14" t="s">
        <v>23</v>
      </c>
      <c r="D14" t="s">
        <v>24</v>
      </c>
      <c r="E14" t="s">
        <v>20</v>
      </c>
      <c r="F14" t="s">
        <v>9</v>
      </c>
      <c r="G14" s="1626" t="str">
        <f>IF('3C'!C15="","##BLANK",'3C'!C15)</f>
        <v>##BLANK</v>
      </c>
    </row>
    <row r="15" spans="1:7">
      <c r="A15" s="1620" t="str">
        <f>INDEX(Lists!$C$4:$C$24,MATCH(Validation!$B$3,Lists!$B$4:$B$24,0))</f>
        <v>TMS</v>
      </c>
      <c r="B15" t="str">
        <f>INDEX(Lists!$C$4:$C$24,MATCH(Validation!$B$3,Lists!$B$4:$B$24,0))&amp;"_AIM12"</f>
        <v>TMS_AIM12</v>
      </c>
      <c r="C15" t="s">
        <v>23</v>
      </c>
      <c r="D15" t="s">
        <v>24</v>
      </c>
      <c r="E15" t="s">
        <v>20</v>
      </c>
      <c r="F15" t="s">
        <v>9</v>
      </c>
      <c r="G15" s="1626" t="str">
        <f>IF('3C'!C16="","##BLANK",'3C'!C16)</f>
        <v>##BLANK</v>
      </c>
    </row>
    <row r="16" spans="1:7">
      <c r="A16" s="1620" t="str">
        <f>INDEX(Lists!$C$4:$C$24,MATCH(Validation!$B$3,Lists!$B$4:$B$24,0))</f>
        <v>TMS</v>
      </c>
      <c r="B16" t="str">
        <f>INDEX(Lists!$C$4:$C$24,MATCH(Validation!$B$3,Lists!$B$4:$B$24,0))&amp;"_AIM13"</f>
        <v>TMS_AIM13</v>
      </c>
      <c r="C16" t="s">
        <v>23</v>
      </c>
      <c r="D16" t="s">
        <v>24</v>
      </c>
      <c r="E16" t="s">
        <v>20</v>
      </c>
      <c r="F16" t="s">
        <v>9</v>
      </c>
      <c r="G16" s="1626" t="str">
        <f>IF('3C'!C17="","##BLANK",'3C'!C17)</f>
        <v>##BLANK</v>
      </c>
    </row>
    <row r="17" spans="1:7">
      <c r="A17" s="1620" t="str">
        <f>INDEX(Lists!$C$4:$C$24,MATCH(Validation!$B$3,Lists!$B$4:$B$24,0))</f>
        <v>TMS</v>
      </c>
      <c r="B17" t="str">
        <f>INDEX(Lists!$C$4:$C$24,MATCH(Validation!$B$3,Lists!$B$4:$B$24,0))&amp;"_AIM14"</f>
        <v>TMS_AIM14</v>
      </c>
      <c r="C17" t="s">
        <v>23</v>
      </c>
      <c r="D17" t="s">
        <v>24</v>
      </c>
      <c r="E17" t="s">
        <v>20</v>
      </c>
      <c r="F17" t="s">
        <v>9</v>
      </c>
      <c r="G17" s="1626" t="str">
        <f>IF('3C'!C18="","##BLANK",'3C'!C18)</f>
        <v>##BLANK</v>
      </c>
    </row>
    <row r="18" spans="1:7">
      <c r="A18" s="1620" t="str">
        <f>INDEX(Lists!$C$4:$C$24,MATCH(Validation!$B$3,Lists!$B$4:$B$24,0))</f>
        <v>TMS</v>
      </c>
      <c r="B18" t="str">
        <f>INDEX(Lists!$C$4:$C$24,MATCH(Validation!$B$3,Lists!$B$4:$B$24,0))&amp;"_AIM15"</f>
        <v>TMS_AIM15</v>
      </c>
      <c r="C18" t="s">
        <v>23</v>
      </c>
      <c r="D18" t="s">
        <v>24</v>
      </c>
      <c r="E18" t="s">
        <v>20</v>
      </c>
      <c r="F18" t="s">
        <v>9</v>
      </c>
      <c r="G18" s="1626" t="str">
        <f>IF('3C'!C19="","##BLANK",'3C'!C19)</f>
        <v>##BLANK</v>
      </c>
    </row>
    <row r="19" spans="1:7">
      <c r="A19" s="1620" t="str">
        <f>INDEX(Lists!$C$4:$C$24,MATCH(Validation!$B$3,Lists!$B$4:$B$24,0))</f>
        <v>TMS</v>
      </c>
      <c r="B19" t="str">
        <f>INDEX(Lists!$C$4:$C$24,MATCH(Validation!$B$3,Lists!$B$4:$B$24,0))&amp;"_AIM16"</f>
        <v>TMS_AIM16</v>
      </c>
      <c r="C19" t="s">
        <v>23</v>
      </c>
      <c r="D19" t="s">
        <v>24</v>
      </c>
      <c r="E19" t="s">
        <v>20</v>
      </c>
      <c r="F19" t="s">
        <v>9</v>
      </c>
      <c r="G19" s="1626" t="str">
        <f>IF('3C'!C20="","##BLANK",'3C'!C20)</f>
        <v>##BLANK</v>
      </c>
    </row>
    <row r="20" spans="1:7">
      <c r="A20" s="1620" t="str">
        <f>INDEX(Lists!$C$4:$C$24,MATCH(Validation!$B$3,Lists!$B$4:$B$24,0))</f>
        <v>TMS</v>
      </c>
      <c r="B20" t="str">
        <f>INDEX(Lists!$C$4:$C$24,MATCH(Validation!$B$3,Lists!$B$4:$B$24,0))&amp;"_AIM17"</f>
        <v>TMS_AIM17</v>
      </c>
      <c r="C20" t="s">
        <v>23</v>
      </c>
      <c r="D20" t="s">
        <v>24</v>
      </c>
      <c r="E20" t="s">
        <v>20</v>
      </c>
      <c r="F20" t="s">
        <v>9</v>
      </c>
      <c r="G20" s="1626" t="str">
        <f>IF('3C'!C21="","##BLANK",'3C'!C21)</f>
        <v>##BLANK</v>
      </c>
    </row>
    <row r="21" spans="1:7">
      <c r="A21" s="1620" t="str">
        <f>INDEX(Lists!$C$4:$C$24,MATCH(Validation!$B$3,Lists!$B$4:$B$24,0))</f>
        <v>TMS</v>
      </c>
      <c r="B21" t="str">
        <f>INDEX(Lists!$C$4:$C$24,MATCH(Validation!$B$3,Lists!$B$4:$B$24,0))&amp;"_AIM18"</f>
        <v>TMS_AIM18</v>
      </c>
      <c r="C21" t="s">
        <v>23</v>
      </c>
      <c r="D21" t="s">
        <v>24</v>
      </c>
      <c r="E21" t="s">
        <v>20</v>
      </c>
      <c r="F21" t="s">
        <v>9</v>
      </c>
      <c r="G21" s="1626" t="str">
        <f>IF('3C'!C22="","##BLANK",'3C'!C22)</f>
        <v>##BLANK</v>
      </c>
    </row>
    <row r="22" spans="1:7">
      <c r="A22" s="1620" t="str">
        <f>INDEX(Lists!$C$4:$C$24,MATCH(Validation!$B$3,Lists!$B$4:$B$24,0))</f>
        <v>TMS</v>
      </c>
      <c r="B22" t="str">
        <f>INDEX(Lists!$C$4:$C$24,MATCH(Validation!$B$3,Lists!$B$4:$B$24,0))&amp;"_AIM19"</f>
        <v>TMS_AIM19</v>
      </c>
      <c r="C22" t="s">
        <v>23</v>
      </c>
      <c r="D22" t="s">
        <v>24</v>
      </c>
      <c r="E22" t="s">
        <v>20</v>
      </c>
      <c r="F22" t="s">
        <v>9</v>
      </c>
      <c r="G22" s="1626" t="str">
        <f>IF('3C'!C23="","##BLANK",'3C'!C23)</f>
        <v>##BLANK</v>
      </c>
    </row>
    <row r="23" spans="1:7">
      <c r="A23" s="1620" t="str">
        <f>INDEX(Lists!$C$4:$C$24,MATCH(Validation!$B$3,Lists!$B$4:$B$24,0))</f>
        <v>TMS</v>
      </c>
      <c r="B23" t="str">
        <f>INDEX(Lists!$C$4:$C$24,MATCH(Validation!$B$3,Lists!$B$4:$B$24,0))&amp;"_AIM20"</f>
        <v>TMS_AIM20</v>
      </c>
      <c r="C23" t="s">
        <v>23</v>
      </c>
      <c r="D23" t="s">
        <v>24</v>
      </c>
      <c r="E23" t="s">
        <v>20</v>
      </c>
      <c r="F23" t="s">
        <v>9</v>
      </c>
      <c r="G23" s="1626" t="str">
        <f>IF('3C'!C24="","##BLANK",'3C'!C24)</f>
        <v>##BLANK</v>
      </c>
    </row>
    <row r="24" spans="1:7">
      <c r="A24" s="1620" t="str">
        <f>INDEX(Lists!$C$4:$C$24,MATCH(Validation!$B$3,Lists!$B$4:$B$24,0))</f>
        <v>TMS</v>
      </c>
      <c r="B24" t="str">
        <f>INDEX(Lists!$C$4:$C$24,MATCH(Validation!$B$3,Lists!$B$4:$B$24,0))&amp;"_AIM21"</f>
        <v>TMS_AIM21</v>
      </c>
      <c r="C24" t="s">
        <v>23</v>
      </c>
      <c r="D24" t="s">
        <v>24</v>
      </c>
      <c r="E24" t="s">
        <v>20</v>
      </c>
      <c r="F24" t="s">
        <v>9</v>
      </c>
      <c r="G24" s="1626" t="str">
        <f>IF('3C'!C25="","##BLANK",'3C'!C25)</f>
        <v>##BLANK</v>
      </c>
    </row>
    <row r="25" spans="1:7">
      <c r="A25" s="1620" t="str">
        <f>INDEX(Lists!$C$4:$C$24,MATCH(Validation!$B$3,Lists!$B$4:$B$24,0))</f>
        <v>TMS</v>
      </c>
      <c r="B25" t="str">
        <f>INDEX(Lists!$C$4:$C$24,MATCH(Validation!$B$3,Lists!$B$4:$B$24,0))&amp;"_AIM22"</f>
        <v>TMS_AIM22</v>
      </c>
      <c r="C25" t="s">
        <v>23</v>
      </c>
      <c r="D25" t="s">
        <v>24</v>
      </c>
      <c r="E25" t="s">
        <v>20</v>
      </c>
      <c r="F25" t="s">
        <v>9</v>
      </c>
      <c r="G25" s="1626" t="str">
        <f>IF('3C'!C26="","##BLANK",'3C'!C26)</f>
        <v>##BLANK</v>
      </c>
    </row>
    <row r="26" spans="1:7">
      <c r="A26" s="1620" t="str">
        <f>INDEX(Lists!$C$4:$C$24,MATCH(Validation!$B$3,Lists!$B$4:$B$24,0))</f>
        <v>TMS</v>
      </c>
      <c r="B26" t="str">
        <f>INDEX(Lists!$C$4:$C$24,MATCH(Validation!$B$3,Lists!$B$4:$B$24,0))&amp;"_AIM23"</f>
        <v>TMS_AIM23</v>
      </c>
      <c r="C26" t="s">
        <v>23</v>
      </c>
      <c r="D26" t="s">
        <v>24</v>
      </c>
      <c r="E26" t="s">
        <v>20</v>
      </c>
      <c r="F26" t="s">
        <v>9</v>
      </c>
      <c r="G26" s="1626" t="str">
        <f>IF('3C'!C27="","##BLANK",'3C'!C27)</f>
        <v>##BLANK</v>
      </c>
    </row>
    <row r="27" spans="1:7">
      <c r="A27" s="1620" t="str">
        <f>INDEX(Lists!$C$4:$C$24,MATCH(Validation!$B$3,Lists!$B$4:$B$24,0))</f>
        <v>TMS</v>
      </c>
      <c r="B27" t="str">
        <f>INDEX(Lists!$C$4:$C$24,MATCH(Validation!$B$3,Lists!$B$4:$B$24,0))&amp;"_AIM24"</f>
        <v>TMS_AIM24</v>
      </c>
      <c r="C27" t="s">
        <v>23</v>
      </c>
      <c r="D27" t="s">
        <v>24</v>
      </c>
      <c r="E27" t="s">
        <v>20</v>
      </c>
      <c r="F27" t="s">
        <v>9</v>
      </c>
      <c r="G27" s="1626" t="str">
        <f>IF('3C'!C28="","##BLANK",'3C'!C28)</f>
        <v>##BLANK</v>
      </c>
    </row>
    <row r="28" spans="1:7" ht="15" thickBot="1">
      <c r="A28" s="1621" t="str">
        <f>INDEX(Lists!$C$4:$C$24,MATCH(Validation!$B$3,Lists!$B$4:$B$24,0))</f>
        <v>TMS</v>
      </c>
      <c r="B28" s="1622" t="str">
        <f>INDEX(Lists!$C$4:$C$24,MATCH(Validation!$B$3,Lists!$B$4:$B$24,0))&amp;"_AIM25"</f>
        <v>TMS_AIM25</v>
      </c>
      <c r="C28" s="1622" t="s">
        <v>23</v>
      </c>
      <c r="D28" s="1622" t="s">
        <v>24</v>
      </c>
      <c r="E28" s="1622" t="s">
        <v>20</v>
      </c>
      <c r="F28" s="1622" t="s">
        <v>9</v>
      </c>
      <c r="G28" s="1628" t="str">
        <f>IF('3C'!C29="","##BLANK",'3C'!C29)</f>
        <v>##BLANK</v>
      </c>
    </row>
    <row r="29" spans="1:7">
      <c r="A29" s="1618" t="str">
        <f>INDEX(Lists!$C$4:$C$24,MATCH(Validation!$B$3,Lists!$B$4:$B$24,0))</f>
        <v>TMS</v>
      </c>
      <c r="B29" s="1619" t="str">
        <f>INDEX(Lists!$C$4:$C$24,MATCH(Validation!$B$3,Lists!$B$4:$B$24,0))&amp;"_AIM01"</f>
        <v>TMS_AIM01</v>
      </c>
      <c r="C29" s="1619" t="s">
        <v>25</v>
      </c>
      <c r="D29" s="1619" t="s">
        <v>26</v>
      </c>
      <c r="E29" s="1619" t="s">
        <v>11</v>
      </c>
      <c r="F29" s="1619" t="s">
        <v>9</v>
      </c>
      <c r="G29" s="1626">
        <f>IF('3C'!D5="","##BLANK",'3C'!D5)</f>
        <v>1</v>
      </c>
    </row>
    <row r="30" spans="1:7">
      <c r="A30" s="1620" t="str">
        <f>INDEX(Lists!$C$4:$C$24,MATCH(Validation!$B$3,Lists!$B$4:$B$24,0))</f>
        <v>TMS</v>
      </c>
      <c r="B30" t="str">
        <f>INDEX(Lists!$C$4:$C$24,MATCH(Validation!$B$3,Lists!$B$4:$B$24,0))&amp;"_AIM02"</f>
        <v>TMS_AIM02</v>
      </c>
      <c r="C30" t="s">
        <v>25</v>
      </c>
      <c r="D30" t="s">
        <v>26</v>
      </c>
      <c r="E30" t="s">
        <v>11</v>
      </c>
      <c r="F30" t="s">
        <v>9</v>
      </c>
      <c r="G30" s="1626">
        <f>IF('3C'!D6="","##BLANK",'3C'!D6)</f>
        <v>1</v>
      </c>
    </row>
    <row r="31" spans="1:7">
      <c r="A31" s="1620" t="str">
        <f>INDEX(Lists!$C$4:$C$24,MATCH(Validation!$B$3,Lists!$B$4:$B$24,0))</f>
        <v>TMS</v>
      </c>
      <c r="B31" t="str">
        <f>INDEX(Lists!$C$4:$C$24,MATCH(Validation!$B$3,Lists!$B$4:$B$24,0))&amp;"_AIM03"</f>
        <v>TMS_AIM03</v>
      </c>
      <c r="C31" t="s">
        <v>25</v>
      </c>
      <c r="D31" t="s">
        <v>26</v>
      </c>
      <c r="E31" t="s">
        <v>11</v>
      </c>
      <c r="F31" t="s">
        <v>9</v>
      </c>
      <c r="G31" s="1626">
        <f>IF('3C'!D7="","##BLANK",'3C'!D7)</f>
        <v>1</v>
      </c>
    </row>
    <row r="32" spans="1:7">
      <c r="A32" s="1620" t="str">
        <f>INDEX(Lists!$C$4:$C$24,MATCH(Validation!$B$3,Lists!$B$4:$B$24,0))</f>
        <v>TMS</v>
      </c>
      <c r="B32" t="str">
        <f>INDEX(Lists!$C$4:$C$24,MATCH(Validation!$B$3,Lists!$B$4:$B$24,0))&amp;"_AIM04"</f>
        <v>TMS_AIM04</v>
      </c>
      <c r="C32" t="s">
        <v>25</v>
      </c>
      <c r="D32" t="s">
        <v>26</v>
      </c>
      <c r="E32" t="s">
        <v>11</v>
      </c>
      <c r="F32" t="s">
        <v>9</v>
      </c>
      <c r="G32" s="1626">
        <f>IF('3C'!D8="","##BLANK",'3C'!D8)</f>
        <v>1</v>
      </c>
    </row>
    <row r="33" spans="1:7">
      <c r="A33" s="1620" t="str">
        <f>INDEX(Lists!$C$4:$C$24,MATCH(Validation!$B$3,Lists!$B$4:$B$24,0))</f>
        <v>TMS</v>
      </c>
      <c r="B33" t="str">
        <f>INDEX(Lists!$C$4:$C$24,MATCH(Validation!$B$3,Lists!$B$4:$B$24,0))&amp;"_AIM05"</f>
        <v>TMS_AIM05</v>
      </c>
      <c r="C33" t="s">
        <v>25</v>
      </c>
      <c r="D33" t="s">
        <v>26</v>
      </c>
      <c r="E33" t="s">
        <v>11</v>
      </c>
      <c r="F33" t="s">
        <v>9</v>
      </c>
      <c r="G33" s="1626">
        <f>IF('3C'!D9="","##BLANK",'3C'!D9)</f>
        <v>1</v>
      </c>
    </row>
    <row r="34" spans="1:7">
      <c r="A34" s="1620" t="str">
        <f>INDEX(Lists!$C$4:$C$24,MATCH(Validation!$B$3,Lists!$B$4:$B$24,0))</f>
        <v>TMS</v>
      </c>
      <c r="B34" t="str">
        <f>INDEX(Lists!$C$4:$C$24,MATCH(Validation!$B$3,Lists!$B$4:$B$24,0))&amp;"_AIM06"</f>
        <v>TMS_AIM06</v>
      </c>
      <c r="C34" t="s">
        <v>25</v>
      </c>
      <c r="D34" t="s">
        <v>26</v>
      </c>
      <c r="E34" t="s">
        <v>11</v>
      </c>
      <c r="F34" t="s">
        <v>9</v>
      </c>
      <c r="G34" s="1626" t="str">
        <f>IF('3C'!D10="","##BLANK",'3C'!D10)</f>
        <v>##BLANK</v>
      </c>
    </row>
    <row r="35" spans="1:7">
      <c r="A35" s="1620" t="str">
        <f>INDEX(Lists!$C$4:$C$24,MATCH(Validation!$B$3,Lists!$B$4:$B$24,0))</f>
        <v>TMS</v>
      </c>
      <c r="B35" t="str">
        <f>INDEX(Lists!$C$4:$C$24,MATCH(Validation!$B$3,Lists!$B$4:$B$24,0))&amp;"_AIM07"</f>
        <v>TMS_AIM07</v>
      </c>
      <c r="C35" t="s">
        <v>25</v>
      </c>
      <c r="D35" t="s">
        <v>26</v>
      </c>
      <c r="E35" t="s">
        <v>11</v>
      </c>
      <c r="F35" t="s">
        <v>9</v>
      </c>
      <c r="G35" s="1626" t="str">
        <f>IF('3C'!D11="","##BLANK",'3C'!D11)</f>
        <v>##BLANK</v>
      </c>
    </row>
    <row r="36" spans="1:7">
      <c r="A36" s="1620" t="str">
        <f>INDEX(Lists!$C$4:$C$24,MATCH(Validation!$B$3,Lists!$B$4:$B$24,0))</f>
        <v>TMS</v>
      </c>
      <c r="B36" t="str">
        <f>INDEX(Lists!$C$4:$C$24,MATCH(Validation!$B$3,Lists!$B$4:$B$24,0))&amp;"_AIM08"</f>
        <v>TMS_AIM08</v>
      </c>
      <c r="C36" t="s">
        <v>25</v>
      </c>
      <c r="D36" t="s">
        <v>26</v>
      </c>
      <c r="E36" t="s">
        <v>11</v>
      </c>
      <c r="F36" t="s">
        <v>9</v>
      </c>
      <c r="G36" s="1626" t="str">
        <f>IF('3C'!D12="","##BLANK",'3C'!D12)</f>
        <v>##BLANK</v>
      </c>
    </row>
    <row r="37" spans="1:7">
      <c r="A37" s="1620" t="str">
        <f>INDEX(Lists!$C$4:$C$24,MATCH(Validation!$B$3,Lists!$B$4:$B$24,0))</f>
        <v>TMS</v>
      </c>
      <c r="B37" t="str">
        <f>INDEX(Lists!$C$4:$C$24,MATCH(Validation!$B$3,Lists!$B$4:$B$24,0))&amp;"_AIM09"</f>
        <v>TMS_AIM09</v>
      </c>
      <c r="C37" t="s">
        <v>25</v>
      </c>
      <c r="D37" t="s">
        <v>26</v>
      </c>
      <c r="E37" t="s">
        <v>11</v>
      </c>
      <c r="F37" t="s">
        <v>9</v>
      </c>
      <c r="G37" s="1626" t="str">
        <f>IF('3C'!D13="","##BLANK",'3C'!D13)</f>
        <v>##BLANK</v>
      </c>
    </row>
    <row r="38" spans="1:7">
      <c r="A38" s="1620" t="str">
        <f>INDEX(Lists!$C$4:$C$24,MATCH(Validation!$B$3,Lists!$B$4:$B$24,0))</f>
        <v>TMS</v>
      </c>
      <c r="B38" t="str">
        <f>INDEX(Lists!$C$4:$C$24,MATCH(Validation!$B$3,Lists!$B$4:$B$24,0))&amp;"_AIM10"</f>
        <v>TMS_AIM10</v>
      </c>
      <c r="C38" t="s">
        <v>25</v>
      </c>
      <c r="D38" t="s">
        <v>26</v>
      </c>
      <c r="E38" t="s">
        <v>11</v>
      </c>
      <c r="F38" t="s">
        <v>9</v>
      </c>
      <c r="G38" s="1626" t="str">
        <f>IF('3C'!D14="","##BLANK",'3C'!D14)</f>
        <v>##BLANK</v>
      </c>
    </row>
    <row r="39" spans="1:7">
      <c r="A39" s="1620" t="str">
        <f>INDEX(Lists!$C$4:$C$24,MATCH(Validation!$B$3,Lists!$B$4:$B$24,0))</f>
        <v>TMS</v>
      </c>
      <c r="B39" t="str">
        <f>INDEX(Lists!$C$4:$C$24,MATCH(Validation!$B$3,Lists!$B$4:$B$24,0))&amp;"_AIM11"</f>
        <v>TMS_AIM11</v>
      </c>
      <c r="C39" t="s">
        <v>25</v>
      </c>
      <c r="D39" t="s">
        <v>26</v>
      </c>
      <c r="E39" t="s">
        <v>11</v>
      </c>
      <c r="F39" t="s">
        <v>9</v>
      </c>
      <c r="G39" s="1626" t="str">
        <f>IF('3C'!D15="","##BLANK",'3C'!D15)</f>
        <v>##BLANK</v>
      </c>
    </row>
    <row r="40" spans="1:7">
      <c r="A40" s="1620" t="str">
        <f>INDEX(Lists!$C$4:$C$24,MATCH(Validation!$B$3,Lists!$B$4:$B$24,0))</f>
        <v>TMS</v>
      </c>
      <c r="B40" t="str">
        <f>INDEX(Lists!$C$4:$C$24,MATCH(Validation!$B$3,Lists!$B$4:$B$24,0))&amp;"_AIM12"</f>
        <v>TMS_AIM12</v>
      </c>
      <c r="C40" t="s">
        <v>25</v>
      </c>
      <c r="D40" t="s">
        <v>26</v>
      </c>
      <c r="E40" t="s">
        <v>11</v>
      </c>
      <c r="F40" t="s">
        <v>9</v>
      </c>
      <c r="G40" s="1626" t="str">
        <f>IF('3C'!D16="","##BLANK",'3C'!D16)</f>
        <v>##BLANK</v>
      </c>
    </row>
    <row r="41" spans="1:7">
      <c r="A41" s="1620" t="str">
        <f>INDEX(Lists!$C$4:$C$24,MATCH(Validation!$B$3,Lists!$B$4:$B$24,0))</f>
        <v>TMS</v>
      </c>
      <c r="B41" t="str">
        <f>INDEX(Lists!$C$4:$C$24,MATCH(Validation!$B$3,Lists!$B$4:$B$24,0))&amp;"_AIM13"</f>
        <v>TMS_AIM13</v>
      </c>
      <c r="C41" t="s">
        <v>25</v>
      </c>
      <c r="D41" t="s">
        <v>26</v>
      </c>
      <c r="E41" t="s">
        <v>11</v>
      </c>
      <c r="F41" t="s">
        <v>9</v>
      </c>
      <c r="G41" s="1626" t="str">
        <f>IF('3C'!D17="","##BLANK",'3C'!D17)</f>
        <v>##BLANK</v>
      </c>
    </row>
    <row r="42" spans="1:7">
      <c r="A42" s="1620" t="str">
        <f>INDEX(Lists!$C$4:$C$24,MATCH(Validation!$B$3,Lists!$B$4:$B$24,0))</f>
        <v>TMS</v>
      </c>
      <c r="B42" t="str">
        <f>INDEX(Lists!$C$4:$C$24,MATCH(Validation!$B$3,Lists!$B$4:$B$24,0))&amp;"_AIM14"</f>
        <v>TMS_AIM14</v>
      </c>
      <c r="C42" t="s">
        <v>25</v>
      </c>
      <c r="D42" t="s">
        <v>26</v>
      </c>
      <c r="E42" t="s">
        <v>11</v>
      </c>
      <c r="F42" t="s">
        <v>9</v>
      </c>
      <c r="G42" s="1626" t="str">
        <f>IF('3C'!D18="","##BLANK",'3C'!D18)</f>
        <v>##BLANK</v>
      </c>
    </row>
    <row r="43" spans="1:7">
      <c r="A43" s="1620" t="str">
        <f>INDEX(Lists!$C$4:$C$24,MATCH(Validation!$B$3,Lists!$B$4:$B$24,0))</f>
        <v>TMS</v>
      </c>
      <c r="B43" t="str">
        <f>INDEX(Lists!$C$4:$C$24,MATCH(Validation!$B$3,Lists!$B$4:$B$24,0))&amp;"_AIM15"</f>
        <v>TMS_AIM15</v>
      </c>
      <c r="C43" t="s">
        <v>25</v>
      </c>
      <c r="D43" t="s">
        <v>26</v>
      </c>
      <c r="E43" t="s">
        <v>11</v>
      </c>
      <c r="F43" t="s">
        <v>9</v>
      </c>
      <c r="G43" s="1626" t="str">
        <f>IF('3C'!D19="","##BLANK",'3C'!D19)</f>
        <v>##BLANK</v>
      </c>
    </row>
    <row r="44" spans="1:7">
      <c r="A44" s="1620" t="str">
        <f>INDEX(Lists!$C$4:$C$24,MATCH(Validation!$B$3,Lists!$B$4:$B$24,0))</f>
        <v>TMS</v>
      </c>
      <c r="B44" t="str">
        <f>INDEX(Lists!$C$4:$C$24,MATCH(Validation!$B$3,Lists!$B$4:$B$24,0))&amp;"_AIM16"</f>
        <v>TMS_AIM16</v>
      </c>
      <c r="C44" t="s">
        <v>25</v>
      </c>
      <c r="D44" t="s">
        <v>26</v>
      </c>
      <c r="E44" t="s">
        <v>11</v>
      </c>
      <c r="F44" t="s">
        <v>9</v>
      </c>
      <c r="G44" s="1626" t="str">
        <f>IF('3C'!D20="","##BLANK",'3C'!D20)</f>
        <v>##BLANK</v>
      </c>
    </row>
    <row r="45" spans="1:7">
      <c r="A45" s="1620" t="str">
        <f>INDEX(Lists!$C$4:$C$24,MATCH(Validation!$B$3,Lists!$B$4:$B$24,0))</f>
        <v>TMS</v>
      </c>
      <c r="B45" t="str">
        <f>INDEX(Lists!$C$4:$C$24,MATCH(Validation!$B$3,Lists!$B$4:$B$24,0))&amp;"_AIM17"</f>
        <v>TMS_AIM17</v>
      </c>
      <c r="C45" t="s">
        <v>25</v>
      </c>
      <c r="D45" t="s">
        <v>26</v>
      </c>
      <c r="E45" t="s">
        <v>11</v>
      </c>
      <c r="F45" t="s">
        <v>9</v>
      </c>
      <c r="G45" s="1626" t="str">
        <f>IF('3C'!D21="","##BLANK",'3C'!D21)</f>
        <v>##BLANK</v>
      </c>
    </row>
    <row r="46" spans="1:7">
      <c r="A46" s="1620" t="str">
        <f>INDEX(Lists!$C$4:$C$24,MATCH(Validation!$B$3,Lists!$B$4:$B$24,0))</f>
        <v>TMS</v>
      </c>
      <c r="B46" t="str">
        <f>INDEX(Lists!$C$4:$C$24,MATCH(Validation!$B$3,Lists!$B$4:$B$24,0))&amp;"_AIM18"</f>
        <v>TMS_AIM18</v>
      </c>
      <c r="C46" t="s">
        <v>25</v>
      </c>
      <c r="D46" t="s">
        <v>26</v>
      </c>
      <c r="E46" t="s">
        <v>11</v>
      </c>
      <c r="F46" t="s">
        <v>9</v>
      </c>
      <c r="G46" s="1626" t="str">
        <f>IF('3C'!D22="","##BLANK",'3C'!D22)</f>
        <v>##BLANK</v>
      </c>
    </row>
    <row r="47" spans="1:7">
      <c r="A47" s="1620" t="str">
        <f>INDEX(Lists!$C$4:$C$24,MATCH(Validation!$B$3,Lists!$B$4:$B$24,0))</f>
        <v>TMS</v>
      </c>
      <c r="B47" t="str">
        <f>INDEX(Lists!$C$4:$C$24,MATCH(Validation!$B$3,Lists!$B$4:$B$24,0))&amp;"_AIM19"</f>
        <v>TMS_AIM19</v>
      </c>
      <c r="C47" t="s">
        <v>25</v>
      </c>
      <c r="D47" t="s">
        <v>26</v>
      </c>
      <c r="E47" t="s">
        <v>11</v>
      </c>
      <c r="F47" t="s">
        <v>9</v>
      </c>
      <c r="G47" s="1626" t="str">
        <f>IF('3C'!D23="","##BLANK",'3C'!D23)</f>
        <v>##BLANK</v>
      </c>
    </row>
    <row r="48" spans="1:7">
      <c r="A48" s="1620" t="str">
        <f>INDEX(Lists!$C$4:$C$24,MATCH(Validation!$B$3,Lists!$B$4:$B$24,0))</f>
        <v>TMS</v>
      </c>
      <c r="B48" t="str">
        <f>INDEX(Lists!$C$4:$C$24,MATCH(Validation!$B$3,Lists!$B$4:$B$24,0))&amp;"_AIM20"</f>
        <v>TMS_AIM20</v>
      </c>
      <c r="C48" t="s">
        <v>25</v>
      </c>
      <c r="D48" t="s">
        <v>26</v>
      </c>
      <c r="E48" t="s">
        <v>11</v>
      </c>
      <c r="F48" t="s">
        <v>9</v>
      </c>
      <c r="G48" s="1626" t="str">
        <f>IF('3C'!D24="","##BLANK",'3C'!D24)</f>
        <v>##BLANK</v>
      </c>
    </row>
    <row r="49" spans="1:7">
      <c r="A49" s="1620" t="str">
        <f>INDEX(Lists!$C$4:$C$24,MATCH(Validation!$B$3,Lists!$B$4:$B$24,0))</f>
        <v>TMS</v>
      </c>
      <c r="B49" t="str">
        <f>INDEX(Lists!$C$4:$C$24,MATCH(Validation!$B$3,Lists!$B$4:$B$24,0))&amp;"_AIM21"</f>
        <v>TMS_AIM21</v>
      </c>
      <c r="C49" t="s">
        <v>25</v>
      </c>
      <c r="D49" t="s">
        <v>26</v>
      </c>
      <c r="E49" t="s">
        <v>11</v>
      </c>
      <c r="F49" t="s">
        <v>9</v>
      </c>
      <c r="G49" s="1626" t="str">
        <f>IF('3C'!D25="","##BLANK",'3C'!D25)</f>
        <v>##BLANK</v>
      </c>
    </row>
    <row r="50" spans="1:7">
      <c r="A50" s="1620" t="str">
        <f>INDEX(Lists!$C$4:$C$24,MATCH(Validation!$B$3,Lists!$B$4:$B$24,0))</f>
        <v>TMS</v>
      </c>
      <c r="B50" t="str">
        <f>INDEX(Lists!$C$4:$C$24,MATCH(Validation!$B$3,Lists!$B$4:$B$24,0))&amp;"_AIM22"</f>
        <v>TMS_AIM22</v>
      </c>
      <c r="C50" t="s">
        <v>25</v>
      </c>
      <c r="D50" t="s">
        <v>26</v>
      </c>
      <c r="E50" t="s">
        <v>11</v>
      </c>
      <c r="F50" t="s">
        <v>9</v>
      </c>
      <c r="G50" s="1626" t="str">
        <f>IF('3C'!D26="","##BLANK",'3C'!D26)</f>
        <v>##BLANK</v>
      </c>
    </row>
    <row r="51" spans="1:7">
      <c r="A51" s="1620" t="str">
        <f>INDEX(Lists!$C$4:$C$24,MATCH(Validation!$B$3,Lists!$B$4:$B$24,0))</f>
        <v>TMS</v>
      </c>
      <c r="B51" t="str">
        <f>INDEX(Lists!$C$4:$C$24,MATCH(Validation!$B$3,Lists!$B$4:$B$24,0))&amp;"_AIM23"</f>
        <v>TMS_AIM23</v>
      </c>
      <c r="C51" t="s">
        <v>25</v>
      </c>
      <c r="D51" t="s">
        <v>26</v>
      </c>
      <c r="E51" t="s">
        <v>11</v>
      </c>
      <c r="F51" t="s">
        <v>9</v>
      </c>
      <c r="G51" s="1626" t="str">
        <f>IF('3C'!D27="","##BLANK",'3C'!D27)</f>
        <v>##BLANK</v>
      </c>
    </row>
    <row r="52" spans="1:7">
      <c r="A52" s="1620" t="str">
        <f>INDEX(Lists!$C$4:$C$24,MATCH(Validation!$B$3,Lists!$B$4:$B$24,0))</f>
        <v>TMS</v>
      </c>
      <c r="B52" t="str">
        <f>INDEX(Lists!$C$4:$C$24,MATCH(Validation!$B$3,Lists!$B$4:$B$24,0))&amp;"_AIM24"</f>
        <v>TMS_AIM24</v>
      </c>
      <c r="C52" t="s">
        <v>25</v>
      </c>
      <c r="D52" t="s">
        <v>26</v>
      </c>
      <c r="E52" t="s">
        <v>11</v>
      </c>
      <c r="F52" t="s">
        <v>9</v>
      </c>
      <c r="G52" s="1626" t="str">
        <f>IF('3C'!D28="","##BLANK",'3C'!D28)</f>
        <v>##BLANK</v>
      </c>
    </row>
    <row r="53" spans="1:7" ht="15" thickBot="1">
      <c r="A53" s="1621" t="str">
        <f>INDEX(Lists!$C$4:$C$24,MATCH(Validation!$B$3,Lists!$B$4:$B$24,0))</f>
        <v>TMS</v>
      </c>
      <c r="B53" s="1622" t="str">
        <f>INDEX(Lists!$C$4:$C$24,MATCH(Validation!$B$3,Lists!$B$4:$B$24,0))&amp;"_AIM25"</f>
        <v>TMS_AIM25</v>
      </c>
      <c r="C53" s="1622" t="s">
        <v>25</v>
      </c>
      <c r="D53" s="1622" t="s">
        <v>26</v>
      </c>
      <c r="E53" t="s">
        <v>11</v>
      </c>
      <c r="F53" s="1622" t="s">
        <v>9</v>
      </c>
      <c r="G53" s="1626" t="str">
        <f>IF('3C'!D29="","##BLANK",'3C'!D29)</f>
        <v>##BLANK</v>
      </c>
    </row>
    <row r="54" spans="1:7">
      <c r="A54" s="1618" t="str">
        <f>INDEX(Lists!$C$4:$C$24,MATCH(Validation!$B$3,Lists!$B$4:$B$24,0))</f>
        <v>TMS</v>
      </c>
      <c r="B54" s="1619" t="str">
        <f>INDEX(Lists!$C$4:$C$24,MATCH(Validation!$B$3,Lists!$B$4:$B$24,0))&amp;"_AIM01"</f>
        <v>TMS_AIM01</v>
      </c>
      <c r="C54" s="1619" t="s">
        <v>25</v>
      </c>
      <c r="D54" s="1619" t="s">
        <v>27</v>
      </c>
      <c r="E54" s="1619" t="s">
        <v>16</v>
      </c>
      <c r="F54" s="1619" t="s">
        <v>9</v>
      </c>
      <c r="G54" s="1627">
        <f>IF('3C'!E5="","##BLANK",'3C'!E5)</f>
        <v>-871.26</v>
      </c>
    </row>
    <row r="55" spans="1:7">
      <c r="A55" s="1620" t="str">
        <f>INDEX(Lists!$C$4:$C$24,MATCH(Validation!$B$3,Lists!$B$4:$B$24,0))</f>
        <v>TMS</v>
      </c>
      <c r="B55" t="str">
        <f>INDEX(Lists!$C$4:$C$24,MATCH(Validation!$B$3,Lists!$B$4:$B$24,0))&amp;"_AIM02"</f>
        <v>TMS_AIM02</v>
      </c>
      <c r="C55" t="s">
        <v>25</v>
      </c>
      <c r="D55" t="s">
        <v>27</v>
      </c>
      <c r="E55" t="s">
        <v>16</v>
      </c>
      <c r="F55" t="s">
        <v>9</v>
      </c>
      <c r="G55" s="1626">
        <f>IF('3C'!E6="","##BLANK",'3C'!E6)</f>
        <v>-494.85620286029945</v>
      </c>
    </row>
    <row r="56" spans="1:7">
      <c r="A56" s="1620" t="str">
        <f>INDEX(Lists!$C$4:$C$24,MATCH(Validation!$B$3,Lists!$B$4:$B$24,0))</f>
        <v>TMS</v>
      </c>
      <c r="B56" t="str">
        <f>INDEX(Lists!$C$4:$C$24,MATCH(Validation!$B$3,Lists!$B$4:$B$24,0))&amp;"_AIM03"</f>
        <v>TMS_AIM03</v>
      </c>
      <c r="C56" t="s">
        <v>25</v>
      </c>
      <c r="D56" t="s">
        <v>27</v>
      </c>
      <c r="E56" t="s">
        <v>16</v>
      </c>
      <c r="F56" t="s">
        <v>9</v>
      </c>
      <c r="G56" s="1626">
        <f>IF('3C'!E7="","##BLANK",'3C'!E7)</f>
        <v>-164.3949999999941</v>
      </c>
    </row>
    <row r="57" spans="1:7">
      <c r="A57" s="1620" t="str">
        <f>INDEX(Lists!$C$4:$C$24,MATCH(Validation!$B$3,Lists!$B$4:$B$24,0))</f>
        <v>TMS</v>
      </c>
      <c r="B57" t="str">
        <f>INDEX(Lists!$C$4:$C$24,MATCH(Validation!$B$3,Lists!$B$4:$B$24,0))&amp;"_AIM04"</f>
        <v>TMS_AIM04</v>
      </c>
      <c r="C57" t="s">
        <v>25</v>
      </c>
      <c r="D57" t="s">
        <v>27</v>
      </c>
      <c r="E57" t="s">
        <v>16</v>
      </c>
      <c r="F57" t="s">
        <v>9</v>
      </c>
      <c r="G57" s="1626">
        <f>IF('3C'!E8="","##BLANK",'3C'!E8)</f>
        <v>-95.963036000000002</v>
      </c>
    </row>
    <row r="58" spans="1:7">
      <c r="A58" s="1620" t="str">
        <f>INDEX(Lists!$C$4:$C$24,MATCH(Validation!$B$3,Lists!$B$4:$B$24,0))</f>
        <v>TMS</v>
      </c>
      <c r="B58" t="str">
        <f>INDEX(Lists!$C$4:$C$24,MATCH(Validation!$B$3,Lists!$B$4:$B$24,0))&amp;"_AIM05"</f>
        <v>TMS_AIM05</v>
      </c>
      <c r="C58" t="s">
        <v>25</v>
      </c>
      <c r="D58" t="s">
        <v>27</v>
      </c>
      <c r="E58" t="s">
        <v>16</v>
      </c>
      <c r="F58" t="s">
        <v>9</v>
      </c>
      <c r="G58" s="1626">
        <f>IF('3C'!E9="","##BLANK",'3C'!E9)</f>
        <v>-49.82</v>
      </c>
    </row>
    <row r="59" spans="1:7">
      <c r="A59" s="1620" t="str">
        <f>INDEX(Lists!$C$4:$C$24,MATCH(Validation!$B$3,Lists!$B$4:$B$24,0))</f>
        <v>TMS</v>
      </c>
      <c r="B59" t="str">
        <f>INDEX(Lists!$C$4:$C$24,MATCH(Validation!$B$3,Lists!$B$4:$B$24,0))&amp;"_AIM06"</f>
        <v>TMS_AIM06</v>
      </c>
      <c r="C59" t="s">
        <v>25</v>
      </c>
      <c r="D59" t="s">
        <v>27</v>
      </c>
      <c r="E59" t="s">
        <v>16</v>
      </c>
      <c r="F59" t="s">
        <v>9</v>
      </c>
      <c r="G59" s="1626" t="str">
        <f>IF('3C'!E10="","##BLANK",'3C'!E10)</f>
        <v>##BLANK</v>
      </c>
    </row>
    <row r="60" spans="1:7">
      <c r="A60" s="1620" t="str">
        <f>INDEX(Lists!$C$4:$C$24,MATCH(Validation!$B$3,Lists!$B$4:$B$24,0))</f>
        <v>TMS</v>
      </c>
      <c r="B60" t="str">
        <f>INDEX(Lists!$C$4:$C$24,MATCH(Validation!$B$3,Lists!$B$4:$B$24,0))&amp;"_AIM07"</f>
        <v>TMS_AIM07</v>
      </c>
      <c r="C60" t="s">
        <v>25</v>
      </c>
      <c r="D60" t="s">
        <v>27</v>
      </c>
      <c r="E60" t="s">
        <v>16</v>
      </c>
      <c r="F60" t="s">
        <v>9</v>
      </c>
      <c r="G60" s="1626" t="str">
        <f>IF('3C'!E11="","##BLANK",'3C'!E11)</f>
        <v>##BLANK</v>
      </c>
    </row>
    <row r="61" spans="1:7">
      <c r="A61" s="1620" t="str">
        <f>INDEX(Lists!$C$4:$C$24,MATCH(Validation!$B$3,Lists!$B$4:$B$24,0))</f>
        <v>TMS</v>
      </c>
      <c r="B61" t="str">
        <f>INDEX(Lists!$C$4:$C$24,MATCH(Validation!$B$3,Lists!$B$4:$B$24,0))&amp;"_AIM08"</f>
        <v>TMS_AIM08</v>
      </c>
      <c r="C61" t="s">
        <v>25</v>
      </c>
      <c r="D61" t="s">
        <v>27</v>
      </c>
      <c r="E61" t="s">
        <v>16</v>
      </c>
      <c r="F61" t="s">
        <v>9</v>
      </c>
      <c r="G61" s="1626" t="str">
        <f>IF('3C'!E12="","##BLANK",'3C'!E12)</f>
        <v>##BLANK</v>
      </c>
    </row>
    <row r="62" spans="1:7">
      <c r="A62" s="1620" t="str">
        <f>INDEX(Lists!$C$4:$C$24,MATCH(Validation!$B$3,Lists!$B$4:$B$24,0))</f>
        <v>TMS</v>
      </c>
      <c r="B62" t="str">
        <f>INDEX(Lists!$C$4:$C$24,MATCH(Validation!$B$3,Lists!$B$4:$B$24,0))&amp;"_AIM09"</f>
        <v>TMS_AIM09</v>
      </c>
      <c r="C62" t="s">
        <v>25</v>
      </c>
      <c r="D62" t="s">
        <v>27</v>
      </c>
      <c r="E62" t="s">
        <v>16</v>
      </c>
      <c r="F62" t="s">
        <v>9</v>
      </c>
      <c r="G62" s="1626" t="str">
        <f>IF('3C'!E13="","##BLANK",'3C'!E13)</f>
        <v>##BLANK</v>
      </c>
    </row>
    <row r="63" spans="1:7">
      <c r="A63" s="1620" t="str">
        <f>INDEX(Lists!$C$4:$C$24,MATCH(Validation!$B$3,Lists!$B$4:$B$24,0))</f>
        <v>TMS</v>
      </c>
      <c r="B63" t="str">
        <f>INDEX(Lists!$C$4:$C$24,MATCH(Validation!$B$3,Lists!$B$4:$B$24,0))&amp;"_AIM10"</f>
        <v>TMS_AIM10</v>
      </c>
      <c r="C63" t="s">
        <v>25</v>
      </c>
      <c r="D63" t="s">
        <v>27</v>
      </c>
      <c r="E63" t="s">
        <v>16</v>
      </c>
      <c r="F63" t="s">
        <v>9</v>
      </c>
      <c r="G63" s="1626" t="str">
        <f>IF('3C'!E14="","##BLANK",'3C'!E14)</f>
        <v>##BLANK</v>
      </c>
    </row>
    <row r="64" spans="1:7">
      <c r="A64" s="1620" t="str">
        <f>INDEX(Lists!$C$4:$C$24,MATCH(Validation!$B$3,Lists!$B$4:$B$24,0))</f>
        <v>TMS</v>
      </c>
      <c r="B64" t="str">
        <f>INDEX(Lists!$C$4:$C$24,MATCH(Validation!$B$3,Lists!$B$4:$B$24,0))&amp;"_AIM11"</f>
        <v>TMS_AIM11</v>
      </c>
      <c r="C64" t="s">
        <v>25</v>
      </c>
      <c r="D64" t="s">
        <v>27</v>
      </c>
      <c r="E64" t="s">
        <v>16</v>
      </c>
      <c r="F64" t="s">
        <v>9</v>
      </c>
      <c r="G64" s="1626" t="str">
        <f>IF('3C'!E15="","##BLANK",'3C'!E15)</f>
        <v>##BLANK</v>
      </c>
    </row>
    <row r="65" spans="1:7">
      <c r="A65" s="1620" t="str">
        <f>INDEX(Lists!$C$4:$C$24,MATCH(Validation!$B$3,Lists!$B$4:$B$24,0))</f>
        <v>TMS</v>
      </c>
      <c r="B65" t="str">
        <f>INDEX(Lists!$C$4:$C$24,MATCH(Validation!$B$3,Lists!$B$4:$B$24,0))&amp;"_AIM12"</f>
        <v>TMS_AIM12</v>
      </c>
      <c r="C65" t="s">
        <v>25</v>
      </c>
      <c r="D65" t="s">
        <v>27</v>
      </c>
      <c r="E65" t="s">
        <v>16</v>
      </c>
      <c r="F65" t="s">
        <v>9</v>
      </c>
      <c r="G65" s="1626" t="str">
        <f>IF('3C'!E16="","##BLANK",'3C'!E16)</f>
        <v>##BLANK</v>
      </c>
    </row>
    <row r="66" spans="1:7">
      <c r="A66" s="1620" t="str">
        <f>INDEX(Lists!$C$4:$C$24,MATCH(Validation!$B$3,Lists!$B$4:$B$24,0))</f>
        <v>TMS</v>
      </c>
      <c r="B66" t="str">
        <f>INDEX(Lists!$C$4:$C$24,MATCH(Validation!$B$3,Lists!$B$4:$B$24,0))&amp;"_AIM13"</f>
        <v>TMS_AIM13</v>
      </c>
      <c r="C66" t="s">
        <v>25</v>
      </c>
      <c r="D66" t="s">
        <v>27</v>
      </c>
      <c r="E66" t="s">
        <v>16</v>
      </c>
      <c r="F66" t="s">
        <v>9</v>
      </c>
      <c r="G66" s="1626" t="str">
        <f>IF('3C'!E17="","##BLANK",'3C'!E17)</f>
        <v>##BLANK</v>
      </c>
    </row>
    <row r="67" spans="1:7">
      <c r="A67" s="1620" t="str">
        <f>INDEX(Lists!$C$4:$C$24,MATCH(Validation!$B$3,Lists!$B$4:$B$24,0))</f>
        <v>TMS</v>
      </c>
      <c r="B67" t="str">
        <f>INDEX(Lists!$C$4:$C$24,MATCH(Validation!$B$3,Lists!$B$4:$B$24,0))&amp;"_AIM14"</f>
        <v>TMS_AIM14</v>
      </c>
      <c r="C67" t="s">
        <v>25</v>
      </c>
      <c r="D67" t="s">
        <v>27</v>
      </c>
      <c r="E67" t="s">
        <v>16</v>
      </c>
      <c r="F67" t="s">
        <v>9</v>
      </c>
      <c r="G67" s="1626" t="str">
        <f>IF('3C'!E18="","##BLANK",'3C'!E18)</f>
        <v>##BLANK</v>
      </c>
    </row>
    <row r="68" spans="1:7">
      <c r="A68" s="1620" t="str">
        <f>INDEX(Lists!$C$4:$C$24,MATCH(Validation!$B$3,Lists!$B$4:$B$24,0))</f>
        <v>TMS</v>
      </c>
      <c r="B68" t="str">
        <f>INDEX(Lists!$C$4:$C$24,MATCH(Validation!$B$3,Lists!$B$4:$B$24,0))&amp;"_AIM15"</f>
        <v>TMS_AIM15</v>
      </c>
      <c r="C68" t="s">
        <v>25</v>
      </c>
      <c r="D68" t="s">
        <v>27</v>
      </c>
      <c r="E68" t="s">
        <v>16</v>
      </c>
      <c r="F68" t="s">
        <v>9</v>
      </c>
      <c r="G68" s="1626" t="str">
        <f>IF('3C'!E19="","##BLANK",'3C'!E19)</f>
        <v>##BLANK</v>
      </c>
    </row>
    <row r="69" spans="1:7">
      <c r="A69" s="1620" t="str">
        <f>INDEX(Lists!$C$4:$C$24,MATCH(Validation!$B$3,Lists!$B$4:$B$24,0))</f>
        <v>TMS</v>
      </c>
      <c r="B69" t="str">
        <f>INDEX(Lists!$C$4:$C$24,MATCH(Validation!$B$3,Lists!$B$4:$B$24,0))&amp;"_AIM16"</f>
        <v>TMS_AIM16</v>
      </c>
      <c r="C69" t="s">
        <v>25</v>
      </c>
      <c r="D69" t="s">
        <v>27</v>
      </c>
      <c r="E69" t="s">
        <v>16</v>
      </c>
      <c r="F69" t="s">
        <v>9</v>
      </c>
      <c r="G69" s="1626" t="str">
        <f>IF('3C'!E20="","##BLANK",'3C'!E20)</f>
        <v>##BLANK</v>
      </c>
    </row>
    <row r="70" spans="1:7">
      <c r="A70" s="1620" t="str">
        <f>INDEX(Lists!$C$4:$C$24,MATCH(Validation!$B$3,Lists!$B$4:$B$24,0))</f>
        <v>TMS</v>
      </c>
      <c r="B70" t="str">
        <f>INDEX(Lists!$C$4:$C$24,MATCH(Validation!$B$3,Lists!$B$4:$B$24,0))&amp;"_AIM17"</f>
        <v>TMS_AIM17</v>
      </c>
      <c r="C70" t="s">
        <v>25</v>
      </c>
      <c r="D70" t="s">
        <v>27</v>
      </c>
      <c r="E70" t="s">
        <v>16</v>
      </c>
      <c r="F70" t="s">
        <v>9</v>
      </c>
      <c r="G70" s="1626" t="str">
        <f>IF('3C'!E21="","##BLANK",'3C'!E21)</f>
        <v>##BLANK</v>
      </c>
    </row>
    <row r="71" spans="1:7">
      <c r="A71" s="1620" t="str">
        <f>INDEX(Lists!$C$4:$C$24,MATCH(Validation!$B$3,Lists!$B$4:$B$24,0))</f>
        <v>TMS</v>
      </c>
      <c r="B71" t="str">
        <f>INDEX(Lists!$C$4:$C$24,MATCH(Validation!$B$3,Lists!$B$4:$B$24,0))&amp;"_AIM18"</f>
        <v>TMS_AIM18</v>
      </c>
      <c r="C71" t="s">
        <v>25</v>
      </c>
      <c r="D71" t="s">
        <v>27</v>
      </c>
      <c r="E71" t="s">
        <v>16</v>
      </c>
      <c r="F71" t="s">
        <v>9</v>
      </c>
      <c r="G71" s="1626" t="str">
        <f>IF('3C'!E22="","##BLANK",'3C'!E22)</f>
        <v>##BLANK</v>
      </c>
    </row>
    <row r="72" spans="1:7">
      <c r="A72" s="1620" t="str">
        <f>INDEX(Lists!$C$4:$C$24,MATCH(Validation!$B$3,Lists!$B$4:$B$24,0))</f>
        <v>TMS</v>
      </c>
      <c r="B72" t="str">
        <f>INDEX(Lists!$C$4:$C$24,MATCH(Validation!$B$3,Lists!$B$4:$B$24,0))&amp;"_AIM19"</f>
        <v>TMS_AIM19</v>
      </c>
      <c r="C72" t="s">
        <v>25</v>
      </c>
      <c r="D72" t="s">
        <v>27</v>
      </c>
      <c r="E72" t="s">
        <v>16</v>
      </c>
      <c r="F72" t="s">
        <v>9</v>
      </c>
      <c r="G72" s="1626" t="str">
        <f>IF('3C'!E23="","##BLANK",'3C'!E23)</f>
        <v>##BLANK</v>
      </c>
    </row>
    <row r="73" spans="1:7">
      <c r="A73" s="1620" t="str">
        <f>INDEX(Lists!$C$4:$C$24,MATCH(Validation!$B$3,Lists!$B$4:$B$24,0))</f>
        <v>TMS</v>
      </c>
      <c r="B73" t="str">
        <f>INDEX(Lists!$C$4:$C$24,MATCH(Validation!$B$3,Lists!$B$4:$B$24,0))&amp;"_AIM20"</f>
        <v>TMS_AIM20</v>
      </c>
      <c r="C73" t="s">
        <v>25</v>
      </c>
      <c r="D73" t="s">
        <v>27</v>
      </c>
      <c r="E73" t="s">
        <v>16</v>
      </c>
      <c r="F73" t="s">
        <v>9</v>
      </c>
      <c r="G73" s="1626" t="str">
        <f>IF('3C'!E24="","##BLANK",'3C'!E24)</f>
        <v>##BLANK</v>
      </c>
    </row>
    <row r="74" spans="1:7">
      <c r="A74" s="1620" t="str">
        <f>INDEX(Lists!$C$4:$C$24,MATCH(Validation!$B$3,Lists!$B$4:$B$24,0))</f>
        <v>TMS</v>
      </c>
      <c r="B74" t="str">
        <f>INDEX(Lists!$C$4:$C$24,MATCH(Validation!$B$3,Lists!$B$4:$B$24,0))&amp;"_AIM21"</f>
        <v>TMS_AIM21</v>
      </c>
      <c r="C74" t="s">
        <v>25</v>
      </c>
      <c r="D74" t="s">
        <v>27</v>
      </c>
      <c r="E74" t="s">
        <v>16</v>
      </c>
      <c r="F74" t="s">
        <v>9</v>
      </c>
      <c r="G74" s="1626" t="str">
        <f>IF('3C'!E25="","##BLANK",'3C'!E25)</f>
        <v>##BLANK</v>
      </c>
    </row>
    <row r="75" spans="1:7">
      <c r="A75" s="1620" t="str">
        <f>INDEX(Lists!$C$4:$C$24,MATCH(Validation!$B$3,Lists!$B$4:$B$24,0))</f>
        <v>TMS</v>
      </c>
      <c r="B75" t="str">
        <f>INDEX(Lists!$C$4:$C$24,MATCH(Validation!$B$3,Lists!$B$4:$B$24,0))&amp;"_AIM22"</f>
        <v>TMS_AIM22</v>
      </c>
      <c r="C75" t="s">
        <v>25</v>
      </c>
      <c r="D75" t="s">
        <v>27</v>
      </c>
      <c r="E75" t="s">
        <v>16</v>
      </c>
      <c r="F75" t="s">
        <v>9</v>
      </c>
      <c r="G75" s="1626" t="str">
        <f>IF('3C'!E26="","##BLANK",'3C'!E26)</f>
        <v>##BLANK</v>
      </c>
    </row>
    <row r="76" spans="1:7">
      <c r="A76" s="1620" t="str">
        <f>INDEX(Lists!$C$4:$C$24,MATCH(Validation!$B$3,Lists!$B$4:$B$24,0))</f>
        <v>TMS</v>
      </c>
      <c r="B76" t="str">
        <f>INDEX(Lists!$C$4:$C$24,MATCH(Validation!$B$3,Lists!$B$4:$B$24,0))&amp;"_AIM23"</f>
        <v>TMS_AIM23</v>
      </c>
      <c r="C76" t="s">
        <v>25</v>
      </c>
      <c r="D76" t="s">
        <v>27</v>
      </c>
      <c r="E76" t="s">
        <v>16</v>
      </c>
      <c r="F76" t="s">
        <v>9</v>
      </c>
      <c r="G76" s="1626" t="str">
        <f>IF('3C'!E27="","##BLANK",'3C'!E27)</f>
        <v>##BLANK</v>
      </c>
    </row>
    <row r="77" spans="1:7">
      <c r="A77" s="1620" t="str">
        <f>INDEX(Lists!$C$4:$C$24,MATCH(Validation!$B$3,Lists!$B$4:$B$24,0))</f>
        <v>TMS</v>
      </c>
      <c r="B77" t="str">
        <f>INDEX(Lists!$C$4:$C$24,MATCH(Validation!$B$3,Lists!$B$4:$B$24,0))&amp;"_AIM24"</f>
        <v>TMS_AIM24</v>
      </c>
      <c r="C77" t="s">
        <v>25</v>
      </c>
      <c r="D77" t="s">
        <v>27</v>
      </c>
      <c r="E77" t="s">
        <v>16</v>
      </c>
      <c r="F77" t="s">
        <v>9</v>
      </c>
      <c r="G77" s="1626" t="str">
        <f>IF('3C'!E28="","##BLANK",'3C'!E28)</f>
        <v>##BLANK</v>
      </c>
    </row>
    <row r="78" spans="1:7" ht="15" thickBot="1">
      <c r="A78" s="1621" t="str">
        <f>INDEX(Lists!$C$4:$C$24,MATCH(Validation!$B$3,Lists!$B$4:$B$24,0))</f>
        <v>TMS</v>
      </c>
      <c r="B78" s="1622" t="str">
        <f>INDEX(Lists!$C$4:$C$24,MATCH(Validation!$B$3,Lists!$B$4:$B$24,0))&amp;"_AIM25"</f>
        <v>TMS_AIM25</v>
      </c>
      <c r="C78" s="1622" t="s">
        <v>25</v>
      </c>
      <c r="D78" s="1622" t="s">
        <v>27</v>
      </c>
      <c r="E78" s="1622" t="s">
        <v>16</v>
      </c>
      <c r="F78" s="1622" t="s">
        <v>9</v>
      </c>
      <c r="G78" s="1628" t="str">
        <f>IF('3C'!E29="","##BLANK",'3C'!E29)</f>
        <v>##BLANK</v>
      </c>
    </row>
    <row r="79" spans="1:7">
      <c r="A79" s="1618" t="str">
        <f>INDEX(Lists!$C$4:$C$24,MATCH(Validation!$B$3,Lists!$B$4:$B$24,0))</f>
        <v>TMS</v>
      </c>
      <c r="B79" s="1619" t="str">
        <f>INDEX(Lists!$C$4:$C$24,MATCH(Validation!$B$3,Lists!$B$4:$B$24,0))&amp;"_AIM01"</f>
        <v>TMS_AIM01</v>
      </c>
      <c r="C79" s="1619" t="s">
        <v>28</v>
      </c>
      <c r="D79" s="1619" t="s">
        <v>29</v>
      </c>
      <c r="E79" s="1619" t="s">
        <v>11</v>
      </c>
      <c r="F79" s="1619" t="s">
        <v>9</v>
      </c>
      <c r="G79" s="1627">
        <f>IF('3C'!F5="","##BLANK",'3C'!F5)</f>
        <v>-0.21608630952380956</v>
      </c>
    </row>
    <row r="80" spans="1:7">
      <c r="A80" s="1620" t="str">
        <f>INDEX(Lists!$C$4:$C$24,MATCH(Validation!$B$3,Lists!$B$4:$B$24,0))</f>
        <v>TMS</v>
      </c>
      <c r="B80" t="str">
        <f>INDEX(Lists!$C$4:$C$24,MATCH(Validation!$B$3,Lists!$B$4:$B$24,0))&amp;"_AIM02"</f>
        <v>TMS_AIM02</v>
      </c>
      <c r="C80" t="s">
        <v>28</v>
      </c>
      <c r="D80" t="s">
        <v>29</v>
      </c>
      <c r="E80" t="s">
        <v>11</v>
      </c>
      <c r="F80" t="s">
        <v>9</v>
      </c>
      <c r="G80" s="1626">
        <f>IF('3C'!F6="","##BLANK",'3C'!F6)</f>
        <v>-0.16838716580247021</v>
      </c>
    </row>
    <row r="81" spans="1:7">
      <c r="A81" s="1620" t="str">
        <f>INDEX(Lists!$C$4:$C$24,MATCH(Validation!$B$3,Lists!$B$4:$B$24,0))</f>
        <v>TMS</v>
      </c>
      <c r="B81" t="str">
        <f>INDEX(Lists!$C$4:$C$24,MATCH(Validation!$B$3,Lists!$B$4:$B$24,0))&amp;"_AIM03"</f>
        <v>TMS_AIM03</v>
      </c>
      <c r="C81" t="s">
        <v>28</v>
      </c>
      <c r="D81" t="s">
        <v>29</v>
      </c>
      <c r="E81" t="s">
        <v>11</v>
      </c>
      <c r="F81" t="s">
        <v>9</v>
      </c>
      <c r="G81" s="1626">
        <f>IF('3C'!F7="","##BLANK",'3C'!F7)</f>
        <v>-9.065817409766129E-2</v>
      </c>
    </row>
    <row r="82" spans="1:7">
      <c r="A82" s="1620" t="str">
        <f>INDEX(Lists!$C$4:$C$24,MATCH(Validation!$B$3,Lists!$B$4:$B$24,0))</f>
        <v>TMS</v>
      </c>
      <c r="B82" t="str">
        <f>INDEX(Lists!$C$4:$C$24,MATCH(Validation!$B$3,Lists!$B$4:$B$24,0))&amp;"_AIM04"</f>
        <v>TMS_AIM04</v>
      </c>
      <c r="C82" t="s">
        <v>28</v>
      </c>
      <c r="D82" t="s">
        <v>29</v>
      </c>
      <c r="E82" t="s">
        <v>11</v>
      </c>
      <c r="F82" t="s">
        <v>9</v>
      </c>
      <c r="G82" s="1626">
        <f>IF('3C'!F8="","##BLANK",'3C'!F8)</f>
        <v>-8.0169620718462828E-2</v>
      </c>
    </row>
    <row r="83" spans="1:7">
      <c r="A83" s="1620" t="str">
        <f>INDEX(Lists!$C$4:$C$24,MATCH(Validation!$B$3,Lists!$B$4:$B$24,0))</f>
        <v>TMS</v>
      </c>
      <c r="B83" t="str">
        <f>INDEX(Lists!$C$4:$C$24,MATCH(Validation!$B$3,Lists!$B$4:$B$24,0))&amp;"_AIM05"</f>
        <v>TMS_AIM05</v>
      </c>
      <c r="C83" t="s">
        <v>28</v>
      </c>
      <c r="D83" t="s">
        <v>29</v>
      </c>
      <c r="E83" t="s">
        <v>11</v>
      </c>
      <c r="F83" t="s">
        <v>9</v>
      </c>
      <c r="G83" s="1626">
        <f>IF('3C'!F9="","##BLANK",'3C'!F9)</f>
        <v>-0.53523850451224753</v>
      </c>
    </row>
    <row r="84" spans="1:7">
      <c r="A84" s="1620" t="str">
        <f>INDEX(Lists!$C$4:$C$24,MATCH(Validation!$B$3,Lists!$B$4:$B$24,0))</f>
        <v>TMS</v>
      </c>
      <c r="B84" t="str">
        <f>INDEX(Lists!$C$4:$C$24,MATCH(Validation!$B$3,Lists!$B$4:$B$24,0))&amp;"_AIM06"</f>
        <v>TMS_AIM06</v>
      </c>
      <c r="C84" t="s">
        <v>28</v>
      </c>
      <c r="D84" t="s">
        <v>29</v>
      </c>
      <c r="E84" t="s">
        <v>11</v>
      </c>
      <c r="F84" t="s">
        <v>9</v>
      </c>
      <c r="G84" s="1626" t="str">
        <f>IF('3C'!F10="","##BLANK",'3C'!F10)</f>
        <v>##BLANK</v>
      </c>
    </row>
    <row r="85" spans="1:7">
      <c r="A85" s="1620" t="str">
        <f>INDEX(Lists!$C$4:$C$24,MATCH(Validation!$B$3,Lists!$B$4:$B$24,0))</f>
        <v>TMS</v>
      </c>
      <c r="B85" t="str">
        <f>INDEX(Lists!$C$4:$C$24,MATCH(Validation!$B$3,Lists!$B$4:$B$24,0))&amp;"_AIM07"</f>
        <v>TMS_AIM07</v>
      </c>
      <c r="C85" t="s">
        <v>28</v>
      </c>
      <c r="D85" t="s">
        <v>29</v>
      </c>
      <c r="E85" t="s">
        <v>11</v>
      </c>
      <c r="F85" t="s">
        <v>9</v>
      </c>
      <c r="G85" s="1626" t="str">
        <f>IF('3C'!F11="","##BLANK",'3C'!F11)</f>
        <v>##BLANK</v>
      </c>
    </row>
    <row r="86" spans="1:7">
      <c r="A86" s="1620" t="str">
        <f>INDEX(Lists!$C$4:$C$24,MATCH(Validation!$B$3,Lists!$B$4:$B$24,0))</f>
        <v>TMS</v>
      </c>
      <c r="B86" t="str">
        <f>INDEX(Lists!$C$4:$C$24,MATCH(Validation!$B$3,Lists!$B$4:$B$24,0))&amp;"_AIM08"</f>
        <v>TMS_AIM08</v>
      </c>
      <c r="C86" t="s">
        <v>28</v>
      </c>
      <c r="D86" t="s">
        <v>29</v>
      </c>
      <c r="E86" t="s">
        <v>11</v>
      </c>
      <c r="F86" t="s">
        <v>9</v>
      </c>
      <c r="G86" s="1626" t="str">
        <f>IF('3C'!F12="","##BLANK",'3C'!F12)</f>
        <v>##BLANK</v>
      </c>
    </row>
    <row r="87" spans="1:7">
      <c r="A87" s="1620" t="str">
        <f>INDEX(Lists!$C$4:$C$24,MATCH(Validation!$B$3,Lists!$B$4:$B$24,0))</f>
        <v>TMS</v>
      </c>
      <c r="B87" t="str">
        <f>INDEX(Lists!$C$4:$C$24,MATCH(Validation!$B$3,Lists!$B$4:$B$24,0))&amp;"_AIM09"</f>
        <v>TMS_AIM09</v>
      </c>
      <c r="C87" t="s">
        <v>28</v>
      </c>
      <c r="D87" t="s">
        <v>29</v>
      </c>
      <c r="E87" t="s">
        <v>11</v>
      </c>
      <c r="F87" t="s">
        <v>9</v>
      </c>
      <c r="G87" s="1626" t="str">
        <f>IF('3C'!F13="","##BLANK",'3C'!F13)</f>
        <v>##BLANK</v>
      </c>
    </row>
    <row r="88" spans="1:7">
      <c r="A88" s="1620" t="str">
        <f>INDEX(Lists!$C$4:$C$24,MATCH(Validation!$B$3,Lists!$B$4:$B$24,0))</f>
        <v>TMS</v>
      </c>
      <c r="B88" t="str">
        <f>INDEX(Lists!$C$4:$C$24,MATCH(Validation!$B$3,Lists!$B$4:$B$24,0))&amp;"_AIM10"</f>
        <v>TMS_AIM10</v>
      </c>
      <c r="C88" t="s">
        <v>28</v>
      </c>
      <c r="D88" t="s">
        <v>29</v>
      </c>
      <c r="E88" t="s">
        <v>11</v>
      </c>
      <c r="F88" t="s">
        <v>9</v>
      </c>
      <c r="G88" s="1626" t="str">
        <f>IF('3C'!F14="","##BLANK",'3C'!F14)</f>
        <v>##BLANK</v>
      </c>
    </row>
    <row r="89" spans="1:7">
      <c r="A89" s="1620" t="str">
        <f>INDEX(Lists!$C$4:$C$24,MATCH(Validation!$B$3,Lists!$B$4:$B$24,0))</f>
        <v>TMS</v>
      </c>
      <c r="B89" t="str">
        <f>INDEX(Lists!$C$4:$C$24,MATCH(Validation!$B$3,Lists!$B$4:$B$24,0))&amp;"_AIM11"</f>
        <v>TMS_AIM11</v>
      </c>
      <c r="C89" t="s">
        <v>28</v>
      </c>
      <c r="D89" t="s">
        <v>29</v>
      </c>
      <c r="E89" t="s">
        <v>11</v>
      </c>
      <c r="F89" t="s">
        <v>9</v>
      </c>
      <c r="G89" s="1626" t="str">
        <f>IF('3C'!F15="","##BLANK",'3C'!F15)</f>
        <v>##BLANK</v>
      </c>
    </row>
    <row r="90" spans="1:7">
      <c r="A90" s="1620" t="str">
        <f>INDEX(Lists!$C$4:$C$24,MATCH(Validation!$B$3,Lists!$B$4:$B$24,0))</f>
        <v>TMS</v>
      </c>
      <c r="B90" t="str">
        <f>INDEX(Lists!$C$4:$C$24,MATCH(Validation!$B$3,Lists!$B$4:$B$24,0))&amp;"_AIM12"</f>
        <v>TMS_AIM12</v>
      </c>
      <c r="C90" t="s">
        <v>28</v>
      </c>
      <c r="D90" t="s">
        <v>29</v>
      </c>
      <c r="E90" t="s">
        <v>11</v>
      </c>
      <c r="F90" t="s">
        <v>9</v>
      </c>
      <c r="G90" s="1626" t="str">
        <f>IF('3C'!F16="","##BLANK",'3C'!F16)</f>
        <v>##BLANK</v>
      </c>
    </row>
    <row r="91" spans="1:7">
      <c r="A91" s="1620" t="str">
        <f>INDEX(Lists!$C$4:$C$24,MATCH(Validation!$B$3,Lists!$B$4:$B$24,0))</f>
        <v>TMS</v>
      </c>
      <c r="B91" t="str">
        <f>INDEX(Lists!$C$4:$C$24,MATCH(Validation!$B$3,Lists!$B$4:$B$24,0))&amp;"_AIM13"</f>
        <v>TMS_AIM13</v>
      </c>
      <c r="C91" t="s">
        <v>28</v>
      </c>
      <c r="D91" t="s">
        <v>29</v>
      </c>
      <c r="E91" t="s">
        <v>11</v>
      </c>
      <c r="F91" t="s">
        <v>9</v>
      </c>
      <c r="G91" s="1626" t="str">
        <f>IF('3C'!F17="","##BLANK",'3C'!F17)</f>
        <v>##BLANK</v>
      </c>
    </row>
    <row r="92" spans="1:7">
      <c r="A92" s="1620" t="str">
        <f>INDEX(Lists!$C$4:$C$24,MATCH(Validation!$B$3,Lists!$B$4:$B$24,0))</f>
        <v>TMS</v>
      </c>
      <c r="B92" t="str">
        <f>INDEX(Lists!$C$4:$C$24,MATCH(Validation!$B$3,Lists!$B$4:$B$24,0))&amp;"_AIM14"</f>
        <v>TMS_AIM14</v>
      </c>
      <c r="C92" t="s">
        <v>28</v>
      </c>
      <c r="D92" t="s">
        <v>29</v>
      </c>
      <c r="E92" t="s">
        <v>11</v>
      </c>
      <c r="F92" t="s">
        <v>9</v>
      </c>
      <c r="G92" s="1626" t="str">
        <f>IF('3C'!F18="","##BLANK",'3C'!F18)</f>
        <v>##BLANK</v>
      </c>
    </row>
    <row r="93" spans="1:7">
      <c r="A93" s="1620" t="str">
        <f>INDEX(Lists!$C$4:$C$24,MATCH(Validation!$B$3,Lists!$B$4:$B$24,0))</f>
        <v>TMS</v>
      </c>
      <c r="B93" t="str">
        <f>INDEX(Lists!$C$4:$C$24,MATCH(Validation!$B$3,Lists!$B$4:$B$24,0))&amp;"_AIM15"</f>
        <v>TMS_AIM15</v>
      </c>
      <c r="C93" t="s">
        <v>28</v>
      </c>
      <c r="D93" t="s">
        <v>29</v>
      </c>
      <c r="E93" t="s">
        <v>11</v>
      </c>
      <c r="F93" t="s">
        <v>9</v>
      </c>
      <c r="G93" s="1626" t="str">
        <f>IF('3C'!F19="","##BLANK",'3C'!F19)</f>
        <v>##BLANK</v>
      </c>
    </row>
    <row r="94" spans="1:7">
      <c r="A94" s="1620" t="str">
        <f>INDEX(Lists!$C$4:$C$24,MATCH(Validation!$B$3,Lists!$B$4:$B$24,0))</f>
        <v>TMS</v>
      </c>
      <c r="B94" t="str">
        <f>INDEX(Lists!$C$4:$C$24,MATCH(Validation!$B$3,Lists!$B$4:$B$24,0))&amp;"_AIM16"</f>
        <v>TMS_AIM16</v>
      </c>
      <c r="C94" t="s">
        <v>28</v>
      </c>
      <c r="D94" t="s">
        <v>29</v>
      </c>
      <c r="E94" t="s">
        <v>11</v>
      </c>
      <c r="F94" t="s">
        <v>9</v>
      </c>
      <c r="G94" s="1626" t="str">
        <f>IF('3C'!F20="","##BLANK",'3C'!F20)</f>
        <v>##BLANK</v>
      </c>
    </row>
    <row r="95" spans="1:7">
      <c r="A95" s="1620" t="str">
        <f>INDEX(Lists!$C$4:$C$24,MATCH(Validation!$B$3,Lists!$B$4:$B$24,0))</f>
        <v>TMS</v>
      </c>
      <c r="B95" t="str">
        <f>INDEX(Lists!$C$4:$C$24,MATCH(Validation!$B$3,Lists!$B$4:$B$24,0))&amp;"_AIM17"</f>
        <v>TMS_AIM17</v>
      </c>
      <c r="C95" t="s">
        <v>28</v>
      </c>
      <c r="D95" t="s">
        <v>29</v>
      </c>
      <c r="E95" t="s">
        <v>11</v>
      </c>
      <c r="F95" t="s">
        <v>9</v>
      </c>
      <c r="G95" s="1626" t="str">
        <f>IF('3C'!F21="","##BLANK",'3C'!F21)</f>
        <v>##BLANK</v>
      </c>
    </row>
    <row r="96" spans="1:7">
      <c r="A96" s="1620" t="str">
        <f>INDEX(Lists!$C$4:$C$24,MATCH(Validation!$B$3,Lists!$B$4:$B$24,0))</f>
        <v>TMS</v>
      </c>
      <c r="B96" t="str">
        <f>INDEX(Lists!$C$4:$C$24,MATCH(Validation!$B$3,Lists!$B$4:$B$24,0))&amp;"_AIM18"</f>
        <v>TMS_AIM18</v>
      </c>
      <c r="C96" t="s">
        <v>28</v>
      </c>
      <c r="D96" t="s">
        <v>29</v>
      </c>
      <c r="E96" t="s">
        <v>11</v>
      </c>
      <c r="F96" t="s">
        <v>9</v>
      </c>
      <c r="G96" s="1626" t="str">
        <f>IF('3C'!F22="","##BLANK",'3C'!F22)</f>
        <v>##BLANK</v>
      </c>
    </row>
    <row r="97" spans="1:7">
      <c r="A97" s="1620" t="str">
        <f>INDEX(Lists!$C$4:$C$24,MATCH(Validation!$B$3,Lists!$B$4:$B$24,0))</f>
        <v>TMS</v>
      </c>
      <c r="B97" t="str">
        <f>INDEX(Lists!$C$4:$C$24,MATCH(Validation!$B$3,Lists!$B$4:$B$24,0))&amp;"_AIM19"</f>
        <v>TMS_AIM19</v>
      </c>
      <c r="C97" t="s">
        <v>28</v>
      </c>
      <c r="D97" t="s">
        <v>29</v>
      </c>
      <c r="E97" t="s">
        <v>11</v>
      </c>
      <c r="F97" t="s">
        <v>9</v>
      </c>
      <c r="G97" s="1626" t="str">
        <f>IF('3C'!F23="","##BLANK",'3C'!F23)</f>
        <v>##BLANK</v>
      </c>
    </row>
    <row r="98" spans="1:7">
      <c r="A98" s="1620" t="str">
        <f>INDEX(Lists!$C$4:$C$24,MATCH(Validation!$B$3,Lists!$B$4:$B$24,0))</f>
        <v>TMS</v>
      </c>
      <c r="B98" t="str">
        <f>INDEX(Lists!$C$4:$C$24,MATCH(Validation!$B$3,Lists!$B$4:$B$24,0))&amp;"_AIM20"</f>
        <v>TMS_AIM20</v>
      </c>
      <c r="C98" t="s">
        <v>28</v>
      </c>
      <c r="D98" t="s">
        <v>29</v>
      </c>
      <c r="E98" t="s">
        <v>11</v>
      </c>
      <c r="F98" t="s">
        <v>9</v>
      </c>
      <c r="G98" s="1626" t="str">
        <f>IF('3C'!F24="","##BLANK",'3C'!F24)</f>
        <v>##BLANK</v>
      </c>
    </row>
    <row r="99" spans="1:7">
      <c r="A99" s="1620" t="str">
        <f>INDEX(Lists!$C$4:$C$24,MATCH(Validation!$B$3,Lists!$B$4:$B$24,0))</f>
        <v>TMS</v>
      </c>
      <c r="B99" t="str">
        <f>INDEX(Lists!$C$4:$C$24,MATCH(Validation!$B$3,Lists!$B$4:$B$24,0))&amp;"_AIM21"</f>
        <v>TMS_AIM21</v>
      </c>
      <c r="C99" t="s">
        <v>28</v>
      </c>
      <c r="D99" t="s">
        <v>29</v>
      </c>
      <c r="E99" t="s">
        <v>11</v>
      </c>
      <c r="F99" t="s">
        <v>9</v>
      </c>
      <c r="G99" s="1626" t="str">
        <f>IF('3C'!F25="","##BLANK",'3C'!F25)</f>
        <v>##BLANK</v>
      </c>
    </row>
    <row r="100" spans="1:7">
      <c r="A100" s="1620" t="str">
        <f>INDEX(Lists!$C$4:$C$24,MATCH(Validation!$B$3,Lists!$B$4:$B$24,0))</f>
        <v>TMS</v>
      </c>
      <c r="B100" t="str">
        <f>INDEX(Lists!$C$4:$C$24,MATCH(Validation!$B$3,Lists!$B$4:$B$24,0))&amp;"_AIM22"</f>
        <v>TMS_AIM22</v>
      </c>
      <c r="C100" t="s">
        <v>28</v>
      </c>
      <c r="D100" t="s">
        <v>29</v>
      </c>
      <c r="E100" t="s">
        <v>11</v>
      </c>
      <c r="F100" t="s">
        <v>9</v>
      </c>
      <c r="G100" s="1626" t="str">
        <f>IF('3C'!F26="","##BLANK",'3C'!F26)</f>
        <v>##BLANK</v>
      </c>
    </row>
    <row r="101" spans="1:7">
      <c r="A101" s="1620" t="str">
        <f>INDEX(Lists!$C$4:$C$24,MATCH(Validation!$B$3,Lists!$B$4:$B$24,0))</f>
        <v>TMS</v>
      </c>
      <c r="B101" t="str">
        <f>INDEX(Lists!$C$4:$C$24,MATCH(Validation!$B$3,Lists!$B$4:$B$24,0))&amp;"_AIM23"</f>
        <v>TMS_AIM23</v>
      </c>
      <c r="C101" t="s">
        <v>28</v>
      </c>
      <c r="D101" t="s">
        <v>29</v>
      </c>
      <c r="E101" t="s">
        <v>11</v>
      </c>
      <c r="F101" t="s">
        <v>9</v>
      </c>
      <c r="G101" s="1626" t="str">
        <f>IF('3C'!F27="","##BLANK",'3C'!F27)</f>
        <v>##BLANK</v>
      </c>
    </row>
    <row r="102" spans="1:7">
      <c r="A102" s="1620" t="str">
        <f>INDEX(Lists!$C$4:$C$24,MATCH(Validation!$B$3,Lists!$B$4:$B$24,0))</f>
        <v>TMS</v>
      </c>
      <c r="B102" t="str">
        <f>INDEX(Lists!$C$4:$C$24,MATCH(Validation!$B$3,Lists!$B$4:$B$24,0))&amp;"_AIM24"</f>
        <v>TMS_AIM24</v>
      </c>
      <c r="C102" t="s">
        <v>28</v>
      </c>
      <c r="D102" t="s">
        <v>29</v>
      </c>
      <c r="E102" t="s">
        <v>11</v>
      </c>
      <c r="F102" t="s">
        <v>9</v>
      </c>
      <c r="G102" s="1626" t="str">
        <f>IF('3C'!F28="","##BLANK",'3C'!F28)</f>
        <v>##BLANK</v>
      </c>
    </row>
    <row r="103" spans="1:7" ht="15" thickBot="1">
      <c r="A103" s="1621" t="str">
        <f>INDEX(Lists!$C$4:$C$24,MATCH(Validation!$B$3,Lists!$B$4:$B$24,0))</f>
        <v>TMS</v>
      </c>
      <c r="B103" s="1622" t="str">
        <f>INDEX(Lists!$C$4:$C$24,MATCH(Validation!$B$3,Lists!$B$4:$B$24,0))&amp;"_AIM25"</f>
        <v>TMS_AIM25</v>
      </c>
      <c r="C103" s="1622" t="s">
        <v>28</v>
      </c>
      <c r="D103" s="1622" t="s">
        <v>29</v>
      </c>
      <c r="E103" s="1622" t="s">
        <v>11</v>
      </c>
      <c r="F103" s="1622" t="s">
        <v>9</v>
      </c>
      <c r="G103" s="1628" t="str">
        <f>IF('3C'!F29="","##BLANK",'3C'!F29)</f>
        <v>##BLANK</v>
      </c>
    </row>
    <row r="104" spans="1:7">
      <c r="A104" s="1618" t="str">
        <f>INDEX(Lists!$C$4:$C$24,MATCH(Validation!$B$3,Lists!$B$4:$B$24,0))</f>
        <v>TMS</v>
      </c>
      <c r="B104" s="1619" t="str">
        <f>INDEX(Lists!$C$4:$C$24,MATCH(Validation!$B$3,Lists!$B$4:$B$24,0))&amp;"_AIM01"</f>
        <v>TMS_AIM01</v>
      </c>
      <c r="C104" s="1619" t="s">
        <v>30</v>
      </c>
      <c r="D104" s="1619" t="s">
        <v>31</v>
      </c>
      <c r="E104" s="1619" t="s">
        <v>16</v>
      </c>
      <c r="F104" s="1619" t="s">
        <v>9</v>
      </c>
      <c r="G104" s="1627">
        <f>IF('3C'!G5="","##BLANK",'3C'!G5)</f>
        <v>-871.26</v>
      </c>
    </row>
    <row r="105" spans="1:7">
      <c r="A105" s="1620" t="str">
        <f>INDEX(Lists!$C$4:$C$24,MATCH(Validation!$B$3,Lists!$B$4:$B$24,0))</f>
        <v>TMS</v>
      </c>
      <c r="B105" t="str">
        <f>INDEX(Lists!$C$4:$C$24,MATCH(Validation!$B$3,Lists!$B$4:$B$24,0))&amp;"_AIM02"</f>
        <v>TMS_AIM02</v>
      </c>
      <c r="C105" t="s">
        <v>30</v>
      </c>
      <c r="D105" t="s">
        <v>31</v>
      </c>
      <c r="E105" t="s">
        <v>16</v>
      </c>
      <c r="F105" t="s">
        <v>9</v>
      </c>
      <c r="G105" s="1626">
        <f>IF('3C'!G6="","##BLANK",'3C'!G6)</f>
        <v>-494.85620286029945</v>
      </c>
    </row>
    <row r="106" spans="1:7">
      <c r="A106" s="1620" t="str">
        <f>INDEX(Lists!$C$4:$C$24,MATCH(Validation!$B$3,Lists!$B$4:$B$24,0))</f>
        <v>TMS</v>
      </c>
      <c r="B106" t="str">
        <f>INDEX(Lists!$C$4:$C$24,MATCH(Validation!$B$3,Lists!$B$4:$B$24,0))&amp;"_AIM03"</f>
        <v>TMS_AIM03</v>
      </c>
      <c r="C106" t="s">
        <v>30</v>
      </c>
      <c r="D106" t="s">
        <v>31</v>
      </c>
      <c r="E106" t="s">
        <v>16</v>
      </c>
      <c r="F106" t="s">
        <v>9</v>
      </c>
      <c r="G106" s="1626">
        <f>IF('3C'!G7="","##BLANK",'3C'!G7)</f>
        <v>-164.3949999999941</v>
      </c>
    </row>
    <row r="107" spans="1:7">
      <c r="A107" s="1620" t="str">
        <f>INDEX(Lists!$C$4:$C$24,MATCH(Validation!$B$3,Lists!$B$4:$B$24,0))</f>
        <v>TMS</v>
      </c>
      <c r="B107" t="str">
        <f>INDEX(Lists!$C$4:$C$24,MATCH(Validation!$B$3,Lists!$B$4:$B$24,0))&amp;"_AIM04"</f>
        <v>TMS_AIM04</v>
      </c>
      <c r="C107" t="s">
        <v>30</v>
      </c>
      <c r="D107" t="s">
        <v>31</v>
      </c>
      <c r="E107" t="s">
        <v>16</v>
      </c>
      <c r="F107" t="s">
        <v>9</v>
      </c>
      <c r="G107" s="1626">
        <f>IF('3C'!G8="","##BLANK",'3C'!G8)</f>
        <v>-95.963036000000002</v>
      </c>
    </row>
    <row r="108" spans="1:7">
      <c r="A108" s="1620" t="str">
        <f>INDEX(Lists!$C$4:$C$24,MATCH(Validation!$B$3,Lists!$B$4:$B$24,0))</f>
        <v>TMS</v>
      </c>
      <c r="B108" t="str">
        <f>INDEX(Lists!$C$4:$C$24,MATCH(Validation!$B$3,Lists!$B$4:$B$24,0))&amp;"_AIM05"</f>
        <v>TMS_AIM05</v>
      </c>
      <c r="C108" t="s">
        <v>30</v>
      </c>
      <c r="D108" t="s">
        <v>31</v>
      </c>
      <c r="E108" t="s">
        <v>16</v>
      </c>
      <c r="F108" t="s">
        <v>9</v>
      </c>
      <c r="G108" s="1626">
        <f>IF('3C'!G9="","##BLANK",'3C'!G9)</f>
        <v>-49.82</v>
      </c>
    </row>
    <row r="109" spans="1:7">
      <c r="A109" s="1620" t="str">
        <f>INDEX(Lists!$C$4:$C$24,MATCH(Validation!$B$3,Lists!$B$4:$B$24,0))</f>
        <v>TMS</v>
      </c>
      <c r="B109" t="str">
        <f>INDEX(Lists!$C$4:$C$24,MATCH(Validation!$B$3,Lists!$B$4:$B$24,0))&amp;"_AIM06"</f>
        <v>TMS_AIM06</v>
      </c>
      <c r="C109" t="s">
        <v>30</v>
      </c>
      <c r="D109" t="s">
        <v>31</v>
      </c>
      <c r="E109" t="s">
        <v>16</v>
      </c>
      <c r="F109" t="s">
        <v>9</v>
      </c>
      <c r="G109" s="1626" t="str">
        <f>IF('3C'!G10="","##BLANK",'3C'!G10)</f>
        <v>##BLANK</v>
      </c>
    </row>
    <row r="110" spans="1:7">
      <c r="A110" s="1620" t="str">
        <f>INDEX(Lists!$C$4:$C$24,MATCH(Validation!$B$3,Lists!$B$4:$B$24,0))</f>
        <v>TMS</v>
      </c>
      <c r="B110" t="str">
        <f>INDEX(Lists!$C$4:$C$24,MATCH(Validation!$B$3,Lists!$B$4:$B$24,0))&amp;"_AIM07"</f>
        <v>TMS_AIM07</v>
      </c>
      <c r="C110" t="s">
        <v>30</v>
      </c>
      <c r="D110" t="s">
        <v>31</v>
      </c>
      <c r="E110" t="s">
        <v>16</v>
      </c>
      <c r="F110" t="s">
        <v>9</v>
      </c>
      <c r="G110" s="1626" t="str">
        <f>IF('3C'!G11="","##BLANK",'3C'!G11)</f>
        <v>##BLANK</v>
      </c>
    </row>
    <row r="111" spans="1:7">
      <c r="A111" s="1620" t="str">
        <f>INDEX(Lists!$C$4:$C$24,MATCH(Validation!$B$3,Lists!$B$4:$B$24,0))</f>
        <v>TMS</v>
      </c>
      <c r="B111" t="str">
        <f>INDEX(Lists!$C$4:$C$24,MATCH(Validation!$B$3,Lists!$B$4:$B$24,0))&amp;"_AIM08"</f>
        <v>TMS_AIM08</v>
      </c>
      <c r="C111" t="s">
        <v>30</v>
      </c>
      <c r="D111" t="s">
        <v>31</v>
      </c>
      <c r="E111" t="s">
        <v>16</v>
      </c>
      <c r="F111" t="s">
        <v>9</v>
      </c>
      <c r="G111" s="1626" t="str">
        <f>IF('3C'!G12="","##BLANK",'3C'!G12)</f>
        <v>##BLANK</v>
      </c>
    </row>
    <row r="112" spans="1:7">
      <c r="A112" s="1620" t="str">
        <f>INDEX(Lists!$C$4:$C$24,MATCH(Validation!$B$3,Lists!$B$4:$B$24,0))</f>
        <v>TMS</v>
      </c>
      <c r="B112" t="str">
        <f>INDEX(Lists!$C$4:$C$24,MATCH(Validation!$B$3,Lists!$B$4:$B$24,0))&amp;"_AIM09"</f>
        <v>TMS_AIM09</v>
      </c>
      <c r="C112" t="s">
        <v>30</v>
      </c>
      <c r="D112" t="s">
        <v>31</v>
      </c>
      <c r="E112" t="s">
        <v>16</v>
      </c>
      <c r="F112" t="s">
        <v>9</v>
      </c>
      <c r="G112" s="1626" t="str">
        <f>IF('3C'!G13="","##BLANK",'3C'!G13)</f>
        <v>##BLANK</v>
      </c>
    </row>
    <row r="113" spans="1:7">
      <c r="A113" s="1620" t="str">
        <f>INDEX(Lists!$C$4:$C$24,MATCH(Validation!$B$3,Lists!$B$4:$B$24,0))</f>
        <v>TMS</v>
      </c>
      <c r="B113" t="str">
        <f>INDEX(Lists!$C$4:$C$24,MATCH(Validation!$B$3,Lists!$B$4:$B$24,0))&amp;"_AIM10"</f>
        <v>TMS_AIM10</v>
      </c>
      <c r="C113" t="s">
        <v>30</v>
      </c>
      <c r="D113" t="s">
        <v>31</v>
      </c>
      <c r="E113" t="s">
        <v>16</v>
      </c>
      <c r="F113" t="s">
        <v>9</v>
      </c>
      <c r="G113" s="1626" t="str">
        <f>IF('3C'!G14="","##BLANK",'3C'!G14)</f>
        <v>##BLANK</v>
      </c>
    </row>
    <row r="114" spans="1:7">
      <c r="A114" s="1620" t="str">
        <f>INDEX(Lists!$C$4:$C$24,MATCH(Validation!$B$3,Lists!$B$4:$B$24,0))</f>
        <v>TMS</v>
      </c>
      <c r="B114" t="str">
        <f>INDEX(Lists!$C$4:$C$24,MATCH(Validation!$B$3,Lists!$B$4:$B$24,0))&amp;"_AIM11"</f>
        <v>TMS_AIM11</v>
      </c>
      <c r="C114" t="s">
        <v>30</v>
      </c>
      <c r="D114" t="s">
        <v>31</v>
      </c>
      <c r="E114" t="s">
        <v>16</v>
      </c>
      <c r="F114" t="s">
        <v>9</v>
      </c>
      <c r="G114" s="1626" t="str">
        <f>IF('3C'!G15="","##BLANK",'3C'!G15)</f>
        <v>##BLANK</v>
      </c>
    </row>
    <row r="115" spans="1:7">
      <c r="A115" s="1620" t="str">
        <f>INDEX(Lists!$C$4:$C$24,MATCH(Validation!$B$3,Lists!$B$4:$B$24,0))</f>
        <v>TMS</v>
      </c>
      <c r="B115" t="str">
        <f>INDEX(Lists!$C$4:$C$24,MATCH(Validation!$B$3,Lists!$B$4:$B$24,0))&amp;"_AIM12"</f>
        <v>TMS_AIM12</v>
      </c>
      <c r="C115" t="s">
        <v>30</v>
      </c>
      <c r="D115" t="s">
        <v>31</v>
      </c>
      <c r="E115" t="s">
        <v>16</v>
      </c>
      <c r="F115" t="s">
        <v>9</v>
      </c>
      <c r="G115" s="1626" t="str">
        <f>IF('3C'!G16="","##BLANK",'3C'!G16)</f>
        <v>##BLANK</v>
      </c>
    </row>
    <row r="116" spans="1:7">
      <c r="A116" s="1620" t="str">
        <f>INDEX(Lists!$C$4:$C$24,MATCH(Validation!$B$3,Lists!$B$4:$B$24,0))</f>
        <v>TMS</v>
      </c>
      <c r="B116" t="str">
        <f>INDEX(Lists!$C$4:$C$24,MATCH(Validation!$B$3,Lists!$B$4:$B$24,0))&amp;"_AIM13"</f>
        <v>TMS_AIM13</v>
      </c>
      <c r="C116" t="s">
        <v>30</v>
      </c>
      <c r="D116" t="s">
        <v>31</v>
      </c>
      <c r="E116" t="s">
        <v>16</v>
      </c>
      <c r="F116" t="s">
        <v>9</v>
      </c>
      <c r="G116" s="1626" t="str">
        <f>IF('3C'!G17="","##BLANK",'3C'!G17)</f>
        <v>##BLANK</v>
      </c>
    </row>
    <row r="117" spans="1:7">
      <c r="A117" s="1620" t="str">
        <f>INDEX(Lists!$C$4:$C$24,MATCH(Validation!$B$3,Lists!$B$4:$B$24,0))</f>
        <v>TMS</v>
      </c>
      <c r="B117" t="str">
        <f>INDEX(Lists!$C$4:$C$24,MATCH(Validation!$B$3,Lists!$B$4:$B$24,0))&amp;"_AIM14"</f>
        <v>TMS_AIM14</v>
      </c>
      <c r="C117" t="s">
        <v>30</v>
      </c>
      <c r="D117" t="s">
        <v>31</v>
      </c>
      <c r="E117" t="s">
        <v>16</v>
      </c>
      <c r="F117" t="s">
        <v>9</v>
      </c>
      <c r="G117" s="1626" t="str">
        <f>IF('3C'!G18="","##BLANK",'3C'!G18)</f>
        <v>##BLANK</v>
      </c>
    </row>
    <row r="118" spans="1:7">
      <c r="A118" s="1620" t="str">
        <f>INDEX(Lists!$C$4:$C$24,MATCH(Validation!$B$3,Lists!$B$4:$B$24,0))</f>
        <v>TMS</v>
      </c>
      <c r="B118" t="str">
        <f>INDEX(Lists!$C$4:$C$24,MATCH(Validation!$B$3,Lists!$B$4:$B$24,0))&amp;"_AIM15"</f>
        <v>TMS_AIM15</v>
      </c>
      <c r="C118" t="s">
        <v>30</v>
      </c>
      <c r="D118" t="s">
        <v>31</v>
      </c>
      <c r="E118" t="s">
        <v>16</v>
      </c>
      <c r="F118" t="s">
        <v>9</v>
      </c>
      <c r="G118" s="1626" t="str">
        <f>IF('3C'!G19="","##BLANK",'3C'!G19)</f>
        <v>##BLANK</v>
      </c>
    </row>
    <row r="119" spans="1:7">
      <c r="A119" s="1620" t="str">
        <f>INDEX(Lists!$C$4:$C$24,MATCH(Validation!$B$3,Lists!$B$4:$B$24,0))</f>
        <v>TMS</v>
      </c>
      <c r="B119" t="str">
        <f>INDEX(Lists!$C$4:$C$24,MATCH(Validation!$B$3,Lists!$B$4:$B$24,0))&amp;"_AIM16"</f>
        <v>TMS_AIM16</v>
      </c>
      <c r="C119" t="s">
        <v>30</v>
      </c>
      <c r="D119" t="s">
        <v>31</v>
      </c>
      <c r="E119" t="s">
        <v>16</v>
      </c>
      <c r="F119" t="s">
        <v>9</v>
      </c>
      <c r="G119" s="1626" t="str">
        <f>IF('3C'!G20="","##BLANK",'3C'!G20)</f>
        <v>##BLANK</v>
      </c>
    </row>
    <row r="120" spans="1:7">
      <c r="A120" s="1620" t="str">
        <f>INDEX(Lists!$C$4:$C$24,MATCH(Validation!$B$3,Lists!$B$4:$B$24,0))</f>
        <v>TMS</v>
      </c>
      <c r="B120" t="str">
        <f>INDEX(Lists!$C$4:$C$24,MATCH(Validation!$B$3,Lists!$B$4:$B$24,0))&amp;"_AIM17"</f>
        <v>TMS_AIM17</v>
      </c>
      <c r="C120" t="s">
        <v>30</v>
      </c>
      <c r="D120" t="s">
        <v>31</v>
      </c>
      <c r="E120" t="s">
        <v>16</v>
      </c>
      <c r="F120" t="s">
        <v>9</v>
      </c>
      <c r="G120" s="1626" t="str">
        <f>IF('3C'!G21="","##BLANK",'3C'!G21)</f>
        <v>##BLANK</v>
      </c>
    </row>
    <row r="121" spans="1:7">
      <c r="A121" s="1620" t="str">
        <f>INDEX(Lists!$C$4:$C$24,MATCH(Validation!$B$3,Lists!$B$4:$B$24,0))</f>
        <v>TMS</v>
      </c>
      <c r="B121" t="str">
        <f>INDEX(Lists!$C$4:$C$24,MATCH(Validation!$B$3,Lists!$B$4:$B$24,0))&amp;"_AIM18"</f>
        <v>TMS_AIM18</v>
      </c>
      <c r="C121" t="s">
        <v>30</v>
      </c>
      <c r="D121" t="s">
        <v>31</v>
      </c>
      <c r="E121" t="s">
        <v>16</v>
      </c>
      <c r="F121" t="s">
        <v>9</v>
      </c>
      <c r="G121" s="1626" t="str">
        <f>IF('3C'!G22="","##BLANK",'3C'!G22)</f>
        <v>##BLANK</v>
      </c>
    </row>
    <row r="122" spans="1:7">
      <c r="A122" s="1620" t="str">
        <f>INDEX(Lists!$C$4:$C$24,MATCH(Validation!$B$3,Lists!$B$4:$B$24,0))</f>
        <v>TMS</v>
      </c>
      <c r="B122" t="str">
        <f>INDEX(Lists!$C$4:$C$24,MATCH(Validation!$B$3,Lists!$B$4:$B$24,0))&amp;"_AIM19"</f>
        <v>TMS_AIM19</v>
      </c>
      <c r="C122" t="s">
        <v>30</v>
      </c>
      <c r="D122" t="s">
        <v>31</v>
      </c>
      <c r="E122" t="s">
        <v>16</v>
      </c>
      <c r="F122" t="s">
        <v>9</v>
      </c>
      <c r="G122" s="1626" t="str">
        <f>IF('3C'!G23="","##BLANK",'3C'!G23)</f>
        <v>##BLANK</v>
      </c>
    </row>
    <row r="123" spans="1:7">
      <c r="A123" s="1620" t="str">
        <f>INDEX(Lists!$C$4:$C$24,MATCH(Validation!$B$3,Lists!$B$4:$B$24,0))</f>
        <v>TMS</v>
      </c>
      <c r="B123" t="str">
        <f>INDEX(Lists!$C$4:$C$24,MATCH(Validation!$B$3,Lists!$B$4:$B$24,0))&amp;"_AIM20"</f>
        <v>TMS_AIM20</v>
      </c>
      <c r="C123" t="s">
        <v>30</v>
      </c>
      <c r="D123" t="s">
        <v>31</v>
      </c>
      <c r="E123" t="s">
        <v>16</v>
      </c>
      <c r="F123" t="s">
        <v>9</v>
      </c>
      <c r="G123" s="1626" t="str">
        <f>IF('3C'!G24="","##BLANK",'3C'!G24)</f>
        <v>##BLANK</v>
      </c>
    </row>
    <row r="124" spans="1:7">
      <c r="A124" s="1620" t="str">
        <f>INDEX(Lists!$C$4:$C$24,MATCH(Validation!$B$3,Lists!$B$4:$B$24,0))</f>
        <v>TMS</v>
      </c>
      <c r="B124" t="str">
        <f>INDEX(Lists!$C$4:$C$24,MATCH(Validation!$B$3,Lists!$B$4:$B$24,0))&amp;"_AIM21"</f>
        <v>TMS_AIM21</v>
      </c>
      <c r="C124" t="s">
        <v>30</v>
      </c>
      <c r="D124" t="s">
        <v>31</v>
      </c>
      <c r="E124" t="s">
        <v>16</v>
      </c>
      <c r="F124" t="s">
        <v>9</v>
      </c>
      <c r="G124" s="1626" t="str">
        <f>IF('3C'!G25="","##BLANK",'3C'!G25)</f>
        <v>##BLANK</v>
      </c>
    </row>
    <row r="125" spans="1:7">
      <c r="A125" s="1620" t="str">
        <f>INDEX(Lists!$C$4:$C$24,MATCH(Validation!$B$3,Lists!$B$4:$B$24,0))</f>
        <v>TMS</v>
      </c>
      <c r="B125" t="str">
        <f>INDEX(Lists!$C$4:$C$24,MATCH(Validation!$B$3,Lists!$B$4:$B$24,0))&amp;"_AIM22"</f>
        <v>TMS_AIM22</v>
      </c>
      <c r="C125" t="s">
        <v>30</v>
      </c>
      <c r="D125" t="s">
        <v>31</v>
      </c>
      <c r="E125" t="s">
        <v>16</v>
      </c>
      <c r="F125" t="s">
        <v>9</v>
      </c>
      <c r="G125" s="1626" t="str">
        <f>IF('3C'!G26="","##BLANK",'3C'!G26)</f>
        <v>##BLANK</v>
      </c>
    </row>
    <row r="126" spans="1:7">
      <c r="A126" s="1620" t="str">
        <f>INDEX(Lists!$C$4:$C$24,MATCH(Validation!$B$3,Lists!$B$4:$B$24,0))</f>
        <v>TMS</v>
      </c>
      <c r="B126" t="str">
        <f>INDEX(Lists!$C$4:$C$24,MATCH(Validation!$B$3,Lists!$B$4:$B$24,0))&amp;"_AIM23"</f>
        <v>TMS_AIM23</v>
      </c>
      <c r="C126" t="s">
        <v>30</v>
      </c>
      <c r="D126" t="s">
        <v>31</v>
      </c>
      <c r="E126" t="s">
        <v>16</v>
      </c>
      <c r="F126" t="s">
        <v>9</v>
      </c>
      <c r="G126" s="1626" t="str">
        <f>IF('3C'!G27="","##BLANK",'3C'!G27)</f>
        <v>##BLANK</v>
      </c>
    </row>
    <row r="127" spans="1:7">
      <c r="A127" s="1620" t="str">
        <f>INDEX(Lists!$C$4:$C$24,MATCH(Validation!$B$3,Lists!$B$4:$B$24,0))</f>
        <v>TMS</v>
      </c>
      <c r="B127" t="str">
        <f>INDEX(Lists!$C$4:$C$24,MATCH(Validation!$B$3,Lists!$B$4:$B$24,0))&amp;"_AIM24"</f>
        <v>TMS_AIM24</v>
      </c>
      <c r="C127" t="s">
        <v>30</v>
      </c>
      <c r="D127" t="s">
        <v>31</v>
      </c>
      <c r="E127" t="s">
        <v>16</v>
      </c>
      <c r="F127" t="s">
        <v>9</v>
      </c>
      <c r="G127" s="1626" t="str">
        <f>IF('3C'!G28="","##BLANK",'3C'!G28)</f>
        <v>##BLANK</v>
      </c>
    </row>
    <row r="128" spans="1:7" ht="15" thickBot="1">
      <c r="A128" s="1621" t="str">
        <f>INDEX(Lists!$C$4:$C$24,MATCH(Validation!$B$3,Lists!$B$4:$B$24,0))</f>
        <v>TMS</v>
      </c>
      <c r="B128" s="1622" t="str">
        <f>INDEX(Lists!$C$4:$C$24,MATCH(Validation!$B$3,Lists!$B$4:$B$24,0))&amp;"_AIM25"</f>
        <v>TMS_AIM25</v>
      </c>
      <c r="C128" s="1622" t="s">
        <v>30</v>
      </c>
      <c r="D128" s="1622" t="s">
        <v>31</v>
      </c>
      <c r="E128" s="1622" t="s">
        <v>16</v>
      </c>
      <c r="F128" s="1622" t="s">
        <v>9</v>
      </c>
      <c r="G128" s="1628" t="str">
        <f>IF('3C'!G29="","##BLANK",'3C'!G29)</f>
        <v>##BLANK</v>
      </c>
    </row>
    <row r="129" spans="1:7">
      <c r="A129" s="1618" t="str">
        <f>INDEX(Lists!$C$4:$C$24,MATCH(Validation!$B$3,Lists!$B$4:$B$24,0))</f>
        <v>TMS</v>
      </c>
      <c r="B129" s="1619" t="str">
        <f>INDEX(Lists!$C$4:$C$24,MATCH(Validation!$B$3,Lists!$B$4:$B$24,0))&amp;"_AIM01"</f>
        <v>TMS_AIM01</v>
      </c>
      <c r="C129" s="1619" t="s">
        <v>32</v>
      </c>
      <c r="D129" s="1619" t="s">
        <v>33</v>
      </c>
      <c r="E129" s="1619" t="s">
        <v>11</v>
      </c>
      <c r="F129" s="1619" t="s">
        <v>9</v>
      </c>
      <c r="G129" s="1627">
        <f>IF('3C'!H5="","##BLANK",'3C'!H5)</f>
        <v>-0.21608630952380956</v>
      </c>
    </row>
    <row r="130" spans="1:7">
      <c r="A130" s="1620" t="str">
        <f>INDEX(Lists!$C$4:$C$24,MATCH(Validation!$B$3,Lists!$B$4:$B$24,0))</f>
        <v>TMS</v>
      </c>
      <c r="B130" t="str">
        <f>INDEX(Lists!$C$4:$C$24,MATCH(Validation!$B$3,Lists!$B$4:$B$24,0))&amp;"_AIM02"</f>
        <v>TMS_AIM02</v>
      </c>
      <c r="C130" t="s">
        <v>32</v>
      </c>
      <c r="D130" t="s">
        <v>33</v>
      </c>
      <c r="E130" t="s">
        <v>11</v>
      </c>
      <c r="F130" t="s">
        <v>9</v>
      </c>
      <c r="G130" s="1626">
        <f>IF('3C'!H6="","##BLANK",'3C'!H6)</f>
        <v>-0.16838716580247021</v>
      </c>
    </row>
    <row r="131" spans="1:7">
      <c r="A131" s="1620" t="str">
        <f>INDEX(Lists!$C$4:$C$24,MATCH(Validation!$B$3,Lists!$B$4:$B$24,0))</f>
        <v>TMS</v>
      </c>
      <c r="B131" t="str">
        <f>INDEX(Lists!$C$4:$C$24,MATCH(Validation!$B$3,Lists!$B$4:$B$24,0))&amp;"_AIM03"</f>
        <v>TMS_AIM03</v>
      </c>
      <c r="C131" t="s">
        <v>32</v>
      </c>
      <c r="D131" t="s">
        <v>33</v>
      </c>
      <c r="E131" t="s">
        <v>11</v>
      </c>
      <c r="F131" t="s">
        <v>9</v>
      </c>
      <c r="G131" s="1626">
        <f>IF('3C'!H7="","##BLANK",'3C'!H7)</f>
        <v>-9.065817409766129E-2</v>
      </c>
    </row>
    <row r="132" spans="1:7">
      <c r="A132" s="1620" t="str">
        <f>INDEX(Lists!$C$4:$C$24,MATCH(Validation!$B$3,Lists!$B$4:$B$24,0))</f>
        <v>TMS</v>
      </c>
      <c r="B132" t="str">
        <f>INDEX(Lists!$C$4:$C$24,MATCH(Validation!$B$3,Lists!$B$4:$B$24,0))&amp;"_AIM04"</f>
        <v>TMS_AIM04</v>
      </c>
      <c r="C132" t="s">
        <v>32</v>
      </c>
      <c r="D132" t="s">
        <v>33</v>
      </c>
      <c r="E132" t="s">
        <v>11</v>
      </c>
      <c r="F132" t="s">
        <v>9</v>
      </c>
      <c r="G132" s="1626">
        <f>IF('3C'!H8="","##BLANK",'3C'!H8)</f>
        <v>-8.0169620718462828E-2</v>
      </c>
    </row>
    <row r="133" spans="1:7">
      <c r="A133" s="1620" t="str">
        <f>INDEX(Lists!$C$4:$C$24,MATCH(Validation!$B$3,Lists!$B$4:$B$24,0))</f>
        <v>TMS</v>
      </c>
      <c r="B133" t="str">
        <f>INDEX(Lists!$C$4:$C$24,MATCH(Validation!$B$3,Lists!$B$4:$B$24,0))&amp;"_AIM05"</f>
        <v>TMS_AIM05</v>
      </c>
      <c r="C133" t="s">
        <v>32</v>
      </c>
      <c r="D133" t="s">
        <v>33</v>
      </c>
      <c r="E133" t="s">
        <v>11</v>
      </c>
      <c r="F133" t="s">
        <v>9</v>
      </c>
      <c r="G133" s="1626">
        <f>IF('3C'!H9="","##BLANK",'3C'!H9)</f>
        <v>-0.53523850451224753</v>
      </c>
    </row>
    <row r="134" spans="1:7">
      <c r="A134" s="1620" t="str">
        <f>INDEX(Lists!$C$4:$C$24,MATCH(Validation!$B$3,Lists!$B$4:$B$24,0))</f>
        <v>TMS</v>
      </c>
      <c r="B134" t="str">
        <f>INDEX(Lists!$C$4:$C$24,MATCH(Validation!$B$3,Lists!$B$4:$B$24,0))&amp;"_AIM06"</f>
        <v>TMS_AIM06</v>
      </c>
      <c r="C134" t="s">
        <v>32</v>
      </c>
      <c r="D134" t="s">
        <v>33</v>
      </c>
      <c r="E134" t="s">
        <v>11</v>
      </c>
      <c r="F134" t="s">
        <v>9</v>
      </c>
      <c r="G134" s="1626" t="str">
        <f>IF('3C'!H10="","##BLANK",'3C'!H10)</f>
        <v>##BLANK</v>
      </c>
    </row>
    <row r="135" spans="1:7">
      <c r="A135" s="1620" t="str">
        <f>INDEX(Lists!$C$4:$C$24,MATCH(Validation!$B$3,Lists!$B$4:$B$24,0))</f>
        <v>TMS</v>
      </c>
      <c r="B135" t="str">
        <f>INDEX(Lists!$C$4:$C$24,MATCH(Validation!$B$3,Lists!$B$4:$B$24,0))&amp;"_AIM07"</f>
        <v>TMS_AIM07</v>
      </c>
      <c r="C135" t="s">
        <v>32</v>
      </c>
      <c r="D135" t="s">
        <v>33</v>
      </c>
      <c r="E135" t="s">
        <v>11</v>
      </c>
      <c r="F135" t="s">
        <v>9</v>
      </c>
      <c r="G135" s="1626" t="str">
        <f>IF('3C'!H11="","##BLANK",'3C'!H11)</f>
        <v>##BLANK</v>
      </c>
    </row>
    <row r="136" spans="1:7">
      <c r="A136" s="1620" t="str">
        <f>INDEX(Lists!$C$4:$C$24,MATCH(Validation!$B$3,Lists!$B$4:$B$24,0))</f>
        <v>TMS</v>
      </c>
      <c r="B136" t="str">
        <f>INDEX(Lists!$C$4:$C$24,MATCH(Validation!$B$3,Lists!$B$4:$B$24,0))&amp;"_AIM08"</f>
        <v>TMS_AIM08</v>
      </c>
      <c r="C136" t="s">
        <v>32</v>
      </c>
      <c r="D136" t="s">
        <v>33</v>
      </c>
      <c r="E136" t="s">
        <v>11</v>
      </c>
      <c r="F136" t="s">
        <v>9</v>
      </c>
      <c r="G136" s="1626" t="str">
        <f>IF('3C'!H12="","##BLANK",'3C'!H12)</f>
        <v>##BLANK</v>
      </c>
    </row>
    <row r="137" spans="1:7">
      <c r="A137" s="1620" t="str">
        <f>INDEX(Lists!$C$4:$C$24,MATCH(Validation!$B$3,Lists!$B$4:$B$24,0))</f>
        <v>TMS</v>
      </c>
      <c r="B137" t="str">
        <f>INDEX(Lists!$C$4:$C$24,MATCH(Validation!$B$3,Lists!$B$4:$B$24,0))&amp;"_AIM09"</f>
        <v>TMS_AIM09</v>
      </c>
      <c r="C137" t="s">
        <v>32</v>
      </c>
      <c r="D137" t="s">
        <v>33</v>
      </c>
      <c r="E137" t="s">
        <v>11</v>
      </c>
      <c r="F137" t="s">
        <v>9</v>
      </c>
      <c r="G137" s="1626" t="str">
        <f>IF('3C'!H13="","##BLANK",'3C'!H13)</f>
        <v>##BLANK</v>
      </c>
    </row>
    <row r="138" spans="1:7">
      <c r="A138" s="1620" t="str">
        <f>INDEX(Lists!$C$4:$C$24,MATCH(Validation!$B$3,Lists!$B$4:$B$24,0))</f>
        <v>TMS</v>
      </c>
      <c r="B138" t="str">
        <f>INDEX(Lists!$C$4:$C$24,MATCH(Validation!$B$3,Lists!$B$4:$B$24,0))&amp;"_AIM10"</f>
        <v>TMS_AIM10</v>
      </c>
      <c r="C138" t="s">
        <v>32</v>
      </c>
      <c r="D138" t="s">
        <v>33</v>
      </c>
      <c r="E138" t="s">
        <v>11</v>
      </c>
      <c r="F138" t="s">
        <v>9</v>
      </c>
      <c r="G138" s="1626" t="str">
        <f>IF('3C'!H14="","##BLANK",'3C'!H14)</f>
        <v>##BLANK</v>
      </c>
    </row>
    <row r="139" spans="1:7">
      <c r="A139" s="1620" t="str">
        <f>INDEX(Lists!$C$4:$C$24,MATCH(Validation!$B$3,Lists!$B$4:$B$24,0))</f>
        <v>TMS</v>
      </c>
      <c r="B139" t="str">
        <f>INDEX(Lists!$C$4:$C$24,MATCH(Validation!$B$3,Lists!$B$4:$B$24,0))&amp;"_AIM11"</f>
        <v>TMS_AIM11</v>
      </c>
      <c r="C139" t="s">
        <v>32</v>
      </c>
      <c r="D139" t="s">
        <v>33</v>
      </c>
      <c r="E139" t="s">
        <v>11</v>
      </c>
      <c r="F139" t="s">
        <v>9</v>
      </c>
      <c r="G139" s="1626" t="str">
        <f>IF('3C'!H15="","##BLANK",'3C'!H15)</f>
        <v>##BLANK</v>
      </c>
    </row>
    <row r="140" spans="1:7">
      <c r="A140" s="1620" t="str">
        <f>INDEX(Lists!$C$4:$C$24,MATCH(Validation!$B$3,Lists!$B$4:$B$24,0))</f>
        <v>TMS</v>
      </c>
      <c r="B140" t="str">
        <f>INDEX(Lists!$C$4:$C$24,MATCH(Validation!$B$3,Lists!$B$4:$B$24,0))&amp;"_AIM12"</f>
        <v>TMS_AIM12</v>
      </c>
      <c r="C140" t="s">
        <v>32</v>
      </c>
      <c r="D140" t="s">
        <v>33</v>
      </c>
      <c r="E140" t="s">
        <v>11</v>
      </c>
      <c r="F140" t="s">
        <v>9</v>
      </c>
      <c r="G140" s="1626" t="str">
        <f>IF('3C'!H16="","##BLANK",'3C'!H16)</f>
        <v>##BLANK</v>
      </c>
    </row>
    <row r="141" spans="1:7">
      <c r="A141" s="1620" t="str">
        <f>INDEX(Lists!$C$4:$C$24,MATCH(Validation!$B$3,Lists!$B$4:$B$24,0))</f>
        <v>TMS</v>
      </c>
      <c r="B141" t="str">
        <f>INDEX(Lists!$C$4:$C$24,MATCH(Validation!$B$3,Lists!$B$4:$B$24,0))&amp;"_AIM13"</f>
        <v>TMS_AIM13</v>
      </c>
      <c r="C141" t="s">
        <v>32</v>
      </c>
      <c r="D141" t="s">
        <v>33</v>
      </c>
      <c r="E141" t="s">
        <v>11</v>
      </c>
      <c r="F141" t="s">
        <v>9</v>
      </c>
      <c r="G141" s="1626" t="str">
        <f>IF('3C'!H17="","##BLANK",'3C'!H17)</f>
        <v>##BLANK</v>
      </c>
    </row>
    <row r="142" spans="1:7">
      <c r="A142" s="1620" t="str">
        <f>INDEX(Lists!$C$4:$C$24,MATCH(Validation!$B$3,Lists!$B$4:$B$24,0))</f>
        <v>TMS</v>
      </c>
      <c r="B142" t="str">
        <f>INDEX(Lists!$C$4:$C$24,MATCH(Validation!$B$3,Lists!$B$4:$B$24,0))&amp;"_AIM14"</f>
        <v>TMS_AIM14</v>
      </c>
      <c r="C142" t="s">
        <v>32</v>
      </c>
      <c r="D142" t="s">
        <v>33</v>
      </c>
      <c r="E142" t="s">
        <v>11</v>
      </c>
      <c r="F142" t="s">
        <v>9</v>
      </c>
      <c r="G142" s="1626" t="str">
        <f>IF('3C'!H18="","##BLANK",'3C'!H18)</f>
        <v>##BLANK</v>
      </c>
    </row>
    <row r="143" spans="1:7">
      <c r="A143" s="1620" t="str">
        <f>INDEX(Lists!$C$4:$C$24,MATCH(Validation!$B$3,Lists!$B$4:$B$24,0))</f>
        <v>TMS</v>
      </c>
      <c r="B143" t="str">
        <f>INDEX(Lists!$C$4:$C$24,MATCH(Validation!$B$3,Lists!$B$4:$B$24,0))&amp;"_AIM15"</f>
        <v>TMS_AIM15</v>
      </c>
      <c r="C143" t="s">
        <v>32</v>
      </c>
      <c r="D143" t="s">
        <v>33</v>
      </c>
      <c r="E143" t="s">
        <v>11</v>
      </c>
      <c r="F143" t="s">
        <v>9</v>
      </c>
      <c r="G143" s="1626" t="str">
        <f>IF('3C'!H19="","##BLANK",'3C'!H19)</f>
        <v>##BLANK</v>
      </c>
    </row>
    <row r="144" spans="1:7">
      <c r="A144" s="1620" t="str">
        <f>INDEX(Lists!$C$4:$C$24,MATCH(Validation!$B$3,Lists!$B$4:$B$24,0))</f>
        <v>TMS</v>
      </c>
      <c r="B144" t="str">
        <f>INDEX(Lists!$C$4:$C$24,MATCH(Validation!$B$3,Lists!$B$4:$B$24,0))&amp;"_AIM16"</f>
        <v>TMS_AIM16</v>
      </c>
      <c r="C144" t="s">
        <v>32</v>
      </c>
      <c r="D144" t="s">
        <v>33</v>
      </c>
      <c r="E144" t="s">
        <v>11</v>
      </c>
      <c r="F144" t="s">
        <v>9</v>
      </c>
      <c r="G144" s="1626" t="str">
        <f>IF('3C'!H20="","##BLANK",'3C'!H20)</f>
        <v>##BLANK</v>
      </c>
    </row>
    <row r="145" spans="1:7">
      <c r="A145" s="1620" t="str">
        <f>INDEX(Lists!$C$4:$C$24,MATCH(Validation!$B$3,Lists!$B$4:$B$24,0))</f>
        <v>TMS</v>
      </c>
      <c r="B145" t="str">
        <f>INDEX(Lists!$C$4:$C$24,MATCH(Validation!$B$3,Lists!$B$4:$B$24,0))&amp;"_AIM17"</f>
        <v>TMS_AIM17</v>
      </c>
      <c r="C145" t="s">
        <v>32</v>
      </c>
      <c r="D145" t="s">
        <v>33</v>
      </c>
      <c r="E145" t="s">
        <v>11</v>
      </c>
      <c r="F145" t="s">
        <v>9</v>
      </c>
      <c r="G145" s="1626" t="str">
        <f>IF('3C'!H21="","##BLANK",'3C'!H21)</f>
        <v>##BLANK</v>
      </c>
    </row>
    <row r="146" spans="1:7">
      <c r="A146" s="1620" t="str">
        <f>INDEX(Lists!$C$4:$C$24,MATCH(Validation!$B$3,Lists!$B$4:$B$24,0))</f>
        <v>TMS</v>
      </c>
      <c r="B146" t="str">
        <f>INDEX(Lists!$C$4:$C$24,MATCH(Validation!$B$3,Lists!$B$4:$B$24,0))&amp;"_AIM18"</f>
        <v>TMS_AIM18</v>
      </c>
      <c r="C146" t="s">
        <v>32</v>
      </c>
      <c r="D146" t="s">
        <v>33</v>
      </c>
      <c r="E146" t="s">
        <v>11</v>
      </c>
      <c r="F146" t="s">
        <v>9</v>
      </c>
      <c r="G146" s="1626" t="str">
        <f>IF('3C'!H22="","##BLANK",'3C'!H22)</f>
        <v>##BLANK</v>
      </c>
    </row>
    <row r="147" spans="1:7">
      <c r="A147" s="1620" t="str">
        <f>INDEX(Lists!$C$4:$C$24,MATCH(Validation!$B$3,Lists!$B$4:$B$24,0))</f>
        <v>TMS</v>
      </c>
      <c r="B147" t="str">
        <f>INDEX(Lists!$C$4:$C$24,MATCH(Validation!$B$3,Lists!$B$4:$B$24,0))&amp;"_AIM19"</f>
        <v>TMS_AIM19</v>
      </c>
      <c r="C147" t="s">
        <v>32</v>
      </c>
      <c r="D147" t="s">
        <v>33</v>
      </c>
      <c r="E147" t="s">
        <v>11</v>
      </c>
      <c r="F147" t="s">
        <v>9</v>
      </c>
      <c r="G147" s="1626" t="str">
        <f>IF('3C'!H23="","##BLANK",'3C'!H23)</f>
        <v>##BLANK</v>
      </c>
    </row>
    <row r="148" spans="1:7">
      <c r="A148" s="1620" t="str">
        <f>INDEX(Lists!$C$4:$C$24,MATCH(Validation!$B$3,Lists!$B$4:$B$24,0))</f>
        <v>TMS</v>
      </c>
      <c r="B148" t="str">
        <f>INDEX(Lists!$C$4:$C$24,MATCH(Validation!$B$3,Lists!$B$4:$B$24,0))&amp;"_AIM20"</f>
        <v>TMS_AIM20</v>
      </c>
      <c r="C148" t="s">
        <v>32</v>
      </c>
      <c r="D148" t="s">
        <v>33</v>
      </c>
      <c r="E148" t="s">
        <v>11</v>
      </c>
      <c r="F148" t="s">
        <v>9</v>
      </c>
      <c r="G148" s="1626" t="str">
        <f>IF('3C'!H24="","##BLANK",'3C'!H24)</f>
        <v>##BLANK</v>
      </c>
    </row>
    <row r="149" spans="1:7">
      <c r="A149" s="1620" t="str">
        <f>INDEX(Lists!$C$4:$C$24,MATCH(Validation!$B$3,Lists!$B$4:$B$24,0))</f>
        <v>TMS</v>
      </c>
      <c r="B149" t="str">
        <f>INDEX(Lists!$C$4:$C$24,MATCH(Validation!$B$3,Lists!$B$4:$B$24,0))&amp;"_AIM21"</f>
        <v>TMS_AIM21</v>
      </c>
      <c r="C149" t="s">
        <v>32</v>
      </c>
      <c r="D149" t="s">
        <v>33</v>
      </c>
      <c r="E149" t="s">
        <v>11</v>
      </c>
      <c r="F149" t="s">
        <v>9</v>
      </c>
      <c r="G149" s="1626" t="str">
        <f>IF('3C'!H25="","##BLANK",'3C'!H25)</f>
        <v>##BLANK</v>
      </c>
    </row>
    <row r="150" spans="1:7">
      <c r="A150" s="1620" t="str">
        <f>INDEX(Lists!$C$4:$C$24,MATCH(Validation!$B$3,Lists!$B$4:$B$24,0))</f>
        <v>TMS</v>
      </c>
      <c r="B150" t="str">
        <f>INDEX(Lists!$C$4:$C$24,MATCH(Validation!$B$3,Lists!$B$4:$B$24,0))&amp;"_AIM22"</f>
        <v>TMS_AIM22</v>
      </c>
      <c r="C150" t="s">
        <v>32</v>
      </c>
      <c r="D150" t="s">
        <v>33</v>
      </c>
      <c r="E150" t="s">
        <v>11</v>
      </c>
      <c r="F150" t="s">
        <v>9</v>
      </c>
      <c r="G150" s="1626" t="str">
        <f>IF('3C'!H26="","##BLANK",'3C'!H26)</f>
        <v>##BLANK</v>
      </c>
    </row>
    <row r="151" spans="1:7">
      <c r="A151" s="1620" t="str">
        <f>INDEX(Lists!$C$4:$C$24,MATCH(Validation!$B$3,Lists!$B$4:$B$24,0))</f>
        <v>TMS</v>
      </c>
      <c r="B151" t="str">
        <f>INDEX(Lists!$C$4:$C$24,MATCH(Validation!$B$3,Lists!$B$4:$B$24,0))&amp;"_AIM23"</f>
        <v>TMS_AIM23</v>
      </c>
      <c r="C151" t="s">
        <v>32</v>
      </c>
      <c r="D151" t="s">
        <v>33</v>
      </c>
      <c r="E151" t="s">
        <v>11</v>
      </c>
      <c r="F151" t="s">
        <v>9</v>
      </c>
      <c r="G151" s="1626" t="str">
        <f>IF('3C'!H27="","##BLANK",'3C'!H27)</f>
        <v>##BLANK</v>
      </c>
    </row>
    <row r="152" spans="1:7">
      <c r="A152" s="1620" t="str">
        <f>INDEX(Lists!$C$4:$C$24,MATCH(Validation!$B$3,Lists!$B$4:$B$24,0))</f>
        <v>TMS</v>
      </c>
      <c r="B152" t="str">
        <f>INDEX(Lists!$C$4:$C$24,MATCH(Validation!$B$3,Lists!$B$4:$B$24,0))&amp;"_AIM24"</f>
        <v>TMS_AIM24</v>
      </c>
      <c r="C152" t="s">
        <v>32</v>
      </c>
      <c r="D152" t="s">
        <v>33</v>
      </c>
      <c r="E152" t="s">
        <v>11</v>
      </c>
      <c r="F152" t="s">
        <v>9</v>
      </c>
      <c r="G152" s="1626" t="str">
        <f>IF('3C'!H28="","##BLANK",'3C'!H28)</f>
        <v>##BLANK</v>
      </c>
    </row>
    <row r="153" spans="1:7" ht="15" thickBot="1">
      <c r="A153" s="1621" t="str">
        <f>INDEX(Lists!$C$4:$C$24,MATCH(Validation!$B$3,Lists!$B$4:$B$24,0))</f>
        <v>TMS</v>
      </c>
      <c r="B153" s="1622" t="str">
        <f>INDEX(Lists!$C$4:$C$24,MATCH(Validation!$B$3,Lists!$B$4:$B$24,0))&amp;"_AIM25"</f>
        <v>TMS_AIM25</v>
      </c>
      <c r="C153" s="1622" t="s">
        <v>32</v>
      </c>
      <c r="D153" s="1622" t="s">
        <v>33</v>
      </c>
      <c r="E153" s="1622" t="s">
        <v>11</v>
      </c>
      <c r="F153" s="1622" t="s">
        <v>9</v>
      </c>
      <c r="G153" s="1628" t="str">
        <f>IF('3C'!H29="","##BLANK",'3C'!H29)</f>
        <v>##BLANK</v>
      </c>
    </row>
    <row r="154" spans="1:7">
      <c r="A154" s="1618" t="str">
        <f>INDEX(Lists!$C$4:$C$24,MATCH(Validation!$B$3,Lists!$B$4:$B$24,0))</f>
        <v>TMS</v>
      </c>
      <c r="B154" s="1619" t="str">
        <f>INDEX(Lists!$C$4:$C$24,MATCH(Validation!$B$3,Lists!$B$4:$B$24,0))&amp;"_AIM01"</f>
        <v>TMS_AIM01</v>
      </c>
      <c r="C154" s="1619" t="s">
        <v>34</v>
      </c>
      <c r="D154" s="1619" t="s">
        <v>35</v>
      </c>
      <c r="E154" s="1619" t="s">
        <v>20</v>
      </c>
      <c r="F154" s="1619" t="s">
        <v>9</v>
      </c>
      <c r="G154" s="1627" t="str">
        <f>IF('3C'!I5="","##BLANK",'3C'!I5)</f>
        <v xml:space="preserve">River flows went below the AIM trigger flow during 2017/18 and despite water resource pressure and water quality challenges we were able to reduce abstraction and comply with AIM. </v>
      </c>
    </row>
    <row r="155" spans="1:7">
      <c r="A155" s="1620" t="str">
        <f>INDEX(Lists!$C$4:$C$24,MATCH(Validation!$B$3,Lists!$B$4:$B$24,0))</f>
        <v>TMS</v>
      </c>
      <c r="B155" t="str">
        <f>INDEX(Lists!$C$4:$C$24,MATCH(Validation!$B$3,Lists!$B$4:$B$24,0))&amp;"_AIM02"</f>
        <v>TMS_AIM02</v>
      </c>
      <c r="C155" t="s">
        <v>34</v>
      </c>
      <c r="D155" t="s">
        <v>35</v>
      </c>
      <c r="E155" t="s">
        <v>20</v>
      </c>
      <c r="F155" t="s">
        <v>9</v>
      </c>
      <c r="G155" s="1626" t="str">
        <f>IF('3C'!I6="","##BLANK",'3C'!I6)</f>
        <v xml:space="preserve">River flows went below the AIM trigger flow during 2017/18 and despite the water resource situation we were able to reduce abstraction and comply with AIM. </v>
      </c>
    </row>
    <row r="156" spans="1:7">
      <c r="A156" s="1620" t="str">
        <f>INDEX(Lists!$C$4:$C$24,MATCH(Validation!$B$3,Lists!$B$4:$B$24,0))</f>
        <v>TMS</v>
      </c>
      <c r="B156" t="str">
        <f>INDEX(Lists!$C$4:$C$24,MATCH(Validation!$B$3,Lists!$B$4:$B$24,0))&amp;"_AIM03"</f>
        <v>TMS_AIM03</v>
      </c>
      <c r="C156" t="s">
        <v>34</v>
      </c>
      <c r="D156" t="s">
        <v>35</v>
      </c>
      <c r="E156" t="s">
        <v>20</v>
      </c>
      <c r="F156" t="s">
        <v>9</v>
      </c>
      <c r="G156" s="1626" t="str">
        <f>IF('3C'!I7="","##BLANK",'3C'!I7)</f>
        <v>River flows went below the AIM trigger flow for a significant period during 2017/18,   despite burst issues on a strategic main in the area we were able to reduce abstraction and comply with AIM.</v>
      </c>
    </row>
    <row r="157" spans="1:7">
      <c r="A157" s="1620" t="str">
        <f>INDEX(Lists!$C$4:$C$24,MATCH(Validation!$B$3,Lists!$B$4:$B$24,0))</f>
        <v>TMS</v>
      </c>
      <c r="B157" t="str">
        <f>INDEX(Lists!$C$4:$C$24,MATCH(Validation!$B$3,Lists!$B$4:$B$24,0))&amp;"_AIM04"</f>
        <v>TMS_AIM04</v>
      </c>
      <c r="C157" t="s">
        <v>34</v>
      </c>
      <c r="D157" t="s">
        <v>35</v>
      </c>
      <c r="E157" t="s">
        <v>20</v>
      </c>
      <c r="F157" t="s">
        <v>9</v>
      </c>
      <c r="G157" s="1626" t="str">
        <f>IF('3C'!I8="","##BLANK",'3C'!I8)</f>
        <v xml:space="preserve">River flows went below the AIM trigger flow during 2017/18 and despite water quality pressures we were able to reduce abstraction and comply with AIM. </v>
      </c>
    </row>
    <row r="158" spans="1:7">
      <c r="A158" s="1620" t="str">
        <f>INDEX(Lists!$C$4:$C$24,MATCH(Validation!$B$3,Lists!$B$4:$B$24,0))</f>
        <v>TMS</v>
      </c>
      <c r="B158" t="str">
        <f>INDEX(Lists!$C$4:$C$24,MATCH(Validation!$B$3,Lists!$B$4:$B$24,0))&amp;"_AIM05"</f>
        <v>TMS_AIM05</v>
      </c>
      <c r="C158" t="s">
        <v>34</v>
      </c>
      <c r="D158" t="s">
        <v>35</v>
      </c>
      <c r="E158" t="s">
        <v>20</v>
      </c>
      <c r="F158" t="s">
        <v>9</v>
      </c>
      <c r="G158" s="1626" t="str">
        <f>IF('3C'!I9="","##BLANK",'3C'!I9)</f>
        <v xml:space="preserve">River flows went below the AIM trigger flow during 2017/18 for a short period,  we were able to reduce abstraction and comply with AIM. </v>
      </c>
    </row>
    <row r="159" spans="1:7">
      <c r="A159" s="1620" t="str">
        <f>INDEX(Lists!$C$4:$C$24,MATCH(Validation!$B$3,Lists!$B$4:$B$24,0))</f>
        <v>TMS</v>
      </c>
      <c r="B159" t="str">
        <f>INDEX(Lists!$C$4:$C$24,MATCH(Validation!$B$3,Lists!$B$4:$B$24,0))&amp;"_AIM06"</f>
        <v>TMS_AIM06</v>
      </c>
      <c r="C159" t="s">
        <v>34</v>
      </c>
      <c r="D159" t="s">
        <v>35</v>
      </c>
      <c r="E159" t="s">
        <v>20</v>
      </c>
      <c r="F159" t="s">
        <v>9</v>
      </c>
      <c r="G159" s="1626" t="str">
        <f>IF('3C'!I10="","##BLANK",'3C'!I10)</f>
        <v>##BLANK</v>
      </c>
    </row>
    <row r="160" spans="1:7">
      <c r="A160" s="1620" t="str">
        <f>INDEX(Lists!$C$4:$C$24,MATCH(Validation!$B$3,Lists!$B$4:$B$24,0))</f>
        <v>TMS</v>
      </c>
      <c r="B160" t="str">
        <f>INDEX(Lists!$C$4:$C$24,MATCH(Validation!$B$3,Lists!$B$4:$B$24,0))&amp;"_AIM07"</f>
        <v>TMS_AIM07</v>
      </c>
      <c r="C160" t="s">
        <v>34</v>
      </c>
      <c r="D160" t="s">
        <v>35</v>
      </c>
      <c r="E160" t="s">
        <v>20</v>
      </c>
      <c r="F160" t="s">
        <v>9</v>
      </c>
      <c r="G160" s="1626" t="str">
        <f>IF('3C'!I11="","##BLANK",'3C'!I11)</f>
        <v>##BLANK</v>
      </c>
    </row>
    <row r="161" spans="1:7">
      <c r="A161" s="1620" t="str">
        <f>INDEX(Lists!$C$4:$C$24,MATCH(Validation!$B$3,Lists!$B$4:$B$24,0))</f>
        <v>TMS</v>
      </c>
      <c r="B161" t="str">
        <f>INDEX(Lists!$C$4:$C$24,MATCH(Validation!$B$3,Lists!$B$4:$B$24,0))&amp;"_AIM08"</f>
        <v>TMS_AIM08</v>
      </c>
      <c r="C161" t="s">
        <v>34</v>
      </c>
      <c r="D161" t="s">
        <v>35</v>
      </c>
      <c r="E161" t="s">
        <v>20</v>
      </c>
      <c r="F161" t="s">
        <v>9</v>
      </c>
      <c r="G161" s="1626" t="str">
        <f>IF('3C'!I12="","##BLANK",'3C'!I12)</f>
        <v>##BLANK</v>
      </c>
    </row>
    <row r="162" spans="1:7">
      <c r="A162" s="1620" t="str">
        <f>INDEX(Lists!$C$4:$C$24,MATCH(Validation!$B$3,Lists!$B$4:$B$24,0))</f>
        <v>TMS</v>
      </c>
      <c r="B162" t="str">
        <f>INDEX(Lists!$C$4:$C$24,MATCH(Validation!$B$3,Lists!$B$4:$B$24,0))&amp;"_AIM09"</f>
        <v>TMS_AIM09</v>
      </c>
      <c r="C162" t="s">
        <v>34</v>
      </c>
      <c r="D162" t="s">
        <v>35</v>
      </c>
      <c r="E162" t="s">
        <v>20</v>
      </c>
      <c r="F162" t="s">
        <v>9</v>
      </c>
      <c r="G162" s="1626" t="str">
        <f>IF('3C'!I13="","##BLANK",'3C'!I13)</f>
        <v>##BLANK</v>
      </c>
    </row>
    <row r="163" spans="1:7">
      <c r="A163" s="1620" t="str">
        <f>INDEX(Lists!$C$4:$C$24,MATCH(Validation!$B$3,Lists!$B$4:$B$24,0))</f>
        <v>TMS</v>
      </c>
      <c r="B163" t="str">
        <f>INDEX(Lists!$C$4:$C$24,MATCH(Validation!$B$3,Lists!$B$4:$B$24,0))&amp;"_AIM10"</f>
        <v>TMS_AIM10</v>
      </c>
      <c r="C163" t="s">
        <v>34</v>
      </c>
      <c r="D163" t="s">
        <v>35</v>
      </c>
      <c r="E163" t="s">
        <v>20</v>
      </c>
      <c r="F163" t="s">
        <v>9</v>
      </c>
      <c r="G163" s="1626" t="str">
        <f>IF('3C'!I14="","##BLANK",'3C'!I14)</f>
        <v>##BLANK</v>
      </c>
    </row>
    <row r="164" spans="1:7">
      <c r="A164" s="1620" t="str">
        <f>INDEX(Lists!$C$4:$C$24,MATCH(Validation!$B$3,Lists!$B$4:$B$24,0))</f>
        <v>TMS</v>
      </c>
      <c r="B164" t="str">
        <f>INDEX(Lists!$C$4:$C$24,MATCH(Validation!$B$3,Lists!$B$4:$B$24,0))&amp;"_AIM11"</f>
        <v>TMS_AIM11</v>
      </c>
      <c r="C164" t="s">
        <v>34</v>
      </c>
      <c r="D164" t="s">
        <v>35</v>
      </c>
      <c r="E164" t="s">
        <v>20</v>
      </c>
      <c r="F164" t="s">
        <v>9</v>
      </c>
      <c r="G164" s="1626" t="str">
        <f>IF('3C'!I15="","##BLANK",'3C'!I15)</f>
        <v>##BLANK</v>
      </c>
    </row>
    <row r="165" spans="1:7">
      <c r="A165" s="1620" t="str">
        <f>INDEX(Lists!$C$4:$C$24,MATCH(Validation!$B$3,Lists!$B$4:$B$24,0))</f>
        <v>TMS</v>
      </c>
      <c r="B165" t="str">
        <f>INDEX(Lists!$C$4:$C$24,MATCH(Validation!$B$3,Lists!$B$4:$B$24,0))&amp;"_AIM12"</f>
        <v>TMS_AIM12</v>
      </c>
      <c r="C165" t="s">
        <v>34</v>
      </c>
      <c r="D165" t="s">
        <v>35</v>
      </c>
      <c r="E165" t="s">
        <v>20</v>
      </c>
      <c r="F165" t="s">
        <v>9</v>
      </c>
      <c r="G165" s="1626" t="str">
        <f>IF('3C'!I16="","##BLANK",'3C'!I16)</f>
        <v>##BLANK</v>
      </c>
    </row>
    <row r="166" spans="1:7">
      <c r="A166" s="1620" t="str">
        <f>INDEX(Lists!$C$4:$C$24,MATCH(Validation!$B$3,Lists!$B$4:$B$24,0))</f>
        <v>TMS</v>
      </c>
      <c r="B166" t="str">
        <f>INDEX(Lists!$C$4:$C$24,MATCH(Validation!$B$3,Lists!$B$4:$B$24,0))&amp;"_AIM13"</f>
        <v>TMS_AIM13</v>
      </c>
      <c r="C166" t="s">
        <v>34</v>
      </c>
      <c r="D166" t="s">
        <v>35</v>
      </c>
      <c r="E166" t="s">
        <v>20</v>
      </c>
      <c r="F166" t="s">
        <v>9</v>
      </c>
      <c r="G166" s="1626" t="str">
        <f>IF('3C'!I17="","##BLANK",'3C'!I17)</f>
        <v>##BLANK</v>
      </c>
    </row>
    <row r="167" spans="1:7">
      <c r="A167" s="1620" t="str">
        <f>INDEX(Lists!$C$4:$C$24,MATCH(Validation!$B$3,Lists!$B$4:$B$24,0))</f>
        <v>TMS</v>
      </c>
      <c r="B167" t="str">
        <f>INDEX(Lists!$C$4:$C$24,MATCH(Validation!$B$3,Lists!$B$4:$B$24,0))&amp;"_AIM14"</f>
        <v>TMS_AIM14</v>
      </c>
      <c r="C167" t="s">
        <v>34</v>
      </c>
      <c r="D167" t="s">
        <v>35</v>
      </c>
      <c r="E167" t="s">
        <v>20</v>
      </c>
      <c r="F167" t="s">
        <v>9</v>
      </c>
      <c r="G167" s="1626" t="str">
        <f>IF('3C'!I18="","##BLANK",'3C'!I18)</f>
        <v>##BLANK</v>
      </c>
    </row>
    <row r="168" spans="1:7">
      <c r="A168" s="1620" t="str">
        <f>INDEX(Lists!$C$4:$C$24,MATCH(Validation!$B$3,Lists!$B$4:$B$24,0))</f>
        <v>TMS</v>
      </c>
      <c r="B168" t="str">
        <f>INDEX(Lists!$C$4:$C$24,MATCH(Validation!$B$3,Lists!$B$4:$B$24,0))&amp;"_AIM15"</f>
        <v>TMS_AIM15</v>
      </c>
      <c r="C168" t="s">
        <v>34</v>
      </c>
      <c r="D168" t="s">
        <v>35</v>
      </c>
      <c r="E168" t="s">
        <v>20</v>
      </c>
      <c r="F168" t="s">
        <v>9</v>
      </c>
      <c r="G168" s="1626" t="str">
        <f>IF('3C'!I19="","##BLANK",'3C'!I19)</f>
        <v>##BLANK</v>
      </c>
    </row>
    <row r="169" spans="1:7">
      <c r="A169" s="1620" t="str">
        <f>INDEX(Lists!$C$4:$C$24,MATCH(Validation!$B$3,Lists!$B$4:$B$24,0))</f>
        <v>TMS</v>
      </c>
      <c r="B169" t="str">
        <f>INDEX(Lists!$C$4:$C$24,MATCH(Validation!$B$3,Lists!$B$4:$B$24,0))&amp;"_AIM16"</f>
        <v>TMS_AIM16</v>
      </c>
      <c r="C169" t="s">
        <v>34</v>
      </c>
      <c r="D169" t="s">
        <v>35</v>
      </c>
      <c r="E169" t="s">
        <v>20</v>
      </c>
      <c r="F169" t="s">
        <v>9</v>
      </c>
      <c r="G169" s="1626" t="str">
        <f>IF('3C'!I20="","##BLANK",'3C'!I20)</f>
        <v>##BLANK</v>
      </c>
    </row>
    <row r="170" spans="1:7">
      <c r="A170" s="1620" t="str">
        <f>INDEX(Lists!$C$4:$C$24,MATCH(Validation!$B$3,Lists!$B$4:$B$24,0))</f>
        <v>TMS</v>
      </c>
      <c r="B170" t="str">
        <f>INDEX(Lists!$C$4:$C$24,MATCH(Validation!$B$3,Lists!$B$4:$B$24,0))&amp;"_AIM17"</f>
        <v>TMS_AIM17</v>
      </c>
      <c r="C170" t="s">
        <v>34</v>
      </c>
      <c r="D170" t="s">
        <v>35</v>
      </c>
      <c r="E170" t="s">
        <v>20</v>
      </c>
      <c r="F170" t="s">
        <v>9</v>
      </c>
      <c r="G170" s="1626" t="str">
        <f>IF('3C'!I21="","##BLANK",'3C'!I21)</f>
        <v>##BLANK</v>
      </c>
    </row>
    <row r="171" spans="1:7">
      <c r="A171" s="1620" t="str">
        <f>INDEX(Lists!$C$4:$C$24,MATCH(Validation!$B$3,Lists!$B$4:$B$24,0))</f>
        <v>TMS</v>
      </c>
      <c r="B171" t="str">
        <f>INDEX(Lists!$C$4:$C$24,MATCH(Validation!$B$3,Lists!$B$4:$B$24,0))&amp;"_AIM18"</f>
        <v>TMS_AIM18</v>
      </c>
      <c r="C171" t="s">
        <v>34</v>
      </c>
      <c r="D171" t="s">
        <v>35</v>
      </c>
      <c r="E171" t="s">
        <v>20</v>
      </c>
      <c r="F171" t="s">
        <v>9</v>
      </c>
      <c r="G171" s="1626" t="str">
        <f>IF('3C'!I22="","##BLANK",'3C'!I22)</f>
        <v>##BLANK</v>
      </c>
    </row>
    <row r="172" spans="1:7">
      <c r="A172" s="1620" t="str">
        <f>INDEX(Lists!$C$4:$C$24,MATCH(Validation!$B$3,Lists!$B$4:$B$24,0))</f>
        <v>TMS</v>
      </c>
      <c r="B172" t="str">
        <f>INDEX(Lists!$C$4:$C$24,MATCH(Validation!$B$3,Lists!$B$4:$B$24,0))&amp;"_AIM19"</f>
        <v>TMS_AIM19</v>
      </c>
      <c r="C172" t="s">
        <v>34</v>
      </c>
      <c r="D172" t="s">
        <v>35</v>
      </c>
      <c r="E172" t="s">
        <v>20</v>
      </c>
      <c r="F172" t="s">
        <v>9</v>
      </c>
      <c r="G172" s="1626" t="str">
        <f>IF('3C'!I23="","##BLANK",'3C'!I23)</f>
        <v>##BLANK</v>
      </c>
    </row>
    <row r="173" spans="1:7">
      <c r="A173" s="1620" t="str">
        <f>INDEX(Lists!$C$4:$C$24,MATCH(Validation!$B$3,Lists!$B$4:$B$24,0))</f>
        <v>TMS</v>
      </c>
      <c r="B173" t="str">
        <f>INDEX(Lists!$C$4:$C$24,MATCH(Validation!$B$3,Lists!$B$4:$B$24,0))&amp;"_AIM20"</f>
        <v>TMS_AIM20</v>
      </c>
      <c r="C173" t="s">
        <v>34</v>
      </c>
      <c r="D173" t="s">
        <v>35</v>
      </c>
      <c r="E173" t="s">
        <v>20</v>
      </c>
      <c r="F173" t="s">
        <v>9</v>
      </c>
      <c r="G173" s="1626" t="str">
        <f>IF('3C'!I24="","##BLANK",'3C'!I24)</f>
        <v>##BLANK</v>
      </c>
    </row>
    <row r="174" spans="1:7">
      <c r="A174" s="1620" t="str">
        <f>INDEX(Lists!$C$4:$C$24,MATCH(Validation!$B$3,Lists!$B$4:$B$24,0))</f>
        <v>TMS</v>
      </c>
      <c r="B174" t="str">
        <f>INDEX(Lists!$C$4:$C$24,MATCH(Validation!$B$3,Lists!$B$4:$B$24,0))&amp;"_AIM21"</f>
        <v>TMS_AIM21</v>
      </c>
      <c r="C174" t="s">
        <v>34</v>
      </c>
      <c r="D174" t="s">
        <v>35</v>
      </c>
      <c r="E174" t="s">
        <v>20</v>
      </c>
      <c r="F174" t="s">
        <v>9</v>
      </c>
      <c r="G174" s="1626" t="str">
        <f>IF('3C'!I25="","##BLANK",'3C'!I25)</f>
        <v>##BLANK</v>
      </c>
    </row>
    <row r="175" spans="1:7">
      <c r="A175" s="1620" t="str">
        <f>INDEX(Lists!$C$4:$C$24,MATCH(Validation!$B$3,Lists!$B$4:$B$24,0))</f>
        <v>TMS</v>
      </c>
      <c r="B175" t="str">
        <f>INDEX(Lists!$C$4:$C$24,MATCH(Validation!$B$3,Lists!$B$4:$B$24,0))&amp;"_AIM22"</f>
        <v>TMS_AIM22</v>
      </c>
      <c r="C175" t="s">
        <v>34</v>
      </c>
      <c r="D175" t="s">
        <v>35</v>
      </c>
      <c r="E175" t="s">
        <v>20</v>
      </c>
      <c r="F175" t="s">
        <v>9</v>
      </c>
      <c r="G175" s="1626" t="str">
        <f>IF('3C'!I26="","##BLANK",'3C'!I26)</f>
        <v>##BLANK</v>
      </c>
    </row>
    <row r="176" spans="1:7">
      <c r="A176" s="1620" t="str">
        <f>INDEX(Lists!$C$4:$C$24,MATCH(Validation!$B$3,Lists!$B$4:$B$24,0))</f>
        <v>TMS</v>
      </c>
      <c r="B176" t="str">
        <f>INDEX(Lists!$C$4:$C$24,MATCH(Validation!$B$3,Lists!$B$4:$B$24,0))&amp;"_AIM23"</f>
        <v>TMS_AIM23</v>
      </c>
      <c r="C176" t="s">
        <v>34</v>
      </c>
      <c r="D176" t="s">
        <v>35</v>
      </c>
      <c r="E176" t="s">
        <v>20</v>
      </c>
      <c r="F176" t="s">
        <v>9</v>
      </c>
      <c r="G176" s="1626" t="str">
        <f>IF('3C'!I27="","##BLANK",'3C'!I27)</f>
        <v>##BLANK</v>
      </c>
    </row>
    <row r="177" spans="1:7">
      <c r="A177" s="1620" t="str">
        <f>INDEX(Lists!$C$4:$C$24,MATCH(Validation!$B$3,Lists!$B$4:$B$24,0))</f>
        <v>TMS</v>
      </c>
      <c r="B177" t="str">
        <f>INDEX(Lists!$C$4:$C$24,MATCH(Validation!$B$3,Lists!$B$4:$B$24,0))&amp;"_AIM24"</f>
        <v>TMS_AIM24</v>
      </c>
      <c r="C177" t="s">
        <v>34</v>
      </c>
      <c r="D177" t="s">
        <v>35</v>
      </c>
      <c r="E177" t="s">
        <v>20</v>
      </c>
      <c r="F177" t="s">
        <v>9</v>
      </c>
      <c r="G177" s="1626" t="str">
        <f>IF('3C'!I28="","##BLANK",'3C'!I28)</f>
        <v>##BLANK</v>
      </c>
    </row>
    <row r="178" spans="1:7" ht="15" thickBot="1">
      <c r="A178" s="1621" t="str">
        <f>INDEX(Lists!$C$4:$C$24,MATCH(Validation!$B$3,Lists!$B$4:$B$24,0))</f>
        <v>TMS</v>
      </c>
      <c r="B178" s="1622" t="str">
        <f>INDEX(Lists!$C$4:$C$24,MATCH(Validation!$B$3,Lists!$B$4:$B$24,0))&amp;"_AIM25"</f>
        <v>TMS_AIM25</v>
      </c>
      <c r="C178" s="1622" t="s">
        <v>34</v>
      </c>
      <c r="D178" s="1622" t="s">
        <v>35</v>
      </c>
      <c r="E178" s="1622" t="s">
        <v>20</v>
      </c>
      <c r="F178" s="1622" t="s">
        <v>9</v>
      </c>
      <c r="G178" s="1628" t="str">
        <f>IF('3C'!I29="","##BLANK",'3C'!I29)</f>
        <v>##BLANK</v>
      </c>
    </row>
  </sheetData>
  <sheetProtection algorithmName="SHA-512" hashValue="4Dj4KdVStxSqVNVaEIcZ8tZzHxf61q+ZjedvKAGE/NU3y+4DHvGiefVMjXeoKPmWY/n376LBFXmml6cJ4GS26Q==" saltValue="XIu3/3AccVfhbTz9WnOu7g=="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AH44"/>
  <sheetViews>
    <sheetView showGridLines="0" zoomScale="80" zoomScaleNormal="80" workbookViewId="0"/>
  </sheetViews>
  <sheetFormatPr defaultColWidth="0" defaultRowHeight="14.25" zeroHeight="1"/>
  <cols>
    <col min="1" max="1" width="4.125" customWidth="1"/>
    <col min="2" max="2" width="5.125" customWidth="1"/>
    <col min="3" max="3" width="46.625" customWidth="1"/>
    <col min="4" max="4" width="2.125" hidden="1" customWidth="1"/>
    <col min="5" max="9" width="12.625" customWidth="1"/>
    <col min="10" max="10" width="2.625" style="65" customWidth="1"/>
    <col min="11" max="11" width="46.125" style="69" customWidth="1"/>
    <col min="12" max="12" width="18.625" style="65" bestFit="1" customWidth="1"/>
    <col min="13" max="13" width="1.625" style="65" customWidth="1"/>
    <col min="14" max="14" width="1.625" style="66" hidden="1" customWidth="1"/>
    <col min="15" max="17" width="5.625" style="65" hidden="1" customWidth="1"/>
    <col min="18" max="18" width="1.625" style="66" hidden="1" customWidth="1"/>
    <col min="19" max="19" width="8.625" style="69" hidden="1" customWidth="1"/>
    <col min="20" max="20" width="1.625" style="66" hidden="1" customWidth="1"/>
    <col min="21" max="22" width="8.625" style="69" hidden="1" customWidth="1"/>
    <col min="23" max="23" width="56.125" style="69" hidden="1" customWidth="1"/>
    <col min="24" max="24" width="1.625" style="66" hidden="1" customWidth="1"/>
    <col min="25" max="25" width="8.625" style="65" hidden="1" customWidth="1"/>
    <col min="26" max="26" width="8.625" hidden="1" customWidth="1"/>
    <col min="27" max="27" width="5.125" hidden="1" customWidth="1"/>
    <col min="28" max="28" width="44" hidden="1" customWidth="1"/>
    <col min="29" max="29" width="5.625" hidden="1" customWidth="1"/>
    <col min="30" max="34" width="12.625" hidden="1" customWidth="1"/>
    <col min="35" max="16384" width="8.625" hidden="1"/>
  </cols>
  <sheetData>
    <row r="1" spans="1:34" s="70" customFormat="1" ht="20.25">
      <c r="A1" s="69"/>
      <c r="B1" s="61" t="s">
        <v>1468</v>
      </c>
      <c r="C1" s="61"/>
      <c r="D1" s="61"/>
      <c r="E1" s="61"/>
      <c r="F1" s="61"/>
      <c r="G1" s="61"/>
      <c r="H1" s="61"/>
      <c r="I1" s="63" t="str">
        <f>Validation!B3</f>
        <v>Thames Water</v>
      </c>
      <c r="J1" s="61"/>
      <c r="K1" s="64"/>
      <c r="L1" s="64" t="s">
        <v>94</v>
      </c>
      <c r="M1" s="65"/>
      <c r="N1" s="66"/>
      <c r="O1" s="65"/>
      <c r="P1" s="65"/>
      <c r="Q1" s="65"/>
      <c r="R1" s="66"/>
      <c r="S1" s="65"/>
      <c r="T1" s="66"/>
      <c r="U1"/>
      <c r="V1"/>
      <c r="W1"/>
      <c r="X1" s="66"/>
      <c r="Y1" s="65"/>
      <c r="AA1" s="61" t="s">
        <v>95</v>
      </c>
      <c r="AB1" s="61"/>
      <c r="AC1" s="61"/>
      <c r="AD1" s="61"/>
      <c r="AE1" s="61"/>
      <c r="AF1" s="61"/>
      <c r="AG1" s="61"/>
      <c r="AH1" s="63"/>
    </row>
    <row r="2" spans="1:34" s="70" customFormat="1" ht="15" customHeight="1" thickBot="1">
      <c r="A2" s="69"/>
      <c r="B2" s="68" t="s">
        <v>80</v>
      </c>
      <c r="C2" s="259"/>
      <c r="D2" s="259"/>
      <c r="E2" s="69"/>
      <c r="F2" s="69"/>
      <c r="G2" s="69"/>
      <c r="H2" s="69"/>
      <c r="I2" s="69"/>
      <c r="J2" s="65"/>
      <c r="K2" s="65"/>
      <c r="L2" s="65"/>
      <c r="M2" s="65"/>
      <c r="N2" s="66"/>
      <c r="O2" s="65"/>
      <c r="P2" s="65"/>
      <c r="Q2" s="65"/>
      <c r="R2" s="66"/>
      <c r="S2" s="65"/>
      <c r="T2" s="66"/>
      <c r="U2" s="69"/>
      <c r="V2" s="69"/>
      <c r="W2" s="69"/>
      <c r="X2" s="66"/>
      <c r="Y2" s="65"/>
      <c r="AA2" s="68" t="s">
        <v>80</v>
      </c>
      <c r="AB2" s="259"/>
      <c r="AC2" s="259"/>
      <c r="AD2" s="69"/>
      <c r="AE2" s="69"/>
      <c r="AF2" s="69"/>
      <c r="AG2" s="69"/>
      <c r="AH2" s="69"/>
    </row>
    <row r="3" spans="1:34" s="70" customFormat="1" ht="54.75" thickBot="1">
      <c r="A3" s="69"/>
      <c r="B3" s="2281" t="s">
        <v>96</v>
      </c>
      <c r="C3" s="2282"/>
      <c r="D3" s="1301" t="s">
        <v>97</v>
      </c>
      <c r="E3" s="252" t="s">
        <v>1469</v>
      </c>
      <c r="F3" s="262" t="s">
        <v>1470</v>
      </c>
      <c r="G3" s="253" t="s">
        <v>1471</v>
      </c>
      <c r="H3" s="293" t="s">
        <v>1472</v>
      </c>
      <c r="I3" s="293" t="s">
        <v>1473</v>
      </c>
      <c r="J3" s="294"/>
      <c r="K3" s="160" t="s">
        <v>675</v>
      </c>
      <c r="L3" s="162" t="s">
        <v>103</v>
      </c>
      <c r="M3" s="65"/>
      <c r="N3" s="66"/>
      <c r="O3" s="2255" t="s">
        <v>107</v>
      </c>
      <c r="P3" s="2286"/>
      <c r="Q3" s="2286"/>
      <c r="R3" s="66"/>
      <c r="S3" s="2194" t="s">
        <v>86</v>
      </c>
      <c r="T3" s="66"/>
      <c r="U3" s="2194" t="s">
        <v>742</v>
      </c>
      <c r="V3" s="2194"/>
      <c r="W3" s="2194"/>
      <c r="X3" s="66"/>
      <c r="Y3" s="65"/>
      <c r="AA3" s="2281" t="s">
        <v>96</v>
      </c>
      <c r="AB3" s="2282"/>
      <c r="AC3" s="1301" t="s">
        <v>97</v>
      </c>
      <c r="AD3" s="252" t="s">
        <v>1469</v>
      </c>
      <c r="AE3" s="262" t="s">
        <v>1470</v>
      </c>
      <c r="AF3" s="253" t="s">
        <v>1471</v>
      </c>
      <c r="AG3" s="293" t="s">
        <v>1472</v>
      </c>
      <c r="AH3" s="293" t="s">
        <v>1473</v>
      </c>
    </row>
    <row r="4" spans="1:34" s="70" customFormat="1" ht="15" customHeight="1" thickBot="1">
      <c r="A4" s="69"/>
      <c r="B4" s="69"/>
      <c r="C4" s="295"/>
      <c r="D4" s="295"/>
      <c r="E4" s="69"/>
      <c r="F4" s="69"/>
      <c r="G4" s="69"/>
      <c r="H4" s="69"/>
      <c r="I4" s="69"/>
      <c r="J4" s="65"/>
      <c r="K4" s="65"/>
      <c r="L4" s="65"/>
      <c r="M4" s="65"/>
      <c r="N4" s="66"/>
      <c r="R4" s="66"/>
      <c r="S4" s="211"/>
      <c r="T4" s="66"/>
      <c r="U4" s="211"/>
      <c r="V4" s="211"/>
      <c r="W4" s="211"/>
      <c r="X4" s="66"/>
      <c r="Y4" s="65"/>
      <c r="AA4" s="69"/>
      <c r="AB4" s="295"/>
      <c r="AC4" s="295"/>
      <c r="AD4" s="69"/>
      <c r="AE4" s="69"/>
      <c r="AF4" s="69"/>
      <c r="AG4" s="69"/>
      <c r="AH4" s="69"/>
    </row>
    <row r="5" spans="1:34" s="70" customFormat="1" ht="17.25" customHeight="1" thickBot="1">
      <c r="A5" s="69"/>
      <c r="B5" s="223" t="s">
        <v>214</v>
      </c>
      <c r="C5" s="27" t="s">
        <v>1474</v>
      </c>
      <c r="D5" s="1295"/>
      <c r="E5" s="69"/>
      <c r="F5" s="69"/>
      <c r="G5" s="69"/>
      <c r="H5" s="69"/>
      <c r="I5" s="69"/>
      <c r="J5" s="65"/>
      <c r="K5" s="116"/>
      <c r="L5" s="65"/>
      <c r="M5" s="65"/>
      <c r="N5" s="66"/>
      <c r="O5" s="78" t="s">
        <v>108</v>
      </c>
      <c r="P5" s="113"/>
      <c r="Q5" s="113"/>
      <c r="R5" s="66"/>
      <c r="S5"/>
      <c r="T5" s="66"/>
      <c r="U5" s="69"/>
      <c r="V5" s="69"/>
      <c r="W5" s="69"/>
      <c r="X5" s="66"/>
      <c r="Y5" s="65"/>
      <c r="AA5" s="223" t="s">
        <v>214</v>
      </c>
      <c r="AB5" s="27" t="s">
        <v>1474</v>
      </c>
      <c r="AC5" s="1295"/>
      <c r="AD5" s="69"/>
      <c r="AE5" s="69"/>
      <c r="AF5" s="69"/>
      <c r="AG5" s="69"/>
      <c r="AH5" s="69"/>
    </row>
    <row r="6" spans="1:34" s="70" customFormat="1" ht="17.25" customHeight="1" thickBot="1">
      <c r="A6" s="69"/>
      <c r="B6" s="296" t="s">
        <v>1475</v>
      </c>
      <c r="C6" s="28" t="s">
        <v>1476</v>
      </c>
      <c r="D6" s="1296"/>
      <c r="E6" s="372">
        <v>0</v>
      </c>
      <c r="F6" s="373">
        <v>0</v>
      </c>
      <c r="G6" s="286">
        <f xml:space="preserve"> F6 + E6</f>
        <v>0</v>
      </c>
      <c r="H6" s="527">
        <v>0</v>
      </c>
      <c r="I6" s="522">
        <f xml:space="preserve"> IF( H6 = 0, 0, F6 / H6 * 1000 )</f>
        <v>0</v>
      </c>
      <c r="J6" s="65"/>
      <c r="K6" s="116"/>
      <c r="L6" s="25">
        <f xml:space="preserve"> IF( SUM( N6:R6 ) = 0, 0, $O$5 )</f>
        <v>0</v>
      </c>
      <c r="M6" s="65"/>
      <c r="N6" s="66"/>
      <c r="O6" s="86">
        <f>IF($C6="",0,IF(ISNUMBER(E6),0,1))</f>
        <v>0</v>
      </c>
      <c r="P6" s="86">
        <f>IF($C6="",0,IF(ISNUMBER(F6),0,1))</f>
        <v>0</v>
      </c>
      <c r="Q6" s="86">
        <f>IF($C6="",0,IF(ISNUMBER(H6),0,1))</f>
        <v>0</v>
      </c>
      <c r="R6" s="66"/>
      <c r="S6"/>
      <c r="T6" s="66"/>
      <c r="U6" s="69"/>
      <c r="V6" s="69"/>
      <c r="W6" s="69"/>
      <c r="X6" s="66"/>
      <c r="Y6" s="65"/>
      <c r="AA6" s="296">
        <v>1</v>
      </c>
      <c r="AB6" s="28" t="s">
        <v>1476</v>
      </c>
      <c r="AC6" s="1296"/>
      <c r="AD6" s="372" t="s">
        <v>1477</v>
      </c>
      <c r="AE6" s="373" t="s">
        <v>1478</v>
      </c>
      <c r="AF6" s="286" t="s">
        <v>1479</v>
      </c>
      <c r="AG6" s="527" t="s">
        <v>1480</v>
      </c>
      <c r="AH6" s="522" t="s">
        <v>1481</v>
      </c>
    </row>
    <row r="7" spans="1:34" s="70" customFormat="1" ht="15" customHeight="1" thickBot="1">
      <c r="A7" s="69"/>
      <c r="B7" s="69"/>
      <c r="C7" s="300"/>
      <c r="D7" s="300"/>
      <c r="E7" s="127"/>
      <c r="F7" s="127"/>
      <c r="G7" s="127"/>
      <c r="H7" s="320"/>
      <c r="I7" s="523"/>
      <c r="J7" s="127"/>
      <c r="K7" s="116"/>
      <c r="L7" s="127"/>
      <c r="M7" s="65"/>
      <c r="N7" s="66"/>
      <c r="R7" s="66"/>
      <c r="S7"/>
      <c r="T7" s="66"/>
      <c r="U7" s="69"/>
      <c r="V7" s="69"/>
      <c r="W7" s="69"/>
      <c r="X7" s="66"/>
      <c r="Y7" s="65"/>
      <c r="AA7" s="69"/>
      <c r="AB7" s="300"/>
      <c r="AC7" s="300"/>
      <c r="AD7" s="127"/>
      <c r="AE7" s="127"/>
      <c r="AF7" s="127"/>
      <c r="AG7" s="320"/>
      <c r="AH7" s="523"/>
    </row>
    <row r="8" spans="1:34" s="70" customFormat="1" ht="15" customHeight="1" thickBot="1">
      <c r="A8" s="69"/>
      <c r="B8" s="223" t="s">
        <v>236</v>
      </c>
      <c r="C8" s="27" t="s">
        <v>1482</v>
      </c>
      <c r="D8" s="1295"/>
      <c r="E8" s="127"/>
      <c r="F8" s="127"/>
      <c r="G8" s="127"/>
      <c r="H8" s="320"/>
      <c r="I8" s="523"/>
      <c r="J8" s="127"/>
      <c r="K8" s="116"/>
      <c r="L8" s="127"/>
      <c r="M8" s="65"/>
      <c r="N8" s="66"/>
      <c r="R8" s="66"/>
      <c r="S8"/>
      <c r="T8" s="66"/>
      <c r="U8" s="69"/>
      <c r="V8" s="69"/>
      <c r="W8" s="69"/>
      <c r="X8" s="66"/>
      <c r="Y8" s="65"/>
      <c r="AA8" s="223" t="s">
        <v>236</v>
      </c>
      <c r="AB8" s="27" t="s">
        <v>1482</v>
      </c>
      <c r="AC8" s="1295"/>
      <c r="AD8" s="127"/>
      <c r="AE8" s="127"/>
      <c r="AF8" s="127"/>
      <c r="AG8" s="320"/>
      <c r="AH8" s="523"/>
    </row>
    <row r="9" spans="1:34" s="70" customFormat="1" ht="15" customHeight="1">
      <c r="A9" s="1727">
        <v>2</v>
      </c>
      <c r="B9" s="297" t="s">
        <v>1483</v>
      </c>
      <c r="C9" s="32" t="str">
        <f>IF($I$1="Select company","",IF(HLOOKUP((VLOOKUP($I$1,Lists!$B$4:$C$23,2,FALSE)),'Water PR16'!$A$1:$S$21,'2G'!A9+1,FALSE)=0,"",HLOOKUP((VLOOKUP($I$1,Lists!$B$4:$C$23,2,FALSE)),'Water PR16'!$A$1:$S$21,'2G'!A9+1,FALSE)))</f>
        <v>[0 - 500]  [0 - 500m3] [water] [metered]</v>
      </c>
      <c r="D9" s="1302"/>
      <c r="E9" s="374">
        <v>28.824999999999999</v>
      </c>
      <c r="F9" s="364">
        <v>-0.36899999999999999</v>
      </c>
      <c r="G9" s="275">
        <f xml:space="preserve"> F9 + E9</f>
        <v>28.456</v>
      </c>
      <c r="H9" s="528">
        <v>110.093</v>
      </c>
      <c r="I9" s="524">
        <f t="shared" ref="I9:I27" si="0" xml:space="preserve"> IF( H9 = 0, 0, F9 / H9 * 1000 )</f>
        <v>-3.351711734624363</v>
      </c>
      <c r="J9" s="65"/>
      <c r="K9" s="116"/>
      <c r="L9" s="25">
        <f xml:space="preserve"> IF( SUM( N9:R9 ) = 0, 0, $O$5 )</f>
        <v>0</v>
      </c>
      <c r="M9" s="65"/>
      <c r="N9" s="66"/>
      <c r="O9" s="86">
        <f t="shared" ref="O9:P27" si="1">IF($C9="",0,IF(ISNUMBER(E9),0,1))</f>
        <v>0</v>
      </c>
      <c r="P9" s="86">
        <f t="shared" si="1"/>
        <v>0</v>
      </c>
      <c r="Q9" s="86">
        <f t="shared" ref="Q9:Q27" si="2">IF($C9="",0,IF(ISNUMBER(H9),0,1))</f>
        <v>0</v>
      </c>
      <c r="R9" s="66"/>
      <c r="S9"/>
      <c r="T9" s="66"/>
      <c r="U9" s="69"/>
      <c r="V9" s="69"/>
      <c r="W9" s="69"/>
      <c r="X9" s="66"/>
      <c r="Y9" s="65"/>
      <c r="AA9" s="297">
        <v>2</v>
      </c>
      <c r="AB9" s="32" t="str">
        <f>C9</f>
        <v>[0 - 500]  [0 - 500m3] [water] [metered]</v>
      </c>
      <c r="AC9" s="1302"/>
      <c r="AD9" s="374" t="s">
        <v>1484</v>
      </c>
      <c r="AE9" s="364" t="s">
        <v>1485</v>
      </c>
      <c r="AF9" s="275" t="s">
        <v>1486</v>
      </c>
      <c r="AG9" s="528" t="s">
        <v>1487</v>
      </c>
      <c r="AH9" s="524" t="s">
        <v>1488</v>
      </c>
    </row>
    <row r="10" spans="1:34" s="70" customFormat="1" ht="15" customHeight="1">
      <c r="A10" s="1727">
        <v>3</v>
      </c>
      <c r="B10" s="298" t="s">
        <v>1489</v>
      </c>
      <c r="C10" s="33" t="str">
        <f>IF($I$1="Select company","",IF(HLOOKUP((VLOOKUP($I$1,Lists!$B$4:$C$23,2,FALSE)),'Water PR16'!$A$1:$S$21,'2G'!A10+1,FALSE)=0,"",HLOOKUP((VLOOKUP($I$1,Lists!$B$4:$C$23,2,FALSE)),'Water PR16'!$A$1:$S$21,'2G'!A10+1,FALSE)))</f>
        <v>[500 - 1,000]  [500 - 1,000m3] [water] [metered]</v>
      </c>
      <c r="D10" s="1303"/>
      <c r="E10" s="375">
        <v>13.909000000000001</v>
      </c>
      <c r="F10" s="365">
        <v>-9.9000000000000005E-2</v>
      </c>
      <c r="G10" s="276">
        <f t="shared" ref="G10:G27" si="3" xml:space="preserve"> F10 + E10</f>
        <v>13.81</v>
      </c>
      <c r="H10" s="529">
        <v>15.31</v>
      </c>
      <c r="I10" s="525">
        <f t="shared" si="0"/>
        <v>-6.4663618549967348</v>
      </c>
      <c r="J10" s="65"/>
      <c r="K10" s="116"/>
      <c r="L10" s="25">
        <f xml:space="preserve"> IF( SUM( N10:R10 ) = 0, 0, $O$5 )</f>
        <v>0</v>
      </c>
      <c r="M10" s="65"/>
      <c r="N10" s="66"/>
      <c r="O10" s="86">
        <f t="shared" si="1"/>
        <v>0</v>
      </c>
      <c r="P10" s="86">
        <f t="shared" si="1"/>
        <v>0</v>
      </c>
      <c r="Q10" s="86">
        <f t="shared" si="2"/>
        <v>0</v>
      </c>
      <c r="R10" s="66"/>
      <c r="S10"/>
      <c r="T10" s="66"/>
      <c r="U10" s="69"/>
      <c r="V10" s="69"/>
      <c r="W10" s="69"/>
      <c r="X10" s="66"/>
      <c r="Y10" s="65"/>
      <c r="AA10" s="298">
        <v>3</v>
      </c>
      <c r="AB10" s="33" t="str">
        <f t="shared" ref="AB10:AB27" si="4">C10</f>
        <v>[500 - 1,000]  [500 - 1,000m3] [water] [metered]</v>
      </c>
      <c r="AC10" s="1303"/>
      <c r="AD10" s="375" t="s">
        <v>1490</v>
      </c>
      <c r="AE10" s="365" t="s">
        <v>1491</v>
      </c>
      <c r="AF10" s="276" t="s">
        <v>1492</v>
      </c>
      <c r="AG10" s="529" t="s">
        <v>1493</v>
      </c>
      <c r="AH10" s="525" t="s">
        <v>1494</v>
      </c>
    </row>
    <row r="11" spans="1:34" s="70" customFormat="1" ht="15" customHeight="1">
      <c r="A11" s="1727">
        <v>4</v>
      </c>
      <c r="B11" s="298" t="s">
        <v>1495</v>
      </c>
      <c r="C11" s="33" t="str">
        <f>IF($I$1="Select company","",IF(HLOOKUP((VLOOKUP($I$1,Lists!$B$4:$C$23,2,FALSE)),'Water PR16'!$A$1:$S$21,'2G'!A11+1,FALSE)=0,"",HLOOKUP((VLOOKUP($I$1,Lists!$B$4:$C$23,2,FALSE)),'Water PR16'!$A$1:$S$21,'2G'!A11+1,FALSE)))</f>
        <v>[1,000 - 5,000]  [1,000 - 5,000m3] [water] [metered]</v>
      </c>
      <c r="D11" s="1304"/>
      <c r="E11" s="375">
        <v>52.506999999999998</v>
      </c>
      <c r="F11" s="365">
        <v>-0.17799999999999999</v>
      </c>
      <c r="G11" s="276">
        <f t="shared" si="3"/>
        <v>52.329000000000001</v>
      </c>
      <c r="H11" s="529">
        <v>18.712</v>
      </c>
      <c r="I11" s="525">
        <f t="shared" si="0"/>
        <v>-9.5126122274476277</v>
      </c>
      <c r="J11" s="65"/>
      <c r="K11" s="116"/>
      <c r="L11" s="25">
        <f t="shared" ref="L11:L23" si="5" xml:space="preserve"> IF( SUM( N11:R11 ) = 0, 0, $O$5 )</f>
        <v>0</v>
      </c>
      <c r="M11" s="65"/>
      <c r="N11" s="66"/>
      <c r="O11" s="86">
        <f t="shared" si="1"/>
        <v>0</v>
      </c>
      <c r="P11" s="86">
        <f t="shared" si="1"/>
        <v>0</v>
      </c>
      <c r="Q11" s="86">
        <f t="shared" si="2"/>
        <v>0</v>
      </c>
      <c r="R11" s="66"/>
      <c r="S11"/>
      <c r="T11" s="66"/>
      <c r="U11" s="69"/>
      <c r="V11" s="69"/>
      <c r="W11" s="69"/>
      <c r="X11" s="66"/>
      <c r="Y11" s="65"/>
      <c r="AA11" s="298">
        <v>4</v>
      </c>
      <c r="AB11" s="33" t="str">
        <f t="shared" si="4"/>
        <v>[1,000 - 5,000]  [1,000 - 5,000m3] [water] [metered]</v>
      </c>
      <c r="AC11" s="1304"/>
      <c r="AD11" s="375" t="s">
        <v>1496</v>
      </c>
      <c r="AE11" s="365" t="s">
        <v>1497</v>
      </c>
      <c r="AF11" s="276" t="s">
        <v>1498</v>
      </c>
      <c r="AG11" s="529" t="s">
        <v>1499</v>
      </c>
      <c r="AH11" s="525" t="s">
        <v>1500</v>
      </c>
    </row>
    <row r="12" spans="1:34" s="70" customFormat="1" ht="15" customHeight="1">
      <c r="A12" s="1727">
        <v>5</v>
      </c>
      <c r="B12" s="298" t="s">
        <v>1501</v>
      </c>
      <c r="C12" s="33" t="str">
        <f>IF($I$1="Select company","",IF(HLOOKUP((VLOOKUP($I$1,Lists!$B$4:$C$23,2,FALSE)),'Water PR16'!$A$1:$S$21,'2G'!A12+1,FALSE)=0,"",HLOOKUP((VLOOKUP($I$1,Lists!$B$4:$C$23,2,FALSE)),'Water PR16'!$A$1:$S$21,'2G'!A12+1,FALSE)))</f>
        <v>n/a</v>
      </c>
      <c r="D12" s="1304"/>
      <c r="E12" s="375">
        <v>46.231999999999999</v>
      </c>
      <c r="F12" s="365">
        <v>-7.6999999999999999E-2</v>
      </c>
      <c r="G12" s="276">
        <f t="shared" si="3"/>
        <v>46.155000000000001</v>
      </c>
      <c r="H12" s="529">
        <v>4.0599999999999996</v>
      </c>
      <c r="I12" s="525">
        <f t="shared" si="0"/>
        <v>-18.965517241379313</v>
      </c>
      <c r="J12" s="65"/>
      <c r="K12" s="116"/>
      <c r="L12" s="25">
        <f t="shared" si="5"/>
        <v>0</v>
      </c>
      <c r="M12" s="65"/>
      <c r="N12" s="66"/>
      <c r="O12" s="86">
        <f t="shared" si="1"/>
        <v>0</v>
      </c>
      <c r="P12" s="86">
        <f t="shared" si="1"/>
        <v>0</v>
      </c>
      <c r="Q12" s="86">
        <f t="shared" si="2"/>
        <v>0</v>
      </c>
      <c r="R12" s="66"/>
      <c r="S12"/>
      <c r="T12" s="66"/>
      <c r="U12" s="69"/>
      <c r="V12" s="69"/>
      <c r="W12" s="69"/>
      <c r="X12" s="66"/>
      <c r="Y12" s="65"/>
      <c r="AA12" s="298">
        <v>5</v>
      </c>
      <c r="AB12" s="33" t="str">
        <f t="shared" si="4"/>
        <v>n/a</v>
      </c>
      <c r="AC12" s="1304"/>
      <c r="AD12" s="375" t="s">
        <v>1502</v>
      </c>
      <c r="AE12" s="365" t="s">
        <v>1503</v>
      </c>
      <c r="AF12" s="276" t="s">
        <v>1504</v>
      </c>
      <c r="AG12" s="529" t="s">
        <v>1505</v>
      </c>
      <c r="AH12" s="525" t="s">
        <v>1506</v>
      </c>
    </row>
    <row r="13" spans="1:34" s="70" customFormat="1" ht="15" customHeight="1">
      <c r="A13" s="1727">
        <v>6</v>
      </c>
      <c r="B13" s="298" t="s">
        <v>1507</v>
      </c>
      <c r="C13" s="33" t="str">
        <f>IF($I$1="Select company","",IF(HLOOKUP((VLOOKUP($I$1,Lists!$B$4:$C$23,2,FALSE)),'Water PR16'!$A$1:$S$21,'2G'!A13+1,FALSE)=0,"",HLOOKUP((VLOOKUP($I$1,Lists!$B$4:$C$23,2,FALSE)),'Water PR16'!$A$1:$S$21,'2G'!A13+1,FALSE)))</f>
        <v>n/a</v>
      </c>
      <c r="D13" s="1304"/>
      <c r="E13" s="375">
        <v>23.376999999999999</v>
      </c>
      <c r="F13" s="365">
        <v>-1.2999999999999999E-2</v>
      </c>
      <c r="G13" s="276">
        <f t="shared" si="3"/>
        <v>23.363999999999997</v>
      </c>
      <c r="H13" s="529">
        <v>0.65500000000000003</v>
      </c>
      <c r="I13" s="525">
        <f t="shared" si="0"/>
        <v>-19.847328244274806</v>
      </c>
      <c r="J13" s="65"/>
      <c r="K13" s="116"/>
      <c r="L13" s="25">
        <f t="shared" si="5"/>
        <v>0</v>
      </c>
      <c r="M13" s="65"/>
      <c r="N13" s="66"/>
      <c r="O13" s="86">
        <f t="shared" si="1"/>
        <v>0</v>
      </c>
      <c r="P13" s="86">
        <f t="shared" si="1"/>
        <v>0</v>
      </c>
      <c r="Q13" s="86">
        <f t="shared" si="2"/>
        <v>0</v>
      </c>
      <c r="R13" s="66"/>
      <c r="S13"/>
      <c r="T13" s="66"/>
      <c r="U13" s="69"/>
      <c r="V13" s="69"/>
      <c r="W13" s="69"/>
      <c r="X13" s="66"/>
      <c r="Y13" s="65"/>
      <c r="AA13" s="298">
        <v>6</v>
      </c>
      <c r="AB13" s="33" t="str">
        <f t="shared" si="4"/>
        <v>n/a</v>
      </c>
      <c r="AC13" s="1304"/>
      <c r="AD13" s="375" t="s">
        <v>1508</v>
      </c>
      <c r="AE13" s="365" t="s">
        <v>1509</v>
      </c>
      <c r="AF13" s="276" t="s">
        <v>1510</v>
      </c>
      <c r="AG13" s="529" t="s">
        <v>1511</v>
      </c>
      <c r="AH13" s="525" t="s">
        <v>1512</v>
      </c>
    </row>
    <row r="14" spans="1:34" s="70" customFormat="1" ht="15" customHeight="1">
      <c r="A14" s="1727">
        <v>7</v>
      </c>
      <c r="B14" s="298" t="s">
        <v>1513</v>
      </c>
      <c r="C14" s="33" t="str">
        <f>IF($I$1="Select company","",IF(HLOOKUP((VLOOKUP($I$1,Lists!$B$4:$C$23,2,FALSE)),'Water PR16'!$A$1:$S$21,'2G'!A14+1,FALSE)=0,"",HLOOKUP((VLOOKUP($I$1,Lists!$B$4:$C$23,2,FALSE)),'Water PR16'!$A$1:$S$21,'2G'!A14+1,FALSE)))</f>
        <v>n/a</v>
      </c>
      <c r="D14" s="1304"/>
      <c r="E14" s="375">
        <v>26.809000000000001</v>
      </c>
      <c r="F14" s="365">
        <v>8.0000000000000002E-3</v>
      </c>
      <c r="G14" s="276">
        <f t="shared" si="3"/>
        <v>26.817</v>
      </c>
      <c r="H14" s="529">
        <v>0.41599999999999998</v>
      </c>
      <c r="I14" s="525">
        <f t="shared" si="0"/>
        <v>19.230769230769234</v>
      </c>
      <c r="J14" s="65"/>
      <c r="K14" s="116"/>
      <c r="L14" s="25">
        <f t="shared" si="5"/>
        <v>0</v>
      </c>
      <c r="M14" s="65"/>
      <c r="N14" s="66"/>
      <c r="O14" s="86">
        <f t="shared" si="1"/>
        <v>0</v>
      </c>
      <c r="P14" s="86">
        <f t="shared" si="1"/>
        <v>0</v>
      </c>
      <c r="Q14" s="86">
        <f t="shared" si="2"/>
        <v>0</v>
      </c>
      <c r="R14" s="66"/>
      <c r="S14"/>
      <c r="T14" s="66"/>
      <c r="U14" s="69"/>
      <c r="V14" s="69"/>
      <c r="W14" s="69"/>
      <c r="X14" s="66"/>
      <c r="Y14" s="65"/>
      <c r="AA14" s="298">
        <v>7</v>
      </c>
      <c r="AB14" s="33" t="str">
        <f t="shared" si="4"/>
        <v>n/a</v>
      </c>
      <c r="AC14" s="1304"/>
      <c r="AD14" s="375" t="s">
        <v>1514</v>
      </c>
      <c r="AE14" s="365" t="s">
        <v>1515</v>
      </c>
      <c r="AF14" s="276" t="s">
        <v>1516</v>
      </c>
      <c r="AG14" s="529" t="s">
        <v>1517</v>
      </c>
      <c r="AH14" s="525" t="s">
        <v>1518</v>
      </c>
    </row>
    <row r="15" spans="1:34" s="70" customFormat="1" ht="15" customHeight="1">
      <c r="A15" s="1727">
        <v>8</v>
      </c>
      <c r="B15" s="298" t="s">
        <v>1519</v>
      </c>
      <c r="C15" s="33" t="str">
        <f>IF($I$1="Select company","",IF(HLOOKUP((VLOOKUP($I$1,Lists!$B$4:$C$23,2,FALSE)),'Water PR16'!$A$1:$S$21,'2G'!A15+1,FALSE)=0,"",HLOOKUP((VLOOKUP($I$1,Lists!$B$4:$C$23,2,FALSE)),'Water PR16'!$A$1:$S$21,'2G'!A15+1,FALSE)))</f>
        <v>n/a</v>
      </c>
      <c r="D15" s="1304"/>
      <c r="E15" s="375">
        <v>8.3940000000000001</v>
      </c>
      <c r="F15" s="365">
        <v>1.0999999999999999E-2</v>
      </c>
      <c r="G15" s="276">
        <f t="shared" si="3"/>
        <v>8.4049999999999994</v>
      </c>
      <c r="H15" s="529">
        <v>0.05</v>
      </c>
      <c r="I15" s="525">
        <f t="shared" si="0"/>
        <v>219.99999999999997</v>
      </c>
      <c r="J15" s="65"/>
      <c r="K15" s="116"/>
      <c r="L15" s="25">
        <f t="shared" si="5"/>
        <v>0</v>
      </c>
      <c r="M15" s="65"/>
      <c r="N15" s="66"/>
      <c r="O15" s="86">
        <f t="shared" si="1"/>
        <v>0</v>
      </c>
      <c r="P15" s="86">
        <f t="shared" si="1"/>
        <v>0</v>
      </c>
      <c r="Q15" s="86">
        <f t="shared" si="2"/>
        <v>0</v>
      </c>
      <c r="R15" s="66"/>
      <c r="S15"/>
      <c r="T15" s="66"/>
      <c r="U15" s="69"/>
      <c r="V15" s="69"/>
      <c r="W15" s="69"/>
      <c r="X15" s="66"/>
      <c r="Y15" s="65"/>
      <c r="AA15" s="298">
        <v>8</v>
      </c>
      <c r="AB15" s="33" t="str">
        <f t="shared" si="4"/>
        <v>n/a</v>
      </c>
      <c r="AC15" s="1304"/>
      <c r="AD15" s="375" t="s">
        <v>1520</v>
      </c>
      <c r="AE15" s="365" t="s">
        <v>1521</v>
      </c>
      <c r="AF15" s="276" t="s">
        <v>1522</v>
      </c>
      <c r="AG15" s="529" t="s">
        <v>1523</v>
      </c>
      <c r="AH15" s="525" t="s">
        <v>1524</v>
      </c>
    </row>
    <row r="16" spans="1:34" s="70" customFormat="1" ht="15" customHeight="1">
      <c r="A16" s="1727">
        <v>9</v>
      </c>
      <c r="B16" s="298" t="s">
        <v>1525</v>
      </c>
      <c r="C16" s="33" t="str">
        <f>IF($I$1="Select company","",IF(HLOOKUP((VLOOKUP($I$1,Lists!$B$4:$C$23,2,FALSE)),'Water PR16'!$A$1:$S$21,'2G'!A16+1,FALSE)=0,"",HLOOKUP((VLOOKUP($I$1,Lists!$B$4:$C$23,2,FALSE)),'Water PR16'!$A$1:$S$21,'2G'!A16+1,FALSE)))</f>
        <v>[0 - 500 Business Assessed]  [0 - 500m3] [water] [unmetered]</v>
      </c>
      <c r="D16" s="1304"/>
      <c r="E16" s="375">
        <v>6.2430000000000003</v>
      </c>
      <c r="F16" s="365">
        <v>0.56100000000000005</v>
      </c>
      <c r="G16" s="276">
        <f t="shared" si="3"/>
        <v>6.8040000000000003</v>
      </c>
      <c r="H16" s="529">
        <v>22.536000000000001</v>
      </c>
      <c r="I16" s="525">
        <f t="shared" si="0"/>
        <v>24.893503727369545</v>
      </c>
      <c r="J16" s="65"/>
      <c r="K16" s="116"/>
      <c r="L16" s="25">
        <f t="shared" si="5"/>
        <v>0</v>
      </c>
      <c r="M16" s="65"/>
      <c r="N16" s="66"/>
      <c r="O16" s="86">
        <f t="shared" si="1"/>
        <v>0</v>
      </c>
      <c r="P16" s="86">
        <f t="shared" si="1"/>
        <v>0</v>
      </c>
      <c r="Q16" s="86">
        <f t="shared" si="2"/>
        <v>0</v>
      </c>
      <c r="R16" s="66"/>
      <c r="S16"/>
      <c r="T16" s="66"/>
      <c r="U16" s="69"/>
      <c r="V16" s="69"/>
      <c r="W16" s="69"/>
      <c r="X16" s="66"/>
      <c r="Y16" s="65"/>
      <c r="AA16" s="298">
        <v>9</v>
      </c>
      <c r="AB16" s="33" t="str">
        <f t="shared" si="4"/>
        <v>[0 - 500 Business Assessed]  [0 - 500m3] [water] [unmetered]</v>
      </c>
      <c r="AC16" s="1304"/>
      <c r="AD16" s="375" t="s">
        <v>1526</v>
      </c>
      <c r="AE16" s="365" t="s">
        <v>1527</v>
      </c>
      <c r="AF16" s="276" t="s">
        <v>1528</v>
      </c>
      <c r="AG16" s="529" t="s">
        <v>1529</v>
      </c>
      <c r="AH16" s="525" t="s">
        <v>1530</v>
      </c>
    </row>
    <row r="17" spans="1:34" s="70" customFormat="1" ht="15" customHeight="1">
      <c r="A17" s="1727">
        <v>10</v>
      </c>
      <c r="B17" s="298" t="s">
        <v>1531</v>
      </c>
      <c r="C17" s="33" t="str">
        <f>IF($I$1="Select company","",IF(HLOOKUP((VLOOKUP($I$1,Lists!$B$4:$C$23,2,FALSE)),'Water PR16'!$A$1:$S$21,'2G'!A17+1,FALSE)=0,"",HLOOKUP((VLOOKUP($I$1,Lists!$B$4:$C$23,2,FALSE)),'Water PR16'!$A$1:$S$21,'2G'!A17+1,FALSE)))</f>
        <v>[500 - 1,000 Business Assessed]  [500 - 1,000m3] [water] [unmetered]</v>
      </c>
      <c r="D17" s="1304"/>
      <c r="E17" s="375">
        <v>1.6950000000000001</v>
      </c>
      <c r="F17" s="365">
        <v>5.1999999999999998E-2</v>
      </c>
      <c r="G17" s="276">
        <f t="shared" si="3"/>
        <v>1.7470000000000001</v>
      </c>
      <c r="H17" s="529">
        <v>0.98199999999999998</v>
      </c>
      <c r="I17" s="525">
        <f t="shared" si="0"/>
        <v>52.953156822810591</v>
      </c>
      <c r="J17" s="65"/>
      <c r="K17" s="116"/>
      <c r="L17" s="25">
        <f t="shared" si="5"/>
        <v>0</v>
      </c>
      <c r="M17" s="65"/>
      <c r="N17" s="66"/>
      <c r="O17" s="86">
        <f t="shared" si="1"/>
        <v>0</v>
      </c>
      <c r="P17" s="86">
        <f t="shared" si="1"/>
        <v>0</v>
      </c>
      <c r="Q17" s="86">
        <f t="shared" si="2"/>
        <v>0</v>
      </c>
      <c r="R17" s="66"/>
      <c r="S17"/>
      <c r="T17" s="66"/>
      <c r="U17" s="69"/>
      <c r="V17" s="69"/>
      <c r="W17" s="69"/>
      <c r="X17" s="66"/>
      <c r="Y17" s="65"/>
      <c r="AA17" s="298">
        <v>10</v>
      </c>
      <c r="AB17" s="33" t="str">
        <f t="shared" si="4"/>
        <v>[500 - 1,000 Business Assessed]  [500 - 1,000m3] [water] [unmetered]</v>
      </c>
      <c r="AC17" s="1304"/>
      <c r="AD17" s="375" t="s">
        <v>1532</v>
      </c>
      <c r="AE17" s="365" t="s">
        <v>1533</v>
      </c>
      <c r="AF17" s="276" t="s">
        <v>1534</v>
      </c>
      <c r="AG17" s="529" t="s">
        <v>1535</v>
      </c>
      <c r="AH17" s="525" t="s">
        <v>1536</v>
      </c>
    </row>
    <row r="18" spans="1:34" s="70" customFormat="1" ht="15" customHeight="1">
      <c r="A18" s="1727">
        <v>11</v>
      </c>
      <c r="B18" s="298" t="s">
        <v>1537</v>
      </c>
      <c r="C18" s="33" t="str">
        <f>IF($I$1="Select company","",IF(HLOOKUP((VLOOKUP($I$1,Lists!$B$4:$C$23,2,FALSE)),'Water PR16'!$A$1:$S$21,'2G'!A18+1,FALSE)=0,"",HLOOKUP((VLOOKUP($I$1,Lists!$B$4:$C$23,2,FALSE)),'Water PR16'!$A$1:$S$21,'2G'!A18+1,FALSE)))</f>
        <v>[1,000 - 5,000 Business Assessed]  [1,000 - 5,000m3] [water] [unmetered]</v>
      </c>
      <c r="D18" s="1304"/>
      <c r="E18" s="375">
        <v>3.0430000000000001</v>
      </c>
      <c r="F18" s="365">
        <v>0.09</v>
      </c>
      <c r="G18" s="276">
        <f t="shared" si="3"/>
        <v>3.133</v>
      </c>
      <c r="H18" s="529">
        <v>0.55000000000000004</v>
      </c>
      <c r="I18" s="525">
        <f t="shared" si="0"/>
        <v>163.6363636363636</v>
      </c>
      <c r="J18" s="65"/>
      <c r="K18" s="116"/>
      <c r="L18" s="25">
        <f t="shared" si="5"/>
        <v>0</v>
      </c>
      <c r="M18" s="65"/>
      <c r="N18" s="66"/>
      <c r="O18" s="86">
        <f t="shared" si="1"/>
        <v>0</v>
      </c>
      <c r="P18" s="86">
        <f t="shared" si="1"/>
        <v>0</v>
      </c>
      <c r="Q18" s="86">
        <f t="shared" si="2"/>
        <v>0</v>
      </c>
      <c r="R18" s="66"/>
      <c r="S18"/>
      <c r="T18" s="66"/>
      <c r="U18" s="69"/>
      <c r="V18" s="69"/>
      <c r="W18" s="69"/>
      <c r="X18" s="66"/>
      <c r="Y18" s="65"/>
      <c r="AA18" s="298">
        <v>11</v>
      </c>
      <c r="AB18" s="33" t="str">
        <f t="shared" si="4"/>
        <v>[1,000 - 5,000 Business Assessed]  [1,000 - 5,000m3] [water] [unmetered]</v>
      </c>
      <c r="AC18" s="1304"/>
      <c r="AD18" s="375" t="s">
        <v>1538</v>
      </c>
      <c r="AE18" s="365" t="s">
        <v>1539</v>
      </c>
      <c r="AF18" s="276" t="s">
        <v>1540</v>
      </c>
      <c r="AG18" s="529" t="s">
        <v>1541</v>
      </c>
      <c r="AH18" s="525" t="s">
        <v>1542</v>
      </c>
    </row>
    <row r="19" spans="1:34" s="70" customFormat="1" ht="15" customHeight="1">
      <c r="A19" s="1727">
        <v>12</v>
      </c>
      <c r="B19" s="298" t="s">
        <v>1543</v>
      </c>
      <c r="C19" s="33" t="str">
        <f>IF($I$1="Select company","",IF(HLOOKUP((VLOOKUP($I$1,Lists!$B$4:$C$23,2,FALSE)),'Water PR16'!$A$1:$S$21,'2G'!A19+1,FALSE)=0,"",HLOOKUP((VLOOKUP($I$1,Lists!$B$4:$C$23,2,FALSE)),'Water PR16'!$A$1:$S$21,'2G'!A19+1,FALSE)))</f>
        <v>n/a</v>
      </c>
      <c r="D19" s="1304"/>
      <c r="E19" s="375">
        <v>0.66700000000000004</v>
      </c>
      <c r="F19" s="365">
        <v>0.01</v>
      </c>
      <c r="G19" s="276">
        <f t="shared" si="3"/>
        <v>0.67700000000000005</v>
      </c>
      <c r="H19" s="529">
        <v>3.4000000000000002E-2</v>
      </c>
      <c r="I19" s="525">
        <f t="shared" si="0"/>
        <v>294.11764705882354</v>
      </c>
      <c r="J19" s="65"/>
      <c r="K19" s="116"/>
      <c r="L19" s="25">
        <f t="shared" si="5"/>
        <v>0</v>
      </c>
      <c r="M19" s="65"/>
      <c r="N19" s="66"/>
      <c r="O19" s="86">
        <f t="shared" si="1"/>
        <v>0</v>
      </c>
      <c r="P19" s="86">
        <f t="shared" si="1"/>
        <v>0</v>
      </c>
      <c r="Q19" s="86">
        <f t="shared" si="2"/>
        <v>0</v>
      </c>
      <c r="R19" s="66"/>
      <c r="S19"/>
      <c r="T19" s="66"/>
      <c r="U19" s="69"/>
      <c r="V19" s="69"/>
      <c r="W19" s="69"/>
      <c r="X19" s="66"/>
      <c r="Y19" s="65"/>
      <c r="AA19" s="298">
        <v>12</v>
      </c>
      <c r="AB19" s="33" t="str">
        <f t="shared" si="4"/>
        <v>n/a</v>
      </c>
      <c r="AC19" s="1304"/>
      <c r="AD19" s="375" t="s">
        <v>1544</v>
      </c>
      <c r="AE19" s="365" t="s">
        <v>1545</v>
      </c>
      <c r="AF19" s="276" t="s">
        <v>1546</v>
      </c>
      <c r="AG19" s="529" t="s">
        <v>1547</v>
      </c>
      <c r="AH19" s="525" t="s">
        <v>1548</v>
      </c>
    </row>
    <row r="20" spans="1:34" s="70" customFormat="1" ht="15" customHeight="1">
      <c r="A20" s="1727">
        <v>13</v>
      </c>
      <c r="B20" s="298" t="s">
        <v>1549</v>
      </c>
      <c r="C20" s="33" t="str">
        <f>IF($I$1="Select company","",IF(HLOOKUP((VLOOKUP($I$1,Lists!$B$4:$C$23,2,FALSE)),'Water PR16'!$A$1:$S$21,'2G'!A20+1,FALSE)=0,"",HLOOKUP((VLOOKUP($I$1,Lists!$B$4:$C$23,2,FALSE)),'Water PR16'!$A$1:$S$21,'2G'!A20+1,FALSE)))</f>
        <v>[Unmeasured RV + Fixed]  [N/A] [water] [unmetered]</v>
      </c>
      <c r="D20" s="1304"/>
      <c r="E20" s="375">
        <v>2.3109999999999999</v>
      </c>
      <c r="F20" s="365">
        <v>5.0000000000000001E-3</v>
      </c>
      <c r="G20" s="276">
        <f t="shared" si="3"/>
        <v>2.3159999999999998</v>
      </c>
      <c r="H20" s="529">
        <v>8.3179999999999996</v>
      </c>
      <c r="I20" s="525">
        <f t="shared" si="0"/>
        <v>0.60110603510459248</v>
      </c>
      <c r="J20" s="65"/>
      <c r="K20" s="116"/>
      <c r="L20" s="25">
        <f t="shared" si="5"/>
        <v>0</v>
      </c>
      <c r="M20" s="65"/>
      <c r="N20" s="66"/>
      <c r="O20" s="86">
        <f t="shared" si="1"/>
        <v>0</v>
      </c>
      <c r="P20" s="86">
        <f t="shared" si="1"/>
        <v>0</v>
      </c>
      <c r="Q20" s="86">
        <f t="shared" si="2"/>
        <v>0</v>
      </c>
      <c r="R20" s="66"/>
      <c r="S20"/>
      <c r="T20" s="66"/>
      <c r="U20" s="69"/>
      <c r="V20" s="69"/>
      <c r="W20" s="69"/>
      <c r="X20" s="66"/>
      <c r="Y20" s="65"/>
      <c r="AA20" s="298">
        <v>13</v>
      </c>
      <c r="AB20" s="33" t="str">
        <f t="shared" si="4"/>
        <v>[Unmeasured RV + Fixed]  [N/A] [water] [unmetered]</v>
      </c>
      <c r="AC20" s="1304"/>
      <c r="AD20" s="375" t="s">
        <v>1550</v>
      </c>
      <c r="AE20" s="365" t="s">
        <v>1551</v>
      </c>
      <c r="AF20" s="276" t="s">
        <v>1552</v>
      </c>
      <c r="AG20" s="529" t="s">
        <v>1553</v>
      </c>
      <c r="AH20" s="525" t="s">
        <v>1554</v>
      </c>
    </row>
    <row r="21" spans="1:34" s="70" customFormat="1" ht="15" customHeight="1">
      <c r="A21" s="1727">
        <v>14</v>
      </c>
      <c r="B21" s="298" t="s">
        <v>1555</v>
      </c>
      <c r="C21" s="33" t="str">
        <f>IF($I$1="Select company","",IF(HLOOKUP((VLOOKUP($I$1,Lists!$B$4:$C$23,2,FALSE)),'Water PR16'!$A$1:$S$21,'2G'!A21+1,FALSE)=0,"",HLOOKUP((VLOOKUP($I$1,Lists!$B$4:$C$23,2,FALSE)),'Water PR16'!$A$1:$S$21,'2G'!A21+1,FALSE)))</f>
        <v>Water supplies 5 to 50 MI</v>
      </c>
      <c r="D21" s="1304"/>
      <c r="E21" s="375">
        <v>0</v>
      </c>
      <c r="F21" s="365">
        <v>0</v>
      </c>
      <c r="G21" s="276">
        <f t="shared" si="3"/>
        <v>0</v>
      </c>
      <c r="H21" s="529">
        <v>0</v>
      </c>
      <c r="I21" s="525">
        <f t="shared" si="0"/>
        <v>0</v>
      </c>
      <c r="J21" s="65"/>
      <c r="K21" s="116"/>
      <c r="L21" s="25">
        <f t="shared" si="5"/>
        <v>0</v>
      </c>
      <c r="M21" s="65"/>
      <c r="N21" s="66"/>
      <c r="O21" s="86">
        <f t="shared" si="1"/>
        <v>0</v>
      </c>
      <c r="P21" s="86">
        <f t="shared" si="1"/>
        <v>0</v>
      </c>
      <c r="Q21" s="86">
        <f t="shared" si="2"/>
        <v>0</v>
      </c>
      <c r="R21" s="66"/>
      <c r="S21"/>
      <c r="T21" s="66"/>
      <c r="U21" s="69"/>
      <c r="V21" s="69"/>
      <c r="W21" s="69"/>
      <c r="X21" s="66"/>
      <c r="Y21" s="65"/>
      <c r="AA21" s="298">
        <v>14</v>
      </c>
      <c r="AB21" s="33" t="str">
        <f t="shared" si="4"/>
        <v>Water supplies 5 to 50 MI</v>
      </c>
      <c r="AC21" s="1304"/>
      <c r="AD21" s="375" t="s">
        <v>1556</v>
      </c>
      <c r="AE21" s="365" t="s">
        <v>1557</v>
      </c>
      <c r="AF21" s="276" t="s">
        <v>1558</v>
      </c>
      <c r="AG21" s="529" t="s">
        <v>1559</v>
      </c>
      <c r="AH21" s="525" t="s">
        <v>1560</v>
      </c>
    </row>
    <row r="22" spans="1:34" s="70" customFormat="1" ht="15" customHeight="1">
      <c r="A22" s="1727">
        <v>15</v>
      </c>
      <c r="B22" s="298" t="s">
        <v>1561</v>
      </c>
      <c r="C22" s="33" t="str">
        <f>IF($I$1="Select company","",IF(HLOOKUP((VLOOKUP($I$1,Lists!$B$4:$C$23,2,FALSE)),'Water PR16'!$A$1:$S$21,'2G'!A22+1,FALSE)=0,"",HLOOKUP((VLOOKUP($I$1,Lists!$B$4:$C$23,2,FALSE)),'Water PR16'!$A$1:$S$21,'2G'!A22+1,FALSE)))</f>
        <v>Water supplies 50 MI and over</v>
      </c>
      <c r="D22" s="1304"/>
      <c r="E22" s="375">
        <v>0</v>
      </c>
      <c r="F22" s="365">
        <v>0</v>
      </c>
      <c r="G22" s="276">
        <f t="shared" si="3"/>
        <v>0</v>
      </c>
      <c r="H22" s="529">
        <v>0</v>
      </c>
      <c r="I22" s="525">
        <f t="shared" si="0"/>
        <v>0</v>
      </c>
      <c r="J22" s="110"/>
      <c r="K22" s="116"/>
      <c r="L22" s="25">
        <f t="shared" si="5"/>
        <v>0</v>
      </c>
      <c r="M22" s="65"/>
      <c r="N22" s="66"/>
      <c r="O22" s="86">
        <f t="shared" si="1"/>
        <v>0</v>
      </c>
      <c r="P22" s="86">
        <f t="shared" si="1"/>
        <v>0</v>
      </c>
      <c r="Q22" s="86">
        <f t="shared" si="2"/>
        <v>0</v>
      </c>
      <c r="R22" s="66"/>
      <c r="S22"/>
      <c r="T22" s="66"/>
      <c r="U22" s="69"/>
      <c r="V22" s="69"/>
      <c r="W22" s="69"/>
      <c r="X22" s="66"/>
      <c r="Y22" s="103"/>
      <c r="AA22" s="298">
        <v>15</v>
      </c>
      <c r="AB22" s="33" t="str">
        <f t="shared" si="4"/>
        <v>Water supplies 50 MI and over</v>
      </c>
      <c r="AC22" s="1304"/>
      <c r="AD22" s="375" t="s">
        <v>1562</v>
      </c>
      <c r="AE22" s="365" t="s">
        <v>1563</v>
      </c>
      <c r="AF22" s="276" t="s">
        <v>1564</v>
      </c>
      <c r="AG22" s="529" t="s">
        <v>1565</v>
      </c>
      <c r="AH22" s="525" t="s">
        <v>1566</v>
      </c>
    </row>
    <row r="23" spans="1:34" s="70" customFormat="1" ht="15" customHeight="1">
      <c r="A23" s="1727">
        <v>16</v>
      </c>
      <c r="B23" s="298" t="s">
        <v>1567</v>
      </c>
      <c r="C23" s="33" t="str">
        <f>IF($I$1="Select company","",IF(HLOOKUP((VLOOKUP($I$1,Lists!$B$4:$C$23,2,FALSE)),'Water PR16'!$A$1:$S$21,'2G'!A23+1,FALSE)=0,"",HLOOKUP((VLOOKUP($I$1,Lists!$B$4:$C$23,2,FALSE)),'Water PR16'!$A$1:$S$21,'2G'!A23+1,FALSE)))</f>
        <v/>
      </c>
      <c r="D23" s="1304"/>
      <c r="E23" s="375"/>
      <c r="F23" s="365"/>
      <c r="G23" s="276">
        <f t="shared" si="3"/>
        <v>0</v>
      </c>
      <c r="H23" s="529"/>
      <c r="I23" s="525">
        <f t="shared" si="0"/>
        <v>0</v>
      </c>
      <c r="J23" s="116"/>
      <c r="K23" s="116"/>
      <c r="L23" s="25">
        <f t="shared" si="5"/>
        <v>0</v>
      </c>
      <c r="M23" s="65"/>
      <c r="N23" s="66"/>
      <c r="O23" s="86">
        <f t="shared" si="1"/>
        <v>0</v>
      </c>
      <c r="P23" s="86">
        <f t="shared" si="1"/>
        <v>0</v>
      </c>
      <c r="Q23" s="86">
        <f t="shared" si="2"/>
        <v>0</v>
      </c>
      <c r="R23" s="66"/>
      <c r="S23" s="113"/>
      <c r="T23" s="114"/>
      <c r="U23" s="143"/>
      <c r="V23" s="143"/>
      <c r="W23" s="69"/>
      <c r="X23" s="114"/>
      <c r="Y23" s="142"/>
      <c r="AA23" s="298">
        <v>16</v>
      </c>
      <c r="AB23" s="33" t="str">
        <f t="shared" si="4"/>
        <v/>
      </c>
      <c r="AC23" s="1304"/>
      <c r="AD23" s="375" t="s">
        <v>1568</v>
      </c>
      <c r="AE23" s="365" t="s">
        <v>1569</v>
      </c>
      <c r="AF23" s="276" t="s">
        <v>1570</v>
      </c>
      <c r="AG23" s="529" t="s">
        <v>1571</v>
      </c>
      <c r="AH23" s="525" t="s">
        <v>1572</v>
      </c>
    </row>
    <row r="24" spans="1:34" s="70" customFormat="1" ht="15" customHeight="1">
      <c r="A24" s="1727">
        <v>17</v>
      </c>
      <c r="B24" s="298" t="s">
        <v>1573</v>
      </c>
      <c r="C24" s="33" t="str">
        <f>IF($I$1="Select company","",IF(HLOOKUP((VLOOKUP($I$1,Lists!$B$4:$C$23,2,FALSE)),'Water PR16'!$A$1:$S$21,'2G'!A24+1,FALSE)=0,"",HLOOKUP((VLOOKUP($I$1,Lists!$B$4:$C$23,2,FALSE)),'Water PR16'!$A$1:$S$21,'2G'!A24+1,FALSE)))</f>
        <v/>
      </c>
      <c r="D24" s="1304"/>
      <c r="E24" s="375"/>
      <c r="F24" s="365"/>
      <c r="G24" s="276">
        <f t="shared" si="3"/>
        <v>0</v>
      </c>
      <c r="H24" s="529"/>
      <c r="I24" s="525">
        <f t="shared" si="0"/>
        <v>0</v>
      </c>
      <c r="J24" s="116"/>
      <c r="K24" s="116"/>
      <c r="L24" s="25">
        <f t="shared" ref="L24:L25" si="6" xml:space="preserve"> IF( SUM( N24:R24 ) = 0, 0, $O$5 )</f>
        <v>0</v>
      </c>
      <c r="M24" s="65"/>
      <c r="N24" s="66"/>
      <c r="O24" s="86">
        <f t="shared" si="1"/>
        <v>0</v>
      </c>
      <c r="P24" s="86">
        <f t="shared" si="1"/>
        <v>0</v>
      </c>
      <c r="Q24" s="86">
        <f t="shared" si="2"/>
        <v>0</v>
      </c>
      <c r="R24" s="66"/>
      <c r="S24"/>
      <c r="T24" s="111"/>
      <c r="U24" s="69"/>
      <c r="V24" s="69"/>
      <c r="W24" s="69"/>
      <c r="X24" s="111"/>
      <c r="Y24" s="142"/>
      <c r="AA24" s="298">
        <v>17</v>
      </c>
      <c r="AB24" s="33" t="str">
        <f t="shared" si="4"/>
        <v/>
      </c>
      <c r="AC24" s="1304"/>
      <c r="AD24" s="375" t="s">
        <v>1574</v>
      </c>
      <c r="AE24" s="365" t="s">
        <v>1575</v>
      </c>
      <c r="AF24" s="276" t="s">
        <v>1576</v>
      </c>
      <c r="AG24" s="529" t="s">
        <v>1577</v>
      </c>
      <c r="AH24" s="525" t="s">
        <v>1578</v>
      </c>
    </row>
    <row r="25" spans="1:34" s="70" customFormat="1" ht="15" customHeight="1">
      <c r="A25" s="1727">
        <v>18</v>
      </c>
      <c r="B25" s="298" t="s">
        <v>1579</v>
      </c>
      <c r="C25" s="33" t="str">
        <f>IF($I$1="Select company","",IF(HLOOKUP((VLOOKUP($I$1,Lists!$B$4:$C$23,2,FALSE)),'Water PR16'!$A$1:$S$21,'2G'!A25+1,FALSE)=0,"",HLOOKUP((VLOOKUP($I$1,Lists!$B$4:$C$23,2,FALSE)),'Water PR16'!$A$1:$S$21,'2G'!A25+1,FALSE)))</f>
        <v/>
      </c>
      <c r="D25" s="1303"/>
      <c r="E25" s="375"/>
      <c r="F25" s="377"/>
      <c r="G25" s="276">
        <f t="shared" si="3"/>
        <v>0</v>
      </c>
      <c r="H25" s="529"/>
      <c r="I25" s="525">
        <f t="shared" si="0"/>
        <v>0</v>
      </c>
      <c r="J25" s="116"/>
      <c r="K25" s="116"/>
      <c r="L25" s="25">
        <f t="shared" si="6"/>
        <v>0</v>
      </c>
      <c r="M25" s="65"/>
      <c r="N25" s="66"/>
      <c r="O25" s="86">
        <f t="shared" si="1"/>
        <v>0</v>
      </c>
      <c r="P25" s="86">
        <f t="shared" si="1"/>
        <v>0</v>
      </c>
      <c r="Q25" s="86">
        <f t="shared" si="2"/>
        <v>0</v>
      </c>
      <c r="R25" s="66"/>
      <c r="S25"/>
      <c r="T25" s="111"/>
      <c r="U25" s="69"/>
      <c r="V25" s="69"/>
      <c r="W25" s="69"/>
      <c r="X25" s="111"/>
      <c r="Y25" s="142"/>
      <c r="AA25" s="298">
        <v>18</v>
      </c>
      <c r="AB25" s="33" t="str">
        <f t="shared" si="4"/>
        <v/>
      </c>
      <c r="AC25" s="1303"/>
      <c r="AD25" s="375" t="s">
        <v>1580</v>
      </c>
      <c r="AE25" s="365" t="s">
        <v>1581</v>
      </c>
      <c r="AF25" s="276" t="s">
        <v>1582</v>
      </c>
      <c r="AG25" s="529" t="s">
        <v>1583</v>
      </c>
      <c r="AH25" s="525" t="s">
        <v>1584</v>
      </c>
    </row>
    <row r="26" spans="1:34" s="70" customFormat="1" ht="15" customHeight="1">
      <c r="A26" s="1727">
        <v>19</v>
      </c>
      <c r="B26" s="298" t="s">
        <v>1585</v>
      </c>
      <c r="C26" s="33" t="str">
        <f>IF($I$1="Select company","",IF(HLOOKUP((VLOOKUP($I$1,Lists!$B$4:$C$23,2,FALSE)),'Water PR16'!$A$1:$S$21,'2G'!A26+1,FALSE)=0,"",HLOOKUP((VLOOKUP($I$1,Lists!$B$4:$C$23,2,FALSE)),'Water PR16'!$A$1:$S$21,'2G'!A26+1,FALSE)))</f>
        <v/>
      </c>
      <c r="D26" s="1305"/>
      <c r="E26" s="376"/>
      <c r="F26" s="377"/>
      <c r="G26" s="276">
        <f t="shared" si="3"/>
        <v>0</v>
      </c>
      <c r="H26" s="529"/>
      <c r="I26" s="525">
        <f t="shared" si="0"/>
        <v>0</v>
      </c>
      <c r="J26" s="116"/>
      <c r="K26" s="116"/>
      <c r="L26" s="25">
        <f xml:space="preserve"> IF( SUM( N26:R26 ) = 0, 0, $O$5 )</f>
        <v>0</v>
      </c>
      <c r="M26" s="65"/>
      <c r="N26" s="66"/>
      <c r="O26" s="86">
        <f t="shared" si="1"/>
        <v>0</v>
      </c>
      <c r="P26" s="86">
        <f t="shared" si="1"/>
        <v>0</v>
      </c>
      <c r="Q26" s="86">
        <f t="shared" si="2"/>
        <v>0</v>
      </c>
      <c r="R26" s="66"/>
      <c r="S26"/>
      <c r="T26" s="111"/>
      <c r="U26" s="69"/>
      <c r="V26" s="69"/>
      <c r="W26" s="69"/>
      <c r="X26" s="111"/>
      <c r="Y26" s="142"/>
      <c r="AA26" s="298">
        <v>19</v>
      </c>
      <c r="AB26" s="33" t="str">
        <f t="shared" si="4"/>
        <v/>
      </c>
      <c r="AC26" s="1305"/>
      <c r="AD26" s="376" t="s">
        <v>1586</v>
      </c>
      <c r="AE26" s="377" t="s">
        <v>1587</v>
      </c>
      <c r="AF26" s="276" t="s">
        <v>1588</v>
      </c>
      <c r="AG26" s="529" t="s">
        <v>1589</v>
      </c>
      <c r="AH26" s="525" t="s">
        <v>1590</v>
      </c>
    </row>
    <row r="27" spans="1:34" s="70" customFormat="1" ht="15" customHeight="1">
      <c r="A27" s="1727">
        <v>20</v>
      </c>
      <c r="B27" s="298" t="s">
        <v>1591</v>
      </c>
      <c r="C27" s="33" t="str">
        <f>IF($I$1="Select company","",IF(HLOOKUP((VLOOKUP($I$1,Lists!$B$4:$C$23,2,FALSE)),'Water PR16'!$A$1:$S$21,'2G'!A27+1,FALSE)=0,"",HLOOKUP((VLOOKUP($I$1,Lists!$B$4:$C$23,2,FALSE)),'Water PR16'!$A$1:$S$21,'2G'!A27+1,FALSE)))</f>
        <v/>
      </c>
      <c r="D27" s="1305"/>
      <c r="E27" s="376"/>
      <c r="F27" s="377"/>
      <c r="G27" s="2097">
        <f t="shared" si="3"/>
        <v>0</v>
      </c>
      <c r="H27" s="2098"/>
      <c r="I27" s="2099">
        <f t="shared" si="0"/>
        <v>0</v>
      </c>
      <c r="J27" s="116"/>
      <c r="K27" s="116"/>
      <c r="L27" s="2100">
        <f xml:space="preserve"> IF( SUM( N27:R27 ) = 0, 0, $O$5 )</f>
        <v>0</v>
      </c>
      <c r="M27" s="65"/>
      <c r="N27" s="66"/>
      <c r="O27" s="86">
        <f t="shared" si="1"/>
        <v>0</v>
      </c>
      <c r="P27" s="86">
        <f t="shared" si="1"/>
        <v>0</v>
      </c>
      <c r="Q27" s="86">
        <f t="shared" si="2"/>
        <v>0</v>
      </c>
      <c r="R27" s="66"/>
      <c r="S27"/>
      <c r="T27" s="111"/>
      <c r="U27" s="69"/>
      <c r="V27" s="69"/>
      <c r="W27" s="69"/>
      <c r="X27" s="111"/>
      <c r="Y27" s="142"/>
      <c r="AA27" s="298">
        <v>20</v>
      </c>
      <c r="AB27" s="33" t="str">
        <f t="shared" si="4"/>
        <v/>
      </c>
      <c r="AC27" s="1305"/>
      <c r="AD27" s="376" t="s">
        <v>1592</v>
      </c>
      <c r="AE27" s="377" t="s">
        <v>1593</v>
      </c>
      <c r="AF27" s="276" t="s">
        <v>1594</v>
      </c>
      <c r="AG27" s="529" t="s">
        <v>1595</v>
      </c>
      <c r="AH27" s="525" t="s">
        <v>1596</v>
      </c>
    </row>
    <row r="28" spans="1:34" s="70" customFormat="1" ht="17.25" customHeight="1" thickBot="1">
      <c r="A28" s="1727">
        <v>20</v>
      </c>
      <c r="B28" s="299" t="s">
        <v>1597</v>
      </c>
      <c r="C28" s="2101" t="s">
        <v>1598</v>
      </c>
      <c r="D28" s="1300"/>
      <c r="E28" s="277">
        <f xml:space="preserve"> SUM( E9:E27 )</f>
        <v>214.01200000000003</v>
      </c>
      <c r="F28" s="278">
        <f xml:space="preserve"> SUM( F9:F27 )</f>
        <v>1.0000000000001822E-3</v>
      </c>
      <c r="G28" s="279">
        <f xml:space="preserve"> SUM( G9:G27 )</f>
        <v>214.01300000000003</v>
      </c>
      <c r="H28" s="287">
        <f xml:space="preserve"> SUM( H9:H27 )</f>
        <v>181.71600000000004</v>
      </c>
      <c r="I28" s="402">
        <f xml:space="preserve"> IF( H28 = 0, 0, F28 / H28 * 1000 )</f>
        <v>5.5030927381198242E-3</v>
      </c>
      <c r="J28" s="116"/>
      <c r="K28" s="116"/>
      <c r="L28" s="2100">
        <f xml:space="preserve"> IF( SUM( N28:R28 ) = 0, 0, $O$5 )</f>
        <v>0</v>
      </c>
      <c r="M28" s="65"/>
      <c r="N28" s="66"/>
      <c r="O28" s="86">
        <f t="shared" ref="O28" si="7">IF($C28="",0,IF(ISNUMBER(E28),0,1))</f>
        <v>0</v>
      </c>
      <c r="P28" s="86">
        <f t="shared" ref="P28" si="8">IF($C28="",0,IF(ISNUMBER(F28),0,1))</f>
        <v>0</v>
      </c>
      <c r="Q28" s="86">
        <f t="shared" ref="Q28" si="9">IF($C28="",0,IF(ISNUMBER(H28),0,1))</f>
        <v>0</v>
      </c>
      <c r="R28" s="66"/>
      <c r="S28"/>
      <c r="T28" s="111"/>
      <c r="U28" s="69"/>
      <c r="V28" s="69"/>
      <c r="W28" s="69"/>
      <c r="X28" s="111"/>
      <c r="Y28" s="142"/>
      <c r="AA28" s="299">
        <v>21</v>
      </c>
      <c r="AB28" s="2101" t="s">
        <v>1598</v>
      </c>
      <c r="AC28" s="1300"/>
      <c r="AD28" s="277" t="s">
        <v>1599</v>
      </c>
      <c r="AE28" s="278" t="s">
        <v>1600</v>
      </c>
      <c r="AF28" s="279" t="s">
        <v>1601</v>
      </c>
      <c r="AG28" s="287" t="s">
        <v>1602</v>
      </c>
      <c r="AH28" s="402" t="s">
        <v>1603</v>
      </c>
    </row>
    <row r="29" spans="1:34" s="65" customFormat="1" ht="15" thickBot="1">
      <c r="E29" s="74"/>
      <c r="F29" s="142"/>
      <c r="G29" s="74"/>
      <c r="H29" s="530"/>
      <c r="I29" s="526"/>
      <c r="J29" s="116"/>
      <c r="K29" s="116"/>
      <c r="L29" s="116"/>
      <c r="M29" s="116"/>
      <c r="N29" s="111"/>
      <c r="O29" s="176"/>
      <c r="P29" s="142"/>
      <c r="Q29" s="142"/>
      <c r="R29" s="111"/>
      <c r="S29" s="113"/>
      <c r="T29" s="111"/>
      <c r="U29" s="143"/>
      <c r="V29" s="143"/>
      <c r="W29" s="69"/>
      <c r="X29" s="111"/>
      <c r="Y29" s="142"/>
      <c r="AD29" s="74"/>
      <c r="AE29" s="142"/>
      <c r="AF29" s="74"/>
      <c r="AG29" s="530"/>
      <c r="AH29" s="526"/>
    </row>
    <row r="30" spans="1:34" s="70" customFormat="1" ht="17.25" customHeight="1" thickBot="1">
      <c r="A30" s="69"/>
      <c r="B30" s="296" t="s">
        <v>1604</v>
      </c>
      <c r="C30" s="28" t="s">
        <v>680</v>
      </c>
      <c r="D30" s="1296"/>
      <c r="E30" s="284">
        <f xml:space="preserve"> E28 + E6</f>
        <v>214.01200000000003</v>
      </c>
      <c r="F30" s="285">
        <f xml:space="preserve"> F28 + F6</f>
        <v>1.0000000000001822E-3</v>
      </c>
      <c r="G30" s="286">
        <f xml:space="preserve"> G28 + G6</f>
        <v>214.01300000000003</v>
      </c>
      <c r="H30" s="531">
        <f xml:space="preserve"> H28 + H6</f>
        <v>181.71600000000004</v>
      </c>
      <c r="I30" s="522">
        <f xml:space="preserve"> IF( H30 = 0, 0, F30 / H30 * 1000 )</f>
        <v>5.5030927381198242E-3</v>
      </c>
      <c r="J30" s="116"/>
      <c r="K30" s="1164">
        <f xml:space="preserve"> IF( SUM( R30:T30 ) = 0, 0, W30 )</f>
        <v>0</v>
      </c>
      <c r="L30" s="116"/>
      <c r="M30" s="116"/>
      <c r="N30" s="111"/>
      <c r="O30" s="176"/>
      <c r="P30" s="142"/>
      <c r="Q30" s="142"/>
      <c r="R30" s="111"/>
      <c r="S30" s="86">
        <f xml:space="preserve"> IF( (U30 - V30) = 0, 0, 1 )</f>
        <v>0</v>
      </c>
      <c r="T30" s="111"/>
      <c r="U30" s="143">
        <f xml:space="preserve"> ROUND(E30, 3)</f>
        <v>214.012</v>
      </c>
      <c r="V30" s="143">
        <f xml:space="preserve"> ROUND( SUM( '2I'!H6:H7 ), 3)</f>
        <v>214.012</v>
      </c>
      <c r="W30" s="69" t="s">
        <v>1605</v>
      </c>
      <c r="X30" s="111"/>
      <c r="Y30" s="142"/>
      <c r="AA30" s="296">
        <v>22</v>
      </c>
      <c r="AB30" s="28" t="s">
        <v>680</v>
      </c>
      <c r="AC30" s="1296"/>
      <c r="AD30" s="284" t="s">
        <v>1606</v>
      </c>
      <c r="AE30" s="285" t="s">
        <v>1607</v>
      </c>
      <c r="AF30" s="286" t="s">
        <v>1608</v>
      </c>
      <c r="AG30" s="531" t="s">
        <v>1609</v>
      </c>
      <c r="AH30" s="522" t="s">
        <v>1610</v>
      </c>
    </row>
    <row r="31" spans="1:34" s="65" customFormat="1" ht="15" thickBot="1">
      <c r="F31" s="142"/>
      <c r="H31" s="116"/>
      <c r="J31" s="118"/>
      <c r="K31" s="116"/>
      <c r="L31" s="116"/>
      <c r="M31" s="116"/>
      <c r="N31" s="111"/>
      <c r="O31" s="176"/>
      <c r="P31" s="155"/>
      <c r="Q31" s="155"/>
      <c r="R31" s="111"/>
      <c r="S31"/>
      <c r="T31" s="111"/>
      <c r="U31" s="69"/>
      <c r="V31" s="69"/>
      <c r="W31" s="69"/>
      <c r="X31" s="111"/>
      <c r="Y31" s="155"/>
      <c r="AE31" s="142"/>
      <c r="AG31" s="116"/>
    </row>
    <row r="32" spans="1:34" s="65" customFormat="1" ht="54.75" thickBot="1">
      <c r="F32" s="142"/>
      <c r="H32" s="293" t="s">
        <v>1611</v>
      </c>
      <c r="I32" s="293" t="s">
        <v>1612</v>
      </c>
      <c r="J32" s="118"/>
      <c r="K32" s="116"/>
      <c r="L32" s="116"/>
      <c r="M32" s="116"/>
      <c r="N32" s="111"/>
      <c r="O32" s="176"/>
      <c r="P32" s="155"/>
      <c r="Q32" s="155"/>
      <c r="R32" s="111"/>
      <c r="S32"/>
      <c r="T32" s="111"/>
      <c r="U32" s="69"/>
      <c r="V32" s="69"/>
      <c r="W32" s="69"/>
      <c r="X32" s="111"/>
      <c r="Y32" s="155"/>
      <c r="AE32" s="142"/>
      <c r="AG32" s="293" t="s">
        <v>1611</v>
      </c>
      <c r="AH32" s="293" t="s">
        <v>1612</v>
      </c>
    </row>
    <row r="33" spans="1:34" s="70" customFormat="1" ht="15" customHeight="1" thickBot="1">
      <c r="A33" s="69"/>
      <c r="B33" s="223" t="s">
        <v>362</v>
      </c>
      <c r="C33" s="27" t="s">
        <v>1613</v>
      </c>
      <c r="D33" s="1295"/>
      <c r="E33" s="127"/>
      <c r="F33" s="127"/>
      <c r="G33" s="127"/>
      <c r="H33" s="320"/>
      <c r="I33" s="523"/>
      <c r="J33" s="127"/>
      <c r="K33" s="116"/>
      <c r="L33" s="127"/>
      <c r="M33" s="65"/>
      <c r="N33" s="66"/>
      <c r="O33" s="155"/>
      <c r="P33" s="155"/>
      <c r="Q33" s="155"/>
      <c r="R33" s="66"/>
      <c r="S33"/>
      <c r="T33" s="66"/>
      <c r="U33" s="69"/>
      <c r="V33" s="69"/>
      <c r="W33" s="69"/>
      <c r="X33" s="66"/>
      <c r="Y33" s="65"/>
      <c r="AA33" s="223" t="s">
        <v>362</v>
      </c>
      <c r="AB33" s="27" t="s">
        <v>1613</v>
      </c>
      <c r="AC33" s="1295"/>
      <c r="AD33" s="127"/>
      <c r="AE33" s="127"/>
      <c r="AF33" s="127"/>
      <c r="AG33" s="320"/>
      <c r="AH33" s="523"/>
    </row>
    <row r="34" spans="1:34" s="70" customFormat="1" ht="15" customHeight="1" thickBot="1">
      <c r="A34" s="69"/>
      <c r="B34" s="532" t="s">
        <v>1614</v>
      </c>
      <c r="C34" s="533" t="s">
        <v>680</v>
      </c>
      <c r="D34" s="69"/>
      <c r="E34" s="65"/>
      <c r="F34" s="65"/>
      <c r="G34" s="65"/>
      <c r="H34" s="527">
        <v>181.71600000000001</v>
      </c>
      <c r="I34" s="522">
        <f xml:space="preserve"> IF( H34 = 0, 0, F30 / H34 * 1000 )</f>
        <v>5.503092738119825E-3</v>
      </c>
      <c r="J34" s="65"/>
      <c r="K34" s="116"/>
      <c r="L34" s="25">
        <f xml:space="preserve"> IF( SUM( N34:R34 ) = 0, 0, $O$5 )</f>
        <v>0</v>
      </c>
      <c r="M34" s="65"/>
      <c r="N34" s="66"/>
      <c r="O34" s="113"/>
      <c r="P34" s="113"/>
      <c r="Q34" s="86">
        <f>IF( ISNUMBER( H34 ), 0, 1 )</f>
        <v>0</v>
      </c>
      <c r="R34" s="66"/>
      <c r="S34"/>
      <c r="T34" s="66"/>
      <c r="U34" s="69"/>
      <c r="V34" s="69"/>
      <c r="W34" s="69"/>
      <c r="X34" s="66"/>
      <c r="Y34" s="65"/>
      <c r="AA34" s="532">
        <f xml:space="preserve"> AA30 + 1</f>
        <v>23</v>
      </c>
      <c r="AB34" s="533" t="s">
        <v>680</v>
      </c>
      <c r="AC34" s="69"/>
      <c r="AD34" s="65"/>
      <c r="AE34" s="65"/>
      <c r="AF34" s="65"/>
      <c r="AG34" s="527" t="s">
        <v>1615</v>
      </c>
      <c r="AH34" s="522" t="s">
        <v>1616</v>
      </c>
    </row>
    <row r="35" spans="1:34" s="65" customFormat="1">
      <c r="B35" s="69"/>
      <c r="C35" s="300"/>
      <c r="D35" s="300"/>
      <c r="F35" s="142"/>
      <c r="H35" s="116"/>
      <c r="J35" s="118"/>
      <c r="K35" s="116"/>
      <c r="L35" s="116"/>
      <c r="M35" s="116"/>
      <c r="N35" s="111"/>
      <c r="O35" s="176"/>
      <c r="P35" s="155"/>
      <c r="Q35" s="155"/>
      <c r="R35" s="111"/>
      <c r="S35"/>
      <c r="T35" s="111"/>
      <c r="U35" s="69"/>
      <c r="V35" s="69"/>
      <c r="W35" s="69"/>
      <c r="X35" s="111"/>
      <c r="Y35" s="155"/>
      <c r="AA35" s="69"/>
      <c r="AB35" s="300"/>
      <c r="AC35" s="300"/>
      <c r="AE35" s="142"/>
      <c r="AG35" s="116"/>
    </row>
    <row r="36" spans="1:34" s="142" customFormat="1">
      <c r="B36" s="2256" t="s">
        <v>275</v>
      </c>
      <c r="C36" s="2256"/>
      <c r="D36" s="2195"/>
      <c r="H36" s="116"/>
      <c r="I36" s="65"/>
      <c r="J36" s="118"/>
      <c r="K36" s="116"/>
      <c r="L36" s="116"/>
      <c r="M36" s="116"/>
      <c r="N36" s="111"/>
      <c r="O36" s="176"/>
      <c r="P36" s="155"/>
      <c r="Q36" s="155"/>
      <c r="R36" s="111"/>
      <c r="S36"/>
      <c r="T36" s="111"/>
      <c r="U36" s="69"/>
      <c r="V36" s="69"/>
      <c r="W36" s="69"/>
      <c r="X36" s="111"/>
      <c r="Y36" s="155"/>
    </row>
    <row r="37" spans="1:34" s="142" customFormat="1">
      <c r="B37" s="127"/>
      <c r="C37" s="128"/>
      <c r="D37" s="128"/>
      <c r="H37" s="116"/>
      <c r="I37" s="65"/>
      <c r="J37" s="110"/>
      <c r="K37" s="116"/>
      <c r="L37" s="112"/>
      <c r="M37" s="110"/>
      <c r="N37" s="114"/>
      <c r="O37" s="218"/>
      <c r="P37" s="103"/>
      <c r="Q37" s="103"/>
      <c r="R37" s="114"/>
      <c r="S37"/>
      <c r="T37" s="111"/>
      <c r="U37" s="69"/>
      <c r="V37" s="69"/>
      <c r="W37" s="69"/>
      <c r="X37" s="111"/>
      <c r="Y37" s="103"/>
    </row>
    <row r="38" spans="1:34" s="142" customFormat="1">
      <c r="B38" s="26"/>
      <c r="C38" s="129" t="s">
        <v>249</v>
      </c>
      <c r="D38" s="129"/>
      <c r="H38" s="116"/>
      <c r="I38" s="65"/>
      <c r="J38" s="110"/>
      <c r="K38" s="116"/>
      <c r="L38" s="112"/>
      <c r="M38" s="110"/>
      <c r="N38" s="114"/>
      <c r="O38" s="218"/>
      <c r="P38" s="103"/>
      <c r="Q38" s="103"/>
      <c r="R38" s="114"/>
      <c r="S38"/>
      <c r="T38" s="114"/>
      <c r="U38" s="69"/>
      <c r="V38" s="69"/>
      <c r="W38" s="69"/>
      <c r="X38" s="114"/>
      <c r="Y38" s="103"/>
    </row>
    <row r="39" spans="1:34" s="142" customFormat="1">
      <c r="B39" s="127"/>
      <c r="C39" s="128"/>
      <c r="D39" s="128"/>
      <c r="H39" s="116"/>
      <c r="I39" s="65"/>
      <c r="J39" s="289"/>
      <c r="K39" s="116"/>
      <c r="L39" s="118"/>
      <c r="M39" s="110"/>
      <c r="N39" s="114"/>
      <c r="O39" s="155"/>
      <c r="P39" s="155"/>
      <c r="Q39" s="155"/>
      <c r="R39" s="114"/>
      <c r="S39"/>
      <c r="T39" s="114"/>
      <c r="U39" s="69"/>
      <c r="V39" s="69"/>
      <c r="W39" s="69"/>
      <c r="X39" s="114"/>
      <c r="Y39" s="155"/>
    </row>
    <row r="40" spans="1:34" s="142" customFormat="1">
      <c r="B40" s="130"/>
      <c r="C40" s="129" t="s">
        <v>250</v>
      </c>
      <c r="D40" s="129"/>
      <c r="H40" s="116"/>
      <c r="I40" s="65"/>
      <c r="J40" s="291"/>
      <c r="K40" s="116"/>
      <c r="L40" s="112"/>
      <c r="M40" s="110"/>
      <c r="N40" s="114"/>
      <c r="O40" s="240"/>
      <c r="P40" s="103"/>
      <c r="Q40" s="103"/>
      <c r="R40" s="114"/>
      <c r="S40"/>
      <c r="T40" s="114"/>
      <c r="U40" s="69"/>
      <c r="V40" s="69"/>
      <c r="W40" s="69"/>
      <c r="X40" s="114"/>
      <c r="Y40" s="103"/>
    </row>
    <row r="41" spans="1:34" s="142" customFormat="1">
      <c r="B41" s="131"/>
      <c r="C41" s="129"/>
      <c r="D41" s="129"/>
      <c r="H41" s="116"/>
      <c r="I41" s="110"/>
      <c r="J41" s="292"/>
      <c r="K41" s="116"/>
      <c r="L41" s="112"/>
      <c r="M41" s="110"/>
      <c r="N41" s="114"/>
      <c r="O41" s="240"/>
      <c r="P41" s="103"/>
      <c r="Q41" s="103"/>
      <c r="R41" s="114"/>
      <c r="S41" s="103"/>
      <c r="T41" s="114"/>
      <c r="U41" s="69"/>
      <c r="V41" s="69"/>
      <c r="W41" s="69"/>
      <c r="X41" s="114"/>
      <c r="Y41" s="103"/>
    </row>
    <row r="42" spans="1:34" s="155" customFormat="1" ht="15" thickBot="1">
      <c r="C42" s="156"/>
      <c r="D42" s="156"/>
      <c r="H42" s="118"/>
      <c r="I42" s="116"/>
      <c r="J42" s="292"/>
      <c r="K42" s="116"/>
      <c r="L42" s="112"/>
      <c r="M42" s="110"/>
      <c r="N42" s="114"/>
      <c r="O42" s="240"/>
      <c r="P42" s="112"/>
      <c r="Q42" s="112"/>
      <c r="R42" s="114"/>
      <c r="S42" s="69"/>
      <c r="T42" s="114"/>
      <c r="U42" s="65"/>
      <c r="V42" s="65"/>
      <c r="W42" s="65"/>
      <c r="X42" s="114"/>
      <c r="Y42" s="112"/>
    </row>
    <row r="43" spans="1:34" s="155" customFormat="1" ht="16.5" thickBot="1">
      <c r="B43" s="1166" t="s">
        <v>251</v>
      </c>
      <c r="C43" s="133"/>
      <c r="D43" s="133"/>
      <c r="E43" s="134"/>
      <c r="F43" s="134"/>
      <c r="G43" s="134"/>
      <c r="H43" s="134"/>
      <c r="I43" s="216"/>
      <c r="J43" s="292"/>
      <c r="K43" s="116"/>
      <c r="L43" s="112"/>
      <c r="M43" s="110"/>
      <c r="N43" s="114"/>
      <c r="O43" s="240"/>
      <c r="P43" s="112"/>
      <c r="Q43" s="112"/>
      <c r="R43" s="114"/>
      <c r="S43" s="69"/>
      <c r="T43" s="114"/>
      <c r="U43" s="65"/>
      <c r="V43" s="65"/>
      <c r="W43" s="65"/>
      <c r="X43" s="114"/>
      <c r="Y43" s="112"/>
    </row>
    <row r="44" spans="1:34" s="155" customFormat="1">
      <c r="C44" s="156"/>
      <c r="D44" s="156"/>
      <c r="H44" s="118"/>
      <c r="I44" s="116"/>
      <c r="J44" s="292"/>
      <c r="K44" s="116"/>
      <c r="L44" s="112"/>
      <c r="M44" s="110"/>
      <c r="N44" s="114"/>
      <c r="O44" s="240"/>
      <c r="P44" s="112"/>
      <c r="Q44" s="112"/>
      <c r="R44" s="114"/>
      <c r="S44" s="69"/>
      <c r="T44" s="114"/>
      <c r="U44" s="65"/>
      <c r="V44" s="65"/>
      <c r="W44" s="65"/>
      <c r="X44" s="114"/>
      <c r="Y44" s="112"/>
    </row>
  </sheetData>
  <sheetProtection algorithmName="SHA-512" hashValue="7gvmZcprWAcM5EVujom/LWzJzh868XGrDuM1bqr7Kh0EDQ+BqWxktHgw5v23XgBfB+sZOktkCgeNrrj4Ac/giQ==" saltValue="9jASFxkfyZTOBdhzq2qVFA==" spinCount="100000" sheet="1" objects="1" scenarios="1"/>
  <mergeCells count="4">
    <mergeCell ref="AA3:AB3"/>
    <mergeCell ref="B3:C3"/>
    <mergeCell ref="O3:Q3"/>
    <mergeCell ref="B36:C36"/>
  </mergeCells>
  <conditionalFormatting sqref="K30">
    <cfRule type="cellIs" dxfId="553" priority="4" operator="equal">
      <formula>0</formula>
    </cfRule>
  </conditionalFormatting>
  <conditionalFormatting sqref="L6">
    <cfRule type="cellIs" dxfId="552" priority="6" operator="equal">
      <formula>0</formula>
    </cfRule>
  </conditionalFormatting>
  <conditionalFormatting sqref="L9:L28">
    <cfRule type="cellIs" dxfId="551" priority="1" operator="equal">
      <formula>0</formula>
    </cfRule>
  </conditionalFormatting>
  <conditionalFormatting sqref="L34">
    <cfRule type="cellIs" dxfId="55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AH47"/>
  <sheetViews>
    <sheetView showGridLines="0" topLeftCell="A31" zoomScale="80" zoomScaleNormal="80" workbookViewId="0"/>
  </sheetViews>
  <sheetFormatPr defaultColWidth="0" defaultRowHeight="14.25" zeroHeight="1"/>
  <cols>
    <col min="1" max="1" width="8.125" customWidth="1"/>
    <col min="2" max="2" width="5.125" customWidth="1"/>
    <col min="3" max="3" width="57" customWidth="1"/>
    <col min="4" max="4" width="12.625" hidden="1" customWidth="1"/>
    <col min="5" max="9" width="12.625" customWidth="1"/>
    <col min="10" max="10" width="2.625" style="65" customWidth="1"/>
    <col min="11" max="11" width="46" style="69" bestFit="1" customWidth="1"/>
    <col min="12" max="12" width="18.625" style="65" bestFit="1" customWidth="1"/>
    <col min="13" max="13" width="1.625" style="65" customWidth="1"/>
    <col min="14" max="14" width="1.625" style="66" hidden="1" customWidth="1"/>
    <col min="15" max="17" width="5.625" style="65" hidden="1" customWidth="1"/>
    <col min="18" max="18" width="1.625" style="66" hidden="1" customWidth="1"/>
    <col min="19" max="19" width="8.625" style="69" hidden="1" customWidth="1"/>
    <col min="20" max="20" width="1.625" style="66" hidden="1" customWidth="1"/>
    <col min="21" max="22" width="8.625" style="69" hidden="1" customWidth="1"/>
    <col min="23" max="23" width="56.125" style="69" hidden="1" customWidth="1"/>
    <col min="24" max="24" width="1.625" style="66" hidden="1" customWidth="1"/>
    <col min="25" max="26" width="8.625" hidden="1" customWidth="1"/>
    <col min="27" max="27" width="5.125" hidden="1" customWidth="1"/>
    <col min="28" max="28" width="44" hidden="1" customWidth="1"/>
    <col min="29" max="29" width="5.625" hidden="1" customWidth="1"/>
    <col min="30" max="34" width="12.625" hidden="1" customWidth="1"/>
    <col min="35" max="16384" width="8.625" hidden="1"/>
  </cols>
  <sheetData>
    <row r="1" spans="1:34" s="70" customFormat="1" ht="20.25">
      <c r="A1" s="69"/>
      <c r="B1" s="61" t="s">
        <v>1617</v>
      </c>
      <c r="C1" s="61"/>
      <c r="D1" s="61"/>
      <c r="E1" s="61"/>
      <c r="F1" s="61"/>
      <c r="G1" s="61"/>
      <c r="H1" s="61"/>
      <c r="I1" s="63" t="str">
        <f>Validation!B3</f>
        <v>Thames Water</v>
      </c>
      <c r="J1" s="61"/>
      <c r="K1" s="64"/>
      <c r="L1" s="64" t="s">
        <v>94</v>
      </c>
      <c r="M1" s="65"/>
      <c r="N1" s="66"/>
      <c r="O1" s="65"/>
      <c r="P1" s="65"/>
      <c r="Q1" s="65"/>
      <c r="R1" s="66"/>
      <c r="S1" s="65"/>
      <c r="T1" s="66"/>
      <c r="U1"/>
      <c r="V1"/>
      <c r="W1"/>
      <c r="X1" s="66"/>
      <c r="AA1" s="61" t="s">
        <v>95</v>
      </c>
      <c r="AB1" s="61"/>
      <c r="AC1" s="61"/>
      <c r="AD1" s="61"/>
      <c r="AE1" s="61"/>
      <c r="AF1" s="61"/>
      <c r="AG1" s="61"/>
      <c r="AH1" s="63"/>
    </row>
    <row r="2" spans="1:34" s="70" customFormat="1" ht="15" customHeight="1" thickBot="1">
      <c r="A2" s="69"/>
      <c r="B2" s="68" t="s">
        <v>80</v>
      </c>
      <c r="C2" s="259"/>
      <c r="D2" s="259"/>
      <c r="E2" s="69"/>
      <c r="F2" s="69"/>
      <c r="G2" s="69"/>
      <c r="H2" s="69"/>
      <c r="I2" s="69"/>
      <c r="J2" s="65"/>
      <c r="K2" s="65"/>
      <c r="L2" s="65"/>
      <c r="M2" s="65"/>
      <c r="N2" s="66"/>
      <c r="O2" s="65"/>
      <c r="P2" s="65"/>
      <c r="Q2" s="65"/>
      <c r="R2" s="66"/>
      <c r="S2" s="65"/>
      <c r="T2" s="66"/>
      <c r="U2" s="69"/>
      <c r="V2" s="69"/>
      <c r="W2" s="69"/>
      <c r="X2" s="66"/>
      <c r="AA2" s="68" t="s">
        <v>80</v>
      </c>
      <c r="AB2" s="259"/>
      <c r="AC2" s="259"/>
      <c r="AD2" s="69"/>
      <c r="AE2" s="69"/>
      <c r="AF2" s="69"/>
      <c r="AG2" s="69"/>
      <c r="AH2" s="69"/>
    </row>
    <row r="3" spans="1:34" s="70" customFormat="1" ht="54.75" thickBot="1">
      <c r="A3" s="69"/>
      <c r="B3" s="2297" t="s">
        <v>96</v>
      </c>
      <c r="C3" s="2298"/>
      <c r="D3" s="1294" t="s">
        <v>97</v>
      </c>
      <c r="E3" s="252" t="s">
        <v>1469</v>
      </c>
      <c r="F3" s="262" t="s">
        <v>1470</v>
      </c>
      <c r="G3" s="253" t="s">
        <v>1471</v>
      </c>
      <c r="H3" s="293" t="s">
        <v>1472</v>
      </c>
      <c r="I3" s="293" t="s">
        <v>1473</v>
      </c>
      <c r="J3" s="294"/>
      <c r="K3" s="160" t="s">
        <v>675</v>
      </c>
      <c r="L3" s="162" t="s">
        <v>103</v>
      </c>
      <c r="M3" s="65"/>
      <c r="N3" s="66"/>
      <c r="O3" s="2255" t="s">
        <v>107</v>
      </c>
      <c r="P3" s="2286"/>
      <c r="Q3" s="2286"/>
      <c r="R3" s="66"/>
      <c r="S3" s="2194" t="s">
        <v>86</v>
      </c>
      <c r="T3" s="66"/>
      <c r="U3" s="2194" t="s">
        <v>742</v>
      </c>
      <c r="V3" s="2194"/>
      <c r="W3" s="2194"/>
      <c r="X3" s="66"/>
      <c r="AA3" s="2297" t="s">
        <v>96</v>
      </c>
      <c r="AB3" s="2298"/>
      <c r="AC3" s="1294" t="s">
        <v>97</v>
      </c>
      <c r="AD3" s="252" t="s">
        <v>1469</v>
      </c>
      <c r="AE3" s="262" t="s">
        <v>1470</v>
      </c>
      <c r="AF3" s="253" t="s">
        <v>1471</v>
      </c>
      <c r="AG3" s="293" t="s">
        <v>1472</v>
      </c>
      <c r="AH3" s="293" t="s">
        <v>1473</v>
      </c>
    </row>
    <row r="4" spans="1:34" s="70" customFormat="1" ht="15" customHeight="1" thickBot="1">
      <c r="A4" s="69"/>
      <c r="B4" s="69"/>
      <c r="C4" s="295"/>
      <c r="D4" s="295"/>
      <c r="E4" s="69"/>
      <c r="F4" s="69"/>
      <c r="G4" s="69"/>
      <c r="H4" s="69"/>
      <c r="I4" s="69"/>
      <c r="J4" s="65"/>
      <c r="K4" s="65"/>
      <c r="L4" s="65"/>
      <c r="M4" s="65"/>
      <c r="N4" s="66"/>
      <c r="R4" s="66"/>
      <c r="S4" s="211"/>
      <c r="T4" s="66"/>
      <c r="U4" s="211"/>
      <c r="V4" s="211"/>
      <c r="W4" s="211"/>
      <c r="X4" s="66"/>
      <c r="AA4" s="69"/>
      <c r="AB4" s="295"/>
      <c r="AC4" s="295"/>
      <c r="AD4" s="69"/>
      <c r="AE4" s="69"/>
      <c r="AF4" s="69"/>
      <c r="AG4" s="69"/>
      <c r="AH4" s="69"/>
    </row>
    <row r="5" spans="1:34" s="70" customFormat="1" ht="17.25" customHeight="1" thickBot="1">
      <c r="A5" s="69"/>
      <c r="B5" s="223" t="s">
        <v>214</v>
      </c>
      <c r="C5" s="27" t="s">
        <v>1474</v>
      </c>
      <c r="D5" s="1295"/>
      <c r="E5" s="69"/>
      <c r="F5" s="69"/>
      <c r="G5" s="69"/>
      <c r="H5" s="69"/>
      <c r="I5" s="69"/>
      <c r="J5" s="65"/>
      <c r="K5" s="69"/>
      <c r="L5" s="65"/>
      <c r="M5" s="65"/>
      <c r="N5" s="66"/>
      <c r="O5" s="78" t="s">
        <v>108</v>
      </c>
      <c r="P5" s="113"/>
      <c r="Q5" s="113"/>
      <c r="R5" s="66"/>
      <c r="S5"/>
      <c r="T5" s="66"/>
      <c r="U5" s="69"/>
      <c r="V5" s="69"/>
      <c r="W5" s="69"/>
      <c r="X5" s="66"/>
      <c r="AA5" s="223" t="s">
        <v>214</v>
      </c>
      <c r="AB5" s="27" t="s">
        <v>1474</v>
      </c>
      <c r="AC5" s="1295"/>
      <c r="AD5" s="69"/>
      <c r="AE5" s="69"/>
      <c r="AF5" s="69"/>
      <c r="AG5" s="69"/>
      <c r="AH5" s="69"/>
    </row>
    <row r="6" spans="1:34" s="70" customFormat="1" ht="17.25" customHeight="1" thickBot="1">
      <c r="A6" s="69"/>
      <c r="B6" s="296" t="s">
        <v>1618</v>
      </c>
      <c r="C6" s="28" t="s">
        <v>1476</v>
      </c>
      <c r="D6" s="1296"/>
      <c r="E6" s="372">
        <v>0</v>
      </c>
      <c r="F6" s="373">
        <v>0</v>
      </c>
      <c r="G6" s="286">
        <f xml:space="preserve"> F6 + E6</f>
        <v>0</v>
      </c>
      <c r="H6" s="527">
        <v>0</v>
      </c>
      <c r="I6" s="522">
        <f xml:space="preserve"> IF( H6 = 0, 0, F6 / H6 * 1000 )</f>
        <v>0</v>
      </c>
      <c r="J6" s="65"/>
      <c r="K6" s="69"/>
      <c r="L6" s="25">
        <f t="shared" ref="L6" si="0" xml:space="preserve"> IF( SUM( N6:R6 ) = 0, 0, $O$5 )</f>
        <v>0</v>
      </c>
      <c r="M6" s="65"/>
      <c r="N6" s="66"/>
      <c r="O6" s="86">
        <f>IF($C6="",0,IF(ISNUMBER(E6),0,1))</f>
        <v>0</v>
      </c>
      <c r="P6" s="86">
        <f>IF($C6="",0,IF(ISNUMBER(F6),0,1))</f>
        <v>0</v>
      </c>
      <c r="Q6" s="86">
        <f>IF($C6="",0,IF(ISNUMBER(H6),0,1))</f>
        <v>0</v>
      </c>
      <c r="R6" s="66"/>
      <c r="S6"/>
      <c r="T6" s="66"/>
      <c r="U6" s="69"/>
      <c r="V6" s="69"/>
      <c r="W6" s="69"/>
      <c r="X6" s="66"/>
      <c r="AA6" s="296">
        <v>1</v>
      </c>
      <c r="AB6" s="28" t="s">
        <v>1476</v>
      </c>
      <c r="AC6" s="1296"/>
      <c r="AD6" s="372" t="s">
        <v>1619</v>
      </c>
      <c r="AE6" s="373" t="s">
        <v>1620</v>
      </c>
      <c r="AF6" s="286" t="s">
        <v>1621</v>
      </c>
      <c r="AG6" s="527" t="s">
        <v>1622</v>
      </c>
      <c r="AH6" s="522" t="s">
        <v>1623</v>
      </c>
    </row>
    <row r="7" spans="1:34" s="70" customFormat="1" ht="15" customHeight="1" thickBot="1">
      <c r="A7" s="69"/>
      <c r="B7" s="69"/>
      <c r="C7" s="295"/>
      <c r="D7" s="295"/>
      <c r="E7" s="127"/>
      <c r="F7" s="127"/>
      <c r="G7" s="127"/>
      <c r="H7" s="320"/>
      <c r="I7" s="523"/>
      <c r="J7" s="127"/>
      <c r="K7" s="69"/>
      <c r="L7" s="127"/>
      <c r="M7" s="65"/>
      <c r="N7" s="66"/>
      <c r="R7" s="66"/>
      <c r="S7"/>
      <c r="T7" s="66"/>
      <c r="U7" s="69"/>
      <c r="V7" s="69"/>
      <c r="W7" s="69"/>
      <c r="X7" s="66"/>
      <c r="AA7" s="69"/>
      <c r="AB7" s="295"/>
      <c r="AC7" s="295"/>
      <c r="AD7" s="127"/>
      <c r="AE7" s="127"/>
      <c r="AF7" s="127"/>
      <c r="AG7" s="320"/>
      <c r="AH7" s="523"/>
    </row>
    <row r="8" spans="1:34" s="70" customFormat="1" ht="15" customHeight="1" thickBot="1">
      <c r="A8" s="69"/>
      <c r="B8" s="223" t="s">
        <v>236</v>
      </c>
      <c r="C8" s="27" t="s">
        <v>1482</v>
      </c>
      <c r="D8" s="1295"/>
      <c r="E8" s="127"/>
      <c r="F8" s="127"/>
      <c r="G8" s="127"/>
      <c r="H8" s="320"/>
      <c r="I8" s="523"/>
      <c r="J8" s="65"/>
      <c r="K8" s="69"/>
      <c r="L8" s="127"/>
      <c r="M8" s="65"/>
      <c r="N8" s="66"/>
      <c r="R8" s="66"/>
      <c r="S8"/>
      <c r="T8" s="66"/>
      <c r="U8" s="69"/>
      <c r="V8" s="69"/>
      <c r="W8" s="69"/>
      <c r="X8" s="66"/>
      <c r="AA8" s="223" t="s">
        <v>236</v>
      </c>
      <c r="AB8" s="27" t="s">
        <v>1482</v>
      </c>
      <c r="AC8" s="1295"/>
      <c r="AD8" s="127"/>
      <c r="AE8" s="127"/>
      <c r="AF8" s="127"/>
      <c r="AG8" s="320"/>
      <c r="AH8" s="523"/>
    </row>
    <row r="9" spans="1:34" s="70" customFormat="1" ht="15" customHeight="1">
      <c r="A9" s="1727">
        <v>2</v>
      </c>
      <c r="B9" s="297" t="s">
        <v>1624</v>
      </c>
      <c r="C9" s="32" t="str">
        <f>IF($I$1="Select company","",IF(Validation!$H$3=1,"",(IF(HLOOKUP((VLOOKUP($I$1,Lists!$B$4:$C$23,2,FALSE)),'Sewerage PR16'!$A$1:$S$24,'2H'!A9+1,FALSE)=0,"",HLOOKUP((VLOOKUP($I$1,Lists!$B$4:$C$23,2,FALSE)),'Sewerage PR16'!$A$1:$S$25,'2H'!A9+1,FALSE)))))</f>
        <v>[0 - 500]  [0 - 500m3] [sewerage] [metered]</v>
      </c>
      <c r="D9" s="1297"/>
      <c r="E9" s="374">
        <v>30.292000000000002</v>
      </c>
      <c r="F9" s="364">
        <v>-1.4219999999999999</v>
      </c>
      <c r="G9" s="275">
        <f xml:space="preserve"> F9 + E9</f>
        <v>28.87</v>
      </c>
      <c r="H9" s="528">
        <v>152.43899999999999</v>
      </c>
      <c r="I9" s="524">
        <f t="shared" ref="I9:I31" si="1" xml:space="preserve"> IF( H9 = 0, 0, F9 / H9 * 1000 )</f>
        <v>-9.3283214925314386</v>
      </c>
      <c r="J9" s="65"/>
      <c r="K9" s="69"/>
      <c r="L9" s="25">
        <f t="shared" ref="L9:L28" si="2" xml:space="preserve"> IF( SUM( N9:R9 ) = 0, 0, $O$5 )</f>
        <v>0</v>
      </c>
      <c r="M9" s="65"/>
      <c r="N9" s="66"/>
      <c r="O9" s="86">
        <f t="shared" ref="O9:P28" si="3">IF($C9="",0,IF(ISNUMBER(E9),0,1))</f>
        <v>0</v>
      </c>
      <c r="P9" s="86">
        <f t="shared" si="3"/>
        <v>0</v>
      </c>
      <c r="Q9" s="86">
        <f t="shared" ref="Q9:Q28" si="4">IF($C9="",0,IF(ISNUMBER(H9),0,1))</f>
        <v>0</v>
      </c>
      <c r="R9" s="66"/>
      <c r="S9"/>
      <c r="T9" s="66"/>
      <c r="U9" s="69"/>
      <c r="V9" s="69"/>
      <c r="W9" s="69"/>
      <c r="X9" s="66"/>
      <c r="AA9" s="297">
        <f xml:space="preserve"> AA6 + 1</f>
        <v>2</v>
      </c>
      <c r="AB9" s="32" t="str">
        <f>C9</f>
        <v>[0 - 500]  [0 - 500m3] [sewerage] [metered]</v>
      </c>
      <c r="AC9" s="1297"/>
      <c r="AD9" s="374" t="s">
        <v>1625</v>
      </c>
      <c r="AE9" s="364" t="s">
        <v>1626</v>
      </c>
      <c r="AF9" s="275" t="s">
        <v>1627</v>
      </c>
      <c r="AG9" s="528" t="s">
        <v>1628</v>
      </c>
      <c r="AH9" s="524" t="s">
        <v>1629</v>
      </c>
    </row>
    <row r="10" spans="1:34" s="70" customFormat="1" ht="15" customHeight="1">
      <c r="A10" s="1727">
        <v>3</v>
      </c>
      <c r="B10" s="298" t="s">
        <v>1630</v>
      </c>
      <c r="C10" s="33" t="str">
        <f>IF($I$1="Select company","",IF(Validation!$H$3=1,"",(IF(HLOOKUP((VLOOKUP($I$1,Lists!$B$4:$C$23,2,FALSE)),'Sewerage PR16'!$A$1:$S$24,'2H'!A10+1,FALSE)=0,"",HLOOKUP((VLOOKUP($I$1,Lists!$B$4:$C$23,2,FALSE)),'Sewerage PR16'!$A$1:$S$25,'2H'!A10+1,FALSE)))))</f>
        <v>[500 - 1,000]  [500 - 1,000m3] [sewerage] [metered]</v>
      </c>
      <c r="D10" s="1298"/>
      <c r="E10" s="375">
        <v>11.478</v>
      </c>
      <c r="F10" s="365">
        <v>-0.14099999999999999</v>
      </c>
      <c r="G10" s="276">
        <f t="shared" ref="G10:G28" si="5" xml:space="preserve"> F10 + E10</f>
        <v>11.337</v>
      </c>
      <c r="H10" s="529">
        <v>17.658999999999999</v>
      </c>
      <c r="I10" s="525">
        <f t="shared" si="1"/>
        <v>-7.9845970893029046</v>
      </c>
      <c r="J10" s="65"/>
      <c r="K10" s="69"/>
      <c r="L10" s="25">
        <f t="shared" si="2"/>
        <v>0</v>
      </c>
      <c r="M10" s="65"/>
      <c r="N10" s="66"/>
      <c r="O10" s="86">
        <f t="shared" si="3"/>
        <v>0</v>
      </c>
      <c r="P10" s="86">
        <f t="shared" si="3"/>
        <v>0</v>
      </c>
      <c r="Q10" s="86">
        <f t="shared" si="4"/>
        <v>0</v>
      </c>
      <c r="R10" s="66"/>
      <c r="S10"/>
      <c r="T10" s="66"/>
      <c r="U10" s="69"/>
      <c r="V10" s="69"/>
      <c r="W10" s="69"/>
      <c r="X10" s="66"/>
      <c r="AA10" s="298">
        <f xml:space="preserve"> AA9 + 1</f>
        <v>3</v>
      </c>
      <c r="AB10" s="33" t="str">
        <f t="shared" ref="AB10:AB30" si="6">C10</f>
        <v>[500 - 1,000]  [500 - 1,000m3] [sewerage] [metered]</v>
      </c>
      <c r="AC10" s="1298"/>
      <c r="AD10" s="375" t="s">
        <v>1631</v>
      </c>
      <c r="AE10" s="365" t="s">
        <v>1632</v>
      </c>
      <c r="AF10" s="276" t="s">
        <v>1633</v>
      </c>
      <c r="AG10" s="529" t="s">
        <v>1634</v>
      </c>
      <c r="AH10" s="525" t="s">
        <v>1635</v>
      </c>
    </row>
    <row r="11" spans="1:34" s="70" customFormat="1" ht="15" customHeight="1">
      <c r="A11" s="1727">
        <v>4</v>
      </c>
      <c r="B11" s="298" t="s">
        <v>1636</v>
      </c>
      <c r="C11" s="33" t="str">
        <f>IF($I$1="Select company","",IF(Validation!$H$3=1,"",(IF(HLOOKUP((VLOOKUP($I$1,Lists!$B$4:$C$23,2,FALSE)),'Sewerage PR16'!$A$1:$S$24,'2H'!A11+1,FALSE)=0,"",HLOOKUP((VLOOKUP($I$1,Lists!$B$4:$C$23,2,FALSE)),'Sewerage PR16'!$A$1:$S$25,'2H'!A11+1,FALSE)))))</f>
        <v>[1,000 - 5,000]  [1,000 - 5,000m3] [sewerage] [metered]</v>
      </c>
      <c r="D11" s="1298"/>
      <c r="E11" s="375">
        <v>45.683999999999997</v>
      </c>
      <c r="F11" s="365">
        <v>-0.14299999999999999</v>
      </c>
      <c r="G11" s="276">
        <f t="shared" si="5"/>
        <v>45.540999999999997</v>
      </c>
      <c r="H11" s="529">
        <v>26.481000000000002</v>
      </c>
      <c r="I11" s="525">
        <f t="shared" si="1"/>
        <v>-5.4000981836033377</v>
      </c>
      <c r="J11" s="65"/>
      <c r="K11" s="69"/>
      <c r="L11" s="25">
        <f t="shared" si="2"/>
        <v>0</v>
      </c>
      <c r="M11" s="65"/>
      <c r="N11" s="66"/>
      <c r="O11" s="86">
        <f t="shared" si="3"/>
        <v>0</v>
      </c>
      <c r="P11" s="86">
        <f t="shared" si="3"/>
        <v>0</v>
      </c>
      <c r="Q11" s="86">
        <f t="shared" si="4"/>
        <v>0</v>
      </c>
      <c r="R11" s="66"/>
      <c r="S11"/>
      <c r="T11" s="66"/>
      <c r="U11" s="69"/>
      <c r="V11" s="69"/>
      <c r="W11" s="69"/>
      <c r="X11" s="66"/>
      <c r="AA11" s="298">
        <f t="shared" ref="AA11:AA28" si="7" xml:space="preserve"> AA10 + 1</f>
        <v>4</v>
      </c>
      <c r="AB11" s="33" t="str">
        <f t="shared" si="6"/>
        <v>[1,000 - 5,000]  [1,000 - 5,000m3] [sewerage] [metered]</v>
      </c>
      <c r="AC11" s="1298"/>
      <c r="AD11" s="375" t="s">
        <v>1637</v>
      </c>
      <c r="AE11" s="365" t="s">
        <v>1638</v>
      </c>
      <c r="AF11" s="276" t="s">
        <v>1639</v>
      </c>
      <c r="AG11" s="529" t="s">
        <v>1640</v>
      </c>
      <c r="AH11" s="525" t="s">
        <v>1641</v>
      </c>
    </row>
    <row r="12" spans="1:34" s="70" customFormat="1" ht="15" customHeight="1">
      <c r="A12" s="1727">
        <v>5</v>
      </c>
      <c r="B12" s="298" t="s">
        <v>1642</v>
      </c>
      <c r="C12" s="33" t="str">
        <f>IF($I$1="Select company","",IF(Validation!$H$3=1,"",(IF(HLOOKUP((VLOOKUP($I$1,Lists!$B$4:$C$23,2,FALSE)),'Sewerage PR16'!$A$1:$S$24,'2H'!A12+1,FALSE)=0,"",HLOOKUP((VLOOKUP($I$1,Lists!$B$4:$C$23,2,FALSE)),'Sewerage PR16'!$A$1:$S$25,'2H'!A12+1,FALSE)))))</f>
        <v>n/a</v>
      </c>
      <c r="D12" s="1298"/>
      <c r="E12" s="375">
        <v>34.503</v>
      </c>
      <c r="F12" s="365">
        <v>-3.1E-2</v>
      </c>
      <c r="G12" s="276">
        <f t="shared" si="5"/>
        <v>34.472000000000001</v>
      </c>
      <c r="H12" s="529">
        <v>4.7469999999999999</v>
      </c>
      <c r="I12" s="525">
        <f t="shared" si="1"/>
        <v>-6.5304402780703601</v>
      </c>
      <c r="J12" s="65"/>
      <c r="K12" s="69"/>
      <c r="L12" s="25">
        <f t="shared" si="2"/>
        <v>0</v>
      </c>
      <c r="M12" s="65"/>
      <c r="N12" s="66"/>
      <c r="O12" s="86">
        <f t="shared" si="3"/>
        <v>0</v>
      </c>
      <c r="P12" s="86">
        <f t="shared" si="3"/>
        <v>0</v>
      </c>
      <c r="Q12" s="86">
        <f t="shared" si="4"/>
        <v>0</v>
      </c>
      <c r="R12" s="66"/>
      <c r="S12"/>
      <c r="T12" s="66"/>
      <c r="U12" s="69"/>
      <c r="V12" s="69"/>
      <c r="W12" s="69"/>
      <c r="X12" s="66"/>
      <c r="AA12" s="298">
        <f t="shared" si="7"/>
        <v>5</v>
      </c>
      <c r="AB12" s="33" t="str">
        <f t="shared" si="6"/>
        <v>n/a</v>
      </c>
      <c r="AC12" s="1298"/>
      <c r="AD12" s="375" t="s">
        <v>1643</v>
      </c>
      <c r="AE12" s="365" t="s">
        <v>1644</v>
      </c>
      <c r="AF12" s="276" t="s">
        <v>1645</v>
      </c>
      <c r="AG12" s="529" t="s">
        <v>1646</v>
      </c>
      <c r="AH12" s="525" t="s">
        <v>1647</v>
      </c>
    </row>
    <row r="13" spans="1:34" s="70" customFormat="1" ht="15" customHeight="1">
      <c r="A13" s="1727">
        <v>6</v>
      </c>
      <c r="B13" s="298" t="s">
        <v>1648</v>
      </c>
      <c r="C13" s="33" t="str">
        <f>IF($I$1="Select company","",IF(Validation!$H$3=1,"",(IF(HLOOKUP((VLOOKUP($I$1,Lists!$B$4:$C$23,2,FALSE)),'Sewerage PR16'!$A$1:$S$24,'2H'!A13+1,FALSE)=0,"",HLOOKUP((VLOOKUP($I$1,Lists!$B$4:$C$23,2,FALSE)),'Sewerage PR16'!$A$1:$S$25,'2H'!A13+1,FALSE)))))</f>
        <v>n/a</v>
      </c>
      <c r="D13" s="1298"/>
      <c r="E13" s="375">
        <v>15.452</v>
      </c>
      <c r="F13" s="365">
        <v>-4.0000000000000001E-3</v>
      </c>
      <c r="G13" s="276">
        <f t="shared" si="5"/>
        <v>15.448</v>
      </c>
      <c r="H13" s="529">
        <v>0.68400000000000005</v>
      </c>
      <c r="I13" s="525">
        <f t="shared" si="1"/>
        <v>-5.8479532163742682</v>
      </c>
      <c r="J13" s="65"/>
      <c r="K13" s="69"/>
      <c r="L13" s="25">
        <f t="shared" si="2"/>
        <v>0</v>
      </c>
      <c r="M13" s="65"/>
      <c r="N13" s="66"/>
      <c r="O13" s="86">
        <f t="shared" si="3"/>
        <v>0</v>
      </c>
      <c r="P13" s="86">
        <f t="shared" si="3"/>
        <v>0</v>
      </c>
      <c r="Q13" s="86">
        <f t="shared" si="4"/>
        <v>0</v>
      </c>
      <c r="R13" s="66"/>
      <c r="S13"/>
      <c r="T13" s="66"/>
      <c r="U13" s="69"/>
      <c r="V13" s="69"/>
      <c r="W13" s="69"/>
      <c r="X13" s="66"/>
      <c r="AA13" s="298">
        <f t="shared" si="7"/>
        <v>6</v>
      </c>
      <c r="AB13" s="33" t="str">
        <f t="shared" si="6"/>
        <v>n/a</v>
      </c>
      <c r="AC13" s="1298"/>
      <c r="AD13" s="375" t="s">
        <v>1649</v>
      </c>
      <c r="AE13" s="365" t="s">
        <v>1650</v>
      </c>
      <c r="AF13" s="276" t="s">
        <v>1651</v>
      </c>
      <c r="AG13" s="529" t="s">
        <v>1652</v>
      </c>
      <c r="AH13" s="525" t="s">
        <v>1653</v>
      </c>
    </row>
    <row r="14" spans="1:34" s="70" customFormat="1" ht="15" customHeight="1">
      <c r="A14" s="1727">
        <v>7</v>
      </c>
      <c r="B14" s="298" t="s">
        <v>1654</v>
      </c>
      <c r="C14" s="33" t="str">
        <f>IF($I$1="Select company","",IF(Validation!$H$3=1,"",(IF(HLOOKUP((VLOOKUP($I$1,Lists!$B$4:$C$23,2,FALSE)),'Sewerage PR16'!$A$1:$S$24,'2H'!A14+1,FALSE)=0,"",HLOOKUP((VLOOKUP($I$1,Lists!$B$4:$C$23,2,FALSE)),'Sewerage PR16'!$A$1:$S$25,'2H'!A14+1,FALSE)))))</f>
        <v>n/a</v>
      </c>
      <c r="D14" s="1298"/>
      <c r="E14" s="375">
        <v>17.344999999999999</v>
      </c>
      <c r="F14" s="365">
        <v>-2.4E-2</v>
      </c>
      <c r="G14" s="276">
        <f t="shared" si="5"/>
        <v>17.320999999999998</v>
      </c>
      <c r="H14" s="529">
        <v>0.42399999999999999</v>
      </c>
      <c r="I14" s="525">
        <f t="shared" si="1"/>
        <v>-56.60377358490566</v>
      </c>
      <c r="J14" s="65"/>
      <c r="K14" s="69"/>
      <c r="L14" s="25">
        <f t="shared" si="2"/>
        <v>0</v>
      </c>
      <c r="M14" s="65"/>
      <c r="N14" s="66"/>
      <c r="O14" s="86">
        <f t="shared" si="3"/>
        <v>0</v>
      </c>
      <c r="P14" s="86">
        <f t="shared" si="3"/>
        <v>0</v>
      </c>
      <c r="Q14" s="86">
        <f t="shared" si="4"/>
        <v>0</v>
      </c>
      <c r="R14" s="66"/>
      <c r="S14"/>
      <c r="T14" s="66"/>
      <c r="U14" s="69"/>
      <c r="V14" s="69"/>
      <c r="W14" s="69"/>
      <c r="X14" s="66"/>
      <c r="AA14" s="298">
        <f t="shared" si="7"/>
        <v>7</v>
      </c>
      <c r="AB14" s="33" t="str">
        <f t="shared" si="6"/>
        <v>n/a</v>
      </c>
      <c r="AC14" s="1298"/>
      <c r="AD14" s="375" t="s">
        <v>1655</v>
      </c>
      <c r="AE14" s="365" t="s">
        <v>1656</v>
      </c>
      <c r="AF14" s="276" t="s">
        <v>1657</v>
      </c>
      <c r="AG14" s="529" t="s">
        <v>1658</v>
      </c>
      <c r="AH14" s="525" t="s">
        <v>1659</v>
      </c>
    </row>
    <row r="15" spans="1:34" s="70" customFormat="1" ht="15" customHeight="1">
      <c r="A15" s="1727">
        <v>8</v>
      </c>
      <c r="B15" s="298" t="s">
        <v>1660</v>
      </c>
      <c r="C15" s="33" t="str">
        <f>IF($I$1="Select company","",IF(Validation!$H$3=1,"",(IF(HLOOKUP((VLOOKUP($I$1,Lists!$B$4:$C$23,2,FALSE)),'Sewerage PR16'!$A$1:$S$24,'2H'!A15+1,FALSE)=0,"",HLOOKUP((VLOOKUP($I$1,Lists!$B$4:$C$23,2,FALSE)),'Sewerage PR16'!$A$1:$S$25,'2H'!A15+1,FALSE)))))</f>
        <v>n/a</v>
      </c>
      <c r="D15" s="1298"/>
      <c r="E15" s="375">
        <v>5.0039999999999996</v>
      </c>
      <c r="F15" s="365">
        <v>-1.2E-2</v>
      </c>
      <c r="G15" s="276">
        <f t="shared" si="5"/>
        <v>4.992</v>
      </c>
      <c r="H15" s="529">
        <v>8.4000000000000005E-2</v>
      </c>
      <c r="I15" s="525">
        <f t="shared" si="1"/>
        <v>-142.85714285714286</v>
      </c>
      <c r="J15" s="65"/>
      <c r="K15" s="69"/>
      <c r="L15" s="25">
        <f t="shared" si="2"/>
        <v>0</v>
      </c>
      <c r="M15" s="65"/>
      <c r="N15" s="66"/>
      <c r="O15" s="86">
        <f t="shared" si="3"/>
        <v>0</v>
      </c>
      <c r="P15" s="86">
        <f t="shared" si="3"/>
        <v>0</v>
      </c>
      <c r="Q15" s="86">
        <f t="shared" si="4"/>
        <v>0</v>
      </c>
      <c r="R15" s="66"/>
      <c r="S15"/>
      <c r="T15" s="66"/>
      <c r="U15" s="69"/>
      <c r="V15" s="69"/>
      <c r="W15" s="69"/>
      <c r="X15" s="66"/>
      <c r="AA15" s="298">
        <f t="shared" si="7"/>
        <v>8</v>
      </c>
      <c r="AB15" s="33" t="str">
        <f t="shared" si="6"/>
        <v>n/a</v>
      </c>
      <c r="AC15" s="1298"/>
      <c r="AD15" s="375" t="s">
        <v>1661</v>
      </c>
      <c r="AE15" s="365" t="s">
        <v>1662</v>
      </c>
      <c r="AF15" s="276" t="s">
        <v>1663</v>
      </c>
      <c r="AG15" s="529" t="s">
        <v>1664</v>
      </c>
      <c r="AH15" s="525" t="s">
        <v>1665</v>
      </c>
    </row>
    <row r="16" spans="1:34" s="70" customFormat="1" ht="15" customHeight="1">
      <c r="A16" s="1727">
        <v>9</v>
      </c>
      <c r="B16" s="298" t="s">
        <v>1666</v>
      </c>
      <c r="C16" s="33" t="str">
        <f>IF($I$1="Select company","",IF(Validation!$H$3=1,"",(IF(HLOOKUP((VLOOKUP($I$1,Lists!$B$4:$C$23,2,FALSE)),'Sewerage PR16'!$A$1:$S$24,'2H'!A16+1,FALSE)=0,"",HLOOKUP((VLOOKUP($I$1,Lists!$B$4:$C$23,2,FALSE)),'Sewerage PR16'!$A$1:$S$25,'2H'!A16+1,FALSE)))))</f>
        <v>[0 - 500]  [0 - 500m3] [trade effluent] [metered]</v>
      </c>
      <c r="D16" s="1298"/>
      <c r="E16" s="375">
        <v>0.68400000000000005</v>
      </c>
      <c r="F16" s="365">
        <v>-1.2E-2</v>
      </c>
      <c r="G16" s="276">
        <f t="shared" si="5"/>
        <v>0.67200000000000004</v>
      </c>
      <c r="H16" s="529">
        <v>0.89600000000000002</v>
      </c>
      <c r="I16" s="525">
        <f t="shared" si="1"/>
        <v>-13.392857142857142</v>
      </c>
      <c r="J16" s="65"/>
      <c r="K16" s="69"/>
      <c r="L16" s="25">
        <f t="shared" si="2"/>
        <v>0</v>
      </c>
      <c r="M16" s="65"/>
      <c r="N16" s="66"/>
      <c r="O16" s="86">
        <f t="shared" si="3"/>
        <v>0</v>
      </c>
      <c r="P16" s="86">
        <f t="shared" si="3"/>
        <v>0</v>
      </c>
      <c r="Q16" s="86">
        <f t="shared" si="4"/>
        <v>0</v>
      </c>
      <c r="R16" s="66"/>
      <c r="S16"/>
      <c r="T16" s="66"/>
      <c r="U16" s="69"/>
      <c r="V16" s="69"/>
      <c r="W16" s="69"/>
      <c r="X16" s="66"/>
      <c r="AA16" s="298">
        <f t="shared" si="7"/>
        <v>9</v>
      </c>
      <c r="AB16" s="33" t="str">
        <f t="shared" si="6"/>
        <v>[0 - 500]  [0 - 500m3] [trade effluent] [metered]</v>
      </c>
      <c r="AC16" s="1298"/>
      <c r="AD16" s="375" t="s">
        <v>1667</v>
      </c>
      <c r="AE16" s="365" t="s">
        <v>1668</v>
      </c>
      <c r="AF16" s="276" t="s">
        <v>1669</v>
      </c>
      <c r="AG16" s="529" t="s">
        <v>1670</v>
      </c>
      <c r="AH16" s="525" t="s">
        <v>1671</v>
      </c>
    </row>
    <row r="17" spans="1:34" s="70" customFormat="1" ht="15" customHeight="1">
      <c r="A17" s="1727">
        <v>10</v>
      </c>
      <c r="B17" s="298" t="s">
        <v>1672</v>
      </c>
      <c r="C17" s="33" t="str">
        <f>IF($I$1="Select company","",IF(Validation!$H$3=1,"",(IF(HLOOKUP((VLOOKUP($I$1,Lists!$B$4:$C$23,2,FALSE)),'Sewerage PR16'!$A$1:$S$24,'2H'!A17+1,FALSE)=0,"",HLOOKUP((VLOOKUP($I$1,Lists!$B$4:$C$23,2,FALSE)),'Sewerage PR16'!$A$1:$S$25,'2H'!A17+1,FALSE)))))</f>
        <v>[500 - 1,000]  [500 - 1,000m3] [trade effluent] [metered]</v>
      </c>
      <c r="D17" s="1298"/>
      <c r="E17" s="375">
        <v>0.105</v>
      </c>
      <c r="F17" s="365">
        <v>-2.5000000000000001E-2</v>
      </c>
      <c r="G17" s="276">
        <f t="shared" si="5"/>
        <v>7.9999999999999988E-2</v>
      </c>
      <c r="H17" s="529">
        <v>0.44900000000000001</v>
      </c>
      <c r="I17" s="525">
        <f t="shared" si="1"/>
        <v>-55.6792873051225</v>
      </c>
      <c r="J17" s="65"/>
      <c r="K17" s="69"/>
      <c r="L17" s="25">
        <f t="shared" si="2"/>
        <v>0</v>
      </c>
      <c r="M17" s="65"/>
      <c r="N17" s="66"/>
      <c r="O17" s="86">
        <f t="shared" si="3"/>
        <v>0</v>
      </c>
      <c r="P17" s="86">
        <f t="shared" si="3"/>
        <v>0</v>
      </c>
      <c r="Q17" s="86">
        <f t="shared" si="4"/>
        <v>0</v>
      </c>
      <c r="R17" s="66"/>
      <c r="S17"/>
      <c r="T17" s="66"/>
      <c r="U17" s="69"/>
      <c r="V17" s="69"/>
      <c r="W17" s="69"/>
      <c r="X17" s="66"/>
      <c r="AA17" s="298">
        <f t="shared" si="7"/>
        <v>10</v>
      </c>
      <c r="AB17" s="33" t="str">
        <f t="shared" si="6"/>
        <v>[500 - 1,000]  [500 - 1,000m3] [trade effluent] [metered]</v>
      </c>
      <c r="AC17" s="1298"/>
      <c r="AD17" s="375" t="s">
        <v>1673</v>
      </c>
      <c r="AE17" s="365" t="s">
        <v>1674</v>
      </c>
      <c r="AF17" s="276" t="s">
        <v>1675</v>
      </c>
      <c r="AG17" s="529" t="s">
        <v>1676</v>
      </c>
      <c r="AH17" s="525" t="s">
        <v>1677</v>
      </c>
    </row>
    <row r="18" spans="1:34" s="70" customFormat="1" ht="15" customHeight="1">
      <c r="A18" s="1727">
        <v>11</v>
      </c>
      <c r="B18" s="298" t="s">
        <v>1678</v>
      </c>
      <c r="C18" s="33" t="str">
        <f>IF($I$1="Select company","",IF(Validation!$H$3=1,"",(IF(HLOOKUP((VLOOKUP($I$1,Lists!$B$4:$C$23,2,FALSE)),'Sewerage PR16'!$A$1:$S$24,'2H'!A18+1,FALSE)=0,"",HLOOKUP((VLOOKUP($I$1,Lists!$B$4:$C$23,2,FALSE)),'Sewerage PR16'!$A$1:$S$25,'2H'!A18+1,FALSE)))))</f>
        <v>[1,000 - 5,000]  [1,000 - 5,000m3] [trade effluent] [metered]</v>
      </c>
      <c r="D18" s="1298"/>
      <c r="E18" s="375">
        <v>1.218</v>
      </c>
      <c r="F18" s="365">
        <v>-8.0000000000000002E-3</v>
      </c>
      <c r="G18" s="276">
        <f t="shared" si="5"/>
        <v>1.21</v>
      </c>
      <c r="H18" s="529">
        <v>1.089</v>
      </c>
      <c r="I18" s="525">
        <f t="shared" si="1"/>
        <v>-7.3461891643709833</v>
      </c>
      <c r="J18" s="65"/>
      <c r="K18" s="69"/>
      <c r="L18" s="25">
        <f t="shared" si="2"/>
        <v>0</v>
      </c>
      <c r="M18" s="65"/>
      <c r="N18" s="66"/>
      <c r="O18" s="86">
        <f t="shared" si="3"/>
        <v>0</v>
      </c>
      <c r="P18" s="86">
        <f t="shared" si="3"/>
        <v>0</v>
      </c>
      <c r="Q18" s="86">
        <f t="shared" si="4"/>
        <v>0</v>
      </c>
      <c r="R18" s="66"/>
      <c r="S18"/>
      <c r="T18" s="66"/>
      <c r="U18" s="69"/>
      <c r="V18" s="69"/>
      <c r="W18" s="69"/>
      <c r="X18" s="66"/>
      <c r="AA18" s="298">
        <f t="shared" si="7"/>
        <v>11</v>
      </c>
      <c r="AB18" s="33" t="str">
        <f t="shared" si="6"/>
        <v>[1,000 - 5,000]  [1,000 - 5,000m3] [trade effluent] [metered]</v>
      </c>
      <c r="AC18" s="1298"/>
      <c r="AD18" s="375" t="s">
        <v>1679</v>
      </c>
      <c r="AE18" s="365" t="s">
        <v>1680</v>
      </c>
      <c r="AF18" s="276" t="s">
        <v>1681</v>
      </c>
      <c r="AG18" s="529" t="s">
        <v>1682</v>
      </c>
      <c r="AH18" s="525" t="s">
        <v>1683</v>
      </c>
    </row>
    <row r="19" spans="1:34" s="70" customFormat="1" ht="15" customHeight="1">
      <c r="A19" s="1727">
        <v>12</v>
      </c>
      <c r="B19" s="298" t="s">
        <v>1684</v>
      </c>
      <c r="C19" s="33" t="str">
        <f>IF($I$1="Select company","",IF(Validation!$H$3=1,"",(IF(HLOOKUP((VLOOKUP($I$1,Lists!$B$4:$C$23,2,FALSE)),'Sewerage PR16'!$A$1:$S$24,'2H'!A19+1,FALSE)=0,"",HLOOKUP((VLOOKUP($I$1,Lists!$B$4:$C$23,2,FALSE)),'Sewerage PR16'!$A$1:$S$25,'2H'!A19+1,FALSE)))))</f>
        <v>n/a</v>
      </c>
      <c r="D19" s="1298"/>
      <c r="E19" s="375">
        <v>2.0830000000000002</v>
      </c>
      <c r="F19" s="365">
        <v>-3.0000000000000001E-3</v>
      </c>
      <c r="G19" s="276">
        <f t="shared" si="5"/>
        <v>2.08</v>
      </c>
      <c r="H19" s="529">
        <v>0.41899999999999998</v>
      </c>
      <c r="I19" s="525">
        <f t="shared" si="1"/>
        <v>-7.1599045346062056</v>
      </c>
      <c r="J19" s="65"/>
      <c r="K19" s="69"/>
      <c r="L19" s="25">
        <f t="shared" si="2"/>
        <v>0</v>
      </c>
      <c r="M19" s="65"/>
      <c r="N19" s="66"/>
      <c r="O19" s="86">
        <f t="shared" si="3"/>
        <v>0</v>
      </c>
      <c r="P19" s="86">
        <f t="shared" si="3"/>
        <v>0</v>
      </c>
      <c r="Q19" s="86">
        <f t="shared" si="4"/>
        <v>0</v>
      </c>
      <c r="R19" s="66"/>
      <c r="S19"/>
      <c r="T19" s="66"/>
      <c r="U19" s="69"/>
      <c r="V19" s="69"/>
      <c r="W19" s="69"/>
      <c r="X19" s="66"/>
      <c r="AA19" s="298">
        <f t="shared" si="7"/>
        <v>12</v>
      </c>
      <c r="AB19" s="33" t="str">
        <f t="shared" si="6"/>
        <v>n/a</v>
      </c>
      <c r="AC19" s="1298"/>
      <c r="AD19" s="375" t="s">
        <v>1685</v>
      </c>
      <c r="AE19" s="365" t="s">
        <v>1686</v>
      </c>
      <c r="AF19" s="276" t="s">
        <v>1687</v>
      </c>
      <c r="AG19" s="529" t="s">
        <v>1688</v>
      </c>
      <c r="AH19" s="525" t="s">
        <v>1689</v>
      </c>
    </row>
    <row r="20" spans="1:34" s="70" customFormat="1" ht="15" customHeight="1">
      <c r="A20" s="1727">
        <v>13</v>
      </c>
      <c r="B20" s="298" t="s">
        <v>1690</v>
      </c>
      <c r="C20" s="33" t="str">
        <f>IF($I$1="Select company","",IF(Validation!$H$3=1,"",(IF(HLOOKUP((VLOOKUP($I$1,Lists!$B$4:$C$23,2,FALSE)),'Sewerage PR16'!$A$1:$S$24,'2H'!A20+1,FALSE)=0,"",HLOOKUP((VLOOKUP($I$1,Lists!$B$4:$C$23,2,FALSE)),'Sewerage PR16'!$A$1:$S$25,'2H'!A20+1,FALSE)))))</f>
        <v>n/a</v>
      </c>
      <c r="D20" s="1298"/>
      <c r="E20" s="375">
        <v>3.34</v>
      </c>
      <c r="F20" s="365">
        <v>-5.0000000000000001E-3</v>
      </c>
      <c r="G20" s="276">
        <f t="shared" si="5"/>
        <v>3.335</v>
      </c>
      <c r="H20" s="529">
        <v>0.151</v>
      </c>
      <c r="I20" s="525">
        <f t="shared" si="1"/>
        <v>-33.112582781456958</v>
      </c>
      <c r="J20" s="65"/>
      <c r="K20" s="69"/>
      <c r="L20" s="25">
        <f t="shared" si="2"/>
        <v>0</v>
      </c>
      <c r="M20" s="65"/>
      <c r="N20" s="66"/>
      <c r="O20" s="86">
        <f t="shared" si="3"/>
        <v>0</v>
      </c>
      <c r="P20" s="86">
        <f t="shared" si="3"/>
        <v>0</v>
      </c>
      <c r="Q20" s="86">
        <f t="shared" si="4"/>
        <v>0</v>
      </c>
      <c r="R20" s="66"/>
      <c r="S20"/>
      <c r="T20" s="66"/>
      <c r="U20" s="69"/>
      <c r="V20" s="69"/>
      <c r="W20" s="69"/>
      <c r="X20" s="66"/>
      <c r="AA20" s="298">
        <f t="shared" si="7"/>
        <v>13</v>
      </c>
      <c r="AB20" s="33" t="str">
        <f t="shared" si="6"/>
        <v>n/a</v>
      </c>
      <c r="AC20" s="1298"/>
      <c r="AD20" s="375" t="s">
        <v>1691</v>
      </c>
      <c r="AE20" s="365" t="s">
        <v>1692</v>
      </c>
      <c r="AF20" s="276" t="s">
        <v>1693</v>
      </c>
      <c r="AG20" s="529" t="s">
        <v>1694</v>
      </c>
      <c r="AH20" s="525" t="s">
        <v>1695</v>
      </c>
    </row>
    <row r="21" spans="1:34" s="70" customFormat="1" ht="15" customHeight="1">
      <c r="A21" s="1727">
        <v>14</v>
      </c>
      <c r="B21" s="298" t="s">
        <v>1696</v>
      </c>
      <c r="C21" s="33" t="str">
        <f>IF($I$1="Select company","",IF(Validation!$H$3=1,"",(IF(HLOOKUP((VLOOKUP($I$1,Lists!$B$4:$C$23,2,FALSE)),'Sewerage PR16'!$A$1:$S$24,'2H'!A21+1,FALSE)=0,"",HLOOKUP((VLOOKUP($I$1,Lists!$B$4:$C$23,2,FALSE)),'Sewerage PR16'!$A$1:$S$25,'2H'!A21+1,FALSE)))))</f>
        <v>n/a</v>
      </c>
      <c r="D21" s="1298"/>
      <c r="E21" s="375">
        <v>4.0259999999999998</v>
      </c>
      <c r="F21" s="365">
        <v>0</v>
      </c>
      <c r="G21" s="276">
        <f t="shared" si="5"/>
        <v>4.0259999999999998</v>
      </c>
      <c r="H21" s="529">
        <v>2.5999999999999999E-2</v>
      </c>
      <c r="I21" s="525">
        <f t="shared" si="1"/>
        <v>0</v>
      </c>
      <c r="J21" s="65"/>
      <c r="K21" s="69"/>
      <c r="L21" s="25">
        <f t="shared" si="2"/>
        <v>0</v>
      </c>
      <c r="M21" s="65"/>
      <c r="N21" s="66"/>
      <c r="O21" s="86">
        <f t="shared" si="3"/>
        <v>0</v>
      </c>
      <c r="P21" s="86">
        <f t="shared" si="3"/>
        <v>0</v>
      </c>
      <c r="Q21" s="86">
        <f t="shared" si="4"/>
        <v>0</v>
      </c>
      <c r="R21" s="66"/>
      <c r="S21"/>
      <c r="T21" s="66"/>
      <c r="U21" s="69"/>
      <c r="V21" s="69"/>
      <c r="W21" s="69"/>
      <c r="X21" s="66"/>
      <c r="AA21" s="298">
        <f t="shared" si="7"/>
        <v>14</v>
      </c>
      <c r="AB21" s="33" t="str">
        <f t="shared" si="6"/>
        <v>n/a</v>
      </c>
      <c r="AC21" s="1298"/>
      <c r="AD21" s="375" t="s">
        <v>1697</v>
      </c>
      <c r="AE21" s="365" t="s">
        <v>1698</v>
      </c>
      <c r="AF21" s="276" t="s">
        <v>1699</v>
      </c>
      <c r="AG21" s="529" t="s">
        <v>1700</v>
      </c>
      <c r="AH21" s="525" t="s">
        <v>1701</v>
      </c>
    </row>
    <row r="22" spans="1:34" s="70" customFormat="1" ht="15" customHeight="1">
      <c r="A22" s="1727">
        <v>15</v>
      </c>
      <c r="B22" s="298" t="s">
        <v>1702</v>
      </c>
      <c r="C22" s="33" t="str">
        <f>IF($I$1="Select company","",IF(Validation!$H$3=1,"",(IF(HLOOKUP((VLOOKUP($I$1,Lists!$B$4:$C$23,2,FALSE)),'Sewerage PR16'!$A$1:$S$24,'2H'!A22+1,FALSE)=0,"",HLOOKUP((VLOOKUP($I$1,Lists!$B$4:$C$23,2,FALSE)),'Sewerage PR16'!$A$1:$S$25,'2H'!A22+1,FALSE)))))</f>
        <v>n/a</v>
      </c>
      <c r="D22" s="1298"/>
      <c r="E22" s="375">
        <v>0.65700000000000003</v>
      </c>
      <c r="F22" s="365">
        <v>1.7999999999999999E-2</v>
      </c>
      <c r="G22" s="276">
        <f t="shared" si="5"/>
        <v>0.67500000000000004</v>
      </c>
      <c r="H22" s="529">
        <v>2E-3</v>
      </c>
      <c r="I22" s="525">
        <f t="shared" si="1"/>
        <v>9000</v>
      </c>
      <c r="J22" s="110"/>
      <c r="K22" s="69"/>
      <c r="L22" s="25">
        <f t="shared" si="2"/>
        <v>0</v>
      </c>
      <c r="M22" s="65"/>
      <c r="N22" s="66"/>
      <c r="O22" s="86">
        <f t="shared" si="3"/>
        <v>0</v>
      </c>
      <c r="P22" s="86">
        <f t="shared" si="3"/>
        <v>0</v>
      </c>
      <c r="Q22" s="86">
        <f t="shared" si="4"/>
        <v>0</v>
      </c>
      <c r="R22" s="66"/>
      <c r="S22"/>
      <c r="T22" s="66"/>
      <c r="U22" s="69"/>
      <c r="V22" s="69"/>
      <c r="W22" s="69"/>
      <c r="X22" s="66"/>
      <c r="AA22" s="298">
        <f t="shared" si="7"/>
        <v>15</v>
      </c>
      <c r="AB22" s="33" t="str">
        <f t="shared" si="6"/>
        <v>n/a</v>
      </c>
      <c r="AC22" s="1298"/>
      <c r="AD22" s="375" t="s">
        <v>1703</v>
      </c>
      <c r="AE22" s="365" t="s">
        <v>1704</v>
      </c>
      <c r="AF22" s="276" t="s">
        <v>1705</v>
      </c>
      <c r="AG22" s="529" t="s">
        <v>1706</v>
      </c>
      <c r="AH22" s="525" t="s">
        <v>1707</v>
      </c>
    </row>
    <row r="23" spans="1:34" s="70" customFormat="1" ht="15" customHeight="1">
      <c r="A23" s="1727">
        <v>16</v>
      </c>
      <c r="B23" s="298" t="s">
        <v>1708</v>
      </c>
      <c r="C23" s="33" t="str">
        <f>IF($I$1="Select company","",IF(Validation!$H$3=1,"",(IF(HLOOKUP((VLOOKUP($I$1,Lists!$B$4:$C$23,2,FALSE)),'Sewerage PR16'!$A$1:$S$24,'2H'!A23+1,FALSE)=0,"",HLOOKUP((VLOOKUP($I$1,Lists!$B$4:$C$23,2,FALSE)),'Sewerage PR16'!$A$1:$S$25,'2H'!A23+1,FALSE)))))</f>
        <v>[0 - 500 Business Assessed]  [0 - 500m3] [sewerage] [unmetered]</v>
      </c>
      <c r="D23" s="1298"/>
      <c r="E23" s="375">
        <v>5.7720000000000002</v>
      </c>
      <c r="F23" s="365">
        <v>0.76100000000000001</v>
      </c>
      <c r="G23" s="276">
        <f t="shared" si="5"/>
        <v>6.5330000000000004</v>
      </c>
      <c r="H23" s="529">
        <v>25.474</v>
      </c>
      <c r="I23" s="525">
        <f t="shared" si="1"/>
        <v>29.873596608306507</v>
      </c>
      <c r="J23" s="116"/>
      <c r="K23" s="69"/>
      <c r="L23" s="25">
        <f t="shared" si="2"/>
        <v>0</v>
      </c>
      <c r="M23" s="65"/>
      <c r="N23" s="66"/>
      <c r="O23" s="86">
        <f t="shared" si="3"/>
        <v>0</v>
      </c>
      <c r="P23" s="86">
        <f t="shared" si="3"/>
        <v>0</v>
      </c>
      <c r="Q23" s="86">
        <f t="shared" si="4"/>
        <v>0</v>
      </c>
      <c r="R23" s="66"/>
      <c r="S23" s="113"/>
      <c r="T23" s="114"/>
      <c r="U23" s="143"/>
      <c r="V23" s="143"/>
      <c r="W23" s="69"/>
      <c r="X23" s="114"/>
      <c r="AA23" s="298">
        <f t="shared" si="7"/>
        <v>16</v>
      </c>
      <c r="AB23" s="33" t="str">
        <f t="shared" si="6"/>
        <v>[0 - 500 Business Assessed]  [0 - 500m3] [sewerage] [unmetered]</v>
      </c>
      <c r="AC23" s="1298"/>
      <c r="AD23" s="375" t="s">
        <v>1709</v>
      </c>
      <c r="AE23" s="365" t="s">
        <v>1710</v>
      </c>
      <c r="AF23" s="276" t="s">
        <v>1711</v>
      </c>
      <c r="AG23" s="529" t="s">
        <v>1712</v>
      </c>
      <c r="AH23" s="525" t="s">
        <v>1713</v>
      </c>
    </row>
    <row r="24" spans="1:34" s="70" customFormat="1" ht="15" customHeight="1">
      <c r="A24" s="1727">
        <v>17</v>
      </c>
      <c r="B24" s="298" t="s">
        <v>1714</v>
      </c>
      <c r="C24" s="33" t="str">
        <f>IF($I$1="Select company","",IF(Validation!$H$3=1,"",(IF(HLOOKUP((VLOOKUP($I$1,Lists!$B$4:$C$23,2,FALSE)),'Sewerage PR16'!$A$1:$S$24,'2H'!A24+1,FALSE)=0,"",HLOOKUP((VLOOKUP($I$1,Lists!$B$4:$C$23,2,FALSE)),'Sewerage PR16'!$A$1:$S$25,'2H'!A24+1,FALSE)))))</f>
        <v>[500 - 1,000 Business Assessed]  [500 - 1,000m3] [sewerage] [unmetered]</v>
      </c>
      <c r="D24" s="1298"/>
      <c r="E24" s="375">
        <v>1.103</v>
      </c>
      <c r="F24" s="377">
        <v>5.7000000000000002E-2</v>
      </c>
      <c r="G24" s="276">
        <f t="shared" si="5"/>
        <v>1.1599999999999999</v>
      </c>
      <c r="H24" s="529">
        <v>1.03</v>
      </c>
      <c r="I24" s="525">
        <f t="shared" si="1"/>
        <v>55.339805825242721</v>
      </c>
      <c r="J24" s="116"/>
      <c r="K24" s="69"/>
      <c r="L24" s="25">
        <f t="shared" si="2"/>
        <v>0</v>
      </c>
      <c r="M24" s="65"/>
      <c r="N24" s="66"/>
      <c r="O24" s="86">
        <f t="shared" si="3"/>
        <v>0</v>
      </c>
      <c r="P24" s="86">
        <f t="shared" si="3"/>
        <v>0</v>
      </c>
      <c r="Q24" s="86">
        <f t="shared" si="4"/>
        <v>0</v>
      </c>
      <c r="R24" s="66"/>
      <c r="S24"/>
      <c r="T24" s="111"/>
      <c r="U24" s="69"/>
      <c r="V24" s="69"/>
      <c r="W24" s="69"/>
      <c r="X24" s="111"/>
      <c r="AA24" s="298">
        <f t="shared" si="7"/>
        <v>17</v>
      </c>
      <c r="AB24" s="33" t="str">
        <f t="shared" si="6"/>
        <v>[500 - 1,000 Business Assessed]  [500 - 1,000m3] [sewerage] [unmetered]</v>
      </c>
      <c r="AC24" s="1298"/>
      <c r="AD24" s="375" t="s">
        <v>1715</v>
      </c>
      <c r="AE24" s="365" t="s">
        <v>1716</v>
      </c>
      <c r="AF24" s="276" t="s">
        <v>1717</v>
      </c>
      <c r="AG24" s="529" t="s">
        <v>1718</v>
      </c>
      <c r="AH24" s="525" t="s">
        <v>1719</v>
      </c>
    </row>
    <row r="25" spans="1:34" s="70" customFormat="1" ht="15" customHeight="1">
      <c r="A25" s="1727">
        <v>18</v>
      </c>
      <c r="B25" s="298" t="s">
        <v>1720</v>
      </c>
      <c r="C25" s="33" t="str">
        <f>IF($I$1="Select company","",IF(Validation!$H$3=1,"",(IF(HLOOKUP((VLOOKUP($I$1,Lists!$B$4:$C$23,2,FALSE)),'Sewerage PR16'!$A$1:$S$24,'2H'!A25+1,FALSE)=0,"",HLOOKUP((VLOOKUP($I$1,Lists!$B$4:$C$23,2,FALSE)),'Sewerage PR16'!$A$1:$S$25,'2H'!A25+1,FALSE)))))</f>
        <v>[1,000 - 5,000 Business Assessed]  [1,000 - 5,000m3] [sewerage] [unmetered]</v>
      </c>
      <c r="D25" s="1298"/>
      <c r="E25" s="375">
        <v>1.9079999999999999</v>
      </c>
      <c r="F25" s="377">
        <v>8.7999999999999995E-2</v>
      </c>
      <c r="G25" s="276">
        <f t="shared" si="5"/>
        <v>1.996</v>
      </c>
      <c r="H25" s="529">
        <v>0.63100000000000001</v>
      </c>
      <c r="I25" s="525">
        <f t="shared" si="1"/>
        <v>139.46117274167986</v>
      </c>
      <c r="J25" s="116"/>
      <c r="K25" s="69"/>
      <c r="L25" s="25">
        <f t="shared" si="2"/>
        <v>0</v>
      </c>
      <c r="M25" s="65"/>
      <c r="N25" s="66"/>
      <c r="O25" s="86">
        <f t="shared" si="3"/>
        <v>0</v>
      </c>
      <c r="P25" s="86">
        <f t="shared" si="3"/>
        <v>0</v>
      </c>
      <c r="Q25" s="86">
        <f t="shared" si="4"/>
        <v>0</v>
      </c>
      <c r="R25" s="66"/>
      <c r="S25"/>
      <c r="T25" s="111"/>
      <c r="U25" s="69"/>
      <c r="V25" s="69"/>
      <c r="W25" s="69"/>
      <c r="X25" s="111"/>
      <c r="AA25" s="298">
        <f t="shared" si="7"/>
        <v>18</v>
      </c>
      <c r="AB25" s="33" t="str">
        <f t="shared" si="6"/>
        <v>[1,000 - 5,000 Business Assessed]  [1,000 - 5,000m3] [sewerage] [unmetered]</v>
      </c>
      <c r="AC25" s="1298"/>
      <c r="AD25" s="375" t="s">
        <v>1721</v>
      </c>
      <c r="AE25" s="365" t="s">
        <v>1722</v>
      </c>
      <c r="AF25" s="276" t="s">
        <v>1723</v>
      </c>
      <c r="AG25" s="529" t="s">
        <v>1724</v>
      </c>
      <c r="AH25" s="525" t="s">
        <v>1725</v>
      </c>
    </row>
    <row r="26" spans="1:34" s="70" customFormat="1" ht="15" customHeight="1">
      <c r="A26" s="1727">
        <v>19</v>
      </c>
      <c r="B26" s="298" t="s">
        <v>1726</v>
      </c>
      <c r="C26" s="33" t="str">
        <f>IF($I$1="Select company","",IF(Validation!$H$3=1,"",(IF(HLOOKUP((VLOOKUP($I$1,Lists!$B$4:$C$23,2,FALSE)),'Sewerage PR16'!$A$1:$S$24,'2H'!A26+1,FALSE)=0,"",HLOOKUP((VLOOKUP($I$1,Lists!$B$4:$C$23,2,FALSE)),'Sewerage PR16'!$A$1:$S$25,'2H'!A26+1,FALSE)))))</f>
        <v>n/a</v>
      </c>
      <c r="D26" s="1299"/>
      <c r="E26" s="376">
        <v>0.40100000000000002</v>
      </c>
      <c r="F26" s="377">
        <v>8.0000000000000002E-3</v>
      </c>
      <c r="G26" s="276">
        <f t="shared" si="5"/>
        <v>0.40900000000000003</v>
      </c>
      <c r="H26" s="529">
        <v>3.3000000000000002E-2</v>
      </c>
      <c r="I26" s="525">
        <f t="shared" si="1"/>
        <v>242.42424242424244</v>
      </c>
      <c r="J26" s="116"/>
      <c r="K26" s="69"/>
      <c r="L26" s="25">
        <f t="shared" si="2"/>
        <v>0</v>
      </c>
      <c r="M26" s="65"/>
      <c r="N26" s="66"/>
      <c r="O26" s="86">
        <f t="shared" si="3"/>
        <v>0</v>
      </c>
      <c r="P26" s="86">
        <f t="shared" si="3"/>
        <v>0</v>
      </c>
      <c r="Q26" s="86">
        <f t="shared" si="4"/>
        <v>0</v>
      </c>
      <c r="R26" s="66"/>
      <c r="S26"/>
      <c r="T26" s="111"/>
      <c r="U26" s="69"/>
      <c r="V26" s="69"/>
      <c r="W26" s="69"/>
      <c r="X26" s="111"/>
      <c r="AA26" s="298">
        <f t="shared" si="7"/>
        <v>19</v>
      </c>
      <c r="AB26" s="33" t="str">
        <f t="shared" si="6"/>
        <v>n/a</v>
      </c>
      <c r="AC26" s="1299"/>
      <c r="AD26" s="376" t="s">
        <v>1727</v>
      </c>
      <c r="AE26" s="377" t="s">
        <v>1728</v>
      </c>
      <c r="AF26" s="276" t="s">
        <v>1729</v>
      </c>
      <c r="AG26" s="529" t="s">
        <v>1730</v>
      </c>
      <c r="AH26" s="525" t="s">
        <v>1731</v>
      </c>
    </row>
    <row r="27" spans="1:34" s="70" customFormat="1" ht="15" customHeight="1">
      <c r="A27" s="1727">
        <v>20</v>
      </c>
      <c r="B27" s="298" t="s">
        <v>1732</v>
      </c>
      <c r="C27" s="33" t="str">
        <f>IF($I$1="Select company","",IF(Validation!$H$3=1,"",(IF(HLOOKUP((VLOOKUP($I$1,Lists!$B$4:$C$23,2,FALSE)),'Sewerage PR16'!$A$1:$S$24,'2H'!A27+1,FALSE)=0,"",HLOOKUP((VLOOKUP($I$1,Lists!$B$4:$C$23,2,FALSE)),'Sewerage PR16'!$A$1:$S$25,'2H'!A27+1,FALSE)))))</f>
        <v>[Unmeasured RV + Fixed]  [N/A] [sewerage] [unmetered]</v>
      </c>
      <c r="D27" s="1299"/>
      <c r="E27" s="376">
        <v>6.7110000000000003</v>
      </c>
      <c r="F27" s="377">
        <v>2.9000000000000001E-2</v>
      </c>
      <c r="G27" s="276">
        <f t="shared" si="5"/>
        <v>6.74</v>
      </c>
      <c r="H27" s="529">
        <v>21.257999999999999</v>
      </c>
      <c r="I27" s="525">
        <f t="shared" si="1"/>
        <v>1.3641923040737605</v>
      </c>
      <c r="J27" s="116"/>
      <c r="K27" s="69"/>
      <c r="L27" s="25">
        <f t="shared" si="2"/>
        <v>0</v>
      </c>
      <c r="M27" s="65"/>
      <c r="N27" s="66"/>
      <c r="O27" s="86">
        <f t="shared" si="3"/>
        <v>0</v>
      </c>
      <c r="P27" s="86">
        <f t="shared" si="3"/>
        <v>0</v>
      </c>
      <c r="Q27" s="86">
        <f t="shared" si="4"/>
        <v>0</v>
      </c>
      <c r="R27" s="66"/>
      <c r="S27"/>
      <c r="T27" s="111"/>
      <c r="U27" s="69"/>
      <c r="V27" s="69"/>
      <c r="W27" s="69"/>
      <c r="X27" s="111"/>
      <c r="AA27" s="298">
        <f t="shared" si="7"/>
        <v>20</v>
      </c>
      <c r="AB27" s="33" t="str">
        <f t="shared" si="6"/>
        <v>[Unmeasured RV + Fixed]  [N/A] [sewerage] [unmetered]</v>
      </c>
      <c r="AC27" s="1299"/>
      <c r="AD27" s="376" t="s">
        <v>1733</v>
      </c>
      <c r="AE27" s="377" t="s">
        <v>1734</v>
      </c>
      <c r="AF27" s="276" t="s">
        <v>1735</v>
      </c>
      <c r="AG27" s="529" t="s">
        <v>1736</v>
      </c>
      <c r="AH27" s="525" t="s">
        <v>1737</v>
      </c>
    </row>
    <row r="28" spans="1:34" s="70" customFormat="1" ht="15" customHeight="1">
      <c r="A28" s="1727">
        <v>21</v>
      </c>
      <c r="B28" s="298" t="s">
        <v>1738</v>
      </c>
      <c r="C28" s="33" t="str">
        <f>IF($I$1="Select company","",IF(Validation!$H$3=1,"",(IF(HLOOKUP((VLOOKUP($I$1,Lists!$B$4:$C$23,2,FALSE)),'Sewerage PR16'!$A$1:$S$24,'2H'!A28+1,FALSE)=0,"",HLOOKUP((VLOOKUP($I$1,Lists!$B$4:$C$23,2,FALSE)),'Sewerage PR16'!$A$1:$S$25,'2H'!A28+1,FALSE)))))</f>
        <v>Wastewater services 5 to 50 MI</v>
      </c>
      <c r="D28" s="1299"/>
      <c r="E28" s="376">
        <v>0</v>
      </c>
      <c r="F28" s="377">
        <v>0</v>
      </c>
      <c r="G28" s="276">
        <f t="shared" si="5"/>
        <v>0</v>
      </c>
      <c r="H28" s="529">
        <v>0</v>
      </c>
      <c r="I28" s="525">
        <f t="shared" si="1"/>
        <v>0</v>
      </c>
      <c r="J28" s="116"/>
      <c r="K28" s="69"/>
      <c r="L28" s="25">
        <f t="shared" si="2"/>
        <v>0</v>
      </c>
      <c r="M28" s="65"/>
      <c r="N28" s="66"/>
      <c r="O28" s="86">
        <f t="shared" si="3"/>
        <v>0</v>
      </c>
      <c r="P28" s="86">
        <f t="shared" si="3"/>
        <v>0</v>
      </c>
      <c r="Q28" s="86">
        <f t="shared" si="4"/>
        <v>0</v>
      </c>
      <c r="R28" s="66"/>
      <c r="S28" s="113"/>
      <c r="T28" s="111"/>
      <c r="U28" s="143"/>
      <c r="V28" s="143"/>
      <c r="W28" s="69"/>
      <c r="X28" s="111"/>
      <c r="AA28" s="298">
        <f t="shared" si="7"/>
        <v>21</v>
      </c>
      <c r="AB28" s="33" t="str">
        <f t="shared" si="6"/>
        <v>Wastewater services 5 to 50 MI</v>
      </c>
      <c r="AC28" s="1299"/>
      <c r="AD28" s="376" t="s">
        <v>1739</v>
      </c>
      <c r="AE28" s="377" t="s">
        <v>1740</v>
      </c>
      <c r="AF28" s="276" t="s">
        <v>1741</v>
      </c>
      <c r="AG28" s="529" t="s">
        <v>1742</v>
      </c>
      <c r="AH28" s="525" t="s">
        <v>1743</v>
      </c>
    </row>
    <row r="29" spans="1:34" s="70" customFormat="1" ht="15" customHeight="1">
      <c r="A29" s="1727">
        <v>22</v>
      </c>
      <c r="B29" s="298" t="s">
        <v>1744</v>
      </c>
      <c r="C29" s="33" t="str">
        <f>IF($I$1="Select company","",IF(Validation!$H$3=1,"",(IF(HLOOKUP((VLOOKUP($I$1,Lists!$B$4:$C$23,2,FALSE)),'Sewerage PR16'!$A$1:$S$24,'2H'!A29+1,FALSE)=0,"",HLOOKUP((VLOOKUP($I$1,Lists!$B$4:$C$23,2,FALSE)),'Sewerage PR16'!$A$1:$S$25,'2H'!A29+1,FALSE)))))</f>
        <v>Wastewater services 50 MI and over</v>
      </c>
      <c r="D29" s="1299"/>
      <c r="E29" s="376">
        <v>0</v>
      </c>
      <c r="F29" s="377">
        <v>0</v>
      </c>
      <c r="G29" s="276">
        <f t="shared" ref="G29:G30" si="8" xml:space="preserve"> F29 + E29</f>
        <v>0</v>
      </c>
      <c r="H29" s="529">
        <v>0</v>
      </c>
      <c r="I29" s="525">
        <f t="shared" ref="I29:I30" si="9" xml:space="preserve"> IF( H29 = 0, 0, F29 / H29 * 1000 )</f>
        <v>0</v>
      </c>
      <c r="J29" s="116"/>
      <c r="K29" s="69"/>
      <c r="L29" s="25">
        <f t="shared" ref="L29:L30" si="10" xml:space="preserve"> IF( SUM( N29:R29 ) = 0, 0, $O$5 )</f>
        <v>0</v>
      </c>
      <c r="M29" s="65"/>
      <c r="N29" s="66"/>
      <c r="O29" s="86">
        <f t="shared" ref="O29:O30" si="11">IF($C29="",0,IF(ISNUMBER(E29),0,1))</f>
        <v>0</v>
      </c>
      <c r="P29" s="86">
        <f t="shared" ref="P29:P30" si="12">IF($C29="",0,IF(ISNUMBER(F29),0,1))</f>
        <v>0</v>
      </c>
      <c r="Q29" s="86">
        <f t="shared" ref="Q29:Q30" si="13">IF($C29="",0,IF(ISNUMBER(H29),0,1))</f>
        <v>0</v>
      </c>
      <c r="R29" s="66"/>
      <c r="S29" s="113"/>
      <c r="T29" s="111"/>
      <c r="U29" s="143"/>
      <c r="V29" s="143"/>
      <c r="W29" s="69"/>
      <c r="X29" s="111"/>
      <c r="AA29" s="298">
        <v>22</v>
      </c>
      <c r="AB29" s="33" t="str">
        <f t="shared" si="6"/>
        <v>Wastewater services 50 MI and over</v>
      </c>
      <c r="AC29" s="1299"/>
      <c r="AD29" s="376" t="s">
        <v>1745</v>
      </c>
      <c r="AE29" s="377" t="s">
        <v>1746</v>
      </c>
      <c r="AF29" s="276" t="s">
        <v>1747</v>
      </c>
      <c r="AG29" s="529" t="s">
        <v>1748</v>
      </c>
      <c r="AH29" s="525" t="s">
        <v>1749</v>
      </c>
    </row>
    <row r="30" spans="1:34" s="70" customFormat="1" ht="15" customHeight="1">
      <c r="A30" s="1727">
        <v>23</v>
      </c>
      <c r="B30" s="298" t="s">
        <v>1750</v>
      </c>
      <c r="C30" s="33" t="str">
        <f>IF($I$1="Select company","",IF(Validation!$H$3=1,"",(IF(HLOOKUP((VLOOKUP($I$1,Lists!$B$4:$C$23,2,FALSE)),'Sewerage PR16'!$A$1:$S$24,'2H'!A30+1,FALSE)=0,"",HLOOKUP((VLOOKUP($I$1,Lists!$B$4:$C$23,2,FALSE)),'Sewerage PR16'!$A$1:$S$25,'2H'!A30+1,FALSE)))))</f>
        <v/>
      </c>
      <c r="D30" s="1299"/>
      <c r="E30" s="376"/>
      <c r="F30" s="377"/>
      <c r="G30" s="276">
        <f t="shared" si="8"/>
        <v>0</v>
      </c>
      <c r="H30" s="529"/>
      <c r="I30" s="525">
        <f t="shared" si="9"/>
        <v>0</v>
      </c>
      <c r="J30" s="116"/>
      <c r="K30" s="69"/>
      <c r="L30" s="25">
        <f t="shared" si="10"/>
        <v>0</v>
      </c>
      <c r="M30" s="65"/>
      <c r="N30" s="66"/>
      <c r="O30" s="86">
        <f t="shared" si="11"/>
        <v>0</v>
      </c>
      <c r="P30" s="86">
        <f t="shared" si="12"/>
        <v>0</v>
      </c>
      <c r="Q30" s="86">
        <f t="shared" si="13"/>
        <v>0</v>
      </c>
      <c r="R30" s="66"/>
      <c r="S30" s="113"/>
      <c r="T30" s="111"/>
      <c r="U30" s="143"/>
      <c r="V30" s="143"/>
      <c r="W30" s="69"/>
      <c r="X30" s="111"/>
      <c r="AA30" s="298">
        <v>23</v>
      </c>
      <c r="AB30" s="33" t="str">
        <f t="shared" si="6"/>
        <v/>
      </c>
      <c r="AC30" s="1299"/>
      <c r="AD30" s="376" t="s">
        <v>1751</v>
      </c>
      <c r="AE30" s="377" t="s">
        <v>1752</v>
      </c>
      <c r="AF30" s="276" t="s">
        <v>1753</v>
      </c>
      <c r="AG30" s="529" t="s">
        <v>1754</v>
      </c>
      <c r="AH30" s="525" t="s">
        <v>1755</v>
      </c>
    </row>
    <row r="31" spans="1:34" s="70" customFormat="1" ht="17.25" customHeight="1" thickBot="1">
      <c r="A31" s="1727">
        <v>22</v>
      </c>
      <c r="B31" s="299" t="s">
        <v>1756</v>
      </c>
      <c r="C31" s="2101" t="s">
        <v>1598</v>
      </c>
      <c r="D31" s="1300"/>
      <c r="E31" s="277">
        <f xml:space="preserve"> SUM( E9:E28 )</f>
        <v>187.76600000000002</v>
      </c>
      <c r="F31" s="278">
        <f xml:space="preserve"> SUM( F9:F28 )</f>
        <v>-0.86899999999999966</v>
      </c>
      <c r="G31" s="279">
        <f xml:space="preserve"> SUM( G9:G28 )</f>
        <v>186.89700000000005</v>
      </c>
      <c r="H31" s="287">
        <f xml:space="preserve"> SUM( H9:H28 )</f>
        <v>253.976</v>
      </c>
      <c r="I31" s="402">
        <f t="shared" si="1"/>
        <v>-3.4215831417141764</v>
      </c>
      <c r="J31" s="116"/>
      <c r="K31" s="69"/>
      <c r="L31" s="116"/>
      <c r="M31" s="116"/>
      <c r="N31" s="111"/>
      <c r="O31" s="176"/>
      <c r="P31" s="142"/>
      <c r="Q31" s="142"/>
      <c r="R31" s="111"/>
      <c r="S31" s="113"/>
      <c r="T31" s="111"/>
      <c r="U31" s="143"/>
      <c r="V31" s="143"/>
      <c r="W31" s="69"/>
      <c r="X31" s="111"/>
      <c r="AA31" s="299">
        <v>24</v>
      </c>
      <c r="AB31" s="2101" t="s">
        <v>1598</v>
      </c>
      <c r="AC31" s="1300"/>
      <c r="AD31" s="277" t="s">
        <v>1757</v>
      </c>
      <c r="AE31" s="278" t="s">
        <v>1758</v>
      </c>
      <c r="AF31" s="279" t="s">
        <v>1759</v>
      </c>
      <c r="AG31" s="287" t="s">
        <v>1760</v>
      </c>
      <c r="AH31" s="402" t="s">
        <v>1761</v>
      </c>
    </row>
    <row r="32" spans="1:34" s="65" customFormat="1" ht="15" thickBot="1">
      <c r="E32" s="74"/>
      <c r="F32" s="142"/>
      <c r="G32" s="74"/>
      <c r="H32" s="530"/>
      <c r="I32" s="526"/>
      <c r="J32" s="118"/>
      <c r="K32" s="69"/>
      <c r="L32" s="116"/>
      <c r="M32" s="116"/>
      <c r="N32" s="111"/>
      <c r="O32" s="176"/>
      <c r="P32" s="155"/>
      <c r="Q32" s="155"/>
      <c r="R32" s="111"/>
      <c r="S32"/>
      <c r="T32" s="111"/>
      <c r="U32" s="69"/>
      <c r="V32" s="69"/>
      <c r="W32" s="69"/>
      <c r="X32" s="111"/>
      <c r="AD32" s="74"/>
      <c r="AE32" s="142"/>
      <c r="AF32" s="74"/>
      <c r="AG32" s="530"/>
      <c r="AH32" s="526"/>
    </row>
    <row r="33" spans="1:34" s="70" customFormat="1" ht="17.25" customHeight="1" thickBot="1">
      <c r="A33" s="69"/>
      <c r="B33" s="296" t="s">
        <v>1762</v>
      </c>
      <c r="C33" s="28" t="s">
        <v>680</v>
      </c>
      <c r="D33" s="1296"/>
      <c r="E33" s="284">
        <f xml:space="preserve"> E31 + E6</f>
        <v>187.76600000000002</v>
      </c>
      <c r="F33" s="285">
        <f xml:space="preserve"> F31 + F6</f>
        <v>-0.86899999999999966</v>
      </c>
      <c r="G33" s="286">
        <f xml:space="preserve"> G31 + G6</f>
        <v>186.89700000000005</v>
      </c>
      <c r="H33" s="531">
        <f xml:space="preserve"> H31 + H6</f>
        <v>253.976</v>
      </c>
      <c r="I33" s="522">
        <f xml:space="preserve"> IF( H33 = 0, 0, F33 / H33 * 1000 )</f>
        <v>-3.4215831417141764</v>
      </c>
      <c r="J33" s="118"/>
      <c r="K33" s="1164" t="str">
        <f xml:space="preserve"> IF( SUM( R33:T33 ) = 0, 0, W33 )</f>
        <v>The total of column 1 should be equal to the sum of lines 2I.5 and 2I.6.</v>
      </c>
      <c r="L33" s="116"/>
      <c r="M33" s="116"/>
      <c r="N33" s="111"/>
      <c r="O33" s="176"/>
      <c r="P33" s="142"/>
      <c r="Q33" s="142"/>
      <c r="R33" s="111"/>
      <c r="S33" s="86">
        <f xml:space="preserve"> IF( (U33 - V33) = 0, 0, 1 )</f>
        <v>1</v>
      </c>
      <c r="T33" s="111"/>
      <c r="U33" s="143">
        <f xml:space="preserve"> ROUND(E33, 3)</f>
        <v>187.76599999999999</v>
      </c>
      <c r="V33" s="143">
        <f xml:space="preserve"> ROUND( SUM( '2I'!H12:H13 ), 3)</f>
        <v>177.03700000000001</v>
      </c>
      <c r="W33" s="69" t="s">
        <v>1763</v>
      </c>
      <c r="X33" s="111"/>
      <c r="AA33" s="296">
        <f xml:space="preserve"> AA31 + 1</f>
        <v>25</v>
      </c>
      <c r="AB33" s="28" t="s">
        <v>680</v>
      </c>
      <c r="AC33" s="1296"/>
      <c r="AD33" s="284" t="s">
        <v>1764</v>
      </c>
      <c r="AE33" s="285" t="s">
        <v>1765</v>
      </c>
      <c r="AF33" s="286" t="s">
        <v>1766</v>
      </c>
      <c r="AG33" s="531" t="s">
        <v>1767</v>
      </c>
      <c r="AH33" s="522" t="s">
        <v>1768</v>
      </c>
    </row>
    <row r="34" spans="1:34" s="69" customFormat="1" ht="17.25" customHeight="1" thickBot="1">
      <c r="B34" s="230"/>
      <c r="J34" s="118"/>
      <c r="L34" s="116"/>
      <c r="M34" s="116"/>
      <c r="N34" s="111"/>
      <c r="O34" s="176"/>
      <c r="P34" s="142"/>
      <c r="Q34" s="142"/>
      <c r="R34" s="111"/>
      <c r="S34" s="113"/>
      <c r="T34" s="111"/>
      <c r="U34" s="143"/>
      <c r="V34" s="143"/>
      <c r="X34" s="111"/>
      <c r="AA34" s="230"/>
    </row>
    <row r="35" spans="1:34" s="65" customFormat="1" ht="54.75" thickBot="1">
      <c r="F35" s="142"/>
      <c r="H35" s="293" t="s">
        <v>1611</v>
      </c>
      <c r="I35" s="293" t="s">
        <v>1612</v>
      </c>
      <c r="J35" s="118"/>
      <c r="K35" s="69"/>
      <c r="L35" s="116"/>
      <c r="M35" s="116"/>
      <c r="N35" s="111"/>
      <c r="O35" s="176"/>
      <c r="P35" s="155"/>
      <c r="Q35" s="155"/>
      <c r="R35" s="111"/>
      <c r="S35"/>
      <c r="T35" s="111"/>
      <c r="U35" s="69"/>
      <c r="V35" s="69"/>
      <c r="W35" s="69"/>
      <c r="X35" s="111"/>
      <c r="Y35" s="155"/>
      <c r="AE35" s="142"/>
      <c r="AG35" s="293" t="s">
        <v>1611</v>
      </c>
      <c r="AH35" s="293" t="s">
        <v>1612</v>
      </c>
    </row>
    <row r="36" spans="1:34" s="70" customFormat="1" ht="15" customHeight="1" thickBot="1">
      <c r="A36" s="69"/>
      <c r="B36" s="223" t="s">
        <v>362</v>
      </c>
      <c r="C36" s="27" t="s">
        <v>1613</v>
      </c>
      <c r="D36" s="1295"/>
      <c r="E36" s="127"/>
      <c r="F36" s="127"/>
      <c r="G36" s="127"/>
      <c r="H36" s="320"/>
      <c r="I36" s="523"/>
      <c r="J36" s="127"/>
      <c r="K36" s="69"/>
      <c r="L36" s="127"/>
      <c r="M36" s="65"/>
      <c r="N36" s="66"/>
      <c r="O36" s="176"/>
      <c r="P36" s="155"/>
      <c r="Q36" s="155"/>
      <c r="R36" s="66"/>
      <c r="S36"/>
      <c r="T36" s="66"/>
      <c r="U36" s="69"/>
      <c r="V36" s="69"/>
      <c r="W36" s="69"/>
      <c r="X36" s="66"/>
      <c r="Y36" s="65"/>
      <c r="AA36" s="223" t="s">
        <v>362</v>
      </c>
      <c r="AB36" s="27" t="s">
        <v>1613</v>
      </c>
      <c r="AC36" s="1295"/>
      <c r="AD36" s="127"/>
      <c r="AE36" s="127"/>
      <c r="AF36" s="127"/>
      <c r="AG36" s="320"/>
      <c r="AH36" s="523"/>
    </row>
    <row r="37" spans="1:34" s="70" customFormat="1" ht="15" customHeight="1" thickBot="1">
      <c r="A37" s="69"/>
      <c r="B37" s="532" t="s">
        <v>1769</v>
      </c>
      <c r="C37" s="533" t="s">
        <v>680</v>
      </c>
      <c r="D37" s="69"/>
      <c r="E37" s="65"/>
      <c r="F37" s="65"/>
      <c r="G37" s="65"/>
      <c r="H37" s="527">
        <v>253.976</v>
      </c>
      <c r="I37" s="522">
        <f xml:space="preserve"> IF( H37 = 0, 0, F33 / H37 * 1000 )</f>
        <v>-3.4215831417141764</v>
      </c>
      <c r="J37" s="65"/>
      <c r="K37" s="69"/>
      <c r="L37" s="25">
        <f xml:space="preserve"> IF( SUM( N37:R37 ) = 0, 0, $O$5 )</f>
        <v>0</v>
      </c>
      <c r="M37" s="65"/>
      <c r="N37" s="66"/>
      <c r="O37" s="113"/>
      <c r="P37" s="113"/>
      <c r="Q37" s="86">
        <f>IF(Validation!$H$3=1,0,IF(ISNUMBER(H37),0,1))</f>
        <v>0</v>
      </c>
      <c r="R37" s="66"/>
      <c r="S37"/>
      <c r="T37" s="66"/>
      <c r="U37" s="69"/>
      <c r="V37" s="69"/>
      <c r="W37" s="69"/>
      <c r="X37" s="66"/>
      <c r="Y37" s="65"/>
      <c r="AA37" s="532">
        <f xml:space="preserve"> AA33 + 1</f>
        <v>26</v>
      </c>
      <c r="AB37" s="533" t="s">
        <v>680</v>
      </c>
      <c r="AC37" s="69"/>
      <c r="AD37" s="65"/>
      <c r="AE37" s="65"/>
      <c r="AF37" s="65"/>
      <c r="AG37" s="527" t="s">
        <v>1770</v>
      </c>
      <c r="AH37" s="522" t="s">
        <v>1771</v>
      </c>
    </row>
    <row r="38" spans="1:34" s="70" customFormat="1" ht="15" customHeight="1">
      <c r="A38" s="69"/>
      <c r="B38" s="534"/>
      <c r="C38" s="69"/>
      <c r="D38" s="69"/>
      <c r="E38" s="65"/>
      <c r="F38" s="65"/>
      <c r="G38" s="65"/>
      <c r="H38" s="2036"/>
      <c r="I38" s="523"/>
      <c r="J38" s="65"/>
      <c r="K38" s="69"/>
      <c r="L38" s="69"/>
      <c r="M38" s="65"/>
      <c r="N38" s="66"/>
      <c r="O38" s="113"/>
      <c r="P38" s="113"/>
      <c r="Q38" s="113"/>
      <c r="R38" s="66"/>
      <c r="S38"/>
      <c r="T38" s="66"/>
      <c r="U38" s="69"/>
      <c r="V38" s="69"/>
      <c r="W38" s="69"/>
      <c r="X38" s="66"/>
      <c r="Y38" s="65"/>
      <c r="AA38" s="534"/>
      <c r="AB38" s="69"/>
      <c r="AC38" s="69"/>
      <c r="AD38" s="65"/>
      <c r="AE38" s="65"/>
      <c r="AF38" s="65"/>
      <c r="AG38" s="535"/>
      <c r="AH38" s="523"/>
    </row>
    <row r="39" spans="1:34" s="142" customFormat="1">
      <c r="B39" s="2256" t="s">
        <v>275</v>
      </c>
      <c r="C39" s="2256"/>
      <c r="D39" s="2195"/>
      <c r="H39" s="116"/>
      <c r="I39" s="65"/>
      <c r="J39" s="110"/>
      <c r="K39" s="69"/>
      <c r="L39" s="69"/>
      <c r="M39" s="110"/>
      <c r="N39" s="114"/>
      <c r="O39" s="218"/>
      <c r="P39" s="103"/>
      <c r="Q39" s="103"/>
      <c r="R39" s="114"/>
      <c r="S39"/>
      <c r="T39" s="114"/>
      <c r="U39" s="69"/>
      <c r="V39" s="69"/>
      <c r="W39" s="69"/>
      <c r="X39" s="114"/>
    </row>
    <row r="40" spans="1:34" s="142" customFormat="1">
      <c r="B40" s="127"/>
      <c r="C40" s="128"/>
      <c r="D40" s="128"/>
      <c r="H40" s="116"/>
      <c r="I40" s="65"/>
      <c r="J40" s="289"/>
      <c r="K40" s="69"/>
      <c r="L40" s="69"/>
      <c r="M40" s="110"/>
      <c r="N40" s="114"/>
      <c r="O40" s="155"/>
      <c r="P40" s="155"/>
      <c r="Q40" s="155"/>
      <c r="R40" s="114"/>
      <c r="S40"/>
      <c r="T40" s="114"/>
      <c r="U40" s="69"/>
      <c r="V40" s="69"/>
      <c r="W40" s="69"/>
      <c r="X40" s="114"/>
    </row>
    <row r="41" spans="1:34" s="142" customFormat="1">
      <c r="B41" s="26"/>
      <c r="C41" s="129" t="s">
        <v>249</v>
      </c>
      <c r="D41" s="129"/>
      <c r="H41" s="116"/>
      <c r="I41" s="65"/>
      <c r="J41" s="291"/>
      <c r="K41" s="69"/>
      <c r="L41" s="69"/>
      <c r="M41" s="110"/>
      <c r="N41" s="114"/>
      <c r="O41" s="240"/>
      <c r="P41" s="103"/>
      <c r="Q41" s="103"/>
      <c r="R41" s="114"/>
      <c r="S41"/>
      <c r="T41" s="114"/>
      <c r="U41" s="69"/>
      <c r="V41" s="69"/>
      <c r="W41" s="69"/>
      <c r="X41" s="114"/>
    </row>
    <row r="42" spans="1:34" s="142" customFormat="1">
      <c r="B42" s="127"/>
      <c r="C42" s="128"/>
      <c r="D42" s="128"/>
      <c r="H42" s="116"/>
      <c r="I42" s="65"/>
      <c r="J42" s="292"/>
      <c r="K42" s="69"/>
      <c r="L42" s="112"/>
      <c r="M42" s="110"/>
      <c r="N42" s="114"/>
      <c r="O42" s="240"/>
      <c r="P42" s="103"/>
      <c r="Q42" s="103"/>
      <c r="R42" s="114"/>
      <c r="S42" s="103"/>
      <c r="T42" s="114"/>
      <c r="U42" s="69"/>
      <c r="V42" s="69"/>
      <c r="W42" s="69"/>
      <c r="X42" s="114"/>
    </row>
    <row r="43" spans="1:34" s="142" customFormat="1">
      <c r="B43" s="130"/>
      <c r="C43" s="129" t="s">
        <v>250</v>
      </c>
      <c r="D43" s="129"/>
      <c r="H43" s="116"/>
      <c r="I43" s="65"/>
      <c r="J43" s="291"/>
      <c r="K43" s="69"/>
      <c r="L43" s="112"/>
      <c r="M43" s="110"/>
      <c r="N43" s="114"/>
      <c r="O43" s="240"/>
      <c r="P43" s="103"/>
      <c r="Q43" s="103"/>
      <c r="R43" s="114"/>
      <c r="S43" s="69"/>
      <c r="T43" s="114"/>
      <c r="U43" s="69"/>
      <c r="V43" s="69"/>
      <c r="W43" s="69"/>
      <c r="X43" s="114"/>
    </row>
    <row r="44" spans="1:34" s="142" customFormat="1">
      <c r="B44" s="131"/>
      <c r="C44" s="129"/>
      <c r="D44" s="129"/>
      <c r="H44" s="116"/>
      <c r="I44" s="110"/>
      <c r="J44" s="292"/>
      <c r="K44" s="69"/>
      <c r="L44" s="112"/>
      <c r="M44" s="110"/>
      <c r="N44" s="114"/>
      <c r="O44" s="240"/>
      <c r="P44" s="112"/>
      <c r="Q44" s="112"/>
      <c r="R44" s="114"/>
      <c r="S44" s="69"/>
      <c r="T44" s="114"/>
      <c r="U44" s="69"/>
      <c r="V44" s="69"/>
      <c r="W44" s="69"/>
      <c r="X44" s="114"/>
    </row>
    <row r="45" spans="1:34" s="155" customFormat="1" ht="15" thickBot="1">
      <c r="C45" s="156"/>
      <c r="D45" s="156"/>
      <c r="H45" s="118"/>
      <c r="I45" s="116"/>
      <c r="J45" s="271"/>
      <c r="K45" s="69"/>
      <c r="L45" s="65"/>
      <c r="M45" s="65"/>
      <c r="N45" s="66"/>
      <c r="O45" s="65"/>
      <c r="P45" s="65"/>
      <c r="Q45" s="65"/>
      <c r="R45" s="66"/>
      <c r="S45" s="69"/>
      <c r="T45" s="114"/>
      <c r="U45" s="142"/>
      <c r="V45" s="142"/>
      <c r="W45" s="142"/>
      <c r="X45" s="114"/>
    </row>
    <row r="46" spans="1:34" s="155" customFormat="1" ht="16.5" thickBot="1">
      <c r="B46" s="1166" t="s">
        <v>251</v>
      </c>
      <c r="C46" s="133"/>
      <c r="D46" s="133"/>
      <c r="E46" s="134"/>
      <c r="F46" s="134"/>
      <c r="G46" s="134"/>
      <c r="H46" s="134"/>
      <c r="I46" s="216"/>
      <c r="J46" s="271"/>
      <c r="K46" s="69"/>
      <c r="L46" s="65"/>
      <c r="M46" s="65"/>
      <c r="N46" s="66"/>
      <c r="O46" s="65"/>
      <c r="P46" s="65"/>
      <c r="Q46" s="65"/>
      <c r="R46" s="66"/>
      <c r="S46" s="69"/>
      <c r="T46" s="114"/>
      <c r="U46" s="142"/>
      <c r="V46" s="142"/>
      <c r="W46" s="142"/>
      <c r="X46" s="114"/>
    </row>
    <row r="47" spans="1:34" s="155" customFormat="1">
      <c r="C47" s="156"/>
      <c r="D47" s="156"/>
      <c r="H47" s="118"/>
      <c r="I47" s="116"/>
      <c r="J47" s="271"/>
      <c r="K47" s="69"/>
      <c r="L47" s="65"/>
      <c r="M47" s="65"/>
      <c r="N47" s="66"/>
      <c r="O47" s="65"/>
      <c r="P47" s="65"/>
      <c r="Q47" s="65"/>
      <c r="R47" s="66"/>
      <c r="S47" s="69"/>
      <c r="T47" s="114"/>
      <c r="U47" s="142"/>
      <c r="V47" s="142"/>
      <c r="W47" s="142"/>
      <c r="X47" s="114"/>
    </row>
  </sheetData>
  <sheetProtection algorithmName="SHA-512" hashValue="lQZVQkEI+gQHnQQ/4x96VdnCEdLL6Xge4C+HCeD2CG+grK4u1bHyFRoy5VzhOsCGuLTjJCa/Qd7rtMR1iPPqQg==" saltValue="3o+YM8DA5ZZXf2ufLCUgbQ==" spinCount="100000" sheet="1" objects="1" scenarios="1"/>
  <mergeCells count="4">
    <mergeCell ref="AA3:AB3"/>
    <mergeCell ref="B3:C3"/>
    <mergeCell ref="O3:Q3"/>
    <mergeCell ref="B39:C39"/>
  </mergeCells>
  <conditionalFormatting sqref="K33">
    <cfRule type="cellIs" dxfId="549" priority="10" operator="equal">
      <formula>0</formula>
    </cfRule>
  </conditionalFormatting>
  <conditionalFormatting sqref="L6">
    <cfRule type="cellIs" dxfId="548" priority="4" operator="equal">
      <formula>0</formula>
    </cfRule>
  </conditionalFormatting>
  <conditionalFormatting sqref="L9:L30">
    <cfRule type="cellIs" dxfId="547" priority="14" operator="equal">
      <formula>0</formula>
    </cfRule>
  </conditionalFormatting>
  <conditionalFormatting sqref="L37">
    <cfRule type="cellIs" dxfId="5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E30:I31 E33:I33 G9:G29 I9:I29</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AD9:AH31 AD33:AH33</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AG37:AH37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BL63"/>
  <sheetViews>
    <sheetView showGridLines="0" topLeftCell="A2" zoomScale="80" zoomScaleNormal="80" workbookViewId="0">
      <selection sqref="A1:XFD1048576"/>
    </sheetView>
  </sheetViews>
  <sheetFormatPr defaultColWidth="0" defaultRowHeight="14.25" zeroHeight="1"/>
  <cols>
    <col min="1" max="1" width="0.625" style="69" customWidth="1"/>
    <col min="2" max="2" width="6.125" style="69" customWidth="1"/>
    <col min="3" max="3" width="41.625" style="69" customWidth="1"/>
    <col min="4" max="4" width="5.625" style="69" hidden="1" customWidth="1"/>
    <col min="5" max="6" width="5.125" style="69" customWidth="1"/>
    <col min="7" max="9" width="14.625" style="69" customWidth="1"/>
    <col min="10" max="10" width="14.625" style="65" customWidth="1"/>
    <col min="11" max="11" width="39.625" style="69" customWidth="1"/>
    <col min="12" max="12" width="18.625" style="65" bestFit="1" customWidth="1"/>
    <col min="13" max="13" width="1.625" style="65" customWidth="1"/>
    <col min="14" max="14" width="1.625" style="66" hidden="1" customWidth="1"/>
    <col min="15" max="17" width="8.625" style="65" hidden="1" customWidth="1"/>
    <col min="18" max="18" width="1.625" style="66" hidden="1" customWidth="1"/>
    <col min="19" max="21" width="8" style="69" hidden="1" customWidth="1"/>
    <col min="22" max="22" width="1.625" style="66" hidden="1" customWidth="1"/>
    <col min="23" max="28" width="8" style="69" hidden="1" customWidth="1"/>
    <col min="29" max="29" width="100.625" style="69" hidden="1" customWidth="1"/>
    <col min="30" max="30" width="1.625" style="66" hidden="1" customWidth="1"/>
    <col min="31" max="55" width="8" style="69" hidden="1" customWidth="1"/>
    <col min="56" max="56" width="6.125" style="69" hidden="1" customWidth="1"/>
    <col min="57" max="57" width="41.625" style="69" hidden="1" customWidth="1"/>
    <col min="58" max="58" width="5.625" style="69" hidden="1" customWidth="1"/>
    <col min="59" max="60" width="5.125" style="69" hidden="1" customWidth="1"/>
    <col min="61" max="63" width="14.625" style="69" hidden="1" customWidth="1"/>
    <col min="64" max="64" width="13.625" style="69" hidden="1" customWidth="1"/>
    <col min="65" max="16384" width="8" style="69" hidden="1"/>
  </cols>
  <sheetData>
    <row r="1" spans="2:63" customFormat="1" ht="20.25">
      <c r="B1" s="61" t="s">
        <v>1772</v>
      </c>
      <c r="C1" s="61"/>
      <c r="D1" s="61"/>
      <c r="E1" s="61"/>
      <c r="F1" s="61"/>
      <c r="G1" s="61"/>
      <c r="H1" s="63"/>
      <c r="I1" s="63" t="str">
        <f>Validation!B3</f>
        <v>Thames Water</v>
      </c>
      <c r="J1" s="61"/>
      <c r="K1" s="64"/>
      <c r="L1" s="64" t="s">
        <v>94</v>
      </c>
      <c r="M1" s="65"/>
      <c r="N1" s="66"/>
      <c r="O1" s="65"/>
      <c r="P1" s="65"/>
      <c r="Q1" s="65"/>
      <c r="R1" s="66"/>
      <c r="S1" s="65"/>
      <c r="T1" s="65"/>
      <c r="U1" s="65"/>
      <c r="V1" s="66"/>
      <c r="AD1" s="66"/>
      <c r="BD1" s="61" t="s">
        <v>95</v>
      </c>
      <c r="BE1" s="61"/>
      <c r="BF1" s="61"/>
      <c r="BG1" s="61"/>
      <c r="BH1" s="61"/>
      <c r="BI1" s="61"/>
      <c r="BJ1" s="63"/>
      <c r="BK1" s="63"/>
    </row>
    <row r="2" spans="2:63" ht="15" thickBot="1">
      <c r="B2" s="68" t="s">
        <v>80</v>
      </c>
      <c r="C2" s="219"/>
      <c r="D2" s="219"/>
      <c r="K2" s="65"/>
      <c r="S2" s="2255" t="s">
        <v>742</v>
      </c>
      <c r="T2" s="65"/>
      <c r="U2" s="65"/>
      <c r="W2" s="2255" t="s">
        <v>742</v>
      </c>
      <c r="BD2" s="68" t="s">
        <v>80</v>
      </c>
      <c r="BE2" s="219"/>
      <c r="BF2" s="219"/>
    </row>
    <row r="3" spans="2:63" ht="14.85" customHeight="1" thickBot="1">
      <c r="B3" s="2299" t="s">
        <v>96</v>
      </c>
      <c r="C3" s="2300"/>
      <c r="D3" s="2210" t="s">
        <v>97</v>
      </c>
      <c r="E3" s="310" t="s">
        <v>98</v>
      </c>
      <c r="F3" s="311" t="s">
        <v>99</v>
      </c>
      <c r="G3" s="252" t="s">
        <v>743</v>
      </c>
      <c r="H3" s="262" t="s">
        <v>1063</v>
      </c>
      <c r="I3" s="311" t="s">
        <v>680</v>
      </c>
      <c r="K3" s="160" t="s">
        <v>675</v>
      </c>
      <c r="L3" s="162" t="s">
        <v>103</v>
      </c>
      <c r="O3" s="2255" t="s">
        <v>107</v>
      </c>
      <c r="P3" s="2255"/>
      <c r="Q3" s="2194"/>
      <c r="S3" s="2255"/>
      <c r="T3" s="65"/>
      <c r="U3" s="65"/>
      <c r="W3" s="2255"/>
      <c r="BD3" s="2299" t="s">
        <v>96</v>
      </c>
      <c r="BE3" s="2300"/>
      <c r="BF3" s="2210" t="s">
        <v>97</v>
      </c>
      <c r="BG3" s="310" t="s">
        <v>98</v>
      </c>
      <c r="BH3" s="311" t="s">
        <v>99</v>
      </c>
      <c r="BI3" s="252" t="s">
        <v>743</v>
      </c>
      <c r="BJ3" s="262" t="s">
        <v>1063</v>
      </c>
      <c r="BK3" s="311" t="s">
        <v>680</v>
      </c>
    </row>
    <row r="4" spans="2:63" ht="15" thickBot="1">
      <c r="C4" s="274"/>
      <c r="D4" s="274"/>
      <c r="K4" s="65"/>
      <c r="S4" s="2255"/>
      <c r="T4" s="2194"/>
      <c r="U4" s="2194"/>
      <c r="W4" s="2255"/>
      <c r="X4" s="2194"/>
      <c r="Y4" s="2194"/>
      <c r="Z4" s="2194"/>
      <c r="AA4" s="2194"/>
      <c r="AB4" s="2194"/>
      <c r="AC4" s="2194"/>
      <c r="BE4" s="274"/>
      <c r="BF4" s="274"/>
    </row>
    <row r="5" spans="2:63" ht="15" thickBot="1">
      <c r="B5" s="2214" t="s">
        <v>214</v>
      </c>
      <c r="C5" s="77" t="s">
        <v>1773</v>
      </c>
      <c r="D5" s="1292"/>
      <c r="O5" s="78" t="s">
        <v>108</v>
      </c>
      <c r="P5" s="113"/>
      <c r="Q5" s="113"/>
      <c r="S5"/>
      <c r="T5"/>
      <c r="U5"/>
      <c r="BD5" s="2214" t="s">
        <v>214</v>
      </c>
      <c r="BE5" s="77" t="s">
        <v>1773</v>
      </c>
      <c r="BF5" s="1292"/>
    </row>
    <row r="6" spans="2:63" ht="15" customHeight="1">
      <c r="B6" s="245" t="s">
        <v>1774</v>
      </c>
      <c r="C6" s="233" t="s">
        <v>1775</v>
      </c>
      <c r="D6" s="233"/>
      <c r="E6" s="255" t="s">
        <v>8</v>
      </c>
      <c r="F6" s="235">
        <v>3</v>
      </c>
      <c r="G6" s="366">
        <v>420.21899999999999</v>
      </c>
      <c r="H6" s="367">
        <v>13.959</v>
      </c>
      <c r="I6" s="275">
        <f>+G6+H6</f>
        <v>434.178</v>
      </c>
      <c r="L6" s="25">
        <f t="shared" ref="L6:L7" si="0" xml:space="preserve"> IF( SUM( N6:R6 ) = 0, 0, O$5 )</f>
        <v>0</v>
      </c>
      <c r="O6" s="86">
        <f xml:space="preserve"> IF( ISNUMBER( G6 ), 0, 1 )</f>
        <v>0</v>
      </c>
      <c r="P6" s="86">
        <f xml:space="preserve"> IF( ISNUMBER( H6 ), 0, 1 )</f>
        <v>0</v>
      </c>
      <c r="Q6" s="113"/>
      <c r="S6"/>
      <c r="T6"/>
      <c r="U6"/>
      <c r="BD6" s="245" t="s">
        <v>1774</v>
      </c>
      <c r="BE6" s="233" t="s">
        <v>1775</v>
      </c>
      <c r="BF6" s="233"/>
      <c r="BG6" s="255" t="s">
        <v>8</v>
      </c>
      <c r="BH6" s="235">
        <v>3</v>
      </c>
      <c r="BI6" s="366" t="s">
        <v>1776</v>
      </c>
      <c r="BJ6" s="367" t="s">
        <v>1777</v>
      </c>
      <c r="BK6" s="275" t="s">
        <v>1778</v>
      </c>
    </row>
    <row r="7" spans="2:63" ht="15" customHeight="1">
      <c r="B7" s="246" t="s">
        <v>1779</v>
      </c>
      <c r="C7" s="237" t="s">
        <v>1780</v>
      </c>
      <c r="D7" s="237"/>
      <c r="E7" s="256" t="s">
        <v>8</v>
      </c>
      <c r="F7" s="239">
        <v>3</v>
      </c>
      <c r="G7" s="368">
        <v>207.804</v>
      </c>
      <c r="H7" s="369">
        <v>200.053</v>
      </c>
      <c r="I7" s="276">
        <f>+G7+H7</f>
        <v>407.85699999999997</v>
      </c>
      <c r="L7" s="25">
        <f t="shared" si="0"/>
        <v>0</v>
      </c>
      <c r="O7" s="86">
        <f t="shared" ref="O7:P8" si="1" xml:space="preserve"> IF( ISNUMBER( G7 ), 0, 1 )</f>
        <v>0</v>
      </c>
      <c r="P7" s="86">
        <f t="shared" si="1"/>
        <v>0</v>
      </c>
      <c r="Q7" s="113"/>
      <c r="S7"/>
      <c r="T7"/>
      <c r="U7"/>
      <c r="BD7" s="246" t="s">
        <v>1779</v>
      </c>
      <c r="BE7" s="237" t="s">
        <v>1780</v>
      </c>
      <c r="BF7" s="237"/>
      <c r="BG7" s="256" t="s">
        <v>8</v>
      </c>
      <c r="BH7" s="239">
        <v>3</v>
      </c>
      <c r="BI7" s="368" t="s">
        <v>1781</v>
      </c>
      <c r="BJ7" s="369" t="s">
        <v>1782</v>
      </c>
      <c r="BK7" s="276" t="s">
        <v>1783</v>
      </c>
    </row>
    <row r="8" spans="2:63" ht="15" customHeight="1">
      <c r="B8" s="246" t="s">
        <v>1784</v>
      </c>
      <c r="C8" s="237" t="s">
        <v>1785</v>
      </c>
      <c r="D8" s="237"/>
      <c r="E8" s="256" t="s">
        <v>8</v>
      </c>
      <c r="F8" s="239">
        <v>3</v>
      </c>
      <c r="G8" s="368">
        <v>0</v>
      </c>
      <c r="H8" s="369">
        <v>0</v>
      </c>
      <c r="I8" s="276">
        <f>+G8+H8</f>
        <v>0</v>
      </c>
      <c r="L8" s="25">
        <f xml:space="preserve"> IF( SUM( N8:R8 ) = 0, 0, O$5 )</f>
        <v>0</v>
      </c>
      <c r="O8" s="86">
        <f t="shared" si="1"/>
        <v>0</v>
      </c>
      <c r="P8" s="86">
        <f t="shared" si="1"/>
        <v>0</v>
      </c>
      <c r="Q8" s="113"/>
      <c r="S8"/>
      <c r="T8"/>
      <c r="U8"/>
      <c r="BD8" s="246" t="s">
        <v>1784</v>
      </c>
      <c r="BE8" s="237" t="s">
        <v>1785</v>
      </c>
      <c r="BF8" s="237"/>
      <c r="BG8" s="256" t="s">
        <v>8</v>
      </c>
      <c r="BH8" s="239">
        <v>3</v>
      </c>
      <c r="BI8" s="368" t="s">
        <v>1786</v>
      </c>
      <c r="BJ8" s="369" t="s">
        <v>1787</v>
      </c>
      <c r="BK8" s="276" t="s">
        <v>1788</v>
      </c>
    </row>
    <row r="9" spans="2:63" ht="15" customHeight="1" thickBot="1">
      <c r="B9" s="247" t="s">
        <v>1789</v>
      </c>
      <c r="C9" s="242" t="s">
        <v>680</v>
      </c>
      <c r="D9" s="242"/>
      <c r="E9" s="243" t="s">
        <v>8</v>
      </c>
      <c r="F9" s="244">
        <v>3</v>
      </c>
      <c r="G9" s="277">
        <f>SUM(G6:G8)</f>
        <v>628.02300000000002</v>
      </c>
      <c r="H9" s="278">
        <f>SUM(H6:H8)</f>
        <v>214.012</v>
      </c>
      <c r="I9" s="279">
        <f t="shared" ref="I9" si="2">SUM(I6:I8)</f>
        <v>842.03499999999997</v>
      </c>
      <c r="L9" s="102"/>
      <c r="O9" s="240"/>
      <c r="P9" s="103"/>
      <c r="Q9" s="103"/>
      <c r="S9"/>
      <c r="T9"/>
      <c r="U9"/>
      <c r="BD9" s="247" t="s">
        <v>1789</v>
      </c>
      <c r="BE9" s="242" t="s">
        <v>680</v>
      </c>
      <c r="BF9" s="242"/>
      <c r="BG9" s="243" t="s">
        <v>8</v>
      </c>
      <c r="BH9" s="244">
        <v>3</v>
      </c>
      <c r="BI9" s="277" t="s">
        <v>1790</v>
      </c>
      <c r="BJ9" s="278" t="s">
        <v>1791</v>
      </c>
      <c r="BK9" s="279" t="s">
        <v>1792</v>
      </c>
    </row>
    <row r="10" spans="2:63" ht="15" thickBot="1">
      <c r="B10" s="280"/>
      <c r="C10" s="141"/>
      <c r="D10" s="141"/>
      <c r="E10" s="229"/>
      <c r="F10" s="229"/>
      <c r="G10" s="281"/>
      <c r="H10" s="281"/>
      <c r="I10" s="281"/>
      <c r="L10" s="102"/>
      <c r="O10" s="240"/>
      <c r="P10" s="103"/>
      <c r="Q10" s="103"/>
      <c r="S10"/>
      <c r="T10"/>
      <c r="U10"/>
      <c r="BD10" s="280"/>
      <c r="BE10" s="141"/>
      <c r="BF10" s="141"/>
      <c r="BG10" s="229"/>
      <c r="BH10" s="229"/>
      <c r="BI10" s="281"/>
      <c r="BJ10" s="281"/>
      <c r="BK10" s="281"/>
    </row>
    <row r="11" spans="2:63" ht="15" thickBot="1">
      <c r="B11" s="2214" t="s">
        <v>236</v>
      </c>
      <c r="C11" s="107" t="s">
        <v>1793</v>
      </c>
      <c r="D11" s="1292"/>
      <c r="E11" s="231"/>
      <c r="F11" s="231"/>
      <c r="G11" s="230"/>
      <c r="H11" s="230"/>
      <c r="I11" s="230"/>
      <c r="L11" s="102"/>
      <c r="O11" s="240"/>
      <c r="P11" s="103"/>
      <c r="Q11" s="103"/>
      <c r="S11"/>
      <c r="T11"/>
      <c r="U11"/>
      <c r="BD11" s="2214" t="s">
        <v>236</v>
      </c>
      <c r="BE11" s="107" t="s">
        <v>1793</v>
      </c>
      <c r="BF11" s="1292"/>
      <c r="BG11" s="231"/>
      <c r="BH11" s="231"/>
      <c r="BI11" s="230"/>
      <c r="BJ11" s="230"/>
      <c r="BK11" s="230"/>
    </row>
    <row r="12" spans="2:63" ht="15" customHeight="1">
      <c r="B12" s="245" t="s">
        <v>1794</v>
      </c>
      <c r="C12" s="233" t="s">
        <v>1775</v>
      </c>
      <c r="D12" s="233"/>
      <c r="E12" s="255" t="s">
        <v>8</v>
      </c>
      <c r="F12" s="235">
        <v>3</v>
      </c>
      <c r="G12" s="366">
        <v>446.28899999999999</v>
      </c>
      <c r="H12" s="367">
        <v>15.406000000000001</v>
      </c>
      <c r="I12" s="275">
        <f>+G12+H12</f>
        <v>461.69499999999999</v>
      </c>
      <c r="L12" s="25">
        <f t="shared" ref="L12:L14" si="3" xml:space="preserve"> IF( SUM( N12:R12 ) = 0, 0, O$5 )</f>
        <v>0</v>
      </c>
      <c r="O12" s="86">
        <f>IF(Validation!$H$3=1,0,IF(ISNUMBER(G12),0,1))</f>
        <v>0</v>
      </c>
      <c r="P12" s="86">
        <f>IF(Validation!$H$3=1,0,IF(ISNUMBER(H12),0,1))</f>
        <v>0</v>
      </c>
      <c r="Q12" s="113"/>
      <c r="S12"/>
      <c r="T12"/>
      <c r="U12"/>
      <c r="BD12" s="245" t="s">
        <v>1794</v>
      </c>
      <c r="BE12" s="233" t="s">
        <v>1775</v>
      </c>
      <c r="BF12" s="233"/>
      <c r="BG12" s="255" t="s">
        <v>8</v>
      </c>
      <c r="BH12" s="235">
        <v>3</v>
      </c>
      <c r="BI12" s="366" t="s">
        <v>1795</v>
      </c>
      <c r="BJ12" s="367" t="s">
        <v>1796</v>
      </c>
      <c r="BK12" s="275" t="s">
        <v>1797</v>
      </c>
    </row>
    <row r="13" spans="2:63" ht="15" customHeight="1">
      <c r="B13" s="246" t="s">
        <v>1798</v>
      </c>
      <c r="C13" s="237" t="s">
        <v>1780</v>
      </c>
      <c r="D13" s="237"/>
      <c r="E13" s="256" t="s">
        <v>8</v>
      </c>
      <c r="F13" s="239">
        <v>3</v>
      </c>
      <c r="G13" s="368">
        <v>312.07400000000001</v>
      </c>
      <c r="H13" s="369">
        <v>161.631</v>
      </c>
      <c r="I13" s="276">
        <f>+G13+H13</f>
        <v>473.70500000000004</v>
      </c>
      <c r="L13" s="25">
        <f t="shared" si="3"/>
        <v>0</v>
      </c>
      <c r="O13" s="86">
        <f>IF(Validation!$H$3=1,0,IF(ISNUMBER(G13),0,1))</f>
        <v>0</v>
      </c>
      <c r="P13" s="86">
        <f>IF(Validation!$H$3=1,0,IF(ISNUMBER(H13),0,1))</f>
        <v>0</v>
      </c>
      <c r="Q13" s="113"/>
      <c r="S13"/>
      <c r="T13"/>
      <c r="U13"/>
      <c r="BD13" s="246" t="s">
        <v>1798</v>
      </c>
      <c r="BE13" s="237" t="s">
        <v>1780</v>
      </c>
      <c r="BF13" s="237"/>
      <c r="BG13" s="256" t="s">
        <v>8</v>
      </c>
      <c r="BH13" s="239">
        <v>3</v>
      </c>
      <c r="BI13" s="368" t="s">
        <v>1799</v>
      </c>
      <c r="BJ13" s="369" t="s">
        <v>1800</v>
      </c>
      <c r="BK13" s="276" t="s">
        <v>1801</v>
      </c>
    </row>
    <row r="14" spans="2:63" ht="15" customHeight="1">
      <c r="B14" s="246" t="s">
        <v>1802</v>
      </c>
      <c r="C14" s="237" t="s">
        <v>1785</v>
      </c>
      <c r="D14" s="237"/>
      <c r="E14" s="256" t="s">
        <v>8</v>
      </c>
      <c r="F14" s="239">
        <v>3</v>
      </c>
      <c r="G14" s="368">
        <v>0</v>
      </c>
      <c r="H14" s="369">
        <v>0</v>
      </c>
      <c r="I14" s="276">
        <f>+G14+H14</f>
        <v>0</v>
      </c>
      <c r="L14" s="25">
        <f t="shared" si="3"/>
        <v>0</v>
      </c>
      <c r="O14" s="86">
        <f>IF(Validation!$H$3=1,0,IF(ISNUMBER(G14),0,1))</f>
        <v>0</v>
      </c>
      <c r="P14" s="86">
        <f>IF(Validation!$H$3=1,0,IF(ISNUMBER(H14),0,1))</f>
        <v>0</v>
      </c>
      <c r="Q14" s="113"/>
      <c r="S14"/>
      <c r="T14"/>
      <c r="U14"/>
      <c r="BD14" s="246" t="s">
        <v>1802</v>
      </c>
      <c r="BE14" s="237" t="s">
        <v>1785</v>
      </c>
      <c r="BF14" s="237"/>
      <c r="BG14" s="256" t="s">
        <v>8</v>
      </c>
      <c r="BH14" s="239">
        <v>3</v>
      </c>
      <c r="BI14" s="368" t="s">
        <v>1803</v>
      </c>
      <c r="BJ14" s="369" t="s">
        <v>1804</v>
      </c>
      <c r="BK14" s="276" t="s">
        <v>1805</v>
      </c>
    </row>
    <row r="15" spans="2:63" ht="15" customHeight="1" thickBot="1">
      <c r="B15" s="247" t="s">
        <v>1806</v>
      </c>
      <c r="C15" s="242" t="s">
        <v>680</v>
      </c>
      <c r="D15" s="242"/>
      <c r="E15" s="243" t="s">
        <v>8</v>
      </c>
      <c r="F15" s="244">
        <v>3</v>
      </c>
      <c r="G15" s="277">
        <f>SUM(G12:G14)</f>
        <v>758.36300000000006</v>
      </c>
      <c r="H15" s="278">
        <f>SUM(H12:H14)</f>
        <v>177.03700000000001</v>
      </c>
      <c r="I15" s="279">
        <f>SUM(I12:I14)</f>
        <v>935.40000000000009</v>
      </c>
      <c r="L15" s="102"/>
      <c r="O15" s="240"/>
      <c r="P15" s="103"/>
      <c r="Q15" s="103"/>
      <c r="S15"/>
      <c r="T15"/>
      <c r="U15"/>
      <c r="BD15" s="247" t="s">
        <v>1806</v>
      </c>
      <c r="BE15" s="242" t="s">
        <v>680</v>
      </c>
      <c r="BF15" s="242"/>
      <c r="BG15" s="243" t="s">
        <v>8</v>
      </c>
      <c r="BH15" s="244">
        <v>3</v>
      </c>
      <c r="BI15" s="277" t="s">
        <v>1807</v>
      </c>
      <c r="BJ15" s="278" t="s">
        <v>1808</v>
      </c>
      <c r="BK15" s="279" t="s">
        <v>1809</v>
      </c>
    </row>
    <row r="16" spans="2:63" ht="15" thickBot="1">
      <c r="B16" s="280"/>
      <c r="C16" s="141"/>
      <c r="D16" s="141"/>
      <c r="E16" s="229"/>
      <c r="F16" s="229"/>
      <c r="G16" s="281"/>
      <c r="H16" s="281"/>
      <c r="I16" s="281"/>
      <c r="L16" s="102"/>
      <c r="O16" s="240"/>
      <c r="P16" s="103"/>
      <c r="Q16" s="103"/>
      <c r="S16"/>
      <c r="T16"/>
      <c r="U16"/>
      <c r="BD16" s="280"/>
      <c r="BE16" s="141"/>
      <c r="BF16" s="141"/>
      <c r="BG16" s="229"/>
      <c r="BH16" s="229"/>
      <c r="BI16" s="281"/>
      <c r="BJ16" s="281"/>
      <c r="BK16" s="281"/>
    </row>
    <row r="17" spans="2:63" ht="15" thickBot="1">
      <c r="B17" s="2214" t="s">
        <v>236</v>
      </c>
      <c r="C17" s="107" t="s">
        <v>1810</v>
      </c>
      <c r="D17" s="1292"/>
      <c r="E17" s="231"/>
      <c r="F17" s="231"/>
      <c r="G17" s="230"/>
      <c r="H17" s="230"/>
      <c r="I17" s="230"/>
      <c r="L17" s="102"/>
      <c r="O17" s="240"/>
      <c r="P17" s="103"/>
      <c r="Q17" s="103"/>
      <c r="S17"/>
      <c r="T17"/>
      <c r="U17"/>
      <c r="BD17" s="2214" t="s">
        <v>236</v>
      </c>
      <c r="BE17" s="107" t="s">
        <v>1810</v>
      </c>
      <c r="BF17" s="1292"/>
      <c r="BG17" s="231"/>
      <c r="BH17" s="231"/>
      <c r="BI17" s="230"/>
      <c r="BJ17" s="230"/>
      <c r="BK17" s="230"/>
    </row>
    <row r="18" spans="2:63" ht="15" customHeight="1">
      <c r="B18" s="245" t="s">
        <v>1794</v>
      </c>
      <c r="C18" s="233" t="s">
        <v>1775</v>
      </c>
      <c r="D18" s="233"/>
      <c r="E18" s="255" t="s">
        <v>8</v>
      </c>
      <c r="F18" s="235">
        <v>3</v>
      </c>
      <c r="G18" s="366">
        <v>25.67</v>
      </c>
      <c r="H18" s="367">
        <v>0.49</v>
      </c>
      <c r="I18" s="275">
        <f>+G18+H18</f>
        <v>26.16</v>
      </c>
      <c r="L18" s="25">
        <f t="shared" ref="L18:L20" si="4" xml:space="preserve"> IF( SUM( N18:R18 ) = 0, 0, O$5 )</f>
        <v>0</v>
      </c>
      <c r="O18" s="86">
        <f>IF(Validation!$H$3=1,0,IF(ISNUMBER(G18),0,1))</f>
        <v>0</v>
      </c>
      <c r="P18" s="86">
        <f>IF(Validation!$H$3=1,0,IF(ISNUMBER(H18),0,1))</f>
        <v>0</v>
      </c>
      <c r="Q18" s="113"/>
      <c r="S18"/>
      <c r="T18"/>
      <c r="U18"/>
      <c r="BD18" s="245" t="s">
        <v>1794</v>
      </c>
      <c r="BE18" s="233" t="s">
        <v>1775</v>
      </c>
      <c r="BF18" s="233"/>
      <c r="BG18" s="255" t="s">
        <v>8</v>
      </c>
      <c r="BH18" s="235">
        <v>3</v>
      </c>
      <c r="BI18" s="366" t="s">
        <v>1811</v>
      </c>
      <c r="BJ18" s="367" t="s">
        <v>1812</v>
      </c>
      <c r="BK18" s="275" t="s">
        <v>1813</v>
      </c>
    </row>
    <row r="19" spans="2:63" ht="15" customHeight="1">
      <c r="B19" s="246" t="s">
        <v>1798</v>
      </c>
      <c r="C19" s="237" t="s">
        <v>1780</v>
      </c>
      <c r="D19" s="237"/>
      <c r="E19" s="256" t="s">
        <v>8</v>
      </c>
      <c r="F19" s="239">
        <v>3</v>
      </c>
      <c r="G19" s="368">
        <v>17.95</v>
      </c>
      <c r="H19" s="369">
        <v>10.242000000000001</v>
      </c>
      <c r="I19" s="276">
        <f>+G19+H19</f>
        <v>28.192</v>
      </c>
      <c r="L19" s="25">
        <f t="shared" si="4"/>
        <v>0</v>
      </c>
      <c r="O19" s="86">
        <f>IF(Validation!$H$3=1,0,IF(ISNUMBER(G19),0,1))</f>
        <v>0</v>
      </c>
      <c r="P19" s="86">
        <f>IF(Validation!$H$3=1,0,IF(ISNUMBER(H19),0,1))</f>
        <v>0</v>
      </c>
      <c r="Q19" s="113"/>
      <c r="S19"/>
      <c r="T19"/>
      <c r="U19"/>
      <c r="BD19" s="246" t="s">
        <v>1798</v>
      </c>
      <c r="BE19" s="237" t="s">
        <v>1780</v>
      </c>
      <c r="BF19" s="237"/>
      <c r="BG19" s="256" t="s">
        <v>8</v>
      </c>
      <c r="BH19" s="239">
        <v>3</v>
      </c>
      <c r="BI19" s="368" t="s">
        <v>1814</v>
      </c>
      <c r="BJ19" s="369" t="s">
        <v>1815</v>
      </c>
      <c r="BK19" s="276" t="s">
        <v>1816</v>
      </c>
    </row>
    <row r="20" spans="2:63" ht="15" customHeight="1">
      <c r="B20" s="246" t="s">
        <v>1802</v>
      </c>
      <c r="C20" s="237" t="s">
        <v>1785</v>
      </c>
      <c r="D20" s="237"/>
      <c r="E20" s="256" t="s">
        <v>8</v>
      </c>
      <c r="F20" s="239">
        <v>3</v>
      </c>
      <c r="G20" s="368">
        <v>0</v>
      </c>
      <c r="H20" s="369">
        <v>0</v>
      </c>
      <c r="I20" s="276">
        <f>+G20+H20</f>
        <v>0</v>
      </c>
      <c r="L20" s="25">
        <f t="shared" si="4"/>
        <v>0</v>
      </c>
      <c r="O20" s="86">
        <f>IF(Validation!$H$3=1,0,IF(ISNUMBER(G20),0,1))</f>
        <v>0</v>
      </c>
      <c r="P20" s="86">
        <f>IF(Validation!$H$3=1,0,IF(ISNUMBER(H20),0,1))</f>
        <v>0</v>
      </c>
      <c r="Q20" s="113"/>
      <c r="S20"/>
      <c r="T20"/>
      <c r="U20"/>
      <c r="BD20" s="246" t="s">
        <v>1802</v>
      </c>
      <c r="BE20" s="237" t="s">
        <v>1785</v>
      </c>
      <c r="BF20" s="237"/>
      <c r="BG20" s="256" t="s">
        <v>8</v>
      </c>
      <c r="BH20" s="239">
        <v>3</v>
      </c>
      <c r="BI20" s="368" t="s">
        <v>1817</v>
      </c>
      <c r="BJ20" s="369" t="s">
        <v>1818</v>
      </c>
      <c r="BK20" s="276" t="s">
        <v>1819</v>
      </c>
    </row>
    <row r="21" spans="2:63" ht="15" customHeight="1" thickBot="1">
      <c r="B21" s="247" t="s">
        <v>1806</v>
      </c>
      <c r="C21" s="242" t="s">
        <v>680</v>
      </c>
      <c r="D21" s="242"/>
      <c r="E21" s="243" t="s">
        <v>8</v>
      </c>
      <c r="F21" s="244">
        <v>3</v>
      </c>
      <c r="G21" s="277">
        <f>SUM(G18:G20)</f>
        <v>43.620000000000005</v>
      </c>
      <c r="H21" s="278">
        <f>SUM(H18:H20)</f>
        <v>10.732000000000001</v>
      </c>
      <c r="I21" s="279">
        <f>SUM(I18:I20)</f>
        <v>54.352000000000004</v>
      </c>
      <c r="L21" s="102"/>
      <c r="O21" s="240"/>
      <c r="P21" s="103"/>
      <c r="Q21" s="103"/>
      <c r="S21"/>
      <c r="T21"/>
      <c r="U21"/>
      <c r="BD21" s="247" t="s">
        <v>1806</v>
      </c>
      <c r="BE21" s="242" t="s">
        <v>680</v>
      </c>
      <c r="BF21" s="242"/>
      <c r="BG21" s="243" t="s">
        <v>8</v>
      </c>
      <c r="BH21" s="244">
        <v>3</v>
      </c>
      <c r="BI21" s="277" t="s">
        <v>1820</v>
      </c>
      <c r="BJ21" s="278" t="s">
        <v>1821</v>
      </c>
      <c r="BK21" s="279" t="s">
        <v>1822</v>
      </c>
    </row>
    <row r="22" spans="2:63" ht="15" thickBot="1">
      <c r="B22" s="280"/>
      <c r="C22" s="141"/>
      <c r="D22" s="141"/>
      <c r="E22" s="229"/>
      <c r="F22" s="229"/>
      <c r="G22" s="281"/>
      <c r="H22" s="281"/>
      <c r="I22" s="281"/>
      <c r="L22" s="102"/>
      <c r="O22" s="240"/>
      <c r="P22" s="103"/>
      <c r="Q22" s="103"/>
      <c r="S22"/>
      <c r="T22"/>
      <c r="U22"/>
      <c r="BD22" s="280"/>
      <c r="BE22" s="141"/>
      <c r="BF22" s="141"/>
      <c r="BG22" s="229"/>
      <c r="BH22" s="229"/>
      <c r="BI22" s="281"/>
      <c r="BJ22" s="281"/>
      <c r="BK22" s="281"/>
    </row>
    <row r="23" spans="2:63" ht="15" customHeight="1" thickBot="1">
      <c r="B23" s="282" t="s">
        <v>1823</v>
      </c>
      <c r="C23" s="225" t="s">
        <v>1824</v>
      </c>
      <c r="D23" s="225"/>
      <c r="E23" s="283" t="s">
        <v>8</v>
      </c>
      <c r="F23" s="227">
        <v>3</v>
      </c>
      <c r="G23" s="284">
        <f>+G15+G9+G21</f>
        <v>1430.0059999999999</v>
      </c>
      <c r="H23" s="285">
        <f t="shared" ref="H23" si="5">+H15+H9+H21</f>
        <v>401.78100000000001</v>
      </c>
      <c r="I23" s="286">
        <f>+I15+I9+I21</f>
        <v>1831.787</v>
      </c>
      <c r="L23" s="102"/>
      <c r="O23" s="240"/>
      <c r="P23" s="103"/>
      <c r="Q23" s="103"/>
      <c r="S23"/>
      <c r="T23"/>
      <c r="U23"/>
      <c r="BD23" s="282" t="s">
        <v>1823</v>
      </c>
      <c r="BE23" s="225" t="s">
        <v>1824</v>
      </c>
      <c r="BF23" s="225"/>
      <c r="BG23" s="283" t="s">
        <v>8</v>
      </c>
      <c r="BH23" s="227">
        <v>3</v>
      </c>
      <c r="BI23" s="284" t="s">
        <v>1825</v>
      </c>
      <c r="BJ23" s="285" t="s">
        <v>1826</v>
      </c>
      <c r="BK23" s="286" t="s">
        <v>1827</v>
      </c>
    </row>
    <row r="24" spans="2:63" ht="15" thickBot="1">
      <c r="B24" s="127"/>
      <c r="E24" s="231"/>
      <c r="F24" s="231"/>
      <c r="G24" s="230"/>
      <c r="H24" s="230"/>
      <c r="I24" s="230"/>
      <c r="L24" s="102"/>
      <c r="O24" s="240"/>
      <c r="P24" s="103"/>
      <c r="Q24" s="103"/>
      <c r="S24"/>
      <c r="T24"/>
      <c r="U24"/>
      <c r="BD24" s="127"/>
      <c r="BG24" s="231"/>
      <c r="BH24" s="231"/>
      <c r="BI24" s="230"/>
      <c r="BJ24" s="230"/>
      <c r="BK24" s="230"/>
    </row>
    <row r="25" spans="2:63" ht="15" thickBot="1">
      <c r="B25" s="2214" t="s">
        <v>362</v>
      </c>
      <c r="C25" s="107" t="s">
        <v>1828</v>
      </c>
      <c r="D25" s="1292"/>
      <c r="E25" s="231"/>
      <c r="F25" s="231"/>
      <c r="G25" s="230"/>
      <c r="H25" s="230"/>
      <c r="I25" s="230"/>
      <c r="L25" s="102"/>
      <c r="O25" s="240"/>
      <c r="P25" s="103"/>
      <c r="Q25" s="103"/>
      <c r="S25"/>
      <c r="T25"/>
      <c r="U25"/>
      <c r="BD25" s="2214" t="s">
        <v>362</v>
      </c>
      <c r="BE25" s="107" t="s">
        <v>1828</v>
      </c>
      <c r="BF25" s="1292"/>
      <c r="BG25" s="231"/>
      <c r="BH25" s="231"/>
      <c r="BI25" s="230"/>
      <c r="BJ25" s="230"/>
      <c r="BK25" s="230"/>
    </row>
    <row r="26" spans="2:63" ht="15" customHeight="1">
      <c r="B26" s="245" t="s">
        <v>1829</v>
      </c>
      <c r="C26" s="233" t="s">
        <v>1775</v>
      </c>
      <c r="D26" s="233"/>
      <c r="E26" s="255" t="s">
        <v>8</v>
      </c>
      <c r="F26" s="235">
        <v>3</v>
      </c>
      <c r="G26" s="366">
        <v>91.183000000000007</v>
      </c>
      <c r="H26" s="367">
        <v>1.661</v>
      </c>
      <c r="I26" s="275">
        <f>+G26+H26</f>
        <v>92.844000000000008</v>
      </c>
      <c r="L26" s="25">
        <f t="shared" ref="L26:L28" si="6" xml:space="preserve"> IF( SUM( N26:R26 ) = 0, 0, O$5 )</f>
        <v>0</v>
      </c>
      <c r="O26" s="86">
        <f t="shared" ref="O26:P28" si="7" xml:space="preserve"> IF( ISNUMBER( G26 ), 0, 1 )</f>
        <v>0</v>
      </c>
      <c r="P26" s="86">
        <f t="shared" si="7"/>
        <v>0</v>
      </c>
      <c r="Q26" s="113"/>
      <c r="S26"/>
      <c r="T26"/>
      <c r="U26"/>
      <c r="BD26" s="245" t="s">
        <v>1829</v>
      </c>
      <c r="BE26" s="233" t="s">
        <v>1775</v>
      </c>
      <c r="BF26" s="233"/>
      <c r="BG26" s="255" t="s">
        <v>8</v>
      </c>
      <c r="BH26" s="235">
        <v>3</v>
      </c>
      <c r="BI26" s="366" t="s">
        <v>1830</v>
      </c>
      <c r="BJ26" s="367" t="s">
        <v>1831</v>
      </c>
      <c r="BK26" s="275" t="s">
        <v>1832</v>
      </c>
    </row>
    <row r="27" spans="2:63" ht="15" customHeight="1">
      <c r="B27" s="246" t="s">
        <v>1833</v>
      </c>
      <c r="C27" s="237" t="s">
        <v>1780</v>
      </c>
      <c r="D27" s="237"/>
      <c r="E27" s="256" t="s">
        <v>8</v>
      </c>
      <c r="F27" s="239">
        <v>3</v>
      </c>
      <c r="G27" s="368">
        <v>77.108999999999995</v>
      </c>
      <c r="H27" s="369">
        <v>-2.4889999999999999</v>
      </c>
      <c r="I27" s="276">
        <f>+G27+H27</f>
        <v>74.61999999999999</v>
      </c>
      <c r="L27" s="25">
        <f t="shared" si="6"/>
        <v>0</v>
      </c>
      <c r="O27" s="86">
        <f t="shared" si="7"/>
        <v>0</v>
      </c>
      <c r="P27" s="86">
        <f t="shared" si="7"/>
        <v>0</v>
      </c>
      <c r="Q27" s="113"/>
      <c r="S27"/>
      <c r="T27"/>
      <c r="U27"/>
      <c r="BD27" s="246" t="s">
        <v>1833</v>
      </c>
      <c r="BE27" s="237" t="s">
        <v>1780</v>
      </c>
      <c r="BF27" s="237"/>
      <c r="BG27" s="256" t="s">
        <v>8</v>
      </c>
      <c r="BH27" s="239">
        <v>3</v>
      </c>
      <c r="BI27" s="368" t="s">
        <v>1834</v>
      </c>
      <c r="BJ27" s="369" t="s">
        <v>1835</v>
      </c>
      <c r="BK27" s="276" t="s">
        <v>1836</v>
      </c>
    </row>
    <row r="28" spans="2:63" ht="15" customHeight="1">
      <c r="B28" s="246" t="s">
        <v>1837</v>
      </c>
      <c r="C28" s="237" t="s">
        <v>1838</v>
      </c>
      <c r="D28" s="237"/>
      <c r="E28" s="256" t="s">
        <v>8</v>
      </c>
      <c r="F28" s="239">
        <v>3</v>
      </c>
      <c r="G28" s="368">
        <v>0</v>
      </c>
      <c r="H28" s="369">
        <v>0</v>
      </c>
      <c r="I28" s="276">
        <f>+G28+H28</f>
        <v>0</v>
      </c>
      <c r="L28" s="25">
        <f t="shared" si="6"/>
        <v>0</v>
      </c>
      <c r="O28" s="86">
        <f t="shared" si="7"/>
        <v>0</v>
      </c>
      <c r="P28" s="86">
        <f t="shared" si="7"/>
        <v>0</v>
      </c>
      <c r="Q28" s="113"/>
      <c r="S28"/>
      <c r="T28"/>
      <c r="U28"/>
      <c r="BD28" s="246" t="s">
        <v>1837</v>
      </c>
      <c r="BE28" s="237" t="s">
        <v>1838</v>
      </c>
      <c r="BF28" s="237"/>
      <c r="BG28" s="256" t="s">
        <v>8</v>
      </c>
      <c r="BH28" s="239">
        <v>3</v>
      </c>
      <c r="BI28" s="368" t="s">
        <v>1839</v>
      </c>
      <c r="BJ28" s="369" t="s">
        <v>1840</v>
      </c>
      <c r="BK28" s="276" t="s">
        <v>1841</v>
      </c>
    </row>
    <row r="29" spans="2:63" ht="15" thickBot="1">
      <c r="B29" s="247" t="s">
        <v>1842</v>
      </c>
      <c r="C29" s="242" t="s">
        <v>1843</v>
      </c>
      <c r="D29" s="242"/>
      <c r="E29" s="243" t="s">
        <v>8</v>
      </c>
      <c r="F29" s="244">
        <v>3</v>
      </c>
      <c r="G29" s="277">
        <f>SUM(G26:G28)</f>
        <v>168.292</v>
      </c>
      <c r="H29" s="278">
        <f>SUM(H26:H28)</f>
        <v>-0.82799999999999985</v>
      </c>
      <c r="I29" s="279">
        <f>SUM(I26:I28)</f>
        <v>167.464</v>
      </c>
      <c r="J29" s="110"/>
      <c r="K29" s="1164" t="str">
        <f xml:space="preserve"> IF( SUM( R29:V29 ) = 0, 0, AC29 )</f>
        <v xml:space="preserve">The total of lines 2I.9 and 2I.13 should equal line 2A.1 </v>
      </c>
      <c r="L29" s="102"/>
      <c r="M29" s="110"/>
      <c r="N29" s="114"/>
      <c r="O29" s="240"/>
      <c r="P29" s="103"/>
      <c r="Q29" s="103"/>
      <c r="R29" s="114"/>
      <c r="S29" s="86">
        <f xml:space="preserve"> IF( (W29 - X29) = 0, 0, 1 )</f>
        <v>1</v>
      </c>
      <c r="T29"/>
      <c r="U29"/>
      <c r="V29" s="114"/>
      <c r="W29" s="143">
        <f xml:space="preserve"> ROUND( I23 + I29, 3)</f>
        <v>1999.251</v>
      </c>
      <c r="X29" s="143">
        <f xml:space="preserve"> ROUND( '2A'!P6, 3)</f>
        <v>1999.252</v>
      </c>
      <c r="Y29" s="143"/>
      <c r="Z29" s="143"/>
      <c r="AA29" s="143"/>
      <c r="AB29" s="143"/>
      <c r="AC29" s="69" t="s">
        <v>1844</v>
      </c>
      <c r="AD29" s="114"/>
      <c r="BD29" s="247" t="s">
        <v>1842</v>
      </c>
      <c r="BE29" s="242" t="s">
        <v>1843</v>
      </c>
      <c r="BF29" s="242"/>
      <c r="BG29" s="243" t="s">
        <v>8</v>
      </c>
      <c r="BH29" s="244">
        <v>3</v>
      </c>
      <c r="BI29" s="277" t="s">
        <v>1845</v>
      </c>
      <c r="BJ29" s="278" t="s">
        <v>1846</v>
      </c>
      <c r="BK29" s="279" t="s">
        <v>1847</v>
      </c>
    </row>
    <row r="30" spans="2:63" ht="15" thickBot="1">
      <c r="B30" s="280"/>
      <c r="C30" s="141"/>
      <c r="D30" s="141"/>
      <c r="E30" s="229"/>
      <c r="F30" s="229"/>
      <c r="G30" s="127"/>
      <c r="H30" s="127"/>
      <c r="I30" s="127"/>
      <c r="J30" s="116"/>
      <c r="L30" s="175"/>
      <c r="M30" s="116"/>
      <c r="N30" s="111"/>
      <c r="O30" s="177"/>
      <c r="P30" s="142"/>
      <c r="Q30" s="142"/>
      <c r="R30" s="111"/>
      <c r="S30"/>
      <c r="T30"/>
      <c r="U30"/>
      <c r="V30" s="111"/>
      <c r="AD30" s="111"/>
      <c r="BD30" s="280"/>
      <c r="BE30" s="141"/>
      <c r="BF30" s="141"/>
      <c r="BG30" s="229"/>
      <c r="BH30" s="229"/>
      <c r="BI30" s="127"/>
      <c r="BJ30" s="127"/>
      <c r="BK30" s="127"/>
    </row>
    <row r="31" spans="2:63" ht="15" thickBot="1">
      <c r="B31" s="2214" t="s">
        <v>419</v>
      </c>
      <c r="C31" s="107" t="s">
        <v>1848</v>
      </c>
      <c r="D31" s="1292"/>
      <c r="E31" s="231"/>
      <c r="F31" s="231"/>
      <c r="G31" s="127"/>
      <c r="H31" s="127"/>
      <c r="I31" s="127"/>
      <c r="J31" s="116"/>
      <c r="L31" s="175"/>
      <c r="M31" s="116"/>
      <c r="N31" s="111"/>
      <c r="O31" s="177"/>
      <c r="P31" s="142"/>
      <c r="Q31" s="142"/>
      <c r="R31" s="111"/>
      <c r="S31"/>
      <c r="T31"/>
      <c r="U31"/>
      <c r="V31" s="111"/>
      <c r="AD31" s="111"/>
      <c r="BD31" s="2214" t="s">
        <v>419</v>
      </c>
      <c r="BE31" s="107" t="s">
        <v>1848</v>
      </c>
      <c r="BF31" s="1292"/>
      <c r="BG31" s="231"/>
      <c r="BH31" s="231"/>
      <c r="BI31" s="127"/>
      <c r="BJ31" s="127"/>
      <c r="BK31" s="127"/>
    </row>
    <row r="32" spans="2:63" ht="15" customHeight="1">
      <c r="B32" s="245" t="s">
        <v>1849</v>
      </c>
      <c r="C32" s="233" t="s">
        <v>1850</v>
      </c>
      <c r="D32" s="233"/>
      <c r="E32" s="255" t="s">
        <v>8</v>
      </c>
      <c r="F32" s="235">
        <v>3</v>
      </c>
      <c r="G32" s="127"/>
      <c r="H32" s="127"/>
      <c r="I32" s="370">
        <v>3.5750000000000002</v>
      </c>
      <c r="J32" s="116"/>
      <c r="L32" s="25">
        <f t="shared" ref="L32:L34" si="8" xml:space="preserve"> IF( SUM( N32:R32 ) = 0, 0, O$5 )</f>
        <v>0</v>
      </c>
      <c r="M32" s="116"/>
      <c r="N32" s="111"/>
      <c r="O32" s="177"/>
      <c r="P32" s="113"/>
      <c r="Q32" s="86">
        <f t="shared" ref="Q32:Q34" si="9" xml:space="preserve"> IF( ISNUMBER( I32 ), 0, 1 )</f>
        <v>0</v>
      </c>
      <c r="R32" s="111"/>
      <c r="S32"/>
      <c r="T32"/>
      <c r="U32"/>
      <c r="V32" s="111"/>
      <c r="AD32" s="111"/>
      <c r="BD32" s="245" t="s">
        <v>1849</v>
      </c>
      <c r="BE32" s="233" t="s">
        <v>1850</v>
      </c>
      <c r="BF32" s="233"/>
      <c r="BG32" s="255" t="s">
        <v>8</v>
      </c>
      <c r="BH32" s="235">
        <v>3</v>
      </c>
      <c r="BI32" s="127"/>
      <c r="BJ32" s="127"/>
      <c r="BK32" s="370" t="s">
        <v>1851</v>
      </c>
    </row>
    <row r="33" spans="2:64" ht="15" customHeight="1">
      <c r="B33" s="246" t="s">
        <v>1852</v>
      </c>
      <c r="C33" s="237" t="s">
        <v>1853</v>
      </c>
      <c r="D33" s="237"/>
      <c r="E33" s="256" t="s">
        <v>8</v>
      </c>
      <c r="F33" s="239">
        <v>3</v>
      </c>
      <c r="G33" s="127"/>
      <c r="H33" s="127"/>
      <c r="I33" s="371">
        <v>1.538</v>
      </c>
      <c r="J33" s="116"/>
      <c r="L33" s="25">
        <f t="shared" si="8"/>
        <v>0</v>
      </c>
      <c r="M33" s="116"/>
      <c r="N33" s="111"/>
      <c r="O33" s="177"/>
      <c r="P33" s="113"/>
      <c r="Q33" s="86">
        <f>IF(Validation!$H$3=1,0,IF(ISNUMBER(I33),0,1))</f>
        <v>0</v>
      </c>
      <c r="R33" s="111"/>
      <c r="S33"/>
      <c r="T33"/>
      <c r="U33"/>
      <c r="V33" s="111"/>
      <c r="AD33" s="111"/>
      <c r="BD33" s="246" t="s">
        <v>1852</v>
      </c>
      <c r="BE33" s="237" t="s">
        <v>1853</v>
      </c>
      <c r="BF33" s="237"/>
      <c r="BG33" s="256" t="s">
        <v>8</v>
      </c>
      <c r="BH33" s="239">
        <v>3</v>
      </c>
      <c r="BI33" s="127"/>
      <c r="BJ33" s="127"/>
      <c r="BK33" s="371" t="s">
        <v>1854</v>
      </c>
    </row>
    <row r="34" spans="2:64" ht="15" customHeight="1" thickBot="1">
      <c r="B34" s="247" t="s">
        <v>1855</v>
      </c>
      <c r="C34" s="242" t="s">
        <v>1838</v>
      </c>
      <c r="D34" s="242"/>
      <c r="E34" s="243" t="s">
        <v>8</v>
      </c>
      <c r="F34" s="244">
        <v>3</v>
      </c>
      <c r="G34" s="127"/>
      <c r="H34" s="127"/>
      <c r="I34" s="538">
        <v>15.599</v>
      </c>
      <c r="J34" s="116"/>
      <c r="L34" s="25">
        <f t="shared" si="8"/>
        <v>0</v>
      </c>
      <c r="M34" s="116"/>
      <c r="N34" s="111"/>
      <c r="O34" s="177"/>
      <c r="P34" s="113"/>
      <c r="Q34" s="86">
        <f t="shared" si="9"/>
        <v>0</v>
      </c>
      <c r="R34" s="111"/>
      <c r="S34" s="113"/>
      <c r="T34" s="113"/>
      <c r="U34" s="113"/>
      <c r="V34" s="111"/>
      <c r="AD34" s="111"/>
      <c r="BD34" s="247" t="s">
        <v>1855</v>
      </c>
      <c r="BE34" s="242" t="s">
        <v>1838</v>
      </c>
      <c r="BF34" s="242"/>
      <c r="BG34" s="243" t="s">
        <v>8</v>
      </c>
      <c r="BH34" s="244">
        <v>3</v>
      </c>
      <c r="BI34" s="127"/>
      <c r="BJ34" s="127"/>
      <c r="BK34" s="538" t="s">
        <v>1856</v>
      </c>
    </row>
    <row r="35" spans="2:64" ht="15" thickBot="1">
      <c r="B35" s="280"/>
      <c r="C35" s="141"/>
      <c r="D35" s="141"/>
      <c r="E35" s="229"/>
      <c r="F35" s="229"/>
      <c r="G35" s="127"/>
      <c r="H35" s="127"/>
      <c r="I35" s="127"/>
      <c r="J35" s="116"/>
      <c r="L35" s="175"/>
      <c r="M35" s="116"/>
      <c r="N35" s="111"/>
      <c r="O35" s="177"/>
      <c r="P35" s="142"/>
      <c r="Q35" s="142"/>
      <c r="R35" s="111"/>
      <c r="S35"/>
      <c r="T35"/>
      <c r="U35"/>
      <c r="V35" s="111"/>
      <c r="AD35" s="111"/>
      <c r="BD35" s="280"/>
      <c r="BE35" s="141"/>
      <c r="BF35" s="141"/>
      <c r="BG35" s="229"/>
      <c r="BH35" s="229"/>
      <c r="BI35" s="127"/>
      <c r="BJ35" s="127"/>
      <c r="BK35" s="127"/>
    </row>
    <row r="36" spans="2:64" ht="15" customHeight="1" thickBot="1">
      <c r="B36" s="2214" t="s">
        <v>493</v>
      </c>
      <c r="C36" s="107" t="s">
        <v>1857</v>
      </c>
      <c r="D36" s="1292"/>
      <c r="E36" s="231"/>
      <c r="F36" s="231"/>
      <c r="G36" s="127"/>
      <c r="H36" s="127"/>
      <c r="I36" s="127"/>
      <c r="J36" s="116"/>
      <c r="L36" s="25"/>
      <c r="M36" s="116"/>
      <c r="N36" s="111"/>
      <c r="O36" s="177"/>
      <c r="P36" s="113"/>
      <c r="Q36" s="113"/>
      <c r="R36" s="111"/>
      <c r="S36"/>
      <c r="T36"/>
      <c r="U36"/>
      <c r="V36" s="111"/>
      <c r="AD36" s="111"/>
      <c r="BD36" s="2214" t="s">
        <v>493</v>
      </c>
      <c r="BE36" s="107" t="s">
        <v>1857</v>
      </c>
      <c r="BF36" s="1292"/>
      <c r="BG36" s="231"/>
      <c r="BH36" s="231"/>
      <c r="BI36" s="127"/>
      <c r="BJ36" s="127"/>
      <c r="BK36" s="127"/>
    </row>
    <row r="37" spans="2:64" ht="15" customHeight="1" thickBot="1">
      <c r="B37" s="247" t="s">
        <v>1858</v>
      </c>
      <c r="C37" s="242" t="s">
        <v>1859</v>
      </c>
      <c r="D37" s="1293"/>
      <c r="E37" s="283" t="s">
        <v>8</v>
      </c>
      <c r="F37" s="227">
        <v>3</v>
      </c>
      <c r="G37" s="127"/>
      <c r="H37" s="127"/>
      <c r="I37" s="675">
        <v>0.17504878999999998</v>
      </c>
      <c r="J37" s="116"/>
      <c r="L37" s="25">
        <f t="shared" ref="L37" si="10" xml:space="preserve"> IF( SUM( N37:R37 ) = 0, 0, O$5 )</f>
        <v>0</v>
      </c>
      <c r="M37" s="116"/>
      <c r="N37" s="111"/>
      <c r="O37" s="177"/>
      <c r="P37" s="113"/>
      <c r="Q37" s="86">
        <f t="shared" ref="Q37" si="11" xml:space="preserve"> IF( ISNUMBER( I37 ), 0, 1 )</f>
        <v>0</v>
      </c>
      <c r="R37" s="111"/>
      <c r="S37"/>
      <c r="T37"/>
      <c r="U37"/>
      <c r="V37" s="111"/>
      <c r="AD37" s="111"/>
      <c r="BD37" s="247" t="s">
        <v>1858</v>
      </c>
      <c r="BE37" s="242" t="s">
        <v>1859</v>
      </c>
      <c r="BF37" s="1293"/>
      <c r="BG37" s="283" t="s">
        <v>8</v>
      </c>
      <c r="BH37" s="227">
        <v>3</v>
      </c>
      <c r="BI37" s="127"/>
      <c r="BJ37" s="127"/>
      <c r="BK37" s="675" t="s">
        <v>1860</v>
      </c>
    </row>
    <row r="38" spans="2:64" ht="15" thickBot="1">
      <c r="B38" s="280"/>
      <c r="C38" s="141"/>
      <c r="D38" s="141"/>
      <c r="E38" s="229"/>
      <c r="F38" s="229"/>
      <c r="G38" s="127"/>
      <c r="H38" s="127"/>
      <c r="I38" s="127"/>
      <c r="J38" s="116"/>
      <c r="L38" s="175"/>
      <c r="M38" s="116"/>
      <c r="N38" s="111"/>
      <c r="O38" s="177"/>
      <c r="P38" s="142"/>
      <c r="Q38" s="142"/>
      <c r="R38" s="111"/>
      <c r="S38"/>
      <c r="T38"/>
      <c r="U38"/>
      <c r="V38" s="111"/>
      <c r="AD38" s="111"/>
      <c r="BD38" s="280"/>
      <c r="BE38" s="141"/>
      <c r="BF38" s="141"/>
      <c r="BG38" s="229"/>
      <c r="BH38" s="229"/>
      <c r="BI38" s="127"/>
      <c r="BJ38" s="127"/>
      <c r="BK38" s="127"/>
    </row>
    <row r="39" spans="2:64" ht="15" thickBot="1">
      <c r="B39" s="282" t="s">
        <v>1861</v>
      </c>
      <c r="C39" s="225" t="s">
        <v>1862</v>
      </c>
      <c r="D39" s="225"/>
      <c r="E39" s="283" t="s">
        <v>8</v>
      </c>
      <c r="F39" s="227">
        <v>3</v>
      </c>
      <c r="G39" s="127"/>
      <c r="H39" s="127"/>
      <c r="I39" s="531">
        <f>+I23+I29+I32+I33+I34+I37</f>
        <v>2020.1380487899999</v>
      </c>
      <c r="J39" s="116"/>
      <c r="K39" s="1164" t="str">
        <f xml:space="preserve"> IF( SUM( R39:V39 ) = 0, 0, AC39 )</f>
        <v xml:space="preserve">Line 2I.18 should equal the sum of line 1A.1 </v>
      </c>
      <c r="L39" s="69"/>
      <c r="M39" s="116"/>
      <c r="N39" s="111"/>
      <c r="O39" s="177"/>
      <c r="P39" s="142"/>
      <c r="Q39" s="142"/>
      <c r="R39" s="111"/>
      <c r="S39" s="86">
        <f xml:space="preserve"> IF( (W39 - X39) = 0, 0, 1 )</f>
        <v>1</v>
      </c>
      <c r="T39"/>
      <c r="U39"/>
      <c r="V39" s="111"/>
      <c r="W39" s="143">
        <f xml:space="preserve"> ROUND(I39, 3)</f>
        <v>2020.1379999999999</v>
      </c>
      <c r="X39" s="143">
        <f xml:space="preserve"> ROUND( '1A'!K6, 3)</f>
        <v>2020.1369999999999</v>
      </c>
      <c r="Y39" s="143"/>
      <c r="Z39" s="143"/>
      <c r="AA39" s="143"/>
      <c r="AB39" s="143"/>
      <c r="AC39" s="69" t="s">
        <v>1863</v>
      </c>
      <c r="AD39" s="111"/>
      <c r="BD39" s="282" t="s">
        <v>1861</v>
      </c>
      <c r="BE39" s="225" t="s">
        <v>1862</v>
      </c>
      <c r="BF39" s="225"/>
      <c r="BG39" s="283" t="s">
        <v>8</v>
      </c>
      <c r="BH39" s="227">
        <v>3</v>
      </c>
      <c r="BI39" s="127"/>
      <c r="BJ39" s="127"/>
      <c r="BK39" s="531" t="s">
        <v>1864</v>
      </c>
    </row>
    <row r="40" spans="2:64">
      <c r="B40" s="280"/>
      <c r="C40" s="141"/>
      <c r="D40" s="141"/>
      <c r="E40" s="229"/>
      <c r="F40" s="229"/>
      <c r="J40" s="116"/>
      <c r="L40" s="69"/>
      <c r="M40" s="116"/>
      <c r="N40" s="111"/>
      <c r="O40" s="177"/>
      <c r="P40" s="142"/>
      <c r="Q40" s="142"/>
      <c r="R40" s="111"/>
      <c r="S40"/>
      <c r="T40"/>
      <c r="U40"/>
      <c r="V40" s="111"/>
      <c r="AD40" s="111"/>
      <c r="BD40" s="280"/>
      <c r="BE40" s="141"/>
      <c r="BF40" s="141"/>
      <c r="BG40" s="229"/>
      <c r="BH40" s="229"/>
    </row>
    <row r="41" spans="2:64" ht="15" thickBot="1">
      <c r="B41" s="280"/>
      <c r="C41" s="141"/>
      <c r="D41" s="141"/>
      <c r="E41" s="229"/>
      <c r="F41" s="229"/>
      <c r="J41" s="118"/>
      <c r="L41" s="69"/>
      <c r="M41" s="116"/>
      <c r="N41" s="111"/>
      <c r="O41" s="257"/>
      <c r="P41" s="155"/>
      <c r="Q41" s="155"/>
      <c r="R41" s="111"/>
      <c r="S41"/>
      <c r="T41"/>
      <c r="U41"/>
      <c r="V41" s="111"/>
      <c r="AD41" s="111"/>
      <c r="BD41" s="280"/>
      <c r="BE41" s="141"/>
      <c r="BF41" s="141"/>
      <c r="BG41" s="229"/>
      <c r="BH41" s="229"/>
    </row>
    <row r="42" spans="2:64" ht="15" thickBot="1">
      <c r="B42" s="230"/>
      <c r="C42" s="141"/>
      <c r="D42" s="141"/>
      <c r="E42" s="229"/>
      <c r="F42" s="229"/>
      <c r="G42" s="272" t="s">
        <v>1383</v>
      </c>
      <c r="H42" s="273" t="s">
        <v>1384</v>
      </c>
      <c r="I42" s="273" t="s">
        <v>751</v>
      </c>
      <c r="J42" s="288" t="s">
        <v>680</v>
      </c>
      <c r="L42" s="69"/>
      <c r="M42" s="116"/>
      <c r="N42" s="111"/>
      <c r="O42" s="257"/>
      <c r="P42" s="155"/>
      <c r="Q42" s="155"/>
      <c r="R42" s="111"/>
      <c r="S42"/>
      <c r="T42"/>
      <c r="U42"/>
      <c r="V42" s="111"/>
      <c r="AD42" s="111"/>
      <c r="BD42" s="230"/>
      <c r="BE42" s="141"/>
      <c r="BF42" s="141"/>
      <c r="BG42" s="229"/>
      <c r="BH42" s="229"/>
      <c r="BI42" s="272" t="s">
        <v>1383</v>
      </c>
      <c r="BJ42" s="273" t="s">
        <v>1384</v>
      </c>
      <c r="BK42" s="273" t="s">
        <v>751</v>
      </c>
      <c r="BL42" s="288" t="s">
        <v>680</v>
      </c>
    </row>
    <row r="43" spans="2:64" ht="15" thickBot="1">
      <c r="B43" s="230"/>
      <c r="C43" s="141"/>
      <c r="D43" s="141"/>
      <c r="E43" s="141"/>
      <c r="F43" s="141"/>
      <c r="G43" s="141"/>
      <c r="H43" s="141"/>
      <c r="I43" s="141"/>
      <c r="J43" s="141"/>
      <c r="L43" s="69"/>
      <c r="M43" s="110"/>
      <c r="N43" s="114"/>
      <c r="O43" s="240"/>
      <c r="P43" s="103"/>
      <c r="Q43" s="103"/>
      <c r="R43" s="114"/>
      <c r="S43"/>
      <c r="T43"/>
      <c r="U43"/>
      <c r="V43" s="114"/>
      <c r="AD43" s="114"/>
      <c r="BD43" s="230"/>
      <c r="BE43" s="141"/>
      <c r="BF43" s="141"/>
      <c r="BG43" s="141"/>
      <c r="BH43" s="141"/>
      <c r="BI43" s="141"/>
      <c r="BJ43" s="141"/>
      <c r="BK43" s="141"/>
      <c r="BL43" s="141"/>
    </row>
    <row r="44" spans="2:64" ht="15" customHeight="1">
      <c r="B44" s="245" t="s">
        <v>1865</v>
      </c>
      <c r="C44" s="233" t="s">
        <v>1866</v>
      </c>
      <c r="D44" s="233"/>
      <c r="E44" s="255" t="s">
        <v>8</v>
      </c>
      <c r="F44" s="235">
        <v>3</v>
      </c>
      <c r="G44" s="639">
        <f>+I9</f>
        <v>842.03499999999997</v>
      </c>
      <c r="H44" s="580">
        <f>+I15</f>
        <v>935.40000000000009</v>
      </c>
      <c r="I44" s="580">
        <f>+I21</f>
        <v>54.352000000000004</v>
      </c>
      <c r="J44" s="275">
        <f>+I23</f>
        <v>1831.787</v>
      </c>
      <c r="L44" s="69"/>
      <c r="M44" s="110"/>
      <c r="N44" s="114"/>
      <c r="O44" s="240"/>
      <c r="P44" s="103"/>
      <c r="Q44" s="103"/>
      <c r="R44" s="114"/>
      <c r="S44"/>
      <c r="T44"/>
      <c r="U44"/>
      <c r="V44" s="114"/>
      <c r="AD44" s="114"/>
      <c r="BD44" s="245" t="s">
        <v>1865</v>
      </c>
      <c r="BE44" s="233" t="s">
        <v>1866</v>
      </c>
      <c r="BF44" s="233"/>
      <c r="BG44" s="255" t="s">
        <v>8</v>
      </c>
      <c r="BH44" s="235">
        <v>3</v>
      </c>
      <c r="BI44" s="639" t="s">
        <v>1867</v>
      </c>
      <c r="BJ44" s="580" t="s">
        <v>1868</v>
      </c>
      <c r="BK44" s="580" t="s">
        <v>1869</v>
      </c>
      <c r="BL44" s="275" t="s">
        <v>1870</v>
      </c>
    </row>
    <row r="45" spans="2:64" ht="45">
      <c r="B45" s="246" t="s">
        <v>1871</v>
      </c>
      <c r="C45" s="237" t="s">
        <v>1872</v>
      </c>
      <c r="D45" s="237"/>
      <c r="E45" s="256" t="s">
        <v>8</v>
      </c>
      <c r="F45" s="239">
        <v>3</v>
      </c>
      <c r="G45" s="368"/>
      <c r="H45" s="578"/>
      <c r="I45" s="578"/>
      <c r="J45" s="276">
        <f>G45+H45+I45</f>
        <v>0</v>
      </c>
      <c r="K45" s="1164" t="str">
        <f xml:space="preserve"> IF( SUM( R45:V45 ) = 0, 0, AC45 )</f>
        <v xml:space="preserve">Line 2I.20 should equal the sum of lines 2E.1, 2E.2, 2E.3 and 2E.4 (column 4) for water and lines 2E.9, 2E.10 and 2E.11 (column 4) for wastewater and lines 2E.9, 2E.10 and 2E.11 (column 4) for TTT. </v>
      </c>
      <c r="L45" s="25" t="str">
        <f t="shared" ref="L45" si="12" xml:space="preserve"> IF( SUM( N45:R45 ) = 0, 0, O$5 )</f>
        <v>Please complete all cells in row</v>
      </c>
      <c r="O45" s="86">
        <f xml:space="preserve"> IF( ISNUMBER( G45 ), 0, 1 )</f>
        <v>1</v>
      </c>
      <c r="P45" s="86">
        <f>IF(Validation!$H$3=1,0,IF(ISNUMBER(H45),0,1))</f>
        <v>1</v>
      </c>
      <c r="Q45" s="86">
        <f>IF(Validation!$H$3=1,0,IF(ISNUMBER(I45),0,1))</f>
        <v>1</v>
      </c>
      <c r="S45" s="86">
        <f xml:space="preserve"> IF( (W45 - X45) = 0, 0, 1 )</f>
        <v>1</v>
      </c>
      <c r="T45" s="86">
        <f xml:space="preserve"> IF( (Y45 - Z45) = 0, 0, 1 )</f>
        <v>1</v>
      </c>
      <c r="U45" s="86">
        <f xml:space="preserve"> IF( (AA45 - AB45) = 0, 0, 1 )</f>
        <v>0</v>
      </c>
      <c r="V45" s="111"/>
      <c r="W45" s="143">
        <f xml:space="preserve"> ROUND(G45, 3)</f>
        <v>0</v>
      </c>
      <c r="X45" s="143">
        <f>SUM('2E'!J7:J10)</f>
        <v>47.547000000000004</v>
      </c>
      <c r="Y45" s="143">
        <f xml:space="preserve"> ROUND(H45, 3)</f>
        <v>0</v>
      </c>
      <c r="Z45" s="143">
        <f>SUM('2E'!J19:J21)</f>
        <v>28.2</v>
      </c>
      <c r="AA45" s="143">
        <f xml:space="preserve"> ROUND(I45, 3)</f>
        <v>0</v>
      </c>
      <c r="AB45" s="143">
        <f>SUM('2E'!J30:J32)</f>
        <v>0</v>
      </c>
      <c r="AC45" s="69" t="s">
        <v>1873</v>
      </c>
      <c r="AD45" s="114"/>
      <c r="BD45" s="246" t="s">
        <v>1871</v>
      </c>
      <c r="BE45" s="237" t="s">
        <v>1872</v>
      </c>
      <c r="BF45" s="237"/>
      <c r="BG45" s="256" t="s">
        <v>8</v>
      </c>
      <c r="BH45" s="239">
        <v>3</v>
      </c>
      <c r="BI45" s="368" t="s">
        <v>1874</v>
      </c>
      <c r="BJ45" s="578" t="s">
        <v>1875</v>
      </c>
      <c r="BK45" s="578" t="s">
        <v>1876</v>
      </c>
      <c r="BL45" s="276" t="s">
        <v>1877</v>
      </c>
    </row>
    <row r="46" spans="2:64" ht="15" customHeight="1" thickBot="1">
      <c r="B46" s="247" t="s">
        <v>1878</v>
      </c>
      <c r="C46" s="242" t="s">
        <v>1879</v>
      </c>
      <c r="D46" s="242"/>
      <c r="E46" s="243" t="s">
        <v>8</v>
      </c>
      <c r="F46" s="244">
        <v>3</v>
      </c>
      <c r="G46" s="277">
        <f>+G44+G45</f>
        <v>842.03499999999997</v>
      </c>
      <c r="H46" s="579">
        <f>+H44+H45</f>
        <v>935.40000000000009</v>
      </c>
      <c r="I46" s="579">
        <f>+I44+I45</f>
        <v>54.352000000000004</v>
      </c>
      <c r="J46" s="279">
        <f>+J44+J45</f>
        <v>1831.787</v>
      </c>
      <c r="L46" s="69"/>
      <c r="M46" s="110"/>
      <c r="N46" s="114"/>
      <c r="O46" s="240"/>
      <c r="P46" s="103"/>
      <c r="Q46" s="155"/>
      <c r="R46" s="114"/>
      <c r="S46" s="103"/>
      <c r="T46" s="103"/>
      <c r="U46" s="103"/>
      <c r="V46" s="114"/>
      <c r="AD46" s="114"/>
      <c r="BD46" s="247" t="s">
        <v>1878</v>
      </c>
      <c r="BE46" s="242" t="s">
        <v>1879</v>
      </c>
      <c r="BF46" s="242"/>
      <c r="BG46" s="243" t="s">
        <v>8</v>
      </c>
      <c r="BH46" s="244">
        <v>3</v>
      </c>
      <c r="BI46" s="277" t="s">
        <v>1880</v>
      </c>
      <c r="BJ46" s="579" t="s">
        <v>1881</v>
      </c>
      <c r="BK46" s="579" t="s">
        <v>1882</v>
      </c>
      <c r="BL46" s="279" t="s">
        <v>1883</v>
      </c>
    </row>
    <row r="47" spans="2:64" ht="15" thickBot="1">
      <c r="B47" s="230"/>
      <c r="C47" s="141"/>
      <c r="D47" s="141"/>
      <c r="E47" s="141"/>
      <c r="F47" s="141"/>
      <c r="G47" s="141"/>
      <c r="H47" s="141"/>
      <c r="I47" s="141"/>
      <c r="J47" s="141"/>
      <c r="L47" s="69"/>
      <c r="M47" s="110"/>
      <c r="N47" s="114"/>
      <c r="O47" s="240"/>
      <c r="P47" s="103"/>
      <c r="Q47" s="103"/>
      <c r="R47" s="114"/>
      <c r="S47"/>
      <c r="T47"/>
      <c r="U47"/>
      <c r="V47" s="114"/>
      <c r="AD47" s="114"/>
      <c r="BD47" s="230"/>
      <c r="BE47" s="141"/>
      <c r="BF47" s="141"/>
      <c r="BG47" s="141"/>
      <c r="BH47" s="141"/>
      <c r="BI47" s="128"/>
      <c r="BJ47" s="128"/>
      <c r="BK47" s="141"/>
      <c r="BL47" s="141"/>
    </row>
    <row r="48" spans="2:64" ht="15" customHeight="1">
      <c r="B48" s="245" t="s">
        <v>1884</v>
      </c>
      <c r="C48" s="233" t="s">
        <v>1885</v>
      </c>
      <c r="D48" s="233"/>
      <c r="E48" s="255" t="s">
        <v>8</v>
      </c>
      <c r="F48" s="235">
        <v>3</v>
      </c>
      <c r="G48" s="366"/>
      <c r="H48" s="367"/>
      <c r="I48" s="367"/>
      <c r="J48" s="275">
        <f>G48+H48+I48</f>
        <v>0</v>
      </c>
      <c r="L48" s="25" t="str">
        <f t="shared" ref="L48:L50" si="13" xml:space="preserve"> IF( SUM( N48:R48 ) = 0, 0, O$5 )</f>
        <v>Please complete all cells in row</v>
      </c>
      <c r="O48" s="86">
        <f t="shared" ref="O48" si="14" xml:space="preserve"> IF( ISNUMBER( G48 ), 0, 1 )</f>
        <v>1</v>
      </c>
      <c r="P48" s="86">
        <f>IF(Validation!$H$3=1,0,IF(ISNUMBER(H48),0,1))</f>
        <v>1</v>
      </c>
      <c r="Q48" s="86">
        <f>IF(Validation!$H$3=1,0,IF(ISNUMBER(I48),0,1))</f>
        <v>1</v>
      </c>
      <c r="V48" s="114"/>
      <c r="AD48" s="114"/>
      <c r="BD48" s="245" t="s">
        <v>1884</v>
      </c>
      <c r="BE48" s="233" t="s">
        <v>1885</v>
      </c>
      <c r="BF48" s="233"/>
      <c r="BG48" s="255" t="s">
        <v>8</v>
      </c>
      <c r="BH48" s="235">
        <v>3</v>
      </c>
      <c r="BI48" s="366" t="s">
        <v>1886</v>
      </c>
      <c r="BJ48" s="367" t="s">
        <v>1887</v>
      </c>
      <c r="BK48" s="367" t="s">
        <v>1888</v>
      </c>
      <c r="BL48" s="275" t="s">
        <v>1889</v>
      </c>
    </row>
    <row r="49" spans="2:64" ht="15" customHeight="1">
      <c r="B49" s="536" t="s">
        <v>1890</v>
      </c>
      <c r="C49" s="537" t="s">
        <v>1891</v>
      </c>
      <c r="D49" s="537"/>
      <c r="E49" s="256" t="s">
        <v>8</v>
      </c>
      <c r="F49" s="239">
        <v>3</v>
      </c>
      <c r="G49" s="729"/>
      <c r="H49" s="369"/>
      <c r="I49" s="369"/>
      <c r="J49" s="276">
        <f t="shared" ref="J49:J51" si="15">G49+H49+I49</f>
        <v>0</v>
      </c>
      <c r="L49" s="25" t="str">
        <f t="shared" si="13"/>
        <v>Please complete all cells in row</v>
      </c>
      <c r="O49" s="86">
        <f t="shared" ref="O49:O50" si="16" xml:space="preserve"> IF( ISNUMBER( G49 ), 0, 1 )</f>
        <v>1</v>
      </c>
      <c r="P49" s="86">
        <f>IF(Validation!$H$3=1,0,IF(ISNUMBER(H49),0,1))</f>
        <v>1</v>
      </c>
      <c r="Q49" s="86">
        <f>IF(Validation!$H$3=1,0,IF(ISNUMBER(I49),0,1))</f>
        <v>1</v>
      </c>
      <c r="V49" s="114"/>
      <c r="AD49" s="114"/>
      <c r="BD49" s="536" t="s">
        <v>1890</v>
      </c>
      <c r="BE49" s="537" t="s">
        <v>1891</v>
      </c>
      <c r="BF49" s="537"/>
      <c r="BG49" s="256" t="s">
        <v>8</v>
      </c>
      <c r="BH49" s="239">
        <v>3</v>
      </c>
      <c r="BI49" s="729" t="s">
        <v>1892</v>
      </c>
      <c r="BJ49" s="369" t="s">
        <v>1893</v>
      </c>
      <c r="BK49" s="369" t="s">
        <v>1894</v>
      </c>
      <c r="BL49" s="276" t="s">
        <v>1895</v>
      </c>
    </row>
    <row r="50" spans="2:64" ht="15" customHeight="1">
      <c r="B50" s="536" t="s">
        <v>1896</v>
      </c>
      <c r="C50" s="537" t="s">
        <v>1897</v>
      </c>
      <c r="D50" s="537"/>
      <c r="E50" s="256" t="s">
        <v>8</v>
      </c>
      <c r="F50" s="239">
        <v>3</v>
      </c>
      <c r="G50" s="729"/>
      <c r="H50" s="369"/>
      <c r="I50" s="369"/>
      <c r="J50" s="276">
        <f t="shared" si="15"/>
        <v>0</v>
      </c>
      <c r="L50" s="25" t="str">
        <f t="shared" si="13"/>
        <v>Please complete all cells in row</v>
      </c>
      <c r="O50" s="86">
        <f t="shared" si="16"/>
        <v>1</v>
      </c>
      <c r="P50" s="86">
        <f>IF(Validation!$H$3=1,0,IF(ISNUMBER(H50),0,1))</f>
        <v>1</v>
      </c>
      <c r="Q50" s="86">
        <f>IF(Validation!$H$3=1,0,IF(ISNUMBER(I50),0,1))</f>
        <v>1</v>
      </c>
      <c r="V50" s="114"/>
      <c r="AD50" s="114"/>
      <c r="BD50" s="536" t="s">
        <v>1896</v>
      </c>
      <c r="BE50" s="537" t="s">
        <v>1897</v>
      </c>
      <c r="BF50" s="537"/>
      <c r="BG50" s="256" t="s">
        <v>8</v>
      </c>
      <c r="BH50" s="239">
        <v>3</v>
      </c>
      <c r="BI50" s="729" t="s">
        <v>1898</v>
      </c>
      <c r="BJ50" s="369" t="s">
        <v>1899</v>
      </c>
      <c r="BK50" s="369" t="s">
        <v>1900</v>
      </c>
      <c r="BL50" s="276" t="s">
        <v>1901</v>
      </c>
    </row>
    <row r="51" spans="2:64" ht="15" customHeight="1" thickBot="1">
      <c r="B51" s="247" t="s">
        <v>1902</v>
      </c>
      <c r="C51" s="242" t="s">
        <v>1903</v>
      </c>
      <c r="D51" s="242"/>
      <c r="E51" s="243" t="s">
        <v>8</v>
      </c>
      <c r="F51" s="244">
        <v>3</v>
      </c>
      <c r="G51" s="277">
        <f>SUM(G48:G50)</f>
        <v>0</v>
      </c>
      <c r="H51" s="278">
        <f>SUM(H48:H50)</f>
        <v>0</v>
      </c>
      <c r="I51" s="278">
        <f>SUM(I48:I50)</f>
        <v>0</v>
      </c>
      <c r="J51" s="279">
        <f t="shared" si="15"/>
        <v>0</v>
      </c>
      <c r="L51" s="112"/>
      <c r="O51" s="113"/>
      <c r="P51" s="113"/>
      <c r="Q51" s="155"/>
      <c r="V51" s="114"/>
      <c r="AD51" s="114"/>
      <c r="BD51" s="247" t="s">
        <v>1902</v>
      </c>
      <c r="BE51" s="242" t="s">
        <v>1903</v>
      </c>
      <c r="BF51" s="242"/>
      <c r="BG51" s="243" t="s">
        <v>8</v>
      </c>
      <c r="BH51" s="244">
        <v>3</v>
      </c>
      <c r="BI51" s="277" t="s">
        <v>1904</v>
      </c>
      <c r="BJ51" s="278" t="s">
        <v>1905</v>
      </c>
      <c r="BK51" s="278" t="s">
        <v>1906</v>
      </c>
      <c r="BL51" s="279" t="s">
        <v>1907</v>
      </c>
    </row>
    <row r="52" spans="2:64" ht="15" thickBot="1">
      <c r="B52" s="230"/>
      <c r="C52" s="141"/>
      <c r="D52" s="141"/>
      <c r="E52" s="141"/>
      <c r="F52" s="141"/>
      <c r="G52" s="141"/>
      <c r="H52" s="141"/>
      <c r="I52" s="141"/>
      <c r="J52" s="141"/>
      <c r="L52" s="69"/>
      <c r="M52" s="110"/>
      <c r="N52" s="114"/>
      <c r="O52" s="240"/>
      <c r="P52" s="103"/>
      <c r="Q52" s="103"/>
      <c r="R52" s="114"/>
      <c r="S52"/>
      <c r="T52"/>
      <c r="U52"/>
      <c r="V52" s="114"/>
      <c r="AD52" s="114"/>
      <c r="BD52" s="230"/>
      <c r="BE52" s="141"/>
      <c r="BF52" s="141"/>
      <c r="BG52" s="141"/>
      <c r="BH52" s="141"/>
      <c r="BI52" s="128"/>
      <c r="BJ52" s="128"/>
      <c r="BK52" s="141"/>
      <c r="BL52" s="141"/>
    </row>
    <row r="53" spans="2:64" ht="15" customHeight="1" thickBot="1">
      <c r="B53" s="282" t="s">
        <v>1908</v>
      </c>
      <c r="C53" s="225" t="s">
        <v>1909</v>
      </c>
      <c r="D53" s="225"/>
      <c r="E53" s="283" t="s">
        <v>8</v>
      </c>
      <c r="F53" s="227">
        <v>3</v>
      </c>
      <c r="G53" s="284">
        <f>+G46-G51</f>
        <v>842.03499999999997</v>
      </c>
      <c r="H53" s="285">
        <f>+H46-H51</f>
        <v>935.40000000000009</v>
      </c>
      <c r="I53" s="285">
        <f>+I46-I51</f>
        <v>54.352000000000004</v>
      </c>
      <c r="J53" s="286">
        <f>+J46-J51</f>
        <v>1831.787</v>
      </c>
      <c r="L53" s="112"/>
      <c r="M53" s="110"/>
      <c r="N53" s="114"/>
      <c r="O53" s="240"/>
      <c r="P53" s="112"/>
      <c r="Q53" s="155"/>
      <c r="R53" s="114"/>
      <c r="V53" s="114"/>
      <c r="AD53" s="114"/>
      <c r="BD53" s="282" t="s">
        <v>1908</v>
      </c>
      <c r="BE53" s="225" t="s">
        <v>1909</v>
      </c>
      <c r="BF53" s="225"/>
      <c r="BG53" s="283" t="s">
        <v>8</v>
      </c>
      <c r="BH53" s="227">
        <v>3</v>
      </c>
      <c r="BI53" s="284" t="s">
        <v>1910</v>
      </c>
      <c r="BJ53" s="285" t="s">
        <v>1911</v>
      </c>
      <c r="BK53" s="285" t="s">
        <v>1912</v>
      </c>
      <c r="BL53" s="286" t="s">
        <v>1913</v>
      </c>
    </row>
    <row r="54" spans="2:64" s="65" customFormat="1">
      <c r="J54" s="292"/>
      <c r="K54" s="69"/>
      <c r="L54" s="112"/>
      <c r="M54" s="110"/>
      <c r="N54" s="114"/>
      <c r="O54" s="240"/>
      <c r="P54" s="112"/>
      <c r="Q54" s="155"/>
      <c r="R54" s="114"/>
      <c r="S54" s="69"/>
      <c r="T54" s="69"/>
      <c r="U54" s="69"/>
      <c r="V54" s="114"/>
      <c r="AD54" s="114"/>
    </row>
    <row r="55" spans="2:64" s="142" customFormat="1">
      <c r="B55" s="2256" t="s">
        <v>275</v>
      </c>
      <c r="C55" s="2256"/>
      <c r="D55" s="2195"/>
      <c r="J55" s="292"/>
      <c r="K55" s="69"/>
      <c r="L55" s="112"/>
      <c r="M55" s="110"/>
      <c r="N55" s="114"/>
      <c r="O55" s="240"/>
      <c r="P55" s="112"/>
      <c r="Q55" s="155"/>
      <c r="R55" s="114"/>
      <c r="S55" s="69"/>
      <c r="T55" s="69"/>
      <c r="U55" s="69"/>
      <c r="V55" s="114"/>
      <c r="AD55" s="114"/>
    </row>
    <row r="56" spans="2:64" s="142" customFormat="1">
      <c r="B56" s="127"/>
      <c r="C56" s="128"/>
      <c r="D56" s="128"/>
      <c r="J56" s="292"/>
      <c r="K56" s="69"/>
      <c r="L56" s="112"/>
      <c r="M56" s="110"/>
      <c r="N56" s="114"/>
      <c r="O56" s="240"/>
      <c r="P56" s="112"/>
      <c r="Q56" s="112"/>
      <c r="R56" s="114"/>
      <c r="S56" s="69"/>
      <c r="T56" s="69"/>
      <c r="U56" s="69"/>
      <c r="V56" s="114"/>
      <c r="AD56" s="114"/>
    </row>
    <row r="57" spans="2:64" s="142" customFormat="1">
      <c r="B57" s="26"/>
      <c r="C57" s="129" t="s">
        <v>249</v>
      </c>
      <c r="D57" s="129"/>
      <c r="J57" s="271"/>
      <c r="K57" s="69"/>
      <c r="L57" s="65"/>
      <c r="M57" s="65"/>
      <c r="N57" s="66"/>
      <c r="O57" s="65"/>
      <c r="P57" s="65"/>
      <c r="Q57" s="65"/>
      <c r="R57" s="66"/>
      <c r="S57" s="69"/>
      <c r="T57" s="69"/>
      <c r="U57" s="69"/>
      <c r="V57" s="66"/>
      <c r="AD57" s="66"/>
    </row>
    <row r="58" spans="2:64" s="142" customFormat="1">
      <c r="B58" s="127"/>
      <c r="C58" s="128"/>
      <c r="D58" s="128"/>
      <c r="J58" s="270"/>
      <c r="K58" s="69"/>
      <c r="L58" s="65"/>
      <c r="M58" s="65"/>
      <c r="N58" s="66"/>
      <c r="O58" s="65"/>
      <c r="P58" s="65"/>
      <c r="Q58" s="65"/>
      <c r="R58" s="66"/>
      <c r="S58" s="69"/>
      <c r="T58" s="69"/>
      <c r="U58" s="69"/>
      <c r="V58" s="66"/>
      <c r="AD58" s="66"/>
    </row>
    <row r="59" spans="2:64" s="142" customFormat="1">
      <c r="B59" s="130"/>
      <c r="C59" s="129" t="s">
        <v>250</v>
      </c>
      <c r="D59" s="129"/>
      <c r="J59" s="271"/>
      <c r="K59" s="69"/>
      <c r="L59" s="65"/>
      <c r="M59" s="65"/>
      <c r="N59" s="66"/>
      <c r="O59" s="65"/>
      <c r="P59" s="65"/>
      <c r="Q59" s="65"/>
      <c r="R59" s="66"/>
      <c r="S59" s="69"/>
      <c r="T59" s="69"/>
      <c r="U59" s="69"/>
      <c r="V59" s="66"/>
      <c r="AD59" s="66"/>
    </row>
    <row r="60" spans="2:64" s="142" customFormat="1">
      <c r="B60" s="131"/>
      <c r="C60" s="129"/>
      <c r="D60" s="129"/>
      <c r="J60" s="271"/>
      <c r="K60" s="69"/>
      <c r="L60" s="65"/>
      <c r="M60" s="65"/>
      <c r="N60" s="66"/>
      <c r="O60" s="65"/>
      <c r="P60" s="65"/>
      <c r="Q60" s="65"/>
      <c r="R60" s="66"/>
      <c r="S60" s="69"/>
      <c r="T60" s="69"/>
      <c r="U60" s="69"/>
      <c r="V60" s="66"/>
      <c r="AD60" s="66"/>
    </row>
    <row r="61" spans="2:64" s="155" customFormat="1" ht="15" thickBot="1">
      <c r="C61" s="156"/>
      <c r="D61" s="156"/>
      <c r="J61" s="271"/>
      <c r="K61" s="69"/>
      <c r="L61" s="65"/>
      <c r="M61" s="65"/>
      <c r="N61" s="66"/>
      <c r="O61" s="65"/>
      <c r="P61" s="65"/>
      <c r="Q61" s="65"/>
      <c r="R61" s="66"/>
      <c r="S61" s="69"/>
      <c r="T61" s="69"/>
      <c r="U61" s="69"/>
      <c r="V61" s="66"/>
      <c r="AD61" s="66"/>
    </row>
    <row r="62" spans="2:64" s="155" customFormat="1" ht="16.5" thickBot="1">
      <c r="B62" s="1166" t="s">
        <v>251</v>
      </c>
      <c r="C62" s="133"/>
      <c r="D62" s="133"/>
      <c r="E62" s="134"/>
      <c r="F62" s="134"/>
      <c r="G62" s="134"/>
      <c r="H62" s="134"/>
      <c r="I62" s="216"/>
      <c r="J62" s="271"/>
      <c r="K62" s="69"/>
      <c r="L62" s="65"/>
      <c r="M62" s="65"/>
      <c r="N62" s="66"/>
      <c r="O62" s="65"/>
      <c r="P62" s="65"/>
      <c r="Q62" s="65"/>
      <c r="R62" s="66"/>
      <c r="S62" s="69"/>
      <c r="T62" s="69"/>
      <c r="U62" s="69"/>
      <c r="V62" s="66"/>
      <c r="AD62" s="66"/>
    </row>
    <row r="63" spans="2:64" s="155" customFormat="1">
      <c r="C63" s="156"/>
      <c r="D63" s="156"/>
      <c r="J63" s="271"/>
      <c r="K63" s="69"/>
      <c r="L63" s="65"/>
      <c r="M63" s="65"/>
      <c r="N63" s="66"/>
      <c r="O63" s="65"/>
      <c r="P63" s="65"/>
      <c r="Q63" s="65"/>
      <c r="R63" s="66"/>
      <c r="S63" s="69"/>
      <c r="T63" s="69"/>
      <c r="U63" s="69"/>
      <c r="V63" s="66"/>
      <c r="AD63" s="66"/>
    </row>
  </sheetData>
  <sheetProtection algorithmName="SHA-512" hashValue="otffW3DzU1q5hKxPvKoQABwhnUpnzLd2vOTCcEs3Glmz9LhdHvPl3dPrg98sw819CZgPEP/BDkFzQX5LA6mY/A==" saltValue="46ftF+yWDlfJhxt5eYycaw==" spinCount="100000" sheet="1" objects="1" scenarios="1"/>
  <mergeCells count="6">
    <mergeCell ref="B55:C55"/>
    <mergeCell ref="S2:S4"/>
    <mergeCell ref="BD3:BE3"/>
    <mergeCell ref="W2:W4"/>
    <mergeCell ref="B3:C3"/>
    <mergeCell ref="O3:P3"/>
  </mergeCells>
  <conditionalFormatting sqref="K29 K39">
    <cfRule type="cellIs" dxfId="541" priority="19" operator="equal">
      <formula>0</formula>
    </cfRule>
  </conditionalFormatting>
  <conditionalFormatting sqref="K45">
    <cfRule type="cellIs" dxfId="540" priority="9" operator="equal">
      <formula>0</formula>
    </cfRule>
  </conditionalFormatting>
  <conditionalFormatting sqref="L6:L45">
    <cfRule type="cellIs" dxfId="539" priority="4" operator="equal">
      <formula>0</formula>
    </cfRule>
  </conditionalFormatting>
  <conditionalFormatting sqref="L48:L50">
    <cfRule type="cellIs" dxfId="538"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5" id="{2C0BA5D0-F997-4456-9A58-A278275B3967}">
            <xm:f>Validation!$H$3=1</xm:f>
            <x14:dxf>
              <fill>
                <patternFill>
                  <bgColor rgb="FFE0DCD8"/>
                </patternFill>
              </fill>
            </x14:dxf>
          </x14:cfRule>
          <xm:sqref>G15:I15 I12:I14</xm:sqref>
        </x14:conditionalFormatting>
        <x14:conditionalFormatting xmlns:xm="http://schemas.microsoft.com/office/excel/2006/main">
          <x14:cfRule type="expression" priority="6" id="{4D6B8079-D2AE-4814-8E37-2E6AA1223D8A}">
            <xm:f>Validation!$H$3=1</xm:f>
            <x14:dxf>
              <fill>
                <patternFill>
                  <bgColor rgb="FFE0DCD8"/>
                </patternFill>
              </fill>
            </x14:dxf>
          </x14:cfRule>
          <xm:sqref>G21:I21 I18:I20</xm:sqref>
        </x14:conditionalFormatting>
        <x14:conditionalFormatting xmlns:xm="http://schemas.microsoft.com/office/excel/2006/main">
          <x14:cfRule type="expression" priority="2" id="{F47F57AB-7E1E-4FB2-B1E5-8C75BD9B9C86}">
            <xm:f>Validation!$H$3=1</xm:f>
            <x14:dxf>
              <fill>
                <patternFill>
                  <bgColor rgb="FFE0DCD8"/>
                </patternFill>
              </fill>
            </x14:dxf>
          </x14:cfRule>
          <xm:sqref>H44:I46 H48:I51 H53:I53</xm:sqref>
        </x14:conditionalFormatting>
        <x14:conditionalFormatting xmlns:xm="http://schemas.microsoft.com/office/excel/2006/main">
          <x14:cfRule type="expression" priority="8"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3"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1" id="{2C3781D7-4DE7-4D9A-9C33-2A2402373B71}">
            <xm:f>Validation!$H$3=1</xm:f>
            <x14:dxf>
              <fill>
                <patternFill>
                  <bgColor rgb="FFE0DCD8"/>
                </patternFill>
              </fill>
            </x14:dxf>
          </x14:cfRule>
          <xm:sqref>BJ44:BK46 BJ48:BK51 BJ53:BK53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AG27"/>
  <sheetViews>
    <sheetView showGridLines="0" topLeftCell="A7" zoomScale="80" zoomScaleNormal="80" workbookViewId="0">
      <selection activeCell="G12" sqref="G12"/>
    </sheetView>
  </sheetViews>
  <sheetFormatPr defaultColWidth="0" defaultRowHeight="14.25" zeroHeight="1"/>
  <cols>
    <col min="1" max="1" width="0.625" style="69" customWidth="1"/>
    <col min="2" max="2" width="4.125" style="69" customWidth="1"/>
    <col min="3" max="3" width="55.125" style="69" customWidth="1"/>
    <col min="4" max="4" width="5.625" style="69" hidden="1" customWidth="1"/>
    <col min="5" max="6" width="5.125" style="69" customWidth="1"/>
    <col min="7" max="8" width="16.625" style="69" customWidth="1"/>
    <col min="9" max="9" width="2.625" style="65" customWidth="1"/>
    <col min="10" max="10" width="32.625" style="65" customWidth="1"/>
    <col min="11" max="11" width="20.625" style="65" customWidth="1"/>
    <col min="12" max="12" width="1.625" style="65" customWidth="1"/>
    <col min="13" max="13" width="1.625" style="66" hidden="1" customWidth="1"/>
    <col min="14" max="15" width="11.625" style="65" hidden="1" customWidth="1"/>
    <col min="16" max="16" width="1.625" style="66" hidden="1" customWidth="1"/>
    <col min="17" max="17" width="8.625" style="69" hidden="1" customWidth="1"/>
    <col min="18" max="18" width="1.625" style="66" hidden="1" customWidth="1"/>
    <col min="19" max="20" width="8.625" style="69" hidden="1" customWidth="1"/>
    <col min="21" max="21" width="81.625" style="69" hidden="1" customWidth="1"/>
    <col min="22" max="22" width="1.625" style="66" hidden="1" customWidth="1"/>
    <col min="23" max="26" width="8" style="69" hidden="1" customWidth="1"/>
    <col min="27" max="27" width="4.125" style="69" hidden="1" customWidth="1"/>
    <col min="28" max="28" width="55.125" style="69" hidden="1" customWidth="1"/>
    <col min="29" max="29" width="5.625" style="69" hidden="1" customWidth="1"/>
    <col min="30" max="31" width="5.125" style="69" hidden="1" customWidth="1"/>
    <col min="32" max="33" width="16.625" style="69" hidden="1" customWidth="1"/>
    <col min="34" max="16384" width="8" style="69" hidden="1"/>
  </cols>
  <sheetData>
    <row r="1" spans="2:33" customFormat="1" ht="20.25">
      <c r="B1" s="61" t="s">
        <v>1914</v>
      </c>
      <c r="C1" s="61"/>
      <c r="D1" s="61"/>
      <c r="E1" s="61"/>
      <c r="F1" s="61"/>
      <c r="G1" s="61"/>
      <c r="H1" s="63" t="str">
        <f>Validation!B3</f>
        <v>Thames Water</v>
      </c>
      <c r="I1" s="61"/>
      <c r="J1" s="61"/>
      <c r="K1" s="64" t="s">
        <v>94</v>
      </c>
      <c r="L1" s="65"/>
      <c r="M1" s="66"/>
      <c r="N1" s="65"/>
      <c r="O1" s="65"/>
      <c r="P1" s="66"/>
      <c r="Q1" s="65"/>
      <c r="R1" s="66"/>
      <c r="V1" s="66"/>
      <c r="AA1" s="61" t="s">
        <v>95</v>
      </c>
      <c r="AB1" s="61"/>
      <c r="AC1" s="61"/>
      <c r="AD1" s="61"/>
      <c r="AE1" s="61"/>
      <c r="AF1" s="61"/>
      <c r="AG1" s="63"/>
    </row>
    <row r="2" spans="2:33" ht="15" customHeight="1" thickBot="1">
      <c r="B2" s="68" t="s">
        <v>80</v>
      </c>
      <c r="C2" s="219"/>
      <c r="D2" s="219"/>
      <c r="Q2" s="65"/>
      <c r="AA2" s="68" t="s">
        <v>80</v>
      </c>
      <c r="AB2" s="219"/>
      <c r="AC2" s="219"/>
    </row>
    <row r="3" spans="2:33" ht="36.75" thickBot="1">
      <c r="B3" s="2299" t="s">
        <v>96</v>
      </c>
      <c r="C3" s="2300"/>
      <c r="D3" s="2210" t="s">
        <v>97</v>
      </c>
      <c r="E3" s="310" t="s">
        <v>98</v>
      </c>
      <c r="F3" s="311" t="s">
        <v>99</v>
      </c>
      <c r="G3" s="252" t="s">
        <v>1915</v>
      </c>
      <c r="H3" s="262" t="s">
        <v>1916</v>
      </c>
      <c r="J3" s="160" t="s">
        <v>675</v>
      </c>
      <c r="K3" s="162" t="s">
        <v>103</v>
      </c>
      <c r="N3" s="2255" t="s">
        <v>107</v>
      </c>
      <c r="O3" s="2255"/>
      <c r="Q3" s="2194" t="s">
        <v>86</v>
      </c>
      <c r="S3" s="2194" t="s">
        <v>742</v>
      </c>
      <c r="T3" s="2194"/>
      <c r="U3" s="2194"/>
      <c r="AA3" s="2299" t="s">
        <v>96</v>
      </c>
      <c r="AB3" s="2300"/>
      <c r="AC3" s="2210" t="s">
        <v>97</v>
      </c>
      <c r="AD3" s="310" t="s">
        <v>98</v>
      </c>
      <c r="AE3" s="311" t="s">
        <v>99</v>
      </c>
      <c r="AF3" s="252" t="s">
        <v>1915</v>
      </c>
      <c r="AG3" s="262" t="s">
        <v>1916</v>
      </c>
    </row>
    <row r="4" spans="2:33" ht="15" thickBot="1">
      <c r="C4" s="274"/>
      <c r="D4" s="274"/>
      <c r="Q4" s="211"/>
      <c r="S4" s="211"/>
      <c r="T4" s="211"/>
      <c r="U4" s="211"/>
      <c r="AB4" s="274"/>
      <c r="AC4" s="274"/>
    </row>
    <row r="5" spans="2:33" ht="15" thickBot="1">
      <c r="B5" s="2214" t="s">
        <v>214</v>
      </c>
      <c r="C5" s="77" t="s">
        <v>1917</v>
      </c>
      <c r="D5" s="1292"/>
      <c r="N5" s="78" t="s">
        <v>108</v>
      </c>
      <c r="O5" s="113"/>
      <c r="Q5"/>
      <c r="AA5" s="2214" t="s">
        <v>214</v>
      </c>
      <c r="AB5" s="77" t="s">
        <v>1917</v>
      </c>
      <c r="AC5" s="1292"/>
    </row>
    <row r="6" spans="2:33" ht="15" customHeight="1">
      <c r="B6" s="245" t="s">
        <v>1918</v>
      </c>
      <c r="C6" s="233" t="s">
        <v>1919</v>
      </c>
      <c r="D6" s="233"/>
      <c r="E6" s="255" t="s">
        <v>8</v>
      </c>
      <c r="F6" s="235">
        <v>3</v>
      </c>
      <c r="G6" s="366">
        <v>8.3390000000000004</v>
      </c>
      <c r="H6" s="727">
        <v>0</v>
      </c>
      <c r="K6" s="25">
        <f xml:space="preserve"> IF( SUM( M6:P6 ) = 0, 0, N$5 )</f>
        <v>0</v>
      </c>
      <c r="N6" s="86">
        <f t="shared" ref="N6:O8" si="0" xml:space="preserve"> IF( ISNUMBER( G6 ), 0, 1 )</f>
        <v>0</v>
      </c>
      <c r="O6" s="86">
        <f t="shared" si="0"/>
        <v>0</v>
      </c>
      <c r="Q6"/>
      <c r="AA6" s="245" t="s">
        <v>1918</v>
      </c>
      <c r="AB6" s="233" t="s">
        <v>1919</v>
      </c>
      <c r="AC6" s="233"/>
      <c r="AD6" s="255" t="s">
        <v>8</v>
      </c>
      <c r="AE6" s="235">
        <v>3</v>
      </c>
      <c r="AF6" s="1599" t="s">
        <v>1920</v>
      </c>
      <c r="AG6" s="1600" t="s">
        <v>1921</v>
      </c>
    </row>
    <row r="7" spans="2:33" ht="15" customHeight="1">
      <c r="B7" s="246" t="s">
        <v>1922</v>
      </c>
      <c r="C7" s="237" t="s">
        <v>1923</v>
      </c>
      <c r="D7" s="237"/>
      <c r="E7" s="256" t="s">
        <v>8</v>
      </c>
      <c r="F7" s="239">
        <v>3</v>
      </c>
      <c r="G7" s="368">
        <v>-4.8000000000000001E-2</v>
      </c>
      <c r="H7" s="728">
        <v>0</v>
      </c>
      <c r="K7" s="25">
        <f xml:space="preserve"> IF( SUM( M7:P7 ) = 0, 0, N$5 )</f>
        <v>0</v>
      </c>
      <c r="N7" s="86">
        <f t="shared" si="0"/>
        <v>0</v>
      </c>
      <c r="O7" s="86">
        <f t="shared" si="0"/>
        <v>0</v>
      </c>
      <c r="Q7"/>
      <c r="AA7" s="246" t="s">
        <v>1922</v>
      </c>
      <c r="AB7" s="237" t="s">
        <v>1923</v>
      </c>
      <c r="AC7" s="237"/>
      <c r="AD7" s="256" t="s">
        <v>8</v>
      </c>
      <c r="AE7" s="239">
        <v>3</v>
      </c>
      <c r="AF7" s="1601" t="s">
        <v>1924</v>
      </c>
      <c r="AG7" s="1602" t="s">
        <v>1925</v>
      </c>
    </row>
    <row r="8" spans="2:33" ht="15" customHeight="1">
      <c r="B8" s="246" t="s">
        <v>1926</v>
      </c>
      <c r="C8" s="237" t="s">
        <v>91</v>
      </c>
      <c r="D8" s="237"/>
      <c r="E8" s="256" t="s">
        <v>8</v>
      </c>
      <c r="F8" s="239">
        <v>3</v>
      </c>
      <c r="G8" s="368">
        <v>0</v>
      </c>
      <c r="H8" s="728">
        <v>0</v>
      </c>
      <c r="K8" s="25">
        <f xml:space="preserve"> IF( SUM( M8:P8 ) = 0, 0, N$5 )</f>
        <v>0</v>
      </c>
      <c r="N8" s="86">
        <f t="shared" si="0"/>
        <v>0</v>
      </c>
      <c r="O8" s="86">
        <f t="shared" si="0"/>
        <v>0</v>
      </c>
      <c r="Q8"/>
      <c r="AA8" s="246" t="s">
        <v>1926</v>
      </c>
      <c r="AB8" s="237" t="s">
        <v>91</v>
      </c>
      <c r="AC8" s="237"/>
      <c r="AD8" s="256" t="s">
        <v>8</v>
      </c>
      <c r="AE8" s="239">
        <v>3</v>
      </c>
      <c r="AF8" s="1601" t="s">
        <v>1927</v>
      </c>
      <c r="AG8" s="1602" t="s">
        <v>1928</v>
      </c>
    </row>
    <row r="9" spans="2:33" ht="29.1" customHeight="1" thickBot="1">
      <c r="B9" s="247" t="s">
        <v>1929</v>
      </c>
      <c r="C9" s="242" t="s">
        <v>680</v>
      </c>
      <c r="D9" s="242"/>
      <c r="E9" s="243" t="s">
        <v>8</v>
      </c>
      <c r="F9" s="244">
        <v>3</v>
      </c>
      <c r="G9" s="277">
        <f>SUM(G6:G8)</f>
        <v>8.2910000000000004</v>
      </c>
      <c r="H9" s="279">
        <f t="shared" ref="H9" si="1">SUM(H6:H8)</f>
        <v>0</v>
      </c>
      <c r="J9" s="1164" t="str">
        <f xml:space="preserve"> IF( SUM( P9:R9 ) = 0, 0, U9 )</f>
        <v>The total for water for the network reinforcement column should equal line 4D.16.</v>
      </c>
      <c r="K9" s="102"/>
      <c r="N9" s="240"/>
      <c r="O9" s="103"/>
      <c r="Q9" s="86">
        <f xml:space="preserve"> IF( (S9 - T9) = 0, 0, 1 )</f>
        <v>1</v>
      </c>
      <c r="R9" s="111"/>
      <c r="S9" s="143">
        <f xml:space="preserve"> G9</f>
        <v>8.2910000000000004</v>
      </c>
      <c r="T9" s="143">
        <f>'4D'!L25</f>
        <v>8.2260000000000009</v>
      </c>
      <c r="U9" s="1342" t="s">
        <v>1930</v>
      </c>
      <c r="AA9" s="247" t="s">
        <v>1929</v>
      </c>
      <c r="AB9" s="242" t="s">
        <v>680</v>
      </c>
      <c r="AC9" s="242"/>
      <c r="AD9" s="243" t="s">
        <v>8</v>
      </c>
      <c r="AE9" s="244">
        <v>3</v>
      </c>
      <c r="AF9" s="1588" t="s">
        <v>1931</v>
      </c>
      <c r="AG9" s="1603" t="s">
        <v>1932</v>
      </c>
    </row>
    <row r="10" spans="2:33" ht="15" thickBot="1">
      <c r="B10" s="280"/>
      <c r="C10" s="141"/>
      <c r="D10" s="141"/>
      <c r="E10" s="229"/>
      <c r="F10" s="229"/>
      <c r="G10" s="281"/>
      <c r="H10" s="281"/>
      <c r="K10" s="102"/>
      <c r="N10" s="240"/>
      <c r="O10" s="103"/>
      <c r="Q10"/>
      <c r="AA10" s="280"/>
      <c r="AB10" s="141"/>
      <c r="AC10" s="141"/>
      <c r="AD10" s="229"/>
      <c r="AE10" s="229"/>
      <c r="AF10" s="1604"/>
      <c r="AG10" s="1604"/>
    </row>
    <row r="11" spans="2:33" ht="15" thickBot="1">
      <c r="B11" s="2214" t="s">
        <v>236</v>
      </c>
      <c r="C11" s="107" t="s">
        <v>1933</v>
      </c>
      <c r="D11" s="1292"/>
      <c r="E11" s="231"/>
      <c r="F11" s="231"/>
      <c r="G11" s="230"/>
      <c r="H11" s="230"/>
      <c r="K11" s="102"/>
      <c r="N11" s="240"/>
      <c r="O11" s="103"/>
      <c r="Q11"/>
      <c r="AA11" s="2214" t="s">
        <v>236</v>
      </c>
      <c r="AB11" s="107" t="s">
        <v>1933</v>
      </c>
      <c r="AC11" s="1292"/>
      <c r="AD11" s="231"/>
      <c r="AE11" s="231"/>
      <c r="AF11" s="1605"/>
      <c r="AG11" s="1605"/>
    </row>
    <row r="12" spans="2:33" ht="15" customHeight="1">
      <c r="B12" s="245" t="s">
        <v>1934</v>
      </c>
      <c r="C12" s="233" t="s">
        <v>1935</v>
      </c>
      <c r="D12" s="233"/>
      <c r="E12" s="255" t="s">
        <v>8</v>
      </c>
      <c r="F12" s="235">
        <v>3</v>
      </c>
      <c r="G12" s="366">
        <v>3.6640000000000001</v>
      </c>
      <c r="H12" s="727">
        <v>0</v>
      </c>
      <c r="K12" s="25">
        <f xml:space="preserve"> IF( SUM( M12:P12 ) = 0, 0, N$5 )</f>
        <v>0</v>
      </c>
      <c r="N12" s="86">
        <f>IF(Validation!$H$3=1,0,IF(ISNUMBER(G12),0,1))</f>
        <v>0</v>
      </c>
      <c r="O12" s="86">
        <f>IF(Validation!$H$3=1,0,IF(ISNUMBER(H12),0,1))</f>
        <v>0</v>
      </c>
      <c r="Q12"/>
      <c r="AA12" s="245" t="s">
        <v>1934</v>
      </c>
      <c r="AB12" s="233" t="s">
        <v>1935</v>
      </c>
      <c r="AC12" s="233"/>
      <c r="AD12" s="255" t="s">
        <v>8</v>
      </c>
      <c r="AE12" s="235">
        <v>3</v>
      </c>
      <c r="AF12" s="1599" t="s">
        <v>1936</v>
      </c>
      <c r="AG12" s="1600" t="s">
        <v>1937</v>
      </c>
    </row>
    <row r="13" spans="2:33" ht="15" customHeight="1">
      <c r="B13" s="246" t="s">
        <v>1938</v>
      </c>
      <c r="C13" s="237" t="s">
        <v>1939</v>
      </c>
      <c r="D13" s="237"/>
      <c r="E13" s="256" t="s">
        <v>8</v>
      </c>
      <c r="F13" s="239">
        <v>3</v>
      </c>
      <c r="G13" s="368">
        <v>2.871</v>
      </c>
      <c r="H13" s="728">
        <v>0</v>
      </c>
      <c r="K13" s="25">
        <f xml:space="preserve"> IF( SUM( M13:P13 ) = 0, 0, N$5 )</f>
        <v>0</v>
      </c>
      <c r="N13" s="86">
        <f>IF(Validation!$H$3=1,0,IF(ISNUMBER(G13),0,1))</f>
        <v>0</v>
      </c>
      <c r="O13" s="86">
        <f>IF(Validation!$H$3=1,0,IF(ISNUMBER(H13),0,1))</f>
        <v>0</v>
      </c>
      <c r="Q13"/>
      <c r="AA13" s="246" t="s">
        <v>1938</v>
      </c>
      <c r="AB13" s="237" t="s">
        <v>1939</v>
      </c>
      <c r="AC13" s="237"/>
      <c r="AD13" s="256" t="s">
        <v>8</v>
      </c>
      <c r="AE13" s="239">
        <v>3</v>
      </c>
      <c r="AF13" s="1601" t="s">
        <v>1940</v>
      </c>
      <c r="AG13" s="1602" t="s">
        <v>1941</v>
      </c>
    </row>
    <row r="14" spans="2:33" ht="15" customHeight="1">
      <c r="B14" s="246" t="s">
        <v>1942</v>
      </c>
      <c r="C14" s="237" t="s">
        <v>1923</v>
      </c>
      <c r="D14" s="237"/>
      <c r="E14" s="256" t="s">
        <v>8</v>
      </c>
      <c r="F14" s="239">
        <v>3</v>
      </c>
      <c r="G14" s="368">
        <v>0.78500000000000003</v>
      </c>
      <c r="H14" s="728">
        <v>0</v>
      </c>
      <c r="K14" s="25">
        <f xml:space="preserve"> IF( SUM( M14:P14 ) = 0, 0, N$5 )</f>
        <v>0</v>
      </c>
      <c r="N14" s="86">
        <f>IF(Validation!$H$3=1,0,IF(ISNUMBER(G14),0,1))</f>
        <v>0</v>
      </c>
      <c r="O14" s="86">
        <f>IF(Validation!$H$3=1,0,IF(ISNUMBER(H14),0,1))</f>
        <v>0</v>
      </c>
      <c r="Q14"/>
      <c r="AA14" s="246" t="s">
        <v>1942</v>
      </c>
      <c r="AB14" s="237" t="s">
        <v>1923</v>
      </c>
      <c r="AC14" s="237"/>
      <c r="AD14" s="256" t="s">
        <v>8</v>
      </c>
      <c r="AE14" s="239">
        <v>3</v>
      </c>
      <c r="AF14" s="1601" t="s">
        <v>1943</v>
      </c>
      <c r="AG14" s="1602" t="s">
        <v>1944</v>
      </c>
    </row>
    <row r="15" spans="2:33" ht="15" customHeight="1">
      <c r="B15" s="536" t="s">
        <v>1945</v>
      </c>
      <c r="C15" s="237" t="s">
        <v>91</v>
      </c>
      <c r="D15" s="237"/>
      <c r="E15" s="256" t="s">
        <v>8</v>
      </c>
      <c r="F15" s="239">
        <v>3</v>
      </c>
      <c r="G15" s="729">
        <v>0</v>
      </c>
      <c r="H15" s="730">
        <v>0</v>
      </c>
      <c r="K15" s="25">
        <f xml:space="preserve"> IF( SUM( M15:P15 ) = 0, 0, N$5 )</f>
        <v>0</v>
      </c>
      <c r="N15" s="86">
        <f>IF(Validation!$H$3=1,0,IF(ISNUMBER(G15),0,1))</f>
        <v>0</v>
      </c>
      <c r="O15" s="86">
        <f>IF(Validation!$H$3=1,0,IF(ISNUMBER(H15),0,1))</f>
        <v>0</v>
      </c>
      <c r="AA15" s="536" t="s">
        <v>1945</v>
      </c>
      <c r="AB15" s="237" t="s">
        <v>91</v>
      </c>
      <c r="AC15" s="237"/>
      <c r="AD15" s="256" t="s">
        <v>8</v>
      </c>
      <c r="AE15" s="239">
        <v>3</v>
      </c>
      <c r="AF15" s="1606" t="s">
        <v>1946</v>
      </c>
      <c r="AG15" s="1607" t="s">
        <v>1947</v>
      </c>
    </row>
    <row r="16" spans="2:33" ht="29.1" customHeight="1" thickBot="1">
      <c r="B16" s="247" t="s">
        <v>1948</v>
      </c>
      <c r="C16" s="242" t="s">
        <v>680</v>
      </c>
      <c r="D16" s="242"/>
      <c r="E16" s="243" t="s">
        <v>8</v>
      </c>
      <c r="F16" s="244">
        <v>3</v>
      </c>
      <c r="G16" s="277">
        <f xml:space="preserve"> SUM(G12:G15)</f>
        <v>7.32</v>
      </c>
      <c r="H16" s="279">
        <f xml:space="preserve"> SUM(H12:H15)</f>
        <v>0</v>
      </c>
      <c r="J16" s="1164" t="str">
        <f xml:space="preserve"> IF( SUM( P16:R16 ) = 0, 0, U16 )</f>
        <v xml:space="preserve">The total for wastewater for the network reinforcement column should equal line 4E.16. </v>
      </c>
      <c r="K16" s="112"/>
      <c r="N16" s="240"/>
      <c r="O16" s="103"/>
      <c r="Q16" s="86">
        <f xml:space="preserve"> IF( (S16 - T16) = 0, 0, 1 )</f>
        <v>1</v>
      </c>
      <c r="R16" s="111"/>
      <c r="S16" s="143">
        <f xml:space="preserve"> G16</f>
        <v>7.32</v>
      </c>
      <c r="T16" s="143">
        <f>SUM('4E'!G25:I25)</f>
        <v>7.3090000000000002</v>
      </c>
      <c r="U16" s="1342" t="s">
        <v>1949</v>
      </c>
      <c r="AA16" s="247" t="s">
        <v>1948</v>
      </c>
      <c r="AB16" s="242" t="s">
        <v>680</v>
      </c>
      <c r="AC16" s="242"/>
      <c r="AD16" s="243" t="s">
        <v>8</v>
      </c>
      <c r="AE16" s="244">
        <v>3</v>
      </c>
      <c r="AF16" s="1588" t="s">
        <v>1950</v>
      </c>
      <c r="AG16" s="1603" t="s">
        <v>1951</v>
      </c>
    </row>
    <row r="17" spans="2:33">
      <c r="B17" s="280"/>
      <c r="C17" s="141"/>
      <c r="D17" s="141"/>
      <c r="E17" s="229"/>
      <c r="F17" s="229"/>
      <c r="G17" s="281"/>
      <c r="H17" s="281"/>
      <c r="K17" s="112"/>
      <c r="N17" s="240"/>
      <c r="O17" s="103"/>
      <c r="Q17"/>
      <c r="AA17" s="280"/>
      <c r="AB17" s="141"/>
      <c r="AC17" s="141"/>
      <c r="AD17" s="229"/>
      <c r="AE17" s="229"/>
      <c r="AF17" s="281"/>
      <c r="AG17" s="281"/>
    </row>
    <row r="18" spans="2:33" s="65" customFormat="1">
      <c r="I18" s="292"/>
      <c r="J18" s="292"/>
      <c r="K18" s="112"/>
      <c r="L18" s="110"/>
      <c r="M18" s="114"/>
      <c r="N18" s="240"/>
      <c r="O18" s="112"/>
      <c r="P18" s="114"/>
      <c r="Q18"/>
      <c r="R18" s="66"/>
      <c r="S18" s="69"/>
      <c r="T18" s="69"/>
      <c r="U18" s="69"/>
      <c r="V18" s="66"/>
    </row>
    <row r="19" spans="2:33" s="142" customFormat="1">
      <c r="B19" s="2256" t="s">
        <v>275</v>
      </c>
      <c r="C19" s="2256"/>
      <c r="D19" s="2195"/>
      <c r="I19" s="292"/>
      <c r="J19" s="292"/>
      <c r="K19" s="112"/>
      <c r="L19" s="110"/>
      <c r="M19" s="114"/>
      <c r="N19" s="240"/>
      <c r="O19" s="112"/>
      <c r="P19" s="114"/>
      <c r="Q19"/>
      <c r="R19" s="66"/>
      <c r="S19" s="69"/>
      <c r="T19" s="69"/>
      <c r="U19" s="69"/>
      <c r="V19" s="66"/>
    </row>
    <row r="20" spans="2:33" s="142" customFormat="1">
      <c r="B20" s="127"/>
      <c r="C20" s="128"/>
      <c r="D20" s="128"/>
      <c r="I20" s="292"/>
      <c r="J20" s="292"/>
      <c r="K20" s="112"/>
      <c r="L20" s="110"/>
      <c r="M20" s="114"/>
      <c r="N20" s="240"/>
      <c r="O20" s="112"/>
      <c r="P20" s="114"/>
      <c r="Q20"/>
      <c r="R20" s="66"/>
      <c r="S20" s="69"/>
      <c r="T20" s="69"/>
      <c r="U20" s="69"/>
      <c r="V20" s="66"/>
    </row>
    <row r="21" spans="2:33" s="142" customFormat="1">
      <c r="B21" s="26"/>
      <c r="C21" s="129" t="s">
        <v>249</v>
      </c>
      <c r="D21" s="129"/>
      <c r="I21" s="271"/>
      <c r="J21" s="271"/>
      <c r="K21" s="65"/>
      <c r="L21" s="65"/>
      <c r="M21" s="66"/>
      <c r="N21" s="65"/>
      <c r="O21" s="65"/>
      <c r="P21" s="66"/>
      <c r="Q21"/>
      <c r="R21" s="66"/>
      <c r="S21" s="69"/>
      <c r="T21" s="69"/>
      <c r="U21" s="69"/>
      <c r="V21" s="66"/>
    </row>
    <row r="22" spans="2:33" s="142" customFormat="1">
      <c r="B22" s="127"/>
      <c r="C22" s="128"/>
      <c r="D22" s="128"/>
      <c r="I22" s="270"/>
      <c r="J22" s="270"/>
      <c r="K22" s="65"/>
      <c r="L22" s="65"/>
      <c r="M22" s="66"/>
      <c r="N22" s="65"/>
      <c r="O22" s="65"/>
      <c r="P22" s="66"/>
      <c r="Q22"/>
      <c r="R22" s="66"/>
      <c r="S22" s="69"/>
      <c r="T22" s="69"/>
      <c r="U22" s="69"/>
      <c r="V22" s="66"/>
    </row>
    <row r="23" spans="2:33" s="142" customFormat="1">
      <c r="B23" s="130"/>
      <c r="C23" s="129" t="s">
        <v>250</v>
      </c>
      <c r="D23" s="129"/>
      <c r="I23" s="271"/>
      <c r="J23" s="271"/>
      <c r="K23" s="65"/>
      <c r="L23" s="65"/>
      <c r="M23" s="66"/>
      <c r="N23" s="65"/>
      <c r="O23" s="65"/>
      <c r="P23" s="66"/>
      <c r="Q23" s="113"/>
      <c r="R23" s="114"/>
      <c r="S23" s="143"/>
      <c r="T23" s="143"/>
      <c r="U23" s="69"/>
      <c r="V23" s="114"/>
    </row>
    <row r="24" spans="2:33" s="142" customFormat="1">
      <c r="B24" s="131"/>
      <c r="C24" s="129"/>
      <c r="D24" s="129"/>
      <c r="I24" s="271"/>
      <c r="J24" s="271"/>
      <c r="K24" s="65"/>
      <c r="L24" s="65"/>
      <c r="M24" s="66"/>
      <c r="N24" s="65"/>
      <c r="O24" s="65"/>
      <c r="P24" s="66"/>
      <c r="Q24"/>
      <c r="R24" s="111"/>
      <c r="S24" s="69"/>
      <c r="T24" s="69"/>
      <c r="U24" s="69"/>
      <c r="V24" s="111"/>
    </row>
    <row r="25" spans="2:33" s="155" customFormat="1" ht="15" thickBot="1">
      <c r="C25" s="156"/>
      <c r="D25" s="156"/>
      <c r="I25" s="271"/>
      <c r="J25" s="271"/>
      <c r="K25" s="65"/>
      <c r="L25" s="65"/>
      <c r="M25" s="66"/>
      <c r="N25" s="65"/>
      <c r="O25" s="65"/>
      <c r="P25" s="66"/>
      <c r="Q25"/>
      <c r="R25" s="111"/>
      <c r="S25" s="69"/>
      <c r="T25" s="69"/>
      <c r="U25" s="69"/>
      <c r="V25" s="111"/>
    </row>
    <row r="26" spans="2:33" s="155" customFormat="1" ht="16.5" thickBot="1">
      <c r="B26" s="1166" t="s">
        <v>251</v>
      </c>
      <c r="C26" s="133"/>
      <c r="D26" s="133"/>
      <c r="E26" s="134"/>
      <c r="F26" s="134"/>
      <c r="G26" s="134"/>
      <c r="H26" s="216"/>
      <c r="I26" s="271"/>
      <c r="J26" s="271"/>
      <c r="K26" s="65"/>
      <c r="L26" s="65"/>
      <c r="M26" s="66"/>
      <c r="N26" s="65"/>
      <c r="O26" s="65"/>
      <c r="P26" s="66"/>
      <c r="Q26"/>
      <c r="R26" s="111"/>
      <c r="S26" s="69"/>
      <c r="T26" s="69"/>
      <c r="U26" s="69"/>
      <c r="V26" s="111"/>
    </row>
    <row r="27" spans="2:33" s="155" customFormat="1">
      <c r="C27" s="156"/>
      <c r="D27" s="156"/>
      <c r="I27" s="271"/>
      <c r="J27" s="271"/>
      <c r="K27" s="65"/>
      <c r="L27" s="65"/>
      <c r="M27" s="66"/>
      <c r="N27" s="65"/>
      <c r="O27" s="65"/>
      <c r="P27" s="66"/>
      <c r="Q27"/>
      <c r="R27" s="111"/>
      <c r="S27" s="69"/>
      <c r="T27" s="69"/>
      <c r="U27" s="69"/>
      <c r="V27" s="111"/>
    </row>
  </sheetData>
  <sheetProtection algorithmName="SHA-512" hashValue="3Sk6wtFf72od8RC5BgtBYes1+gtCXcNVl0BnP79bZICHe5/IoTNQTCLBV32Hj9SQEIcVc15GzKeOHWQUxSP/fQ==" saltValue="aGekBNQHLwfXvjo5V2EAGA==" spinCount="100000" sheet="1" objects="1" scenarios="1"/>
  <mergeCells count="4">
    <mergeCell ref="AA3:AB3"/>
    <mergeCell ref="B3:C3"/>
    <mergeCell ref="N3:O3"/>
    <mergeCell ref="B19:C19"/>
  </mergeCells>
  <conditionalFormatting sqref="J9">
    <cfRule type="cellIs" dxfId="531" priority="4" operator="equal">
      <formula>0</formula>
    </cfRule>
  </conditionalFormatting>
  <conditionalFormatting sqref="J16">
    <cfRule type="cellIs" dxfId="530" priority="3" operator="equal">
      <formula>0</formula>
    </cfRule>
  </conditionalFormatting>
  <conditionalFormatting sqref="K6:K17">
    <cfRule type="cellIs" dxfId="529"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55"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G16:H16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3479"/>
    <pageSetUpPr fitToPage="1"/>
  </sheetPr>
  <dimension ref="A1:L6"/>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1" spans="12:12" hidden="1"/>
    <row r="6" spans="12:12" ht="14.25" hidden="1" customHeight="1">
      <c r="L6">
        <f>IF(Validation!$H$3=1,0,IF(ISNUMBER(#REF!),0,1))</f>
        <v>1</v>
      </c>
    </row>
  </sheetData>
  <sheetProtection algorithmName="SHA-512" hashValue="nQO6NBkKdcxGHvoo7u7jHZmQt9KwiOO9XhzuI0YAUJeOV7yP7g3dP+Yv9nhyFBsAmSDqjpDT3Gviaa2LM4vkDg==" saltValue="z5SGx0grow26PGTNAJqgl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AI79"/>
  <sheetViews>
    <sheetView showGridLines="0" zoomScale="80" zoomScaleNormal="80" workbookViewId="0">
      <selection activeCell="J5" sqref="J5"/>
    </sheetView>
  </sheetViews>
  <sheetFormatPr defaultColWidth="0" defaultRowHeight="14.25" zeroHeight="1"/>
  <cols>
    <col min="1" max="1" width="0.625" customWidth="1"/>
    <col min="2" max="2" width="6.625" customWidth="1"/>
    <col min="3" max="3" width="19.5" customWidth="1"/>
    <col min="4" max="4" width="71.5" customWidth="1"/>
    <col min="5" max="5" width="8.625" customWidth="1"/>
    <col min="6" max="6" width="36.625" customWidth="1"/>
    <col min="7" max="7" width="8.625" customWidth="1"/>
    <col min="8" max="8" width="14.625" customWidth="1"/>
    <col min="9" max="9" width="15.625" style="553" customWidth="1"/>
    <col min="10" max="10" width="15.625" customWidth="1"/>
    <col min="11" max="11" width="27.5" customWidth="1"/>
    <col min="12" max="12" width="17.5" customWidth="1"/>
    <col min="13" max="13" width="27.5" customWidth="1"/>
    <col min="14" max="14" width="17.5" customWidth="1"/>
    <col min="15" max="15" width="28.125" customWidth="1"/>
    <col min="16" max="16" width="23.125" customWidth="1"/>
    <col min="17" max="17" width="2.625" style="65" customWidth="1"/>
    <col min="18" max="18" width="21.625" style="65" customWidth="1"/>
    <col min="19" max="19" width="19.625" style="65" customWidth="1"/>
    <col min="20" max="20" width="1.625" style="65" customWidth="1"/>
    <col min="21" max="21" width="1.625" style="66" hidden="1" customWidth="1"/>
    <col min="22" max="30" width="3.625" style="65" hidden="1" customWidth="1"/>
    <col min="31" max="31" width="1.625" style="66" hidden="1" customWidth="1"/>
    <col min="32" max="33" width="12.5" hidden="1" customWidth="1"/>
    <col min="34" max="34" width="1.625" style="442" hidden="1" customWidth="1"/>
    <col min="35" max="35" width="12.625" hidden="1" customWidth="1"/>
    <col min="36" max="16384" width="8.625" hidden="1"/>
  </cols>
  <sheetData>
    <row r="1" spans="1:35" s="70" customFormat="1" ht="22.5" customHeight="1">
      <c r="A1" s="69"/>
      <c r="B1" s="61" t="s">
        <v>1952</v>
      </c>
      <c r="C1" s="61"/>
      <c r="D1" s="61"/>
      <c r="E1" s="61"/>
      <c r="F1" s="63" t="str">
        <f>Validation!B3</f>
        <v>Thames Water</v>
      </c>
      <c r="G1" s="61"/>
      <c r="H1" s="61"/>
      <c r="I1" s="612"/>
      <c r="J1" s="61"/>
      <c r="K1" s="61"/>
      <c r="L1" s="61"/>
      <c r="M1" s="61"/>
      <c r="N1" s="61"/>
      <c r="O1" s="63"/>
      <c r="P1" s="63" t="str">
        <f>Validation!B3</f>
        <v>Thames Water</v>
      </c>
      <c r="Q1" s="61"/>
      <c r="R1" s="64"/>
      <c r="S1" s="64" t="s">
        <v>94</v>
      </c>
      <c r="T1" s="65"/>
      <c r="U1" s="66"/>
      <c r="V1" s="258"/>
      <c r="W1" s="65"/>
      <c r="X1" s="65"/>
      <c r="Y1" s="65"/>
      <c r="Z1" s="65"/>
      <c r="AA1" s="65"/>
      <c r="AB1" s="65"/>
      <c r="AC1" s="65"/>
      <c r="AD1" s="65"/>
      <c r="AE1" s="66"/>
      <c r="AH1" s="439"/>
    </row>
    <row r="2" spans="1:35" s="70" customFormat="1" ht="16.5" customHeight="1" thickBot="1">
      <c r="A2" s="69"/>
      <c r="B2" s="68" t="s">
        <v>80</v>
      </c>
      <c r="C2" s="259"/>
      <c r="D2" s="69"/>
      <c r="E2" s="69"/>
      <c r="F2" s="69"/>
      <c r="G2" s="69"/>
      <c r="H2" s="69"/>
      <c r="I2" s="144"/>
      <c r="J2" s="69"/>
      <c r="K2" s="69"/>
      <c r="L2" s="69"/>
      <c r="M2" s="69"/>
      <c r="N2" s="69"/>
      <c r="O2" s="69"/>
      <c r="P2" s="69"/>
      <c r="Q2" s="69"/>
      <c r="R2" s="69"/>
      <c r="S2" s="65"/>
      <c r="T2" s="65"/>
      <c r="U2" s="66"/>
      <c r="V2" s="71" t="s">
        <v>107</v>
      </c>
      <c r="W2" s="2194"/>
      <c r="X2" s="2194"/>
      <c r="Y2" s="2194"/>
      <c r="Z2" s="2194"/>
      <c r="AA2" s="2194"/>
      <c r="AB2" s="2194"/>
      <c r="AC2" s="2194"/>
      <c r="AD2" s="2194"/>
      <c r="AE2" s="66"/>
      <c r="AF2" s="437" t="s">
        <v>1953</v>
      </c>
      <c r="AG2" s="437"/>
      <c r="AH2" s="439"/>
    </row>
    <row r="3" spans="1:35" s="70" customFormat="1" ht="108.75" customHeight="1" thickBot="1">
      <c r="A3" s="69"/>
      <c r="B3" s="252" t="s">
        <v>1954</v>
      </c>
      <c r="C3" s="2203" t="s">
        <v>1955</v>
      </c>
      <c r="D3" s="260" t="s">
        <v>1956</v>
      </c>
      <c r="E3" s="261" t="s">
        <v>3</v>
      </c>
      <c r="F3" s="261" t="s">
        <v>1957</v>
      </c>
      <c r="G3" s="261" t="s">
        <v>26</v>
      </c>
      <c r="H3" s="261" t="s">
        <v>1958</v>
      </c>
      <c r="I3" s="261" t="s">
        <v>1959</v>
      </c>
      <c r="J3" s="261" t="s">
        <v>1960</v>
      </c>
      <c r="K3" s="262" t="s">
        <v>1961</v>
      </c>
      <c r="L3" s="262" t="s">
        <v>1962</v>
      </c>
      <c r="M3" s="262" t="s">
        <v>1963</v>
      </c>
      <c r="N3" s="262" t="s">
        <v>1964</v>
      </c>
      <c r="O3" s="262" t="s">
        <v>1965</v>
      </c>
      <c r="P3" s="253" t="s">
        <v>1966</v>
      </c>
      <c r="Q3" s="65"/>
      <c r="R3" s="160" t="s">
        <v>1967</v>
      </c>
      <c r="S3" s="161" t="s">
        <v>103</v>
      </c>
      <c r="T3" s="65"/>
      <c r="U3" s="66"/>
      <c r="V3" s="78" t="s">
        <v>108</v>
      </c>
      <c r="W3" s="211"/>
      <c r="X3" s="211"/>
      <c r="Y3" s="211"/>
      <c r="Z3" s="211"/>
      <c r="AA3" s="211"/>
      <c r="AB3" s="211"/>
      <c r="AC3" s="211"/>
      <c r="AD3" s="211"/>
      <c r="AE3" s="66"/>
      <c r="AF3" s="444" t="s">
        <v>1968</v>
      </c>
      <c r="AG3" s="444" t="s">
        <v>1969</v>
      </c>
      <c r="AH3" s="439"/>
    </row>
    <row r="4" spans="1:35" s="70" customFormat="1" ht="15" customHeight="1" thickBot="1">
      <c r="A4" s="69"/>
      <c r="B4" s="69"/>
      <c r="C4" s="69"/>
      <c r="D4" s="69"/>
      <c r="E4" s="69"/>
      <c r="F4" s="69"/>
      <c r="G4" s="69"/>
      <c r="H4" s="69"/>
      <c r="I4" s="144"/>
      <c r="J4" s="69"/>
      <c r="K4" s="69"/>
      <c r="L4" s="69"/>
      <c r="M4" s="69"/>
      <c r="N4" s="69"/>
      <c r="O4" s="69"/>
      <c r="P4" s="69"/>
      <c r="Q4" s="69"/>
      <c r="R4" s="69"/>
      <c r="S4" s="69"/>
      <c r="T4" s="65"/>
      <c r="U4" s="66"/>
      <c r="V4" s="263" t="s">
        <v>1970</v>
      </c>
      <c r="W4" s="264" t="s">
        <v>1971</v>
      </c>
      <c r="X4" s="264" t="s">
        <v>1972</v>
      </c>
      <c r="Y4" s="264" t="s">
        <v>1973</v>
      </c>
      <c r="Z4" s="264" t="s">
        <v>1974</v>
      </c>
      <c r="AA4" s="264" t="s">
        <v>1975</v>
      </c>
      <c r="AB4" s="264" t="s">
        <v>1976</v>
      </c>
      <c r="AC4" s="264" t="s">
        <v>1977</v>
      </c>
      <c r="AD4" s="264" t="s">
        <v>1978</v>
      </c>
      <c r="AE4" s="66"/>
      <c r="AH4" s="439"/>
    </row>
    <row r="5" spans="1:35" s="70" customFormat="1" ht="30" customHeight="1">
      <c r="A5" s="69"/>
      <c r="B5" s="245">
        <v>1</v>
      </c>
      <c r="C5" s="265" t="str">
        <f>IF($P$1="Select company","",IF((HLOOKUP((VLOOKUP($P$1,Lists!$B$4:$C$23,2,FALSE)),'PC list edited'!$A$2:$DV$65,(B5+1),FALSE))=0,"",HLOOKUP((VLOOKUP($P$1,Lists!$B$4:$C$23,2,FALSE)),'PC list edited'!$A$2:$DV$65,(B5+1),FALSE)))</f>
        <v>PR14TMSWSW_WA1</v>
      </c>
      <c r="D5" s="266" t="str">
        <f>IF($P$1="Select company","",IF(C5 ="","",HLOOKUP(((VLOOKUP($P$1,Lists!$B$4:$C$23,2,FALSE))&amp;"PC"),'PC list edited'!$A$2:$DV$65,(B5+1),FALSE)))</f>
        <v>WA1: Improve handling of written complaints by increasing 1st time resolution</v>
      </c>
      <c r="E5" s="267" t="str">
        <f>IF($P$1="Select company","",IF(C5 ="","",HLOOKUP(((VLOOKUP($P$1,Lists!$B$4:$C$23,2,FALSE))&amp;"unit"),'PC list edited'!$A$2:$DV$65,(B5+1),FALSE)))</f>
        <v>%</v>
      </c>
      <c r="F5" s="267" t="str">
        <f>IF($P$1="Select company","",IF(C5 ="","",HLOOKUP(((VLOOKUP($P$1,Lists!$B$4:$C$23,2,FALSE))&amp;"UnitDes"),'PC list edited'!$A$2:$DV$65,(B5+1),FALSE)))</f>
        <v>% written complaints resolved 1st time</v>
      </c>
      <c r="G5" s="267">
        <f>IF($P$1="Select company","",IF(C5="","",HLOOKUP(((VLOOKUP($P$1,Lists!$B$4:$C$23,2,FALSE))&amp;"DP"),'PC list edited'!$A$2:$DV$65,(B5+1),FALSE)))</f>
        <v>0</v>
      </c>
      <c r="H5" s="267">
        <f>IF($P$1="Select company","",IF(C5 = "","",HLOOKUP(((VLOOKUP($P$1,Lists!$B$4:$C$23,2,FALSE))&amp;"201617Actual"),'PC list edited'!$A$2:$DV$65,(B5+1),FALSE)))</f>
        <v>95.63</v>
      </c>
      <c r="I5" s="472">
        <v>96.03</v>
      </c>
      <c r="J5" s="568" t="s">
        <v>1979</v>
      </c>
      <c r="K5" s="427"/>
      <c r="L5" s="428"/>
      <c r="M5" s="427"/>
      <c r="N5" s="428"/>
      <c r="O5" s="427"/>
      <c r="P5" s="429"/>
      <c r="Q5" s="65"/>
      <c r="R5" s="436">
        <f>IF(AF5=1, $AF$3, IF(AG5=1, $AG$3, 0))</f>
        <v>0</v>
      </c>
      <c r="S5" s="25">
        <f xml:space="preserve"> IF( SUM( U5:AE5 ) = 0, 0, $V$3 )</f>
        <v>0</v>
      </c>
      <c r="T5" s="65"/>
      <c r="U5" s="66"/>
      <c r="V5" s="86">
        <f>IF($C5="",0,IF(ISBLANK(I5)=FALSE,0,1))</f>
        <v>0</v>
      </c>
      <c r="W5" s="86">
        <f>IF($C5="",0,IF(ISBLANK(#REF!)=FALSE,0,1))</f>
        <v>0</v>
      </c>
      <c r="X5" s="86">
        <f t="shared" ref="X5:X49" si="0">IF($C5="",0,IF(ISBLANK(J5)=FALSE,0,1))</f>
        <v>0</v>
      </c>
      <c r="Y5" s="86">
        <f>IF(OR(ISBLANK(L5), L5=0), 0, IF(OR(K5=Lists!$F$11, K5=Lists!$F$13), 0, 1))</f>
        <v>0</v>
      </c>
      <c r="Z5" s="86">
        <f>IF(OR($C5="", AND(NOT(K5=Lists!$F$11), NOT(K5=Lists!$F$13))),0,IF(ISBLANK(L5)=FALSE,0,1))</f>
        <v>0</v>
      </c>
      <c r="AA5" s="86">
        <f>IF(OR(ISBLANK(N5), N5=0), 0, IF(OR(M5=Lists!$F$11, M5=Lists!$F$13), 0, 1))</f>
        <v>0</v>
      </c>
      <c r="AB5" s="86">
        <f>IF(OR($C5="", AND(NOT(M5=Lists!$F$11), NOT(M5=Lists!$F$13))),0,IF(ISBLANK(N5)=FALSE,0,1))</f>
        <v>0</v>
      </c>
      <c r="AC5" s="86">
        <f>IF(OR(ISBLANK(P5), P5=0), 0, IF(OR(O5=Lists!$F$11, O5=Lists!$F$13), 0, 1))</f>
        <v>0</v>
      </c>
      <c r="AD5" s="86">
        <f>IF(OR($C5="", AND(NOT(O5=Lists!$F$11), NOT(O5=Lists!$F$13))),0,IF(ISBLANK(P5)=FALSE,0,1))</f>
        <v>0</v>
      </c>
      <c r="AE5" s="66"/>
      <c r="AF5" s="438">
        <f xml:space="preserve"> IF(OR( AND( K5 = Lists!$F$11, '3A'!L5 &lt; 0), AND( '3A'!M5 = Lists!$F$11, '3A'!N5 &lt; 0), AND( '3A'!O5 = Lists!$F$11, '3A'!P5 &lt; 0)), 1, 0)</f>
        <v>0</v>
      </c>
      <c r="AG5" s="438">
        <f xml:space="preserve"> IF( OR( AND( K5 = Lists!$F$13, '3A'!L5 &gt; 0), AND( M5 = Lists!$F$13, '3A'!N5 &gt; 0), AND( O5 = Lists!$F$13, '3A'!P5 &gt; 0 )), 1, 0)</f>
        <v>0</v>
      </c>
      <c r="AH5" s="439"/>
      <c r="AI5" s="571" t="str">
        <f>IF($P$1="Select company","",IF((HLOOKUP(((VLOOKUP($P$1,Lists!$B$4:$C$23,2,FALSE))&amp;'PC LIST'!$J$2),'PC list edited'!$A$2:$DT$65,(B5+1),FALSE))=0,"",HLOOKUP(((VLOOKUP($P$1,Lists!$B$4:$C$23,2,FALSE))&amp; 'PC LIST'!$J$2),'PC list edited'!$A$2:$DT$65,(B5+1),FALSE)))</f>
        <v>NFI</v>
      </c>
    </row>
    <row r="6" spans="1:35" s="70" customFormat="1" ht="30" customHeight="1">
      <c r="A6" s="69"/>
      <c r="B6" s="246">
        <f xml:space="preserve"> B5 + 1</f>
        <v>2</v>
      </c>
      <c r="C6" s="426" t="str">
        <f>IF($P$1="Select company","",IF((HLOOKUP((VLOOKUP($P$1,Lists!$B$4:$C$23,2,FALSE)),'PC list edited'!$A$2:$DV$65,(B6+1),FALSE))=0,"",HLOOKUP((VLOOKUP($P$1,Lists!$B$4:$C$23,2,FALSE)),'PC list edited'!$A$2:$DV$65,(B6+1),FALSE)))</f>
        <v>PR14TMSWSW_WA2</v>
      </c>
      <c r="D6" s="425" t="str">
        <f>IF($P$1="Select company","",IF(C6 ="","",HLOOKUP(((VLOOKUP($P$1,Lists!$B$4:$C$23,2,FALSE))&amp;"PC"),'PC list edited'!$A$2:$DV$65,(B6+1),FALSE)))</f>
        <v>WA2: Number of written complaints per 10,000 connected properties</v>
      </c>
      <c r="E6" s="268" t="str">
        <f>IF($P$1="Select company","",IF(C6 ="","",HLOOKUP(((VLOOKUP($P$1,Lists!$B$4:$C$23,2,FALSE))&amp;"unit"),'PC list edited'!$A$2:$DV$65,(B6+1),FALSE)))</f>
        <v>nr</v>
      </c>
      <c r="F6" s="268" t="str">
        <f>IF($P$1="Select company","",IF(C6 ="","",HLOOKUP(((VLOOKUP($P$1,Lists!$B$4:$C$23,2,FALSE))&amp;"UnitDes"),'PC list edited'!$A$2:$DV$65,(B6+1),FALSE)))</f>
        <v>No. written complaints / 10,000 properties</v>
      </c>
      <c r="G6" s="268">
        <f>IF($P$1="Select company","",IF(C6="","",HLOOKUP(((VLOOKUP($P$1,Lists!$B$4:$C$23,2,FALSE))&amp;"DP"),'PC list edited'!$A$2:$DV$65,(B6+1),FALSE)))</f>
        <v>2</v>
      </c>
      <c r="H6" s="268">
        <f>IF($P$1="Select company","",IF(C6 = "","",HLOOKUP(((VLOOKUP($P$1,Lists!$B$4:$C$23,2,FALSE))&amp;"201617Actual"),'PC list edited'!$A$2:$DV$65,(B6+1),FALSE)))</f>
        <v>9.1249206385227879</v>
      </c>
      <c r="I6" s="474">
        <v>12.39</v>
      </c>
      <c r="J6" s="569" t="s">
        <v>1979</v>
      </c>
      <c r="K6" s="430"/>
      <c r="L6" s="431"/>
      <c r="M6" s="430"/>
      <c r="N6" s="431"/>
      <c r="O6" s="430"/>
      <c r="P6" s="432"/>
      <c r="Q6" s="65"/>
      <c r="R6" s="436">
        <f>IF(AF6=1, $AF$3, IF(AG6=1, $AG$3, 0))</f>
        <v>0</v>
      </c>
      <c r="S6" s="25">
        <f t="shared" ref="S6:S36" si="1" xml:space="preserve"> IF( SUM( U6:AE6 ) = 0, 0, $V$3 )</f>
        <v>0</v>
      </c>
      <c r="T6" s="65"/>
      <c r="U6" s="66"/>
      <c r="V6" s="86">
        <f t="shared" ref="V6:V36" si="2">IF($C6="",0,IF(ISBLANK(I6)=FALSE,0,1))</f>
        <v>0</v>
      </c>
      <c r="W6" s="86">
        <f>IF($C6="",0,IF(ISBLANK(#REF!)=FALSE,0,1))</f>
        <v>0</v>
      </c>
      <c r="X6" s="86">
        <f t="shared" si="0"/>
        <v>0</v>
      </c>
      <c r="Y6" s="86">
        <f>IF(OR(ISBLANK(L6), L6=0), 0, IF(OR(K6=Lists!$F$11, K6=Lists!$F$13), 0, 1))</f>
        <v>0</v>
      </c>
      <c r="Z6" s="86">
        <f>IF(OR($C6="", AND(NOT(K6=Lists!$F$11), NOT(K6=Lists!$F$13))),0,IF(ISBLANK(L6)=FALSE,0,1))</f>
        <v>0</v>
      </c>
      <c r="AA6" s="86">
        <f>IF(OR(ISBLANK(N6), N6=0), 0, IF(OR(M6=Lists!$F$11, M6=Lists!$F$13), 0, 1))</f>
        <v>0</v>
      </c>
      <c r="AB6" s="86">
        <f>IF(OR($C6="", AND(NOT(M6=Lists!$F$11), NOT(M6=Lists!$F$13))),0,IF(ISBLANK(N6)=FALSE,0,1))</f>
        <v>0</v>
      </c>
      <c r="AC6" s="86">
        <f>IF(OR(ISBLANK(P6), P6=0), 0, IF(OR(O6=Lists!$F$11, O6=Lists!$F$13), 0, 1))</f>
        <v>0</v>
      </c>
      <c r="AD6" s="86">
        <f>IF(OR($C6="", AND(NOT(O6=Lists!$F$11), NOT(O6=Lists!$F$13))),0,IF(ISBLANK(P6)=FALSE,0,1))</f>
        <v>0</v>
      </c>
      <c r="AE6" s="66"/>
      <c r="AF6" s="438">
        <f xml:space="preserve"> IF(OR( AND( K6 = Lists!$F$11, '3A'!L6 &lt; 0), AND( '3A'!M6 = Lists!$F$11, '3A'!N6 &lt; 0), AND( '3A'!O6 = Lists!$F$11, '3A'!P6 &lt; 0)), 1, 0)</f>
        <v>0</v>
      </c>
      <c r="AG6" s="438">
        <f xml:space="preserve"> IF( OR( AND( K6 = Lists!$F$13, '3A'!L6 &gt; 0), AND( M6 = Lists!$F$13, '3A'!N6 &gt; 0), AND( O6 = Lists!$F$13, '3A'!P6 &gt; 0 )), 1, 0)</f>
        <v>0</v>
      </c>
      <c r="AH6" s="439"/>
      <c r="AI6" s="571" t="str">
        <f>IF($P$1="Select company","",IF((HLOOKUP(((VLOOKUP($P$1,Lists!$B$4:$C$23,2,FALSE))&amp;'PC LIST'!$J$2),'PC list edited'!$A$2:$DT$65,(B6+1),FALSE))=0,"",HLOOKUP(((VLOOKUP($P$1,Lists!$B$4:$C$23,2,FALSE))&amp; 'PC LIST'!$J$2),'PC list edited'!$A$2:$DT$65,(B6+1),FALSE)))</f>
        <v>NFI</v>
      </c>
    </row>
    <row r="7" spans="1:35" s="70" customFormat="1" ht="30" customHeight="1">
      <c r="A7" s="69"/>
      <c r="B7" s="246">
        <f t="shared" ref="B7:B59" si="3" xml:space="preserve"> B6 + 1</f>
        <v>3</v>
      </c>
      <c r="C7" s="426" t="str">
        <f>IF($P$1="Select company","",IF((HLOOKUP((VLOOKUP($P$1,Lists!$B$4:$C$23,2,FALSE)),'PC list edited'!$A$2:$DV$65,(B7+1),FALSE))=0,"",HLOOKUP((VLOOKUP($P$1,Lists!$B$4:$C$23,2,FALSE)),'PC list edited'!$A$2:$DV$65,(B7+1),FALSE)))</f>
        <v>PR14TMSWSW_WA3</v>
      </c>
      <c r="D7" s="425" t="str">
        <f>IF($P$1="Select company","",IF(C7 ="","",HLOOKUP(((VLOOKUP($P$1,Lists!$B$4:$C$23,2,FALSE))&amp;"PC"),'PC list edited'!$A$2:$DV$65,(B7+1),FALSE)))</f>
        <v>WA3: Customer satisfaction surveys (internal CSAT monitor)</v>
      </c>
      <c r="E7" s="268" t="str">
        <f>IF($P$1="Select company","",IF(C7 ="","",HLOOKUP(((VLOOKUP($P$1,Lists!$B$4:$C$23,2,FALSE))&amp;"unit"),'PC list edited'!$A$2:$DV$65,(B7+1),FALSE)))</f>
        <v>score</v>
      </c>
      <c r="F7" s="268" t="str">
        <f>IF($P$1="Select company","",IF(C7 ="","",HLOOKUP(((VLOOKUP($P$1,Lists!$B$4:$C$23,2,FALSE))&amp;"UnitDes"),'PC list edited'!$A$2:$DV$65,(B7+1),FALSE)))</f>
        <v>TW internal Customer satisfaction score (mean score out of 5)</v>
      </c>
      <c r="G7" s="268">
        <f>IF($P$1="Select company","",IF(C7="","",HLOOKUP(((VLOOKUP($P$1,Lists!$B$4:$C$23,2,FALSE))&amp;"DP"),'PC list edited'!$A$2:$DV$65,(B7+1),FALSE)))</f>
        <v>2</v>
      </c>
      <c r="H7" s="268">
        <f>IF($P$1="Select company","",IF(C7 = "","",HLOOKUP(((VLOOKUP($P$1,Lists!$B$4:$C$23,2,FALSE))&amp;"201617Actual"),'PC list edited'!$A$2:$DV$65,(B7+1),FALSE)))</f>
        <v>4.50023588614562</v>
      </c>
      <c r="I7" s="474">
        <v>4.42</v>
      </c>
      <c r="J7" s="569" t="s">
        <v>1980</v>
      </c>
      <c r="K7" s="430"/>
      <c r="L7" s="431"/>
      <c r="M7" s="430"/>
      <c r="N7" s="431"/>
      <c r="O7" s="430"/>
      <c r="P7" s="432"/>
      <c r="Q7" s="65"/>
      <c r="R7" s="436">
        <f t="shared" ref="R7:R59" si="4">IF(AF7=1, $AF$3, IF(AG7=1, $AG$3, 0))</f>
        <v>0</v>
      </c>
      <c r="S7" s="25">
        <f t="shared" si="1"/>
        <v>0</v>
      </c>
      <c r="T7" s="65"/>
      <c r="U7" s="66"/>
      <c r="V7" s="86">
        <f t="shared" si="2"/>
        <v>0</v>
      </c>
      <c r="W7" s="86">
        <f>IF($C7="",0,IF(ISBLANK(#REF!)=FALSE,0,1))</f>
        <v>0</v>
      </c>
      <c r="X7" s="86">
        <f t="shared" si="0"/>
        <v>0</v>
      </c>
      <c r="Y7" s="86">
        <f>IF(OR(ISBLANK(L7), L7=0), 0, IF(OR(K7=Lists!$F$11, K7=Lists!$F$13), 0, 1))</f>
        <v>0</v>
      </c>
      <c r="Z7" s="86">
        <f>IF(OR($C7="", AND(NOT(K7=Lists!$F$11), NOT(K7=Lists!$F$13))),0,IF(ISBLANK(L7)=FALSE,0,1))</f>
        <v>0</v>
      </c>
      <c r="AA7" s="86">
        <f>IF(OR(ISBLANK(N7), N7=0), 0, IF(OR(M7=Lists!$F$11, M7=Lists!$F$13), 0, 1))</f>
        <v>0</v>
      </c>
      <c r="AB7" s="86">
        <f>IF(OR($C7="", AND(NOT(M7=Lists!$F$11), NOT(M7=Lists!$F$13))),0,IF(ISBLANK(N7)=FALSE,0,1))</f>
        <v>0</v>
      </c>
      <c r="AC7" s="86">
        <f>IF(OR(ISBLANK(P7), P7=0), 0, IF(OR(O7=Lists!$F$11, O7=Lists!$F$13), 0, 1))</f>
        <v>0</v>
      </c>
      <c r="AD7" s="86">
        <f>IF(OR($C7="", AND(NOT(O7=Lists!$F$11), NOT(O7=Lists!$F$13))),0,IF(ISBLANK(P7)=FALSE,0,1))</f>
        <v>0</v>
      </c>
      <c r="AE7" s="66"/>
      <c r="AF7" s="438">
        <f xml:space="preserve"> IF(OR( AND( K7 = Lists!$F$11, '3A'!L7 &lt; 0), AND( '3A'!M7 = Lists!$F$11, '3A'!N7 &lt; 0), AND( '3A'!O7 = Lists!$F$11, '3A'!P7 &lt; 0)), 1, 0)</f>
        <v>0</v>
      </c>
      <c r="AG7" s="438">
        <f xml:space="preserve"> IF( OR( AND( K7 = Lists!$F$13, '3A'!L7 &gt; 0), AND( M7 = Lists!$F$13, '3A'!N7 &gt; 0), AND( O7 = Lists!$F$13, '3A'!P7 &gt; 0 )), 1, 0)</f>
        <v>0</v>
      </c>
      <c r="AH7" s="439"/>
      <c r="AI7" s="571" t="str">
        <f>IF($P$1="Select company","",IF((HLOOKUP(((VLOOKUP($P$1,Lists!$B$4:$C$23,2,FALSE))&amp;'PC LIST'!$J$2),'PC list edited'!$A$2:$DT$65,(B7+1),FALSE))=0,"",HLOOKUP(((VLOOKUP($P$1,Lists!$B$4:$C$23,2,FALSE))&amp; 'PC LIST'!$J$2),'PC list edited'!$A$2:$DT$65,(B7+1),FALSE)))</f>
        <v>NFI</v>
      </c>
    </row>
    <row r="8" spans="1:35" s="70" customFormat="1" ht="30" customHeight="1">
      <c r="A8" s="69"/>
      <c r="B8" s="246">
        <f t="shared" si="3"/>
        <v>4</v>
      </c>
      <c r="C8" s="426" t="str">
        <f>IF($P$1="Select company","",IF((HLOOKUP((VLOOKUP($P$1,Lists!$B$4:$C$23,2,FALSE)),'PC list edited'!$A$2:$DV$65,(B8+1),FALSE))=0,"",HLOOKUP((VLOOKUP($P$1,Lists!$B$4:$C$23,2,FALSE)),'PC list edited'!$A$2:$DV$65,(B8+1),FALSE)))</f>
        <v>PR14TMSWSW_WA4</v>
      </c>
      <c r="D8" s="425" t="str">
        <f>IF($P$1="Select company","",IF(C8 ="","",HLOOKUP(((VLOOKUP($P$1,Lists!$B$4:$C$23,2,FALSE))&amp;"PC"),'PC list edited'!$A$2:$DV$65,(B8+1),FALSE)))</f>
        <v>WA4: Reduced water consumption from issuing water efficiency devices to customers</v>
      </c>
      <c r="E8" s="268" t="str">
        <f>IF($P$1="Select company","",IF(C8 ="","",HLOOKUP(((VLOOKUP($P$1,Lists!$B$4:$C$23,2,FALSE))&amp;"unit"),'PC list edited'!$A$2:$DV$65,(B8+1),FALSE)))</f>
        <v>nr</v>
      </c>
      <c r="F8" s="268" t="str">
        <f>IF($P$1="Select company","",IF(C8 ="","",HLOOKUP(((VLOOKUP($P$1,Lists!$B$4:$C$23,2,FALSE))&amp;"UnitDes"),'PC list edited'!$A$2:$DV$65,(B8+1),FALSE)))</f>
        <v>Ml/d reduced water consumption (cumulative)</v>
      </c>
      <c r="G8" s="268">
        <f>IF($P$1="Select company","",IF(C8="","",HLOOKUP(((VLOOKUP($P$1,Lists!$B$4:$C$23,2,FALSE))&amp;"DP"),'PC list edited'!$A$2:$DV$65,(B8+1),FALSE)))</f>
        <v>2</v>
      </c>
      <c r="H8" s="268" t="str">
        <f>IF($P$1="Select company","",IF(C8 = "","",HLOOKUP(((VLOOKUP($P$1,Lists!$B$4:$C$23,2,FALSE))&amp;"201617Actual"),'PC list edited'!$A$2:$DV$65,(B8+1),FALSE)))</f>
        <v>Not available</v>
      </c>
      <c r="I8" s="1173">
        <v>20.22</v>
      </c>
      <c r="J8" s="569" t="s">
        <v>1981</v>
      </c>
      <c r="K8" s="430" t="s">
        <v>1981</v>
      </c>
      <c r="L8" s="431"/>
      <c r="M8" s="430" t="s">
        <v>1981</v>
      </c>
      <c r="N8" s="431"/>
      <c r="O8" s="430" t="s">
        <v>1981</v>
      </c>
      <c r="P8" s="432"/>
      <c r="Q8" s="65"/>
      <c r="R8" s="436">
        <f t="shared" si="4"/>
        <v>0</v>
      </c>
      <c r="S8" s="25">
        <f t="shared" si="1"/>
        <v>0</v>
      </c>
      <c r="T8" s="65"/>
      <c r="U8" s="66"/>
      <c r="V8" s="86">
        <f t="shared" si="2"/>
        <v>0</v>
      </c>
      <c r="W8" s="86">
        <f>IF($C8="",0,IF(ISBLANK(#REF!)=FALSE,0,1))</f>
        <v>0</v>
      </c>
      <c r="X8" s="86">
        <f t="shared" si="0"/>
        <v>0</v>
      </c>
      <c r="Y8" s="86">
        <f>IF(OR(ISBLANK(L8), L8=0), 0, IF(OR(K8=Lists!$F$11, K8=Lists!$F$13), 0, 1))</f>
        <v>0</v>
      </c>
      <c r="Z8" s="86">
        <f>IF(OR($C8="", AND(NOT(K8=Lists!$F$11), NOT(K8=Lists!$F$13))),0,IF(ISBLANK(L8)=FALSE,0,1))</f>
        <v>0</v>
      </c>
      <c r="AA8" s="86">
        <f>IF(OR(ISBLANK(N8), N8=0), 0, IF(OR(M8=Lists!$F$11, M8=Lists!$F$13), 0, 1))</f>
        <v>0</v>
      </c>
      <c r="AB8" s="86">
        <f>IF(OR($C8="", AND(NOT(M8=Lists!$F$11), NOT(M8=Lists!$F$13))),0,IF(ISBLANK(N8)=FALSE,0,1))</f>
        <v>0</v>
      </c>
      <c r="AC8" s="86">
        <f>IF(OR(ISBLANK(P8), P8=0), 0, IF(OR(O8=Lists!$F$11, O8=Lists!$F$13), 0, 1))</f>
        <v>0</v>
      </c>
      <c r="AD8" s="86">
        <f>IF(OR($C8="", AND(NOT(O8=Lists!$F$11), NOT(O8=Lists!$F$13))),0,IF(ISBLANK(P8)=FALSE,0,1))</f>
        <v>0</v>
      </c>
      <c r="AE8" s="66"/>
      <c r="AF8" s="438">
        <f xml:space="preserve"> IF(OR( AND( K8 = Lists!$F$11, '3A'!L8 &lt; 0), AND( '3A'!M8 = Lists!$F$11, '3A'!N8 &lt; 0), AND( '3A'!O8 = Lists!$F$11, '3A'!P8 &lt; 0)), 1, 0)</f>
        <v>0</v>
      </c>
      <c r="AG8" s="438">
        <f xml:space="preserve"> IF( OR( AND( K8 = Lists!$F$13, '3A'!L8 &gt; 0), AND( M8 = Lists!$F$13, '3A'!N8 &gt; 0), AND( O8 = Lists!$F$13, '3A'!P8 &gt; 0 )), 1, 0)</f>
        <v>0</v>
      </c>
      <c r="AH8" s="439"/>
      <c r="AI8" s="571" t="str">
        <f>IF($P$1="Select company","",IF((HLOOKUP(((VLOOKUP($P$1,Lists!$B$4:$C$23,2,FALSE))&amp;'PC LIST'!$J$2),'PC list edited'!$A$2:$DT$65,(B8+1),FALSE))=0,"",HLOOKUP(((VLOOKUP($P$1,Lists!$B$4:$C$23,2,FALSE))&amp; 'PC LIST'!$J$2),'PC list edited'!$A$2:$DT$65,(B8+1),FALSE)))</f>
        <v>Under</v>
      </c>
    </row>
    <row r="9" spans="1:35" s="70" customFormat="1" ht="30" customHeight="1">
      <c r="A9" s="69"/>
      <c r="B9" s="246">
        <f t="shared" si="3"/>
        <v>5</v>
      </c>
      <c r="C9" s="426" t="str">
        <f>IF($P$1="Select company","",IF((HLOOKUP((VLOOKUP($P$1,Lists!$B$4:$C$23,2,FALSE)),'PC list edited'!$A$2:$DV$65,(B9+1),FALSE))=0,"",HLOOKUP((VLOOKUP($P$1,Lists!$B$4:$C$23,2,FALSE)),'PC list edited'!$A$2:$DV$65,(B9+1),FALSE)))</f>
        <v>PR14TMSWSW_WA5</v>
      </c>
      <c r="D9" s="425" t="str">
        <f>IF($P$1="Select company","",IF(C9 ="","",HLOOKUP(((VLOOKUP($P$1,Lists!$B$4:$C$23,2,FALSE))&amp;"PC"),'PC list edited'!$A$2:$DV$65,(B9+1),FALSE)))</f>
        <v>WA5: Provide a free repair service for customers with a customer side leak outside of the property</v>
      </c>
      <c r="E9" s="268" t="str">
        <f>IF($P$1="Select company","",IF(C9 ="","",HLOOKUP(((VLOOKUP($P$1,Lists!$B$4:$C$23,2,FALSE))&amp;"unit"),'PC list edited'!$A$2:$DV$65,(B9+1),FALSE)))</f>
        <v>nr</v>
      </c>
      <c r="F9" s="268" t="str">
        <f>IF($P$1="Select company","",IF(C9 ="","",HLOOKUP(((VLOOKUP($P$1,Lists!$B$4:$C$23,2,FALSE))&amp;"UnitDes"),'PC list edited'!$A$2:$DV$65,(B9+1),FALSE)))</f>
        <v>Number against target above annual baseline no.</v>
      </c>
      <c r="G9" s="268">
        <f>IF($P$1="Select company","",IF(C9="","",HLOOKUP(((VLOOKUP($P$1,Lists!$B$4:$C$23,2,FALSE))&amp;"DP"),'PC list edited'!$A$2:$DV$65,(B9+1),FALSE)))</f>
        <v>0</v>
      </c>
      <c r="H9" s="268">
        <f>IF($P$1="Select company","",IF(C9 = "","",HLOOKUP(((VLOOKUP($P$1,Lists!$B$4:$C$23,2,FALSE))&amp;"201617Actual"),'PC list edited'!$A$2:$DV$65,(B9+1),FALSE)))</f>
        <v>2089</v>
      </c>
      <c r="I9" s="1173">
        <v>4834</v>
      </c>
      <c r="J9" s="569" t="s">
        <v>1979</v>
      </c>
      <c r="K9" s="430"/>
      <c r="L9" s="431"/>
      <c r="M9" s="430"/>
      <c r="N9" s="431"/>
      <c r="O9" s="430"/>
      <c r="P9" s="432"/>
      <c r="Q9" s="65"/>
      <c r="R9" s="436">
        <f t="shared" si="4"/>
        <v>0</v>
      </c>
      <c r="S9" s="25">
        <f t="shared" si="1"/>
        <v>0</v>
      </c>
      <c r="T9" s="65"/>
      <c r="U9" s="66"/>
      <c r="V9" s="86">
        <f t="shared" si="2"/>
        <v>0</v>
      </c>
      <c r="W9" s="86">
        <f>IF($C9="",0,IF(ISBLANK(#REF!)=FALSE,0,1))</f>
        <v>0</v>
      </c>
      <c r="X9" s="86">
        <f t="shared" si="0"/>
        <v>0</v>
      </c>
      <c r="Y9" s="86">
        <f>IF(OR(ISBLANK(L9), L9=0), 0, IF(OR(K9=Lists!$F$11, K9=Lists!$F$13), 0, 1))</f>
        <v>0</v>
      </c>
      <c r="Z9" s="86">
        <f>IF(OR($C9="", AND(NOT(K9=Lists!$F$11), NOT(K9=Lists!$F$13))),0,IF(ISBLANK(L9)=FALSE,0,1))</f>
        <v>0</v>
      </c>
      <c r="AA9" s="86">
        <f>IF(OR(ISBLANK(N9), N9=0), 0, IF(OR(M9=Lists!$F$11, M9=Lists!$F$13), 0, 1))</f>
        <v>0</v>
      </c>
      <c r="AB9" s="86">
        <f>IF(OR($C9="", AND(NOT(M9=Lists!$F$11), NOT(M9=Lists!$F$13))),0,IF(ISBLANK(N9)=FALSE,0,1))</f>
        <v>0</v>
      </c>
      <c r="AC9" s="86">
        <f>IF(OR(ISBLANK(P9), P9=0), 0, IF(OR(O9=Lists!$F$11, O9=Lists!$F$13), 0, 1))</f>
        <v>0</v>
      </c>
      <c r="AD9" s="86">
        <f>IF(OR($C9="", AND(NOT(O9=Lists!$F$11), NOT(O9=Lists!$F$13))),0,IF(ISBLANK(P9)=FALSE,0,1))</f>
        <v>0</v>
      </c>
      <c r="AE9" s="66"/>
      <c r="AF9" s="438">
        <f xml:space="preserve"> IF(OR( AND( K9 = Lists!$F$11, '3A'!L9 &lt; 0), AND( '3A'!M9 = Lists!$F$11, '3A'!N9 &lt; 0), AND( '3A'!O9 = Lists!$F$11, '3A'!P9 &lt; 0)), 1, 0)</f>
        <v>0</v>
      </c>
      <c r="AG9" s="438">
        <f xml:space="preserve"> IF( OR( AND( K9 = Lists!$F$13, '3A'!L9 &gt; 0), AND( M9 = Lists!$F$13, '3A'!N9 &gt; 0), AND( O9 = Lists!$F$13, '3A'!P9 &gt; 0 )), 1, 0)</f>
        <v>0</v>
      </c>
      <c r="AH9" s="439"/>
      <c r="AI9" s="571" t="str">
        <f>IF($P$1="Select company","",IF((HLOOKUP(((VLOOKUP($P$1,Lists!$B$4:$C$23,2,FALSE))&amp;'PC LIST'!$J$2),'PC list edited'!$A$2:$DT$65,(B9+1),FALSE))=0,"",HLOOKUP(((VLOOKUP($P$1,Lists!$B$4:$C$23,2,FALSE))&amp; 'PC LIST'!$J$2),'PC list edited'!$A$2:$DT$65,(B9+1),FALSE)))</f>
        <v>NFI</v>
      </c>
    </row>
    <row r="10" spans="1:35" s="70" customFormat="1" ht="30" customHeight="1">
      <c r="A10" s="69"/>
      <c r="B10" s="246">
        <f t="shared" si="3"/>
        <v>6</v>
      </c>
      <c r="C10" s="426" t="str">
        <f>IF($P$1="Select company","",IF((HLOOKUP((VLOOKUP($P$1,Lists!$B$4:$C$23,2,FALSE)),'PC list edited'!$A$2:$DV$65,(B10+1),FALSE))=0,"",HLOOKUP((VLOOKUP($P$1,Lists!$B$4:$C$23,2,FALSE)),'PC list edited'!$A$2:$DV$65,(B10+1),FALSE)))</f>
        <v>PR14TMSWSW_WB1</v>
      </c>
      <c r="D10" s="425" t="str">
        <f>IF($P$1="Select company","",IF(C10 ="","",HLOOKUP(((VLOOKUP($P$1,Lists!$B$4:$C$23,2,FALSE))&amp;"PC"),'PC list edited'!$A$2:$DV$65,(B10+1),FALSE)))</f>
        <v>WB1: Asset health water infrastructure</v>
      </c>
      <c r="E10" s="268" t="str">
        <f>IF($P$1="Select company","",IF(C10 ="","",HLOOKUP(((VLOOKUP($P$1,Lists!$B$4:$C$23,2,FALSE))&amp;"unit"),'PC list edited'!$A$2:$DV$65,(B10+1),FALSE)))</f>
        <v>category</v>
      </c>
      <c r="F10" s="268" t="str">
        <f>IF($P$1="Select company","",IF(C10 ="","",HLOOKUP(((VLOOKUP($P$1,Lists!$B$4:$C$23,2,FALSE))&amp;"UnitDes"),'PC list edited'!$A$2:$DV$65,(B10+1),FALSE)))</f>
        <v>Asset health indicator</v>
      </c>
      <c r="G10" s="268" t="str">
        <f>IF($P$1="Select company","",IF(C10="","",HLOOKUP(((VLOOKUP($P$1,Lists!$B$4:$C$23,2,FALSE))&amp;"DP"),'PC list edited'!$A$2:$DV$65,(B10+1),FALSE)))</f>
        <v>na</v>
      </c>
      <c r="H10" s="268" t="str">
        <f>IF($P$1="Select company","",IF(C10 = "","",HLOOKUP(((VLOOKUP($P$1,Lists!$B$4:$C$23,2,FALSE))&amp;"201617Actual"),'PC list edited'!$A$2:$DV$65,(B10+1),FALSE)))</f>
        <v>Marginal</v>
      </c>
      <c r="I10" s="474" t="s">
        <v>1982</v>
      </c>
      <c r="J10" s="569" t="s">
        <v>1980</v>
      </c>
      <c r="K10" s="430" t="s">
        <v>1981</v>
      </c>
      <c r="L10" s="431"/>
      <c r="M10" s="430" t="s">
        <v>1983</v>
      </c>
      <c r="N10" s="431">
        <v>-4.6749999999999998</v>
      </c>
      <c r="O10" s="430" t="s">
        <v>1983</v>
      </c>
      <c r="P10" s="432">
        <v>-23.375</v>
      </c>
      <c r="Q10" s="65"/>
      <c r="R10" s="436">
        <f t="shared" si="4"/>
        <v>0</v>
      </c>
      <c r="S10" s="25">
        <f t="shared" si="1"/>
        <v>0</v>
      </c>
      <c r="T10" s="65"/>
      <c r="U10" s="66"/>
      <c r="V10" s="86">
        <f t="shared" si="2"/>
        <v>0</v>
      </c>
      <c r="W10" s="86">
        <f>IF($C10="",0,IF(ISBLANK(#REF!)=FALSE,0,1))</f>
        <v>0</v>
      </c>
      <c r="X10" s="86">
        <f t="shared" si="0"/>
        <v>0</v>
      </c>
      <c r="Y10" s="86">
        <f>IF(OR(ISBLANK(L10), L10=0), 0, IF(OR(K10=Lists!$F$11, K10=Lists!$F$13), 0, 1))</f>
        <v>0</v>
      </c>
      <c r="Z10" s="86">
        <f>IF(OR($C10="", AND(NOT(K10=Lists!$F$11), NOT(K10=Lists!$F$13))),0,IF(ISBLANK(L10)=FALSE,0,1))</f>
        <v>0</v>
      </c>
      <c r="AA10" s="86">
        <f>IF(OR(ISBLANK(N10), N10=0), 0, IF(OR(M10=Lists!$F$11, M10=Lists!$F$13), 0, 1))</f>
        <v>0</v>
      </c>
      <c r="AB10" s="86">
        <f>IF(OR($C10="", AND(NOT(M10=Lists!$F$11), NOT(M10=Lists!$F$13))),0,IF(ISBLANK(N10)=FALSE,0,1))</f>
        <v>0</v>
      </c>
      <c r="AC10" s="86">
        <f>IF(OR(ISBLANK(P10), P10=0), 0, IF(OR(O10=Lists!$F$11, O10=Lists!$F$13), 0, 1))</f>
        <v>0</v>
      </c>
      <c r="AD10" s="86">
        <f>IF(OR($C10="", AND(NOT(O10=Lists!$F$11), NOT(O10=Lists!$F$13))),0,IF(ISBLANK(P10)=FALSE,0,1))</f>
        <v>0</v>
      </c>
      <c r="AE10" s="66"/>
      <c r="AF10" s="438">
        <f xml:space="preserve"> IF(OR( AND( K10 = Lists!$F$11, '3A'!L10 &lt; 0), AND( '3A'!M10 = Lists!$F$11, '3A'!N10 &lt; 0), AND( '3A'!O10 = Lists!$F$11, '3A'!P10 &lt; 0)), 1, 0)</f>
        <v>0</v>
      </c>
      <c r="AG10" s="438">
        <f xml:space="preserve"> IF( OR( AND( K10 = Lists!$F$13, '3A'!L10 &gt; 0), AND( M10 = Lists!$F$13, '3A'!N10 &gt; 0), AND( O10 = Lists!$F$13, '3A'!P10 &gt; 0 )), 1, 0)</f>
        <v>0</v>
      </c>
      <c r="AH10" s="439"/>
      <c r="AI10" s="571" t="str">
        <f>IF($P$1="Select company","",IF((HLOOKUP(((VLOOKUP($P$1,Lists!$B$4:$C$23,2,FALSE))&amp;'PC LIST'!$J$2),'PC list edited'!$A$2:$DT$65,(B10+1),FALSE))=0,"",HLOOKUP(((VLOOKUP($P$1,Lists!$B$4:$C$23,2,FALSE))&amp; 'PC LIST'!$J$2),'PC list edited'!$A$2:$DT$65,(B10+1),FALSE)))</f>
        <v>Under</v>
      </c>
    </row>
    <row r="11" spans="1:35" s="70" customFormat="1" ht="30" customHeight="1">
      <c r="A11" s="69"/>
      <c r="B11" s="246">
        <f t="shared" si="3"/>
        <v>7</v>
      </c>
      <c r="C11" s="426" t="str">
        <f>IF($P$1="Select company","",IF((HLOOKUP((VLOOKUP($P$1,Lists!$B$4:$C$23,2,FALSE)),'PC list edited'!$A$2:$DV$65,(B11+1),FALSE))=0,"",HLOOKUP((VLOOKUP($P$1,Lists!$B$4:$C$23,2,FALSE)),'PC list edited'!$A$2:$DV$65,(B11+1),FALSE)))</f>
        <v>PR14TMSWSW_WB2</v>
      </c>
      <c r="D11" s="425" t="str">
        <f>IF($P$1="Select company","",IF(C11 ="","",HLOOKUP(((VLOOKUP($P$1,Lists!$B$4:$C$23,2,FALSE))&amp;"PC"),'PC list edited'!$A$2:$DV$65,(B11+1),FALSE)))</f>
        <v>WB2: Asset health water non-infrastructure</v>
      </c>
      <c r="E11" s="268" t="str">
        <f>IF($P$1="Select company","",IF(C11 ="","",HLOOKUP(((VLOOKUP($P$1,Lists!$B$4:$C$23,2,FALSE))&amp;"unit"),'PC list edited'!$A$2:$DV$65,(B11+1),FALSE)))</f>
        <v>category</v>
      </c>
      <c r="F11" s="268" t="str">
        <f>IF($P$1="Select company","",IF(C11 ="","",HLOOKUP(((VLOOKUP($P$1,Lists!$B$4:$C$23,2,FALSE))&amp;"UnitDes"),'PC list edited'!$A$2:$DV$65,(B11+1),FALSE)))</f>
        <v>Asset health indicator</v>
      </c>
      <c r="G11" s="268" t="str">
        <f>IF($P$1="Select company","",IF(C11="","",HLOOKUP(((VLOOKUP($P$1,Lists!$B$4:$C$23,2,FALSE))&amp;"DP"),'PC list edited'!$A$2:$DV$65,(B11+1),FALSE)))</f>
        <v>na</v>
      </c>
      <c r="H11" s="268" t="str">
        <f>IF($P$1="Select company","",IF(C11 = "","",HLOOKUP(((VLOOKUP($P$1,Lists!$B$4:$C$23,2,FALSE))&amp;"201617Actual"),'PC list edited'!$A$2:$DV$65,(B11+1),FALSE)))</f>
        <v>Stable</v>
      </c>
      <c r="I11" s="474" t="s">
        <v>1984</v>
      </c>
      <c r="J11" s="569" t="s">
        <v>1979</v>
      </c>
      <c r="K11" s="430" t="s">
        <v>1981</v>
      </c>
      <c r="L11" s="431"/>
      <c r="M11" s="430" t="s">
        <v>1981</v>
      </c>
      <c r="N11" s="431"/>
      <c r="O11" s="430" t="s">
        <v>1981</v>
      </c>
      <c r="P11" s="432"/>
      <c r="Q11" s="65"/>
      <c r="R11" s="436">
        <f t="shared" si="4"/>
        <v>0</v>
      </c>
      <c r="S11" s="25">
        <f t="shared" si="1"/>
        <v>0</v>
      </c>
      <c r="T11" s="65"/>
      <c r="U11" s="66"/>
      <c r="V11" s="86">
        <f t="shared" si="2"/>
        <v>0</v>
      </c>
      <c r="W11" s="86">
        <f>IF($C11="",0,IF(ISBLANK(#REF!)=FALSE,0,1))</f>
        <v>0</v>
      </c>
      <c r="X11" s="86">
        <f t="shared" si="0"/>
        <v>0</v>
      </c>
      <c r="Y11" s="86">
        <f>IF(OR(ISBLANK(L11), L11=0), 0, IF(OR(K11=Lists!$F$11, K11=Lists!$F$13), 0, 1))</f>
        <v>0</v>
      </c>
      <c r="Z11" s="86">
        <f>IF(OR($C11="", AND(NOT(K11=Lists!$F$11), NOT(K11=Lists!$F$13))),0,IF(ISBLANK(L11)=FALSE,0,1))</f>
        <v>0</v>
      </c>
      <c r="AA11" s="86">
        <f>IF(OR(ISBLANK(N11), N11=0), 0, IF(OR(M11=Lists!$F$11, M11=Lists!$F$13), 0, 1))</f>
        <v>0</v>
      </c>
      <c r="AB11" s="86">
        <f>IF(OR($C11="", AND(NOT(M11=Lists!$F$11), NOT(M11=Lists!$F$13))),0,IF(ISBLANK(N11)=FALSE,0,1))</f>
        <v>0</v>
      </c>
      <c r="AC11" s="86">
        <f>IF(OR(ISBLANK(P11), P11=0), 0, IF(OR(O11=Lists!$F$11, O11=Lists!$F$13), 0, 1))</f>
        <v>0</v>
      </c>
      <c r="AD11" s="86">
        <f>IF(OR($C11="", AND(NOT(O11=Lists!$F$11), NOT(O11=Lists!$F$13))),0,IF(ISBLANK(P11)=FALSE,0,1))</f>
        <v>0</v>
      </c>
      <c r="AE11" s="66"/>
      <c r="AF11" s="438">
        <f xml:space="preserve"> IF(OR( AND( K11 = Lists!$F$11, '3A'!L11 &lt; 0), AND( '3A'!M11 = Lists!$F$11, '3A'!N11 &lt; 0), AND( '3A'!O11 = Lists!$F$11, '3A'!P11 &lt; 0)), 1, 0)</f>
        <v>0</v>
      </c>
      <c r="AG11" s="438">
        <f xml:space="preserve"> IF( OR( AND( K11 = Lists!$F$13, '3A'!L11 &gt; 0), AND( M11 = Lists!$F$13, '3A'!N11 &gt; 0), AND( O11 = Lists!$F$13, '3A'!P11 &gt; 0 )), 1, 0)</f>
        <v>0</v>
      </c>
      <c r="AH11" s="439"/>
      <c r="AI11" s="571" t="str">
        <f>IF($P$1="Select company","",IF((HLOOKUP(((VLOOKUP($P$1,Lists!$B$4:$C$23,2,FALSE))&amp;'PC LIST'!$J$2),'PC list edited'!$A$2:$DT$65,(B11+1),FALSE))=0,"",HLOOKUP(((VLOOKUP($P$1,Lists!$B$4:$C$23,2,FALSE))&amp; 'PC LIST'!$J$2),'PC list edited'!$A$2:$DT$65,(B11+1),FALSE)))</f>
        <v>Under</v>
      </c>
    </row>
    <row r="12" spans="1:35" s="70" customFormat="1" ht="30" customHeight="1">
      <c r="A12" s="69"/>
      <c r="B12" s="246">
        <f t="shared" si="3"/>
        <v>8</v>
      </c>
      <c r="C12" s="426" t="str">
        <f>IF($P$1="Select company","",IF((HLOOKUP((VLOOKUP($P$1,Lists!$B$4:$C$23,2,FALSE)),'PC list edited'!$A$2:$DV$65,(B12+1),FALSE))=0,"",HLOOKUP((VLOOKUP($P$1,Lists!$B$4:$C$23,2,FALSE)),'PC list edited'!$A$2:$DV$65,(B12+1),FALSE)))</f>
        <v>PR14TMSWSW_WB3</v>
      </c>
      <c r="D12" s="425" t="str">
        <f>IF($P$1="Select company","",IF(C12 ="","",HLOOKUP(((VLOOKUP($P$1,Lists!$B$4:$C$23,2,FALSE))&amp;"PC"),'PC list edited'!$A$2:$DV$65,(B12+1),FALSE)))</f>
        <v>WB3: Compliance with drinking water quality standards (MZC) - Ofwat/ DWI KPI</v>
      </c>
      <c r="E12" s="268" t="str">
        <f>IF($P$1="Select company","",IF(C12 ="","",HLOOKUP(((VLOOKUP($P$1,Lists!$B$4:$C$23,2,FALSE))&amp;"unit"),'PC list edited'!$A$2:$DV$65,(B12+1),FALSE)))</f>
        <v>%</v>
      </c>
      <c r="F12" s="268" t="str">
        <f>IF($P$1="Select company","",IF(C12 ="","",HLOOKUP(((VLOOKUP($P$1,Lists!$B$4:$C$23,2,FALSE))&amp;"UnitDes"),'PC list edited'!$A$2:$DV$65,(B12+1),FALSE)))</f>
        <v>Mean zonal compliance (%)</v>
      </c>
      <c r="G12" s="268">
        <f>IF($P$1="Select company","",IF(C12="","",HLOOKUP(((VLOOKUP($P$1,Lists!$B$4:$C$23,2,FALSE))&amp;"DP"),'PC list edited'!$A$2:$DV$65,(B12+1),FALSE)))</f>
        <v>2</v>
      </c>
      <c r="H12" s="268">
        <f>IF($P$1="Select company","",IF(C12 = "","",HLOOKUP(((VLOOKUP($P$1,Lists!$B$4:$C$23,2,FALSE))&amp;"201617Actual"),'PC list edited'!$A$2:$DV$65,(B12+1),FALSE)))</f>
        <v>99.96</v>
      </c>
      <c r="I12" s="474">
        <v>99.96</v>
      </c>
      <c r="J12" s="569" t="s">
        <v>1980</v>
      </c>
      <c r="K12" s="430" t="s">
        <v>1981</v>
      </c>
      <c r="L12" s="431"/>
      <c r="M12" s="430" t="s">
        <v>1985</v>
      </c>
      <c r="N12" s="431"/>
      <c r="O12" s="430" t="s">
        <v>1985</v>
      </c>
      <c r="P12" s="432"/>
      <c r="Q12" s="65"/>
      <c r="R12" s="436">
        <f t="shared" si="4"/>
        <v>0</v>
      </c>
      <c r="S12" s="25">
        <f t="shared" si="1"/>
        <v>0</v>
      </c>
      <c r="T12" s="65"/>
      <c r="U12" s="66"/>
      <c r="V12" s="86">
        <f t="shared" si="2"/>
        <v>0</v>
      </c>
      <c r="W12" s="86">
        <f>IF($C12="",0,IF(ISBLANK(#REF!)=FALSE,0,1))</f>
        <v>0</v>
      </c>
      <c r="X12" s="86">
        <f t="shared" si="0"/>
        <v>0</v>
      </c>
      <c r="Y12" s="86">
        <f>IF(OR(ISBLANK(L12), L12=0), 0, IF(OR(K12=Lists!$F$11, K12=Lists!$F$13), 0, 1))</f>
        <v>0</v>
      </c>
      <c r="Z12" s="86">
        <f>IF(OR($C12="", AND(NOT(K12=Lists!$F$11), NOT(K12=Lists!$F$13))),0,IF(ISBLANK(L12)=FALSE,0,1))</f>
        <v>0</v>
      </c>
      <c r="AA12" s="86">
        <f>IF(OR(ISBLANK(N12), N12=0), 0, IF(OR(M12=Lists!$F$11, M12=Lists!$F$13), 0, 1))</f>
        <v>0</v>
      </c>
      <c r="AB12" s="86">
        <f>IF(OR($C12="", AND(NOT(M12=Lists!$F$11), NOT(M12=Lists!$F$13))),0,IF(ISBLANK(N12)=FALSE,0,1))</f>
        <v>0</v>
      </c>
      <c r="AC12" s="86">
        <f>IF(OR(ISBLANK(P12), P12=0), 0, IF(OR(O12=Lists!$F$11, O12=Lists!$F$13), 0, 1))</f>
        <v>0</v>
      </c>
      <c r="AD12" s="86">
        <f>IF(OR($C12="", AND(NOT(O12=Lists!$F$11), NOT(O12=Lists!$F$13))),0,IF(ISBLANK(P12)=FALSE,0,1))</f>
        <v>0</v>
      </c>
      <c r="AE12" s="66"/>
      <c r="AF12" s="438">
        <f xml:space="preserve"> IF(OR( AND( K12 = Lists!$F$11, '3A'!L12 &lt; 0), AND( '3A'!M12 = Lists!$F$11, '3A'!N12 &lt; 0), AND( '3A'!O12 = Lists!$F$11, '3A'!P12 &lt; 0)), 1, 0)</f>
        <v>0</v>
      </c>
      <c r="AG12" s="438">
        <f xml:space="preserve"> IF( OR( AND( K12 = Lists!$F$13, '3A'!L12 &gt; 0), AND( M12 = Lists!$F$13, '3A'!N12 &gt; 0), AND( O12 = Lists!$F$13, '3A'!P12 &gt; 0 )), 1, 0)</f>
        <v>0</v>
      </c>
      <c r="AH12" s="439"/>
      <c r="AI12" s="571" t="str">
        <f>IF($P$1="Select company","",IF((HLOOKUP(((VLOOKUP($P$1,Lists!$B$4:$C$23,2,FALSE))&amp;'PC LIST'!$J$2),'PC list edited'!$A$2:$DT$65,(B12+1),FALSE))=0,"",HLOOKUP(((VLOOKUP($P$1,Lists!$B$4:$C$23,2,FALSE))&amp; 'PC LIST'!$J$2),'PC list edited'!$A$2:$DT$65,(B12+1),FALSE)))</f>
        <v>Under</v>
      </c>
    </row>
    <row r="13" spans="1:35" s="70" customFormat="1" ht="30" customHeight="1">
      <c r="A13" s="69"/>
      <c r="B13" s="246">
        <f t="shared" si="3"/>
        <v>9</v>
      </c>
      <c r="C13" s="426" t="str">
        <f>IF($P$1="Select company","",IF((HLOOKUP((VLOOKUP($P$1,Lists!$B$4:$C$23,2,FALSE)),'PC list edited'!$A$2:$DV$65,(B13+1),FALSE))=0,"",HLOOKUP((VLOOKUP($P$1,Lists!$B$4:$C$23,2,FALSE)),'PC list edited'!$A$2:$DV$65,(B13+1),FALSE)))</f>
        <v>PR14TMSWSW_WB4</v>
      </c>
      <c r="D13" s="425" t="str">
        <f>IF($P$1="Select company","",IF(C13 ="","",HLOOKUP(((VLOOKUP($P$1,Lists!$B$4:$C$23,2,FALSE))&amp;"PC"),'PC list edited'!$A$2:$DV$65,(B13+1),FALSE)))</f>
        <v>WB4: Properties experiencing chronic low pressure (DG2)</v>
      </c>
      <c r="E13" s="268" t="str">
        <f>IF($P$1="Select company","",IF(C13 ="","",HLOOKUP(((VLOOKUP($P$1,Lists!$B$4:$C$23,2,FALSE))&amp;"unit"),'PC list edited'!$A$2:$DV$65,(B13+1),FALSE)))</f>
        <v>nr</v>
      </c>
      <c r="F13" s="268" t="str">
        <f>IF($P$1="Select company","",IF(C13 ="","",HLOOKUP(((VLOOKUP($P$1,Lists!$B$4:$C$23,2,FALSE))&amp;"UnitDes"),'PC list edited'!$A$2:$DV$65,(B13+1),FALSE)))</f>
        <v>No. of properties with low pressure (DG2) at the end of the reporting year</v>
      </c>
      <c r="G13" s="268">
        <f>IF($P$1="Select company","",IF(C13="","",HLOOKUP(((VLOOKUP($P$1,Lists!$B$4:$C$23,2,FALSE))&amp;"DP"),'PC list edited'!$A$2:$DV$65,(B13+1),FALSE)))</f>
        <v>0</v>
      </c>
      <c r="H13" s="268">
        <f>IF($P$1="Select company","",IF(C13 = "","",HLOOKUP(((VLOOKUP($P$1,Lists!$B$4:$C$23,2,FALSE))&amp;"201617Actual"),'PC list edited'!$A$2:$DV$65,(B13+1),FALSE)))</f>
        <v>5</v>
      </c>
      <c r="I13" s="474">
        <v>206</v>
      </c>
      <c r="J13" s="569" t="s">
        <v>1980</v>
      </c>
      <c r="K13" s="430"/>
      <c r="L13" s="431"/>
      <c r="M13" s="430"/>
      <c r="N13" s="431"/>
      <c r="O13" s="430"/>
      <c r="P13" s="432"/>
      <c r="Q13" s="65"/>
      <c r="R13" s="436">
        <f t="shared" si="4"/>
        <v>0</v>
      </c>
      <c r="S13" s="25">
        <f t="shared" si="1"/>
        <v>0</v>
      </c>
      <c r="T13" s="65"/>
      <c r="U13" s="66"/>
      <c r="V13" s="86">
        <f t="shared" si="2"/>
        <v>0</v>
      </c>
      <c r="W13" s="86">
        <f>IF($C13="",0,IF(ISBLANK(#REF!)=FALSE,0,1))</f>
        <v>0</v>
      </c>
      <c r="X13" s="86">
        <f t="shared" si="0"/>
        <v>0</v>
      </c>
      <c r="Y13" s="86">
        <f>IF(OR(ISBLANK(L13), L13=0), 0, IF(OR(K13=Lists!$F$11, K13=Lists!$F$13), 0, 1))</f>
        <v>0</v>
      </c>
      <c r="Z13" s="86">
        <f>IF(OR($C13="", AND(NOT(K13=Lists!$F$11), NOT(K13=Lists!$F$13))),0,IF(ISBLANK(L13)=FALSE,0,1))</f>
        <v>0</v>
      </c>
      <c r="AA13" s="86">
        <f>IF(OR(ISBLANK(N13), N13=0), 0, IF(OR(M13=Lists!$F$11, M13=Lists!$F$13), 0, 1))</f>
        <v>0</v>
      </c>
      <c r="AB13" s="86">
        <f>IF(OR($C13="", AND(NOT(M13=Lists!$F$11), NOT(M13=Lists!$F$13))),0,IF(ISBLANK(N13)=FALSE,0,1))</f>
        <v>0</v>
      </c>
      <c r="AC13" s="86">
        <f>IF(OR(ISBLANK(P13), P13=0), 0, IF(OR(O13=Lists!$F$11, O13=Lists!$F$13), 0, 1))</f>
        <v>0</v>
      </c>
      <c r="AD13" s="86">
        <f>IF(OR($C13="", AND(NOT(O13=Lists!$F$11), NOT(O13=Lists!$F$13))),0,IF(ISBLANK(P13)=FALSE,0,1))</f>
        <v>0</v>
      </c>
      <c r="AE13" s="66"/>
      <c r="AF13" s="438">
        <f xml:space="preserve"> IF(OR( AND( K13 = Lists!$F$11, '3A'!L13 &lt; 0), AND( '3A'!M13 = Lists!$F$11, '3A'!N13 &lt; 0), AND( '3A'!O13 = Lists!$F$11, '3A'!P13 &lt; 0)), 1, 0)</f>
        <v>0</v>
      </c>
      <c r="AG13" s="438">
        <f xml:space="preserve"> IF( OR( AND( K13 = Lists!$F$13, '3A'!L13 &gt; 0), AND( M13 = Lists!$F$13, '3A'!N13 &gt; 0), AND( O13 = Lists!$F$13, '3A'!P13 &gt; 0 )), 1, 0)</f>
        <v>0</v>
      </c>
      <c r="AH13" s="439"/>
      <c r="AI13" s="571" t="str">
        <f>IF($P$1="Select company","",IF((HLOOKUP(((VLOOKUP($P$1,Lists!$B$4:$C$23,2,FALSE))&amp;'PC LIST'!$J$2),'PC list edited'!$A$2:$DT$65,(B13+1),FALSE))=0,"",HLOOKUP(((VLOOKUP($P$1,Lists!$B$4:$C$23,2,FALSE))&amp; 'PC LIST'!$J$2),'PC list edited'!$A$2:$DT$65,(B13+1),FALSE)))</f>
        <v>NFI</v>
      </c>
    </row>
    <row r="14" spans="1:35" s="70" customFormat="1" ht="30" customHeight="1">
      <c r="A14" s="69"/>
      <c r="B14" s="246">
        <f t="shared" si="3"/>
        <v>10</v>
      </c>
      <c r="C14" s="426" t="str">
        <f>IF($P$1="Select company","",IF((HLOOKUP((VLOOKUP($P$1,Lists!$B$4:$C$23,2,FALSE)),'PC list edited'!$A$2:$DV$65,(B14+1),FALSE))=0,"",HLOOKUP((VLOOKUP($P$1,Lists!$B$4:$C$23,2,FALSE)),'PC list edited'!$A$2:$DV$65,(B14+1),FALSE)))</f>
        <v>PR14TMSWSW_WB5</v>
      </c>
      <c r="D14" s="425" t="str">
        <f>IF($P$1="Select company","",IF(C14 ="","",HLOOKUP(((VLOOKUP($P$1,Lists!$B$4:$C$23,2,FALSE))&amp;"PC"),'PC list edited'!$A$2:$DV$65,(B14+1),FALSE)))</f>
        <v>WB5: Average hours lost supply per property served, due to interruptions &gt; 4 hours</v>
      </c>
      <c r="E14" s="268" t="str">
        <f>IF($P$1="Select company","",IF(C14 ="","",HLOOKUP(((VLOOKUP($P$1,Lists!$B$4:$C$23,2,FALSE))&amp;"unit"),'PC list edited'!$A$2:$DV$65,(B14+1),FALSE)))</f>
        <v>time</v>
      </c>
      <c r="F14" s="268" t="str">
        <f>IF($P$1="Select company","",IF(C14 ="","",HLOOKUP(((VLOOKUP($P$1,Lists!$B$4:$C$23,2,FALSE))&amp;"UnitDes"),'PC list edited'!$A$2:$DV$65,(B14+1),FALSE)))</f>
        <v>Hours lost supply per property served</v>
      </c>
      <c r="G14" s="268">
        <f>IF($P$1="Select company","",IF(C14="","",HLOOKUP(((VLOOKUP($P$1,Lists!$B$4:$C$23,2,FALSE))&amp;"DP"),'PC list edited'!$A$2:$DV$65,(B14+1),FALSE)))</f>
        <v>2</v>
      </c>
      <c r="H14" s="268">
        <f>IF($P$1="Select company","",IF(C14 = "","",HLOOKUP(((VLOOKUP($P$1,Lists!$B$4:$C$23,2,FALSE))&amp;"201617Actual"),'PC list edited'!$A$2:$DV$65,(B14+1),FALSE)))</f>
        <v>0.12</v>
      </c>
      <c r="I14" s="474">
        <v>0.21</v>
      </c>
      <c r="J14" s="569" t="s">
        <v>1980</v>
      </c>
      <c r="K14" s="430" t="s">
        <v>1981</v>
      </c>
      <c r="L14" s="431"/>
      <c r="M14" s="430" t="s">
        <v>1983</v>
      </c>
      <c r="N14" s="431">
        <v>-10.67</v>
      </c>
      <c r="O14" s="430" t="s">
        <v>1983</v>
      </c>
      <c r="P14" s="432">
        <v>-4.42</v>
      </c>
      <c r="Q14" s="65"/>
      <c r="R14" s="436">
        <f t="shared" si="4"/>
        <v>0</v>
      </c>
      <c r="S14" s="25">
        <f t="shared" si="1"/>
        <v>0</v>
      </c>
      <c r="T14" s="65"/>
      <c r="U14" s="66"/>
      <c r="V14" s="86">
        <f t="shared" si="2"/>
        <v>0</v>
      </c>
      <c r="W14" s="86">
        <f>IF($C14="",0,IF(ISBLANK(#REF!)=FALSE,0,1))</f>
        <v>0</v>
      </c>
      <c r="X14" s="86">
        <f t="shared" si="0"/>
        <v>0</v>
      </c>
      <c r="Y14" s="86">
        <f>IF(OR(ISBLANK(L14), L14=0), 0, IF(OR(K14=Lists!$F$11, K14=Lists!$F$13), 0, 1))</f>
        <v>0</v>
      </c>
      <c r="Z14" s="86">
        <f>IF(OR($C14="", AND(NOT(K14=Lists!$F$11), NOT(K14=Lists!$F$13))),0,IF(ISBLANK(L14)=FALSE,0,1))</f>
        <v>0</v>
      </c>
      <c r="AA14" s="86">
        <f>IF(OR(ISBLANK(N14), N14=0), 0, IF(OR(M14=Lists!$F$11, M14=Lists!$F$13), 0, 1))</f>
        <v>0</v>
      </c>
      <c r="AB14" s="86">
        <f>IF(OR($C14="", AND(NOT(M14=Lists!$F$11), NOT(M14=Lists!$F$13))),0,IF(ISBLANK(N14)=FALSE,0,1))</f>
        <v>0</v>
      </c>
      <c r="AC14" s="86">
        <f>IF(OR(ISBLANK(P14), P14=0), 0, IF(OR(O14=Lists!$F$11, O14=Lists!$F$13), 0, 1))</f>
        <v>0</v>
      </c>
      <c r="AD14" s="86">
        <f>IF(OR($C14="", AND(NOT(O14=Lists!$F$11), NOT(O14=Lists!$F$13))),0,IF(ISBLANK(P14)=FALSE,0,1))</f>
        <v>0</v>
      </c>
      <c r="AE14" s="66"/>
      <c r="AF14" s="438">
        <f xml:space="preserve"> IF(OR( AND( K14 = Lists!$F$11, '3A'!L14 &lt; 0), AND( '3A'!M14 = Lists!$F$11, '3A'!N14 &lt; 0), AND( '3A'!O14 = Lists!$F$11, '3A'!P14 &lt; 0)), 1, 0)</f>
        <v>0</v>
      </c>
      <c r="AG14" s="438">
        <f xml:space="preserve"> IF( OR( AND( K14 = Lists!$F$13, '3A'!L14 &gt; 0), AND( M14 = Lists!$F$13, '3A'!N14 &gt; 0), AND( O14 = Lists!$F$13, '3A'!P14 &gt; 0 )), 1, 0)</f>
        <v>0</v>
      </c>
      <c r="AH14" s="439"/>
      <c r="AI14" s="571" t="str">
        <f>IF($P$1="Select company","",IF((HLOOKUP(((VLOOKUP($P$1,Lists!$B$4:$C$23,2,FALSE))&amp;'PC LIST'!$J$2),'PC list edited'!$A$2:$DT$65,(B14+1),FALSE))=0,"",HLOOKUP(((VLOOKUP($P$1,Lists!$B$4:$C$23,2,FALSE))&amp; 'PC LIST'!$J$2),'PC list edited'!$A$2:$DT$65,(B14+1),FALSE)))</f>
        <v>Out &amp; under</v>
      </c>
    </row>
    <row r="15" spans="1:35" s="70" customFormat="1" ht="30" customHeight="1">
      <c r="A15" s="69"/>
      <c r="B15" s="246">
        <f t="shared" si="3"/>
        <v>11</v>
      </c>
      <c r="C15" s="426" t="str">
        <f>IF($P$1="Select company","",IF((HLOOKUP((VLOOKUP($P$1,Lists!$B$4:$C$23,2,FALSE)),'PC list edited'!$A$2:$DV$65,(B15+1),FALSE))=0,"",HLOOKUP((VLOOKUP($P$1,Lists!$B$4:$C$23,2,FALSE)),'PC list edited'!$A$2:$DV$65,(B15+1),FALSE)))</f>
        <v>PR14TMSWSW_WB6</v>
      </c>
      <c r="D15" s="425" t="str">
        <f>IF($P$1="Select company","",IF(C15 ="","",HLOOKUP(((VLOOKUP($P$1,Lists!$B$4:$C$23,2,FALSE))&amp;"PC"),'PC list edited'!$A$2:$DV$65,(B15+1),FALSE)))</f>
        <v>WB6: Security of Supply Index - Ofwat KPI</v>
      </c>
      <c r="E15" s="268" t="str">
        <f>IF($P$1="Select company","",IF(C15 ="","",HLOOKUP(((VLOOKUP($P$1,Lists!$B$4:$C$23,2,FALSE))&amp;"unit"),'PC list edited'!$A$2:$DV$65,(B15+1),FALSE)))</f>
        <v>score</v>
      </c>
      <c r="F15" s="268" t="str">
        <f>IF($P$1="Select company","",IF(C15 ="","",HLOOKUP(((VLOOKUP($P$1,Lists!$B$4:$C$23,2,FALSE))&amp;"UnitDes"),'PC list edited'!$A$2:$DV$65,(B15+1),FALSE)))</f>
        <v>Security of Supply Index (SOSI)</v>
      </c>
      <c r="G15" s="268">
        <f>IF($P$1="Select company","",IF(C15="","",HLOOKUP(((VLOOKUP($P$1,Lists!$B$4:$C$23,2,FALSE))&amp;"DP"),'PC list edited'!$A$2:$DV$65,(B15+1),FALSE)))</f>
        <v>0</v>
      </c>
      <c r="H15" s="268">
        <f>IF($P$1="Select company","",IF(C15 = "","",HLOOKUP(((VLOOKUP($P$1,Lists!$B$4:$C$23,2,FALSE))&amp;"201617Actual"),'PC list edited'!$A$2:$DV$65,(B15+1),FALSE)))</f>
        <v>99</v>
      </c>
      <c r="I15" s="474">
        <v>97</v>
      </c>
      <c r="J15" s="569" t="s">
        <v>1980</v>
      </c>
      <c r="K15" s="430" t="s">
        <v>1981</v>
      </c>
      <c r="L15" s="431"/>
      <c r="M15" s="430" t="s">
        <v>1983</v>
      </c>
      <c r="N15" s="431">
        <v>-6.7949999999999999</v>
      </c>
      <c r="O15" s="430" t="s">
        <v>1983</v>
      </c>
      <c r="P15" s="432">
        <v>-9.06</v>
      </c>
      <c r="Q15" s="65"/>
      <c r="R15" s="436">
        <f t="shared" si="4"/>
        <v>0</v>
      </c>
      <c r="S15" s="25">
        <f t="shared" si="1"/>
        <v>0</v>
      </c>
      <c r="T15" s="65"/>
      <c r="U15" s="66"/>
      <c r="V15" s="86">
        <f t="shared" si="2"/>
        <v>0</v>
      </c>
      <c r="W15" s="86">
        <f>IF($C15="",0,IF(ISBLANK(#REF!)=FALSE,0,1))</f>
        <v>0</v>
      </c>
      <c r="X15" s="86">
        <f t="shared" si="0"/>
        <v>0</v>
      </c>
      <c r="Y15" s="86">
        <f>IF(OR(ISBLANK(L15), L15=0), 0, IF(OR(K15=Lists!$F$11, K15=Lists!$F$13), 0, 1))</f>
        <v>0</v>
      </c>
      <c r="Z15" s="86">
        <f>IF(OR($C15="", AND(NOT(K15=Lists!$F$11), NOT(K15=Lists!$F$13))),0,IF(ISBLANK(L15)=FALSE,0,1))</f>
        <v>0</v>
      </c>
      <c r="AA15" s="86">
        <f>IF(OR(ISBLANK(N15), N15=0), 0, IF(OR(M15=Lists!$F$11, M15=Lists!$F$13), 0, 1))</f>
        <v>0</v>
      </c>
      <c r="AB15" s="86">
        <f>IF(OR($C15="", AND(NOT(M15=Lists!$F$11), NOT(M15=Lists!$F$13))),0,IF(ISBLANK(N15)=FALSE,0,1))</f>
        <v>0</v>
      </c>
      <c r="AC15" s="86">
        <f>IF(OR(ISBLANK(P15), P15=0), 0, IF(OR(O15=Lists!$F$11, O15=Lists!$F$13), 0, 1))</f>
        <v>0</v>
      </c>
      <c r="AD15" s="86">
        <f>IF(OR($C15="", AND(NOT(O15=Lists!$F$11), NOT(O15=Lists!$F$13))),0,IF(ISBLANK(P15)=FALSE,0,1))</f>
        <v>0</v>
      </c>
      <c r="AE15" s="66"/>
      <c r="AF15" s="438">
        <f xml:space="preserve"> IF(OR( AND( K15 = Lists!$F$11, '3A'!L15 &lt; 0), AND( '3A'!M15 = Lists!$F$11, '3A'!N15 &lt; 0), AND( '3A'!O15 = Lists!$F$11, '3A'!P15 &lt; 0)), 1, 0)</f>
        <v>0</v>
      </c>
      <c r="AG15" s="438">
        <f xml:space="preserve"> IF( OR( AND( K15 = Lists!$F$13, '3A'!L15 &gt; 0), AND( M15 = Lists!$F$13, '3A'!N15 &gt; 0), AND( O15 = Lists!$F$13, '3A'!P15 &gt; 0 )), 1, 0)</f>
        <v>0</v>
      </c>
      <c r="AH15" s="439"/>
      <c r="AI15" s="571" t="str">
        <f>IF($P$1="Select company","",IF((HLOOKUP(((VLOOKUP($P$1,Lists!$B$4:$C$23,2,FALSE))&amp;'PC LIST'!$J$2),'PC list edited'!$A$2:$DT$65,(B15+1),FALSE))=0,"",HLOOKUP(((VLOOKUP($P$1,Lists!$B$4:$C$23,2,FALSE))&amp; 'PC LIST'!$J$2),'PC list edited'!$A$2:$DT$65,(B15+1),FALSE)))</f>
        <v>Under</v>
      </c>
    </row>
    <row r="16" spans="1:35" s="70" customFormat="1" ht="30" customHeight="1">
      <c r="A16" s="69"/>
      <c r="B16" s="246">
        <f t="shared" si="3"/>
        <v>12</v>
      </c>
      <c r="C16" s="426" t="str">
        <f>IF($P$1="Select company","",IF((HLOOKUP((VLOOKUP($P$1,Lists!$B$4:$C$23,2,FALSE)),'PC list edited'!$A$2:$DV$65,(B16+1),FALSE))=0,"",HLOOKUP((VLOOKUP($P$1,Lists!$B$4:$C$23,2,FALSE)),'PC list edited'!$A$2:$DV$65,(B16+1),FALSE)))</f>
        <v>PR14TMSWSW_WB7</v>
      </c>
      <c r="D16" s="425" t="str">
        <f>IF($P$1="Select company","",IF(C16 ="","",HLOOKUP(((VLOOKUP($P$1,Lists!$B$4:$C$23,2,FALSE))&amp;"PC"),'PC list edited'!$A$2:$DV$65,(B16+1),FALSE)))</f>
        <v>WB7: Compliance with SEMD advice notes (with or without derogation)</v>
      </c>
      <c r="E16" s="268" t="str">
        <f>IF($P$1="Select company","",IF(C16 ="","",HLOOKUP(((VLOOKUP($P$1,Lists!$B$4:$C$23,2,FALSE))&amp;"unit"),'PC list edited'!$A$2:$DV$65,(B16+1),FALSE)))</f>
        <v>%</v>
      </c>
      <c r="F16" s="268" t="str">
        <f>IF($P$1="Select company","",IF(C16 ="","",HLOOKUP(((VLOOKUP($P$1,Lists!$B$4:$C$23,2,FALSE))&amp;"UnitDes"),'PC list edited'!$A$2:$DV$65,(B16+1),FALSE)))</f>
        <v>% compliance with SEMD advice notes</v>
      </c>
      <c r="G16" s="268">
        <f>IF($P$1="Select company","",IF(C16="","",HLOOKUP(((VLOOKUP($P$1,Lists!$B$4:$C$23,2,FALSE))&amp;"DP"),'PC list edited'!$A$2:$DV$65,(B16+1),FALSE)))</f>
        <v>0</v>
      </c>
      <c r="H16" s="268" t="str">
        <f>IF($P$1="Select company","",IF(C16 = "","",HLOOKUP(((VLOOKUP($P$1,Lists!$B$4:$C$23,2,FALSE))&amp;"201617Actual"),'PC list edited'!$A$2:$DV$65,(B16+1),FALSE)))</f>
        <v>Not available</v>
      </c>
      <c r="I16" s="2160" t="s">
        <v>1986</v>
      </c>
      <c r="J16" s="569" t="s">
        <v>1981</v>
      </c>
      <c r="K16" s="430" t="s">
        <v>1981</v>
      </c>
      <c r="L16" s="431"/>
      <c r="M16" s="430" t="s">
        <v>1981</v>
      </c>
      <c r="N16" s="431"/>
      <c r="O16" s="430" t="s">
        <v>1981</v>
      </c>
      <c r="P16" s="432"/>
      <c r="Q16" s="65"/>
      <c r="R16" s="436">
        <f t="shared" si="4"/>
        <v>0</v>
      </c>
      <c r="S16" s="25">
        <f t="shared" si="1"/>
        <v>0</v>
      </c>
      <c r="T16" s="65"/>
      <c r="U16" s="66"/>
      <c r="V16" s="86">
        <f t="shared" si="2"/>
        <v>0</v>
      </c>
      <c r="W16" s="86">
        <f>IF($C16="",0,IF(ISBLANK(#REF!)=FALSE,0,1))</f>
        <v>0</v>
      </c>
      <c r="X16" s="86">
        <f t="shared" si="0"/>
        <v>0</v>
      </c>
      <c r="Y16" s="86">
        <f>IF(OR(ISBLANK(L16), L16=0), 0, IF(OR(K16=Lists!$F$11, K16=Lists!$F$13), 0, 1))</f>
        <v>0</v>
      </c>
      <c r="Z16" s="86">
        <f>IF(OR($C16="", AND(NOT(K16=Lists!$F$11), NOT(K16=Lists!$F$13))),0,IF(ISBLANK(L16)=FALSE,0,1))</f>
        <v>0</v>
      </c>
      <c r="AA16" s="86">
        <f>IF(OR(ISBLANK(N16), N16=0), 0, IF(OR(M16=Lists!$F$11, M16=Lists!$F$13), 0, 1))</f>
        <v>0</v>
      </c>
      <c r="AB16" s="86">
        <f>IF(OR($C16="", AND(NOT(M16=Lists!$F$11), NOT(M16=Lists!$F$13))),0,IF(ISBLANK(N16)=FALSE,0,1))</f>
        <v>0</v>
      </c>
      <c r="AC16" s="86">
        <f>IF(OR(ISBLANK(P16), P16=0), 0, IF(OR(O16=Lists!$F$11, O16=Lists!$F$13), 0, 1))</f>
        <v>0</v>
      </c>
      <c r="AD16" s="86">
        <f>IF(OR($C16="", AND(NOT(O16=Lists!$F$11), NOT(O16=Lists!$F$13))),0,IF(ISBLANK(P16)=FALSE,0,1))</f>
        <v>0</v>
      </c>
      <c r="AE16" s="66"/>
      <c r="AF16" s="438">
        <f xml:space="preserve"> IF(OR( AND( K16 = Lists!$F$11, '3A'!L16 &lt; 0), AND( '3A'!M16 = Lists!$F$11, '3A'!N16 &lt; 0), AND( '3A'!O16 = Lists!$F$11, '3A'!P16 &lt; 0)), 1, 0)</f>
        <v>0</v>
      </c>
      <c r="AG16" s="438">
        <f xml:space="preserve"> IF( OR( AND( K16 = Lists!$F$13, '3A'!L16 &gt; 0), AND( M16 = Lists!$F$13, '3A'!N16 &gt; 0), AND( O16 = Lists!$F$13, '3A'!P16 &gt; 0 )), 1, 0)</f>
        <v>0</v>
      </c>
      <c r="AH16" s="439"/>
      <c r="AI16" s="571" t="str">
        <f>IF($P$1="Select company","",IF((HLOOKUP(((VLOOKUP($P$1,Lists!$B$4:$C$23,2,FALSE))&amp;'PC LIST'!$J$2),'PC list edited'!$A$2:$DT$65,(B16+1),FALSE))=0,"",HLOOKUP(((VLOOKUP($P$1,Lists!$B$4:$C$23,2,FALSE))&amp; 'PC LIST'!$J$2),'PC list edited'!$A$2:$DT$65,(B16+1),FALSE)))</f>
        <v>Under</v>
      </c>
    </row>
    <row r="17" spans="1:35" s="70" customFormat="1" ht="30" customHeight="1">
      <c r="A17" s="69"/>
      <c r="B17" s="246">
        <f t="shared" si="3"/>
        <v>13</v>
      </c>
      <c r="C17" s="426" t="str">
        <f>IF($P$1="Select company","",IF((HLOOKUP((VLOOKUP($P$1,Lists!$B$4:$C$23,2,FALSE)),'PC list edited'!$A$2:$DV$65,(B17+1),FALSE))=0,"",HLOOKUP((VLOOKUP($P$1,Lists!$B$4:$C$23,2,FALSE)),'PC list edited'!$A$2:$DV$65,(B17+1),FALSE)))</f>
        <v>PR14TMSWSW_WB8</v>
      </c>
      <c r="D17" s="425" t="str">
        <f>IF($P$1="Select company","",IF(C17 ="","",HLOOKUP(((VLOOKUP($P$1,Lists!$B$4:$C$23,2,FALSE))&amp;"PC"),'PC list edited'!$A$2:$DV$65,(B17+1),FALSE)))</f>
        <v>WB8: Ml/d of sites made resilient to future extreme rainfall events</v>
      </c>
      <c r="E17" s="268" t="str">
        <f>IF($P$1="Select company","",IF(C17 ="","",HLOOKUP(((VLOOKUP($P$1,Lists!$B$4:$C$23,2,FALSE))&amp;"unit"),'PC list edited'!$A$2:$DV$65,(B17+1),FALSE)))</f>
        <v>nr</v>
      </c>
      <c r="F17" s="268" t="str">
        <f>IF($P$1="Select company","",IF(C17 ="","",HLOOKUP(((VLOOKUP($P$1,Lists!$B$4:$C$23,2,FALSE))&amp;"UnitDes"),'PC list edited'!$A$2:$DV$65,(B17+1),FALSE)))</f>
        <v>Ml/d of WTWs made resilient</v>
      </c>
      <c r="G17" s="268">
        <f>IF($P$1="Select company","",IF(C17="","",HLOOKUP(((VLOOKUP($P$1,Lists!$B$4:$C$23,2,FALSE))&amp;"DP"),'PC list edited'!$A$2:$DV$65,(B17+1),FALSE)))</f>
        <v>0</v>
      </c>
      <c r="H17" s="268">
        <f>IF($P$1="Select company","",IF(C17 = "","",HLOOKUP(((VLOOKUP($P$1,Lists!$B$4:$C$23,2,FALSE))&amp;"201617Actual"),'PC list edited'!$A$2:$DV$65,(B17+1),FALSE)))</f>
        <v>0</v>
      </c>
      <c r="I17" s="474">
        <v>4</v>
      </c>
      <c r="J17" s="569" t="s">
        <v>1981</v>
      </c>
      <c r="K17" s="430" t="s">
        <v>1981</v>
      </c>
      <c r="L17" s="431"/>
      <c r="M17" s="430" t="s">
        <v>1981</v>
      </c>
      <c r="N17" s="431"/>
      <c r="O17" s="430" t="s">
        <v>1981</v>
      </c>
      <c r="P17" s="432"/>
      <c r="Q17" s="65"/>
      <c r="R17" s="436">
        <f t="shared" si="4"/>
        <v>0</v>
      </c>
      <c r="S17" s="25">
        <f t="shared" si="1"/>
        <v>0</v>
      </c>
      <c r="T17" s="65"/>
      <c r="U17" s="66"/>
      <c r="V17" s="86">
        <f t="shared" si="2"/>
        <v>0</v>
      </c>
      <c r="W17" s="86">
        <f>IF($C17="",0,IF(ISBLANK(#REF!)=FALSE,0,1))</f>
        <v>0</v>
      </c>
      <c r="X17" s="86">
        <f t="shared" si="0"/>
        <v>0</v>
      </c>
      <c r="Y17" s="86">
        <f>IF(OR(ISBLANK(L17), L17=0), 0, IF(OR(K17=Lists!$F$11, K17=Lists!$F$13), 0, 1))</f>
        <v>0</v>
      </c>
      <c r="Z17" s="86">
        <f>IF(OR($C17="", AND(NOT(K17=Lists!$F$11), NOT(K17=Lists!$F$13))),0,IF(ISBLANK(L17)=FALSE,0,1))</f>
        <v>0</v>
      </c>
      <c r="AA17" s="86">
        <f>IF(OR(ISBLANK(N17), N17=0), 0, IF(OR(M17=Lists!$F$11, M17=Lists!$F$13), 0, 1))</f>
        <v>0</v>
      </c>
      <c r="AB17" s="86">
        <f>IF(OR($C17="", AND(NOT(M17=Lists!$F$11), NOT(M17=Lists!$F$13))),0,IF(ISBLANK(N17)=FALSE,0,1))</f>
        <v>0</v>
      </c>
      <c r="AC17" s="86">
        <f>IF(OR(ISBLANK(P17), P17=0), 0, IF(OR(O17=Lists!$F$11, O17=Lists!$F$13), 0, 1))</f>
        <v>0</v>
      </c>
      <c r="AD17" s="86">
        <f>IF(OR($C17="", AND(NOT(O17=Lists!$F$11), NOT(O17=Lists!$F$13))),0,IF(ISBLANK(P17)=FALSE,0,1))</f>
        <v>0</v>
      </c>
      <c r="AE17" s="66"/>
      <c r="AF17" s="438">
        <f xml:space="preserve"> IF(OR( AND( K17 = Lists!$F$11, '3A'!L17 &lt; 0), AND( '3A'!M17 = Lists!$F$11, '3A'!N17 &lt; 0), AND( '3A'!O17 = Lists!$F$11, '3A'!P17 &lt; 0)), 1, 0)</f>
        <v>0</v>
      </c>
      <c r="AG17" s="438">
        <f xml:space="preserve"> IF( OR( AND( K17 = Lists!$F$13, '3A'!L17 &gt; 0), AND( M17 = Lists!$F$13, '3A'!N17 &gt; 0), AND( O17 = Lists!$F$13, '3A'!P17 &gt; 0 )), 1, 0)</f>
        <v>0</v>
      </c>
      <c r="AH17" s="439"/>
      <c r="AI17" s="571" t="str">
        <f>IF($P$1="Select company","",IF((HLOOKUP(((VLOOKUP($P$1,Lists!$B$4:$C$23,2,FALSE))&amp;'PC LIST'!$J$2),'PC list edited'!$A$2:$DT$65,(B17+1),FALSE))=0,"",HLOOKUP(((VLOOKUP($P$1,Lists!$B$4:$C$23,2,FALSE))&amp; 'PC LIST'!$J$2),'PC list edited'!$A$2:$DT$65,(B17+1),FALSE)))</f>
        <v>Out &amp; under</v>
      </c>
    </row>
    <row r="18" spans="1:35" s="70" customFormat="1" ht="30" customHeight="1">
      <c r="A18" s="69"/>
      <c r="B18" s="246">
        <f t="shared" si="3"/>
        <v>14</v>
      </c>
      <c r="C18" s="426" t="str">
        <f>IF($P$1="Select company","",IF((HLOOKUP((VLOOKUP($P$1,Lists!$B$4:$C$23,2,FALSE)),'PC list edited'!$A$2:$DV$65,(B18+1),FALSE))=0,"",HLOOKUP((VLOOKUP($P$1,Lists!$B$4:$C$23,2,FALSE)),'PC list edited'!$A$2:$DV$65,(B18+1),FALSE)))</f>
        <v>PR14TMSWSW_WC1</v>
      </c>
      <c r="D18" s="425" t="str">
        <f>IF($P$1="Select company","",IF(C18 ="","",HLOOKUP(((VLOOKUP($P$1,Lists!$B$4:$C$23,2,FALSE))&amp;"PC"),'PC list edited'!$A$2:$DV$65,(B18+1),FALSE)))</f>
        <v>WC1: Greenhouse gas emissions from water operations</v>
      </c>
      <c r="E18" s="268" t="str">
        <f>IF($P$1="Select company","",IF(C18 ="","",HLOOKUP(((VLOOKUP($P$1,Lists!$B$4:$C$23,2,FALSE))&amp;"unit"),'PC list edited'!$A$2:$DV$65,(B18+1),FALSE)))</f>
        <v>nr</v>
      </c>
      <c r="F18" s="268" t="str">
        <f>IF($P$1="Select company","",IF(C18 ="","",HLOOKUP(((VLOOKUP($P$1,Lists!$B$4:$C$23,2,FALSE))&amp;"UnitDes"),'PC list edited'!$A$2:$DV$65,(B18+1),FALSE)))</f>
        <v>ktCO2e</v>
      </c>
      <c r="G18" s="268">
        <f>IF($P$1="Select company","",IF(C18="","",HLOOKUP(((VLOOKUP($P$1,Lists!$B$4:$C$23,2,FALSE))&amp;"DP"),'PC list edited'!$A$2:$DV$65,(B18+1),FALSE)))</f>
        <v>1</v>
      </c>
      <c r="H18" s="268">
        <f>IF($P$1="Select company","",IF(C18 = "","",HLOOKUP(((VLOOKUP($P$1,Lists!$B$4:$C$23,2,FALSE))&amp;"201617Actual"),'PC list edited'!$A$2:$DV$65,(B18+1),FALSE)))</f>
        <v>160.69999999999999</v>
      </c>
      <c r="I18" s="474">
        <v>46.2</v>
      </c>
      <c r="J18" s="569" t="s">
        <v>1979</v>
      </c>
      <c r="K18" s="430"/>
      <c r="L18" s="431"/>
      <c r="M18" s="430"/>
      <c r="N18" s="431"/>
      <c r="O18" s="430"/>
      <c r="P18" s="432"/>
      <c r="Q18" s="65"/>
      <c r="R18" s="436">
        <f t="shared" si="4"/>
        <v>0</v>
      </c>
      <c r="S18" s="25">
        <f t="shared" si="1"/>
        <v>0</v>
      </c>
      <c r="T18" s="65"/>
      <c r="U18" s="66"/>
      <c r="V18" s="86">
        <f t="shared" si="2"/>
        <v>0</v>
      </c>
      <c r="W18" s="86">
        <f>IF($C18="",0,IF(ISBLANK(#REF!)=FALSE,0,1))</f>
        <v>0</v>
      </c>
      <c r="X18" s="86">
        <f t="shared" si="0"/>
        <v>0</v>
      </c>
      <c r="Y18" s="86">
        <f>IF(OR(ISBLANK(L18), L18=0), 0, IF(OR(K18=Lists!$F$11, K18=Lists!$F$13), 0, 1))</f>
        <v>0</v>
      </c>
      <c r="Z18" s="86">
        <f>IF(OR($C18="", AND(NOT(K18=Lists!$F$11), NOT(K18=Lists!$F$13))),0,IF(ISBLANK(L18)=FALSE,0,1))</f>
        <v>0</v>
      </c>
      <c r="AA18" s="86">
        <f>IF(OR(ISBLANK(N18), N18=0), 0, IF(OR(M18=Lists!$F$11, M18=Lists!$F$13), 0, 1))</f>
        <v>0</v>
      </c>
      <c r="AB18" s="86">
        <f>IF(OR($C18="", AND(NOT(M18=Lists!$F$11), NOT(M18=Lists!$F$13))),0,IF(ISBLANK(N18)=FALSE,0,1))</f>
        <v>0</v>
      </c>
      <c r="AC18" s="86">
        <f>IF(OR(ISBLANK(P18), P18=0), 0, IF(OR(O18=Lists!$F$11, O18=Lists!$F$13), 0, 1))</f>
        <v>0</v>
      </c>
      <c r="AD18" s="86">
        <f>IF(OR($C18="", AND(NOT(O18=Lists!$F$11), NOT(O18=Lists!$F$13))),0,IF(ISBLANK(P18)=FALSE,0,1))</f>
        <v>0</v>
      </c>
      <c r="AE18" s="66"/>
      <c r="AF18" s="438">
        <f xml:space="preserve"> IF(OR( AND( K18 = Lists!$F$11, '3A'!L18 &lt; 0), AND( '3A'!M18 = Lists!$F$11, '3A'!N18 &lt; 0), AND( '3A'!O18 = Lists!$F$11, '3A'!P18 &lt; 0)), 1, 0)</f>
        <v>0</v>
      </c>
      <c r="AG18" s="438">
        <f xml:space="preserve"> IF( OR( AND( K18 = Lists!$F$13, '3A'!L18 &gt; 0), AND( M18 = Lists!$F$13, '3A'!N18 &gt; 0), AND( O18 = Lists!$F$13, '3A'!P18 &gt; 0 )), 1, 0)</f>
        <v>0</v>
      </c>
      <c r="AH18" s="439"/>
      <c r="AI18" s="571" t="str">
        <f>IF($P$1="Select company","",IF((HLOOKUP(((VLOOKUP($P$1,Lists!$B$4:$C$23,2,FALSE))&amp;'PC LIST'!$J$2),'PC list edited'!$A$2:$DT$65,(B18+1),FALSE))=0,"",HLOOKUP(((VLOOKUP($P$1,Lists!$B$4:$C$23,2,FALSE))&amp; 'PC LIST'!$J$2),'PC list edited'!$A$2:$DT$65,(B18+1),FALSE)))</f>
        <v>NFI</v>
      </c>
    </row>
    <row r="19" spans="1:35" s="70" customFormat="1" ht="30" customHeight="1">
      <c r="A19" s="69"/>
      <c r="B19" s="246">
        <f t="shared" si="3"/>
        <v>15</v>
      </c>
      <c r="C19" s="426" t="str">
        <f>IF($P$1="Select company","",IF((HLOOKUP((VLOOKUP($P$1,Lists!$B$4:$C$23,2,FALSE)),'PC list edited'!$A$2:$DV$65,(B19+1),FALSE))=0,"",HLOOKUP((VLOOKUP($P$1,Lists!$B$4:$C$23,2,FALSE)),'PC list edited'!$A$2:$DV$65,(B19+1),FALSE)))</f>
        <v>PR14TMSWSW_WC2</v>
      </c>
      <c r="D19" s="425" t="str">
        <f>IF($P$1="Select company","",IF(C19 ="","",HLOOKUP(((VLOOKUP($P$1,Lists!$B$4:$C$23,2,FALSE))&amp;"PC"),'PC list edited'!$A$2:$DV$65,(B19+1),FALSE)))</f>
        <v>WC2: Leakage</v>
      </c>
      <c r="E19" s="268" t="str">
        <f>IF($P$1="Select company","",IF(C19 ="","",HLOOKUP(((VLOOKUP($P$1,Lists!$B$4:$C$23,2,FALSE))&amp;"unit"),'PC list edited'!$A$2:$DV$65,(B19+1),FALSE)))</f>
        <v>nr</v>
      </c>
      <c r="F19" s="268" t="str">
        <f>IF($P$1="Select company","",IF(C19 ="","",HLOOKUP(((VLOOKUP($P$1,Lists!$B$4:$C$23,2,FALSE))&amp;"UnitDes"),'PC list edited'!$A$2:$DV$65,(B19+1),FALSE)))</f>
        <v>Megalitres per day (Ml/d) (annual average)</v>
      </c>
      <c r="G19" s="268">
        <f>IF($P$1="Select company","",IF(C19="","",HLOOKUP(((VLOOKUP($P$1,Lists!$B$4:$C$23,2,FALSE))&amp;"DP"),'PC list edited'!$A$2:$DV$65,(B19+1),FALSE)))</f>
        <v>0</v>
      </c>
      <c r="H19" s="268">
        <f>IF($P$1="Select company","",IF(C19 = "","",HLOOKUP(((VLOOKUP($P$1,Lists!$B$4:$C$23,2,FALSE))&amp;"201617Actual"),'PC list edited'!$A$2:$DV$65,(B19+1),FALSE)))</f>
        <v>677</v>
      </c>
      <c r="I19" s="474">
        <v>695</v>
      </c>
      <c r="J19" s="569" t="s">
        <v>1980</v>
      </c>
      <c r="K19" s="430" t="s">
        <v>1981</v>
      </c>
      <c r="L19" s="431"/>
      <c r="M19" s="430" t="s">
        <v>1983</v>
      </c>
      <c r="N19" s="431">
        <v>-13.05</v>
      </c>
      <c r="O19" s="430" t="s">
        <v>1983</v>
      </c>
      <c r="P19" s="432">
        <v>-48.6</v>
      </c>
      <c r="Q19" s="65"/>
      <c r="R19" s="436">
        <f t="shared" si="4"/>
        <v>0</v>
      </c>
      <c r="S19" s="25">
        <f t="shared" si="1"/>
        <v>0</v>
      </c>
      <c r="T19" s="65"/>
      <c r="U19" s="66"/>
      <c r="V19" s="86">
        <f t="shared" si="2"/>
        <v>0</v>
      </c>
      <c r="W19" s="86">
        <f>IF($C19="",0,IF(ISBLANK(#REF!)=FALSE,0,1))</f>
        <v>0</v>
      </c>
      <c r="X19" s="86">
        <f t="shared" si="0"/>
        <v>0</v>
      </c>
      <c r="Y19" s="86">
        <f>IF(OR(ISBLANK(L19), L19=0), 0, IF(OR(K19=Lists!$F$11, K19=Lists!$F$13), 0, 1))</f>
        <v>0</v>
      </c>
      <c r="Z19" s="86">
        <f>IF(OR($C19="", AND(NOT(K19=Lists!$F$11), NOT(K19=Lists!$F$13))),0,IF(ISBLANK(L19)=FALSE,0,1))</f>
        <v>0</v>
      </c>
      <c r="AA19" s="86">
        <f>IF(OR(ISBLANK(N19), N19=0), 0, IF(OR(M19=Lists!$F$11, M19=Lists!$F$13), 0, 1))</f>
        <v>0</v>
      </c>
      <c r="AB19" s="86">
        <f>IF(OR($C19="", AND(NOT(M19=Lists!$F$11), NOT(M19=Lists!$F$13))),0,IF(ISBLANK(N19)=FALSE,0,1))</f>
        <v>0</v>
      </c>
      <c r="AC19" s="86">
        <f>IF(OR(ISBLANK(P19), P19=0), 0, IF(OR(O19=Lists!$F$11, O19=Lists!$F$13), 0, 1))</f>
        <v>0</v>
      </c>
      <c r="AD19" s="86">
        <f>IF(OR($C19="", AND(NOT(O19=Lists!$F$11), NOT(O19=Lists!$F$13))),0,IF(ISBLANK(P19)=FALSE,0,1))</f>
        <v>0</v>
      </c>
      <c r="AE19" s="66"/>
      <c r="AF19" s="438">
        <f xml:space="preserve"> IF(OR( AND( K19 = Lists!$F$11, '3A'!L19 &lt; 0), AND( '3A'!M19 = Lists!$F$11, '3A'!N19 &lt; 0), AND( '3A'!O19 = Lists!$F$11, '3A'!P19 &lt; 0)), 1, 0)</f>
        <v>0</v>
      </c>
      <c r="AG19" s="438">
        <f xml:space="preserve"> IF( OR( AND( K19 = Lists!$F$13, '3A'!L19 &gt; 0), AND( M19 = Lists!$F$13, '3A'!N19 &gt; 0), AND( O19 = Lists!$F$13, '3A'!P19 &gt; 0 )), 1, 0)</f>
        <v>0</v>
      </c>
      <c r="AH19" s="439"/>
      <c r="AI19" s="571" t="str">
        <f>IF($P$1="Select company","",IF((HLOOKUP(((VLOOKUP($P$1,Lists!$B$4:$C$23,2,FALSE))&amp;'PC LIST'!$J$2),'PC list edited'!$A$2:$DT$65,(B19+1),FALSE))=0,"",HLOOKUP(((VLOOKUP($P$1,Lists!$B$4:$C$23,2,FALSE))&amp; 'PC LIST'!$J$2),'PC list edited'!$A$2:$DT$65,(B19+1),FALSE)))</f>
        <v>Out &amp; under</v>
      </c>
    </row>
    <row r="20" spans="1:35" s="70" customFormat="1" ht="30" customHeight="1">
      <c r="A20" s="69"/>
      <c r="B20" s="246">
        <f t="shared" si="3"/>
        <v>16</v>
      </c>
      <c r="C20" s="426" t="str">
        <f>IF($P$1="Select company","",IF((HLOOKUP((VLOOKUP($P$1,Lists!$B$4:$C$23,2,FALSE)),'PC list edited'!$A$2:$DV$65,(B20+1),FALSE))=0,"",HLOOKUP((VLOOKUP($P$1,Lists!$B$4:$C$23,2,FALSE)),'PC list edited'!$A$2:$DV$65,(B20+1),FALSE)))</f>
        <v>PR14TMSWSW_WC3</v>
      </c>
      <c r="D20" s="425" t="str">
        <f>IF($P$1="Select company","",IF(C20 ="","",HLOOKUP(((VLOOKUP($P$1,Lists!$B$4:$C$23,2,FALSE))&amp;"PC"),'PC list edited'!$A$2:$DV$65,(B20+1),FALSE)))</f>
        <v xml:space="preserve">WC3: Abstraction Incentive Mechanism (AIM) </v>
      </c>
      <c r="E20" s="268" t="str">
        <f>IF($P$1="Select company","",IF(C20 ="","",HLOOKUP(((VLOOKUP($P$1,Lists!$B$4:$C$23,2,FALSE))&amp;"unit"),'PC list edited'!$A$2:$DV$65,(B20+1),FALSE)))</f>
        <v>nr</v>
      </c>
      <c r="F20" s="268" t="str">
        <f>IF($P$1="Select company","",IF(C20 ="","",HLOOKUP(((VLOOKUP($P$1,Lists!$B$4:$C$23,2,FALSE))&amp;"UnitDes"),'PC list edited'!$A$2:$DV$65,(B20+1),FALSE)))</f>
        <v>Megalitres per day (Ml/d) abstracted at the relevant site</v>
      </c>
      <c r="G20" s="268">
        <f>IF($P$1="Select company","",IF(C20="","",HLOOKUP(((VLOOKUP($P$1,Lists!$B$4:$C$23,2,FALSE))&amp;"DP"),'PC list edited'!$A$2:$DV$65,(B20+1),FALSE)))</f>
        <v>2</v>
      </c>
      <c r="H20" s="268" t="str">
        <f>IF($P$1="Select company","",IF(C20 = "","",HLOOKUP(((VLOOKUP($P$1,Lists!$B$4:$C$23,2,FALSE))&amp;"201617Actual"),'PC list edited'!$A$2:$DV$65,(B20+1),FALSE)))</f>
        <v>0 (refer to APR table 3C)</v>
      </c>
      <c r="I20" s="474">
        <v>-1676.29</v>
      </c>
      <c r="J20" s="569" t="s">
        <v>1979</v>
      </c>
      <c r="K20" s="430"/>
      <c r="L20" s="431"/>
      <c r="M20" s="430"/>
      <c r="N20" s="431"/>
      <c r="O20" s="430"/>
      <c r="P20" s="432"/>
      <c r="Q20" s="65"/>
      <c r="R20" s="436">
        <f t="shared" si="4"/>
        <v>0</v>
      </c>
      <c r="S20" s="25">
        <f t="shared" si="1"/>
        <v>0</v>
      </c>
      <c r="T20" s="65"/>
      <c r="U20" s="66"/>
      <c r="V20" s="86">
        <f t="shared" si="2"/>
        <v>0</v>
      </c>
      <c r="W20" s="86">
        <f>IF($C20="",0,IF(ISBLANK(#REF!)=FALSE,0,1))</f>
        <v>0</v>
      </c>
      <c r="X20" s="86">
        <f t="shared" si="0"/>
        <v>0</v>
      </c>
      <c r="Y20" s="86">
        <f>IF(OR(ISBLANK(L20), L20=0), 0, IF(OR(K20=Lists!$F$11, K20=Lists!$F$13), 0, 1))</f>
        <v>0</v>
      </c>
      <c r="Z20" s="86">
        <f>IF(OR($C20="", AND(NOT(K20=Lists!$F$11), NOT(K20=Lists!$F$13))),0,IF(ISBLANK(L20)=FALSE,0,1))</f>
        <v>0</v>
      </c>
      <c r="AA20" s="86">
        <f>IF(OR(ISBLANK(N20), N20=0), 0, IF(OR(M20=Lists!$F$11, M20=Lists!$F$13), 0, 1))</f>
        <v>0</v>
      </c>
      <c r="AB20" s="86">
        <f>IF(OR($C20="", AND(NOT(M20=Lists!$F$11), NOT(M20=Lists!$F$13))),0,IF(ISBLANK(N20)=FALSE,0,1))</f>
        <v>0</v>
      </c>
      <c r="AC20" s="86">
        <f>IF(OR(ISBLANK(P20), P20=0), 0, IF(OR(O20=Lists!$F$11, O20=Lists!$F$13), 0, 1))</f>
        <v>0</v>
      </c>
      <c r="AD20" s="86">
        <f>IF(OR($C20="", AND(NOT(O20=Lists!$F$11), NOT(O20=Lists!$F$13))),0,IF(ISBLANK(P20)=FALSE,0,1))</f>
        <v>0</v>
      </c>
      <c r="AE20" s="66"/>
      <c r="AF20" s="438">
        <f xml:space="preserve"> IF(OR( AND( K20 = Lists!$F$11, '3A'!L20 &lt; 0), AND( '3A'!M20 = Lists!$F$11, '3A'!N20 &lt; 0), AND( '3A'!O20 = Lists!$F$11, '3A'!P20 &lt; 0)), 1, 0)</f>
        <v>0</v>
      </c>
      <c r="AG20" s="438">
        <f xml:space="preserve"> IF( OR( AND( K20 = Lists!$F$13, '3A'!L20 &gt; 0), AND( M20 = Lists!$F$13, '3A'!N20 &gt; 0), AND( O20 = Lists!$F$13, '3A'!P20 &gt; 0 )), 1, 0)</f>
        <v>0</v>
      </c>
      <c r="AH20" s="439"/>
      <c r="AI20" s="571" t="str">
        <f>IF($P$1="Select company","",IF((HLOOKUP(((VLOOKUP($P$1,Lists!$B$4:$C$23,2,FALSE))&amp;'PC LIST'!$J$2),'PC list edited'!$A$2:$DT$65,(B20+1),FALSE))=0,"",HLOOKUP(((VLOOKUP($P$1,Lists!$B$4:$C$23,2,FALSE))&amp; 'PC LIST'!$J$2),'PC list edited'!$A$2:$DT$65,(B20+1),FALSE)))</f>
        <v>NFI</v>
      </c>
    </row>
    <row r="21" spans="1:35" s="70" customFormat="1" ht="30" customHeight="1">
      <c r="A21" s="69"/>
      <c r="B21" s="246">
        <f t="shared" si="3"/>
        <v>17</v>
      </c>
      <c r="C21" s="426" t="str">
        <f>IF($P$1="Select company","",IF((HLOOKUP((VLOOKUP($P$1,Lists!$B$4:$C$23,2,FALSE)),'PC list edited'!$A$2:$DV$65,(B21+1),FALSE))=0,"",HLOOKUP((VLOOKUP($P$1,Lists!$B$4:$C$23,2,FALSE)),'PC list edited'!$A$2:$DV$65,(B21+1),FALSE)))</f>
        <v>PR14TMSWSW_WC4</v>
      </c>
      <c r="D21" s="425" t="str">
        <f>IF($P$1="Select company","",IF(C21 ="","",HLOOKUP(((VLOOKUP($P$1,Lists!$B$4:$C$23,2,FALSE))&amp;"PC"),'PC list edited'!$A$2:$DV$65,(B21+1),FALSE)))</f>
        <v>WC4: We will educate our existing and future customers</v>
      </c>
      <c r="E21" s="268" t="str">
        <f>IF($P$1="Select company","",IF(C21 ="","",HLOOKUP(((VLOOKUP($P$1,Lists!$B$4:$C$23,2,FALSE))&amp;"unit"),'PC list edited'!$A$2:$DV$65,(B21+1),FALSE)))</f>
        <v>nr</v>
      </c>
      <c r="F21" s="268" t="str">
        <f>IF($P$1="Select company","",IF(C21 ="","",HLOOKUP(((VLOOKUP($P$1,Lists!$B$4:$C$23,2,FALSE))&amp;"UnitDes"),'PC list edited'!$A$2:$DV$65,(B21+1),FALSE)))</f>
        <v>No. of children directly engaged</v>
      </c>
      <c r="G21" s="268">
        <f>IF($P$1="Select company","",IF(C21="","",HLOOKUP(((VLOOKUP($P$1,Lists!$B$4:$C$23,2,FALSE))&amp;"DP"),'PC list edited'!$A$2:$DV$65,(B21+1),FALSE)))</f>
        <v>0</v>
      </c>
      <c r="H21" s="268">
        <f>IF($P$1="Select company","",IF(C21 = "","",HLOOKUP(((VLOOKUP($P$1,Lists!$B$4:$C$23,2,FALSE))&amp;"201617Actual"),'PC list edited'!$A$2:$DV$65,(B21+1),FALSE)))</f>
        <v>20898</v>
      </c>
      <c r="I21" s="474">
        <v>21341</v>
      </c>
      <c r="J21" s="569" t="s">
        <v>1979</v>
      </c>
      <c r="K21" s="430"/>
      <c r="L21" s="431"/>
      <c r="M21" s="430"/>
      <c r="N21" s="431"/>
      <c r="O21" s="430"/>
      <c r="P21" s="432"/>
      <c r="Q21" s="65"/>
      <c r="R21" s="436">
        <f t="shared" si="4"/>
        <v>0</v>
      </c>
      <c r="S21" s="25">
        <f t="shared" si="1"/>
        <v>0</v>
      </c>
      <c r="T21" s="65"/>
      <c r="U21" s="66"/>
      <c r="V21" s="86">
        <f t="shared" si="2"/>
        <v>0</v>
      </c>
      <c r="W21" s="86">
        <f>IF($C21="",0,IF(ISBLANK(#REF!)=FALSE,0,1))</f>
        <v>0</v>
      </c>
      <c r="X21" s="86">
        <f t="shared" si="0"/>
        <v>0</v>
      </c>
      <c r="Y21" s="86">
        <f>IF(OR(ISBLANK(L21), L21=0), 0, IF(OR(K21=Lists!$F$11, K21=Lists!$F$13), 0, 1))</f>
        <v>0</v>
      </c>
      <c r="Z21" s="86">
        <f>IF(OR($C21="", AND(NOT(K21=Lists!$F$11), NOT(K21=Lists!$F$13))),0,IF(ISBLANK(L21)=FALSE,0,1))</f>
        <v>0</v>
      </c>
      <c r="AA21" s="86">
        <f>IF(OR(ISBLANK(N21), N21=0), 0, IF(OR(M21=Lists!$F$11, M21=Lists!$F$13), 0, 1))</f>
        <v>0</v>
      </c>
      <c r="AB21" s="86">
        <f>IF(OR($C21="", AND(NOT(M21=Lists!$F$11), NOT(M21=Lists!$F$13))),0,IF(ISBLANK(N21)=FALSE,0,1))</f>
        <v>0</v>
      </c>
      <c r="AC21" s="86">
        <f>IF(OR(ISBLANK(P21), P21=0), 0, IF(OR(O21=Lists!$F$11, O21=Lists!$F$13), 0, 1))</f>
        <v>0</v>
      </c>
      <c r="AD21" s="86">
        <f>IF(OR($C21="", AND(NOT(O21=Lists!$F$11), NOT(O21=Lists!$F$13))),0,IF(ISBLANK(P21)=FALSE,0,1))</f>
        <v>0</v>
      </c>
      <c r="AE21" s="66"/>
      <c r="AF21" s="438">
        <f xml:space="preserve"> IF(OR( AND( K21 = Lists!$F$11, '3A'!L21 &lt; 0), AND( '3A'!M21 = Lists!$F$11, '3A'!N21 &lt; 0), AND( '3A'!O21 = Lists!$F$11, '3A'!P21 &lt; 0)), 1, 0)</f>
        <v>0</v>
      </c>
      <c r="AG21" s="438">
        <f xml:space="preserve"> IF( OR( AND( K21 = Lists!$F$13, '3A'!L21 &gt; 0), AND( M21 = Lists!$F$13, '3A'!N21 &gt; 0), AND( O21 = Lists!$F$13, '3A'!P21 &gt; 0 )), 1, 0)</f>
        <v>0</v>
      </c>
      <c r="AH21" s="439"/>
      <c r="AI21" s="571" t="str">
        <f>IF($P$1="Select company","",IF((HLOOKUP(((VLOOKUP($P$1,Lists!$B$4:$C$23,2,FALSE))&amp;'PC LIST'!$J$2),'PC list edited'!$A$2:$DT$65,(B21+1),FALSE))=0,"",HLOOKUP(((VLOOKUP($P$1,Lists!$B$4:$C$23,2,FALSE))&amp; 'PC LIST'!$J$2),'PC list edited'!$A$2:$DT$65,(B21+1),FALSE)))</f>
        <v>NFI</v>
      </c>
    </row>
    <row r="22" spans="1:35" s="70" customFormat="1" ht="30" customHeight="1">
      <c r="A22" s="69"/>
      <c r="B22" s="246">
        <f t="shared" si="3"/>
        <v>18</v>
      </c>
      <c r="C22" s="426" t="str">
        <f>IF($P$1="Select company","",IF((HLOOKUP((VLOOKUP($P$1,Lists!$B$4:$C$23,2,FALSE)),'PC list edited'!$A$2:$DV$65,(B22+1),FALSE))=0,"",HLOOKUP((VLOOKUP($P$1,Lists!$B$4:$C$23,2,FALSE)),'PC list edited'!$A$2:$DV$65,(B22+1),FALSE)))</f>
        <v>PR14TMSWSW_WC5</v>
      </c>
      <c r="D22" s="425" t="str">
        <f>IF($P$1="Select company","",IF(C22 ="","",HLOOKUP(((VLOOKUP($P$1,Lists!$B$4:$C$23,2,FALSE))&amp;"PC"),'PC list edited'!$A$2:$DV$65,(B22+1),FALSE)))</f>
        <v>WC5: Deliver 100% of agreed measures to meet new environmental regulations</v>
      </c>
      <c r="E22" s="268" t="str">
        <f>IF($P$1="Select company","",IF(C22 ="","",HLOOKUP(((VLOOKUP($P$1,Lists!$B$4:$C$23,2,FALSE))&amp;"unit"),'PC list edited'!$A$2:$DV$65,(B22+1),FALSE)))</f>
        <v>%</v>
      </c>
      <c r="F22" s="268" t="str">
        <f>IF($P$1="Select company","",IF(C22 ="","",HLOOKUP(((VLOOKUP($P$1,Lists!$B$4:$C$23,2,FALSE))&amp;"UnitDes"),'PC list edited'!$A$2:$DV$65,(B22+1),FALSE)))</f>
        <v>% of agreed schemes completed</v>
      </c>
      <c r="G22" s="268">
        <f>IF($P$1="Select company","",IF(C22="","",HLOOKUP(((VLOOKUP($P$1,Lists!$B$4:$C$23,2,FALSE))&amp;"DP"),'PC list edited'!$A$2:$DV$65,(B22+1),FALSE)))</f>
        <v>0</v>
      </c>
      <c r="H22" s="268">
        <f>IF($P$1="Select company","",IF(C22 = "","",HLOOKUP(((VLOOKUP($P$1,Lists!$B$4:$C$23,2,FALSE))&amp;"201617Actual"),'PC list edited'!$A$2:$DV$65,(B22+1),FALSE)))</f>
        <v>0</v>
      </c>
      <c r="I22" s="474" t="s">
        <v>1987</v>
      </c>
      <c r="J22" s="569" t="s">
        <v>1981</v>
      </c>
      <c r="K22" s="430" t="s">
        <v>1981</v>
      </c>
      <c r="L22" s="431"/>
      <c r="M22" s="430" t="s">
        <v>1981</v>
      </c>
      <c r="N22" s="431"/>
      <c r="O22" s="430" t="s">
        <v>1981</v>
      </c>
      <c r="P22" s="432"/>
      <c r="Q22" s="65"/>
      <c r="R22" s="436">
        <f t="shared" si="4"/>
        <v>0</v>
      </c>
      <c r="S22" s="25">
        <f t="shared" si="1"/>
        <v>0</v>
      </c>
      <c r="T22" s="65"/>
      <c r="U22" s="66"/>
      <c r="V22" s="86">
        <f t="shared" si="2"/>
        <v>0</v>
      </c>
      <c r="W22" s="86">
        <f>IF($C22="",0,IF(ISBLANK(#REF!)=FALSE,0,1))</f>
        <v>0</v>
      </c>
      <c r="X22" s="86">
        <f t="shared" si="0"/>
        <v>0</v>
      </c>
      <c r="Y22" s="86">
        <f>IF(OR(ISBLANK(L22), L22=0), 0, IF(OR(K22=Lists!$F$11, K22=Lists!$F$13), 0, 1))</f>
        <v>0</v>
      </c>
      <c r="Z22" s="86">
        <f>IF(OR($C22="", AND(NOT(K22=Lists!$F$11), NOT(K22=Lists!$F$13))),0,IF(ISBLANK(L22)=FALSE,0,1))</f>
        <v>0</v>
      </c>
      <c r="AA22" s="86">
        <f>IF(OR(ISBLANK(N22), N22=0), 0, IF(OR(M22=Lists!$F$11, M22=Lists!$F$13), 0, 1))</f>
        <v>0</v>
      </c>
      <c r="AB22" s="86">
        <f>IF(OR($C22="", AND(NOT(M22=Lists!$F$11), NOT(M22=Lists!$F$13))),0,IF(ISBLANK(N22)=FALSE,0,1))</f>
        <v>0</v>
      </c>
      <c r="AC22" s="86">
        <f>IF(OR(ISBLANK(P22), P22=0), 0, IF(OR(O22=Lists!$F$11, O22=Lists!$F$13), 0, 1))</f>
        <v>0</v>
      </c>
      <c r="AD22" s="86">
        <f>IF(OR($C22="", AND(NOT(O22=Lists!$F$11), NOT(O22=Lists!$F$13))),0,IF(ISBLANK(P22)=FALSE,0,1))</f>
        <v>0</v>
      </c>
      <c r="AE22" s="66"/>
      <c r="AF22" s="438">
        <f xml:space="preserve"> IF(OR( AND( K22 = Lists!$F$11, '3A'!L22 &lt; 0), AND( '3A'!M22 = Lists!$F$11, '3A'!N22 &lt; 0), AND( '3A'!O22 = Lists!$F$11, '3A'!P22 &lt; 0)), 1, 0)</f>
        <v>0</v>
      </c>
      <c r="AG22" s="438">
        <f xml:space="preserve"> IF( OR( AND( K22 = Lists!$F$13, '3A'!L22 &gt; 0), AND( M22 = Lists!$F$13, '3A'!N22 &gt; 0), AND( O22 = Lists!$F$13, '3A'!P22 &gt; 0 )), 1, 0)</f>
        <v>0</v>
      </c>
      <c r="AH22" s="439"/>
      <c r="AI22" s="571" t="str">
        <f>IF($P$1="Select company","",IF((HLOOKUP(((VLOOKUP($P$1,Lists!$B$4:$C$23,2,FALSE))&amp;'PC LIST'!$J$2),'PC list edited'!$A$2:$DT$65,(B22+1),FALSE))=0,"",HLOOKUP(((VLOOKUP($P$1,Lists!$B$4:$C$23,2,FALSE))&amp; 'PC LIST'!$J$2),'PC list edited'!$A$2:$DT$65,(B22+1),FALSE)))</f>
        <v>Under</v>
      </c>
    </row>
    <row r="23" spans="1:35" s="70" customFormat="1" ht="30" customHeight="1">
      <c r="A23" s="69"/>
      <c r="B23" s="246">
        <f t="shared" si="3"/>
        <v>19</v>
      </c>
      <c r="C23" s="426" t="str">
        <f>IF($P$1="Select company","",IF((HLOOKUP((VLOOKUP($P$1,Lists!$B$4:$C$23,2,FALSE)),'PC list edited'!$A$2:$DV$65,(B23+1),FALSE))=0,"",HLOOKUP((VLOOKUP($P$1,Lists!$B$4:$C$23,2,FALSE)),'PC list edited'!$A$2:$DV$65,(B23+1),FALSE)))</f>
        <v>PR14TMSWSW_WD1</v>
      </c>
      <c r="D23" s="425" t="str">
        <f>IF($P$1="Select company","",IF(C23 ="","",HLOOKUP(((VLOOKUP($P$1,Lists!$B$4:$C$23,2,FALSE))&amp;"PC"),'PC list edited'!$A$2:$DV$65,(B23+1),FALSE)))</f>
        <v>WD1: Energy imported less energy exported</v>
      </c>
      <c r="E23" s="268" t="str">
        <f>IF($P$1="Select company","",IF(C23 ="","",HLOOKUP(((VLOOKUP($P$1,Lists!$B$4:$C$23,2,FALSE))&amp;"unit"),'PC list edited'!$A$2:$DV$65,(B23+1),FALSE)))</f>
        <v>nr</v>
      </c>
      <c r="F23" s="268" t="str">
        <f>IF($P$1="Select company","",IF(C23 ="","",HLOOKUP(((VLOOKUP($P$1,Lists!$B$4:$C$23,2,FALSE))&amp;"UnitDes"),'PC list edited'!$A$2:$DV$65,(B23+1),FALSE)))</f>
        <v>GWh (gigawatt-hours)</v>
      </c>
      <c r="G23" s="268">
        <f>IF($P$1="Select company","",IF(C23="","",HLOOKUP(((VLOOKUP($P$1,Lists!$B$4:$C$23,2,FALSE))&amp;"DP"),'PC list edited'!$A$2:$DV$65,(B23+1),FALSE)))</f>
        <v>0</v>
      </c>
      <c r="H23" s="268">
        <f>IF($P$1="Select company","",IF(C23 = "","",HLOOKUP(((VLOOKUP($P$1,Lists!$B$4:$C$23,2,FALSE))&amp;"201617Actual"),'PC list edited'!$A$2:$DV$65,(B23+1),FALSE)))</f>
        <v>490.5</v>
      </c>
      <c r="I23" s="474">
        <v>510</v>
      </c>
      <c r="J23" s="569" t="s">
        <v>1980</v>
      </c>
      <c r="K23" s="430"/>
      <c r="L23" s="431"/>
      <c r="M23" s="430"/>
      <c r="N23" s="431"/>
      <c r="O23" s="430"/>
      <c r="P23" s="432"/>
      <c r="Q23" s="110"/>
      <c r="R23" s="436">
        <f t="shared" si="4"/>
        <v>0</v>
      </c>
      <c r="S23" s="25">
        <f t="shared" si="1"/>
        <v>0</v>
      </c>
      <c r="T23" s="110"/>
      <c r="U23" s="114"/>
      <c r="V23" s="86">
        <f t="shared" si="2"/>
        <v>0</v>
      </c>
      <c r="W23" s="86">
        <f>IF($C23="",0,IF(ISBLANK(#REF!)=FALSE,0,1))</f>
        <v>0</v>
      </c>
      <c r="X23" s="86">
        <f t="shared" si="0"/>
        <v>0</v>
      </c>
      <c r="Y23" s="86">
        <f>IF(OR(ISBLANK(L23), L23=0), 0, IF(OR(K23=Lists!$F$11, K23=Lists!$F$13), 0, 1))</f>
        <v>0</v>
      </c>
      <c r="Z23" s="86">
        <f>IF(OR($C23="", AND(NOT(K23=Lists!$F$11), NOT(K23=Lists!$F$13))),0,IF(ISBLANK(L23)=FALSE,0,1))</f>
        <v>0</v>
      </c>
      <c r="AA23" s="86">
        <f>IF(OR(ISBLANK(N23), N23=0), 0, IF(OR(M23=Lists!$F$11, M23=Lists!$F$13), 0, 1))</f>
        <v>0</v>
      </c>
      <c r="AB23" s="86">
        <f>IF(OR($C23="", AND(NOT(M23=Lists!$F$11), NOT(M23=Lists!$F$13))),0,IF(ISBLANK(N23)=FALSE,0,1))</f>
        <v>0</v>
      </c>
      <c r="AC23" s="86">
        <f>IF(OR(ISBLANK(P23), P23=0), 0, IF(OR(O23=Lists!$F$11, O23=Lists!$F$13), 0, 1))</f>
        <v>0</v>
      </c>
      <c r="AD23" s="86">
        <f>IF(OR($C23="", AND(NOT(O23=Lists!$F$11), NOT(O23=Lists!$F$13))),0,IF(ISBLANK(P23)=FALSE,0,1))</f>
        <v>0</v>
      </c>
      <c r="AE23" s="114"/>
      <c r="AF23" s="438">
        <f xml:space="preserve"> IF(OR( AND( K23 = Lists!$F$11, '3A'!L23 &lt; 0), AND( '3A'!M23 = Lists!$F$11, '3A'!N23 &lt; 0), AND( '3A'!O23 = Lists!$F$11, '3A'!P23 &lt; 0)), 1, 0)</f>
        <v>0</v>
      </c>
      <c r="AG23" s="438">
        <f xml:space="preserve"> IF( OR( AND( K23 = Lists!$F$13, '3A'!L23 &gt; 0), AND( M23 = Lists!$F$13, '3A'!N23 &gt; 0), AND( O23 = Lists!$F$13, '3A'!P23 &gt; 0 )), 1, 0)</f>
        <v>0</v>
      </c>
      <c r="AH23" s="439"/>
      <c r="AI23" s="571" t="str">
        <f>IF($P$1="Select company","",IF((HLOOKUP(((VLOOKUP($P$1,Lists!$B$4:$C$23,2,FALSE))&amp;'PC LIST'!$J$2),'PC list edited'!$A$2:$DT$65,(B23+1),FALSE))=0,"",HLOOKUP(((VLOOKUP($P$1,Lists!$B$4:$C$23,2,FALSE))&amp; 'PC LIST'!$J$2),'PC list edited'!$A$2:$DT$65,(B23+1),FALSE)))</f>
        <v>NFI</v>
      </c>
    </row>
    <row r="24" spans="1:35" s="70" customFormat="1" ht="30" customHeight="1">
      <c r="A24" s="69"/>
      <c r="B24" s="246">
        <f t="shared" si="3"/>
        <v>20</v>
      </c>
      <c r="C24" s="426" t="str">
        <f>IF($P$1="Select company","",IF((HLOOKUP((VLOOKUP($P$1,Lists!$B$4:$C$23,2,FALSE)),'PC list edited'!$A$2:$DV$65,(B24+1),FALSE))=0,"",HLOOKUP((VLOOKUP($P$1,Lists!$B$4:$C$23,2,FALSE)),'PC list edited'!$A$2:$DV$65,(B24+1),FALSE)))</f>
        <v>PR14TMSWSWW_SA1</v>
      </c>
      <c r="D24" s="425" t="str">
        <f>IF($P$1="Select company","",IF(C24 ="","",HLOOKUP(((VLOOKUP($P$1,Lists!$B$4:$C$23,2,FALSE))&amp;"PC"),'PC list edited'!$A$2:$DV$65,(B24+1),FALSE)))</f>
        <v>SA1: Improve handling of written complaints by increasing first time resolution</v>
      </c>
      <c r="E24" s="268" t="str">
        <f>IF($P$1="Select company","",IF(C24 ="","",HLOOKUP(((VLOOKUP($P$1,Lists!$B$4:$C$23,2,FALSE))&amp;"unit"),'PC list edited'!$A$2:$DV$65,(B24+1),FALSE)))</f>
        <v>%</v>
      </c>
      <c r="F24" s="268" t="str">
        <f>IF($P$1="Select company","",IF(C24 ="","",HLOOKUP(((VLOOKUP($P$1,Lists!$B$4:$C$23,2,FALSE))&amp;"UnitDes"),'PC list edited'!$A$2:$DV$65,(B24+1),FALSE)))</f>
        <v>% written complaints resolved 1st time</v>
      </c>
      <c r="G24" s="268">
        <f>IF($P$1="Select company","",IF(C24="","",HLOOKUP(((VLOOKUP($P$1,Lists!$B$4:$C$23,2,FALSE))&amp;"DP"),'PC list edited'!$A$2:$DV$65,(B24+1),FALSE)))</f>
        <v>0</v>
      </c>
      <c r="H24" s="268">
        <f>IF($P$1="Select company","",IF(C24 = "","",HLOOKUP(((VLOOKUP($P$1,Lists!$B$4:$C$23,2,FALSE))&amp;"201617Actual"),'PC list edited'!$A$2:$DV$65,(B24+1),FALSE)))</f>
        <v>93.49</v>
      </c>
      <c r="I24" s="474">
        <v>94</v>
      </c>
      <c r="J24" s="569" t="s">
        <v>1980</v>
      </c>
      <c r="K24" s="430"/>
      <c r="L24" s="431"/>
      <c r="M24" s="430"/>
      <c r="N24" s="431"/>
      <c r="O24" s="430"/>
      <c r="P24" s="432"/>
      <c r="Q24" s="116"/>
      <c r="R24" s="436">
        <f t="shared" si="4"/>
        <v>0</v>
      </c>
      <c r="S24" s="25">
        <f t="shared" si="1"/>
        <v>0</v>
      </c>
      <c r="T24" s="116"/>
      <c r="U24" s="111"/>
      <c r="V24" s="86">
        <f t="shared" si="2"/>
        <v>0</v>
      </c>
      <c r="W24" s="86">
        <f>IF($C24="",0,IF(ISBLANK(#REF!)=FALSE,0,1))</f>
        <v>0</v>
      </c>
      <c r="X24" s="86">
        <f t="shared" si="0"/>
        <v>0</v>
      </c>
      <c r="Y24" s="86">
        <f>IF(OR(ISBLANK(L24), L24=0), 0, IF(OR(K24=Lists!$F$11, K24=Lists!$F$13), 0, 1))</f>
        <v>0</v>
      </c>
      <c r="Z24" s="86">
        <f>IF(OR($C24="", AND(NOT(K24=Lists!$F$11), NOT(K24=Lists!$F$13))),0,IF(ISBLANK(L24)=FALSE,0,1))</f>
        <v>0</v>
      </c>
      <c r="AA24" s="86">
        <f>IF(OR(ISBLANK(N24), N24=0), 0, IF(OR(M24=Lists!$F$11, M24=Lists!$F$13), 0, 1))</f>
        <v>0</v>
      </c>
      <c r="AB24" s="86">
        <f>IF(OR($C24="", AND(NOT(M24=Lists!$F$11), NOT(M24=Lists!$F$13))),0,IF(ISBLANK(N24)=FALSE,0,1))</f>
        <v>0</v>
      </c>
      <c r="AC24" s="86">
        <f>IF(OR(ISBLANK(P24), P24=0), 0, IF(OR(O24=Lists!$F$11, O24=Lists!$F$13), 0, 1))</f>
        <v>0</v>
      </c>
      <c r="AD24" s="86">
        <f>IF(OR($C24="", AND(NOT(O24=Lists!$F$11), NOT(O24=Lists!$F$13))),0,IF(ISBLANK(P24)=FALSE,0,1))</f>
        <v>0</v>
      </c>
      <c r="AE24" s="111"/>
      <c r="AF24" s="438">
        <f xml:space="preserve"> IF(OR( AND( K24 = Lists!$F$11, '3A'!L24 &lt; 0), AND( '3A'!M24 = Lists!$F$11, '3A'!N24 &lt; 0), AND( '3A'!O24 = Lists!$F$11, '3A'!P24 &lt; 0)), 1, 0)</f>
        <v>0</v>
      </c>
      <c r="AG24" s="438">
        <f xml:space="preserve"> IF( OR( AND( K24 = Lists!$F$13, '3A'!L24 &gt; 0), AND( M24 = Lists!$F$13, '3A'!N24 &gt; 0), AND( O24 = Lists!$F$13, '3A'!P24 &gt; 0 )), 1, 0)</f>
        <v>0</v>
      </c>
      <c r="AH24" s="439"/>
      <c r="AI24" s="571" t="str">
        <f>IF($P$1="Select company","",IF((HLOOKUP(((VLOOKUP($P$1,Lists!$B$4:$C$23,2,FALSE))&amp;'PC LIST'!$J$2),'PC list edited'!$A$2:$DT$65,(B24+1),FALSE))=0,"",HLOOKUP(((VLOOKUP($P$1,Lists!$B$4:$C$23,2,FALSE))&amp; 'PC LIST'!$J$2),'PC list edited'!$A$2:$DT$65,(B24+1),FALSE)))</f>
        <v>NFI</v>
      </c>
    </row>
    <row r="25" spans="1:35" s="70" customFormat="1" ht="30" customHeight="1">
      <c r="A25" s="69"/>
      <c r="B25" s="246">
        <f t="shared" si="3"/>
        <v>21</v>
      </c>
      <c r="C25" s="426" t="str">
        <f>IF($P$1="Select company","",IF((HLOOKUP((VLOOKUP($P$1,Lists!$B$4:$C$23,2,FALSE)),'PC list edited'!$A$2:$DV$65,(B25+1),FALSE))=0,"",HLOOKUP((VLOOKUP($P$1,Lists!$B$4:$C$23,2,FALSE)),'PC list edited'!$A$2:$DV$65,(B25+1),FALSE)))</f>
        <v>PR14TMSWSWW_SA2</v>
      </c>
      <c r="D25" s="425" t="str">
        <f>IF($P$1="Select company","",IF(C25 ="","",HLOOKUP(((VLOOKUP($P$1,Lists!$B$4:$C$23,2,FALSE))&amp;"PC"),'PC list edited'!$A$2:$DV$65,(B25+1),FALSE)))</f>
        <v>SA2: Number of written complaints per 10,000 connected properties</v>
      </c>
      <c r="E25" s="268" t="str">
        <f>IF($P$1="Select company","",IF(C25 ="","",HLOOKUP(((VLOOKUP($P$1,Lists!$B$4:$C$23,2,FALSE))&amp;"unit"),'PC list edited'!$A$2:$DV$65,(B25+1),FALSE)))</f>
        <v>nr</v>
      </c>
      <c r="F25" s="268" t="str">
        <f>IF($P$1="Select company","",IF(C25 ="","",HLOOKUP(((VLOOKUP($P$1,Lists!$B$4:$C$23,2,FALSE))&amp;"UnitDes"),'PC list edited'!$A$2:$DV$65,(B25+1),FALSE)))</f>
        <v>No. written complaints / 10,000 properties</v>
      </c>
      <c r="G25" s="268">
        <f>IF($P$1="Select company","",IF(C25="","",HLOOKUP(((VLOOKUP($P$1,Lists!$B$4:$C$23,2,FALSE))&amp;"DP"),'PC list edited'!$A$2:$DV$65,(B25+1),FALSE)))</f>
        <v>2</v>
      </c>
      <c r="H25" s="268">
        <f>IF($P$1="Select company","",IF(C25 = "","",HLOOKUP(((VLOOKUP($P$1,Lists!$B$4:$C$23,2,FALSE))&amp;"201617Actual"),'PC list edited'!$A$2:$DV$65,(B25+1),FALSE)))</f>
        <v>6.2140513602011351</v>
      </c>
      <c r="I25" s="474">
        <v>4.3899999999999997</v>
      </c>
      <c r="J25" s="569" t="s">
        <v>1979</v>
      </c>
      <c r="K25" s="430"/>
      <c r="L25" s="431"/>
      <c r="M25" s="430"/>
      <c r="N25" s="431"/>
      <c r="O25" s="430"/>
      <c r="P25" s="432"/>
      <c r="Q25" s="116"/>
      <c r="R25" s="436">
        <f t="shared" si="4"/>
        <v>0</v>
      </c>
      <c r="S25" s="25">
        <f t="shared" si="1"/>
        <v>0</v>
      </c>
      <c r="T25" s="116"/>
      <c r="U25" s="111"/>
      <c r="V25" s="86">
        <f t="shared" si="2"/>
        <v>0</v>
      </c>
      <c r="W25" s="86">
        <f>IF($C25="",0,IF(ISBLANK(#REF!)=FALSE,0,1))</f>
        <v>0</v>
      </c>
      <c r="X25" s="86">
        <f t="shared" si="0"/>
        <v>0</v>
      </c>
      <c r="Y25" s="86">
        <f>IF(OR(ISBLANK(L25), L25=0), 0, IF(OR(K25=Lists!$F$11, K25=Lists!$F$13), 0, 1))</f>
        <v>0</v>
      </c>
      <c r="Z25" s="86">
        <f>IF(OR($C25="", AND(NOT(K25=Lists!$F$11), NOT(K25=Lists!$F$13))),0,IF(ISBLANK(L25)=FALSE,0,1))</f>
        <v>0</v>
      </c>
      <c r="AA25" s="86">
        <f>IF(OR(ISBLANK(N25), N25=0), 0, IF(OR(M25=Lists!$F$11, M25=Lists!$F$13), 0, 1))</f>
        <v>0</v>
      </c>
      <c r="AB25" s="86">
        <f>IF(OR($C25="", AND(NOT(M25=Lists!$F$11), NOT(M25=Lists!$F$13))),0,IF(ISBLANK(N25)=FALSE,0,1))</f>
        <v>0</v>
      </c>
      <c r="AC25" s="86">
        <f>IF(OR(ISBLANK(P25), P25=0), 0, IF(OR(O25=Lists!$F$11, O25=Lists!$F$13), 0, 1))</f>
        <v>0</v>
      </c>
      <c r="AD25" s="86">
        <f>IF(OR($C25="", AND(NOT(O25=Lists!$F$11), NOT(O25=Lists!$F$13))),0,IF(ISBLANK(P25)=FALSE,0,1))</f>
        <v>0</v>
      </c>
      <c r="AE25" s="111"/>
      <c r="AF25" s="438">
        <f xml:space="preserve"> IF(OR( AND( K25 = Lists!$F$11, '3A'!L25 &lt; 0), AND( '3A'!M25 = Lists!$F$11, '3A'!N25 &lt; 0), AND( '3A'!O25 = Lists!$F$11, '3A'!P25 &lt; 0)), 1, 0)</f>
        <v>0</v>
      </c>
      <c r="AG25" s="438">
        <f xml:space="preserve"> IF( OR( AND( K25 = Lists!$F$13, '3A'!L25 &gt; 0), AND( M25 = Lists!$F$13, '3A'!N25 &gt; 0), AND( O25 = Lists!$F$13, '3A'!P25 &gt; 0 )), 1, 0)</f>
        <v>0</v>
      </c>
      <c r="AH25" s="439"/>
      <c r="AI25" s="571" t="str">
        <f>IF($P$1="Select company","",IF((HLOOKUP(((VLOOKUP($P$1,Lists!$B$4:$C$23,2,FALSE))&amp;'PC LIST'!$J$2),'PC list edited'!$A$2:$DT$65,(B25+1),FALSE))=0,"",HLOOKUP(((VLOOKUP($P$1,Lists!$B$4:$C$23,2,FALSE))&amp; 'PC LIST'!$J$2),'PC list edited'!$A$2:$DT$65,(B25+1),FALSE)))</f>
        <v>NFI</v>
      </c>
    </row>
    <row r="26" spans="1:35" s="70" customFormat="1" ht="30" customHeight="1">
      <c r="A26" s="69"/>
      <c r="B26" s="246">
        <f t="shared" si="3"/>
        <v>22</v>
      </c>
      <c r="C26" s="426" t="str">
        <f>IF($P$1="Select company","",IF((HLOOKUP((VLOOKUP($P$1,Lists!$B$4:$C$23,2,FALSE)),'PC list edited'!$A$2:$DV$65,(B26+1),FALSE))=0,"",HLOOKUP((VLOOKUP($P$1,Lists!$B$4:$C$23,2,FALSE)),'PC list edited'!$A$2:$DV$65,(B26+1),FALSE)))</f>
        <v>PR14TMSWSWW_SA3</v>
      </c>
      <c r="D26" s="425" t="str">
        <f>IF($P$1="Select company","",IF(C26 ="","",HLOOKUP(((VLOOKUP($P$1,Lists!$B$4:$C$23,2,FALSE))&amp;"PC"),'PC list edited'!$A$2:$DV$65,(B26+1),FALSE)))</f>
        <v>SA3: Customer satisfaction surveys (internal CSAT monitor)</v>
      </c>
      <c r="E26" s="268" t="str">
        <f>IF($P$1="Select company","",IF(C26 ="","",HLOOKUP(((VLOOKUP($P$1,Lists!$B$4:$C$23,2,FALSE))&amp;"unit"),'PC list edited'!$A$2:$DV$65,(B26+1),FALSE)))</f>
        <v>score</v>
      </c>
      <c r="F26" s="268" t="str">
        <f>IF($P$1="Select company","",IF(C26 ="","",HLOOKUP(((VLOOKUP($P$1,Lists!$B$4:$C$23,2,FALSE))&amp;"UnitDes"),'PC list edited'!$A$2:$DV$65,(B26+1),FALSE)))</f>
        <v>TW internal Customer satisfaction score (mean score out of 5)</v>
      </c>
      <c r="G26" s="268">
        <f>IF($P$1="Select company","",IF(C26="","",HLOOKUP(((VLOOKUP($P$1,Lists!$B$4:$C$23,2,FALSE))&amp;"DP"),'PC list edited'!$A$2:$DV$65,(B26+1),FALSE)))</f>
        <v>2</v>
      </c>
      <c r="H26" s="268">
        <f>IF($P$1="Select company","",IF(C26 = "","",HLOOKUP(((VLOOKUP($P$1,Lists!$B$4:$C$23,2,FALSE))&amp;"201617Actual"),'PC list edited'!$A$2:$DV$65,(B26+1),FALSE)))</f>
        <v>4.5690574498919911</v>
      </c>
      <c r="I26" s="474">
        <v>4.55</v>
      </c>
      <c r="J26" s="569" t="s">
        <v>1980</v>
      </c>
      <c r="K26" s="430"/>
      <c r="L26" s="431"/>
      <c r="M26" s="430"/>
      <c r="N26" s="431"/>
      <c r="O26" s="430"/>
      <c r="P26" s="432"/>
      <c r="Q26" s="116"/>
      <c r="R26" s="436">
        <f t="shared" si="4"/>
        <v>0</v>
      </c>
      <c r="S26" s="25">
        <f t="shared" si="1"/>
        <v>0</v>
      </c>
      <c r="T26" s="116"/>
      <c r="U26" s="111"/>
      <c r="V26" s="86">
        <f t="shared" si="2"/>
        <v>0</v>
      </c>
      <c r="W26" s="86">
        <f>IF($C26="",0,IF(ISBLANK(#REF!)=FALSE,0,1))</f>
        <v>0</v>
      </c>
      <c r="X26" s="86">
        <f t="shared" si="0"/>
        <v>0</v>
      </c>
      <c r="Y26" s="86">
        <f>IF(OR(ISBLANK(L26), L26=0), 0, IF(OR(K26=Lists!$F$11, K26=Lists!$F$13), 0, 1))</f>
        <v>0</v>
      </c>
      <c r="Z26" s="86">
        <f>IF(OR($C26="", AND(NOT(K26=Lists!$F$11), NOT(K26=Lists!$F$13))),0,IF(ISBLANK(L26)=FALSE,0,1))</f>
        <v>0</v>
      </c>
      <c r="AA26" s="86">
        <f>IF(OR(ISBLANK(N26), N26=0), 0, IF(OR(M26=Lists!$F$11, M26=Lists!$F$13), 0, 1))</f>
        <v>0</v>
      </c>
      <c r="AB26" s="86">
        <f>IF(OR($C26="", AND(NOT(M26=Lists!$F$11), NOT(M26=Lists!$F$13))),0,IF(ISBLANK(N26)=FALSE,0,1))</f>
        <v>0</v>
      </c>
      <c r="AC26" s="86">
        <f>IF(OR(ISBLANK(P26), P26=0), 0, IF(OR(O26=Lists!$F$11, O26=Lists!$F$13), 0, 1))</f>
        <v>0</v>
      </c>
      <c r="AD26" s="86">
        <f>IF(OR($C26="", AND(NOT(O26=Lists!$F$11), NOT(O26=Lists!$F$13))),0,IF(ISBLANK(P26)=FALSE,0,1))</f>
        <v>0</v>
      </c>
      <c r="AE26" s="111"/>
      <c r="AF26" s="438">
        <f xml:space="preserve"> IF(OR( AND( K26 = Lists!$F$11, '3A'!L26 &lt; 0), AND( '3A'!M26 = Lists!$F$11, '3A'!N26 &lt; 0), AND( '3A'!O26 = Lists!$F$11, '3A'!P26 &lt; 0)), 1, 0)</f>
        <v>0</v>
      </c>
      <c r="AG26" s="438">
        <f xml:space="preserve"> IF( OR( AND( K26 = Lists!$F$13, '3A'!L26 &gt; 0), AND( M26 = Lists!$F$13, '3A'!N26 &gt; 0), AND( O26 = Lists!$F$13, '3A'!P26 &gt; 0 )), 1, 0)</f>
        <v>0</v>
      </c>
      <c r="AH26" s="439"/>
      <c r="AI26" s="571" t="str">
        <f>IF($P$1="Select company","",IF((HLOOKUP(((VLOOKUP($P$1,Lists!$B$4:$C$23,2,FALSE))&amp;'PC LIST'!$J$2),'PC list edited'!$A$2:$DT$65,(B26+1),FALSE))=0,"",HLOOKUP(((VLOOKUP($P$1,Lists!$B$4:$C$23,2,FALSE))&amp; 'PC LIST'!$J$2),'PC list edited'!$A$2:$DT$65,(B26+1),FALSE)))</f>
        <v>NFI</v>
      </c>
    </row>
    <row r="27" spans="1:35" s="70" customFormat="1" ht="30" customHeight="1">
      <c r="A27" s="69"/>
      <c r="B27" s="246">
        <f t="shared" si="3"/>
        <v>23</v>
      </c>
      <c r="C27" s="426" t="str">
        <f>IF($P$1="Select company","",IF((HLOOKUP((VLOOKUP($P$1,Lists!$B$4:$C$23,2,FALSE)),'PC list edited'!$A$2:$DV$65,(B27+1),FALSE))=0,"",HLOOKUP((VLOOKUP($P$1,Lists!$B$4:$C$23,2,FALSE)),'PC list edited'!$A$2:$DV$65,(B27+1),FALSE)))</f>
        <v>PR14TMSWSWW_SB1</v>
      </c>
      <c r="D27" s="425" t="str">
        <f>IF($P$1="Select company","",IF(C27 ="","",HLOOKUP(((VLOOKUP($P$1,Lists!$B$4:$C$23,2,FALSE))&amp;"PC"),'PC list edited'!$A$2:$DV$65,(B27+1),FALSE)))</f>
        <v>SB1: Asset health wastewater non-infrastructure</v>
      </c>
      <c r="E27" s="268" t="str">
        <f>IF($P$1="Select company","",IF(C27 ="","",HLOOKUP(((VLOOKUP($P$1,Lists!$B$4:$C$23,2,FALSE))&amp;"unit"),'PC list edited'!$A$2:$DV$65,(B27+1),FALSE)))</f>
        <v>category</v>
      </c>
      <c r="F27" s="268" t="str">
        <f>IF($P$1="Select company","",IF(C27 ="","",HLOOKUP(((VLOOKUP($P$1,Lists!$B$4:$C$23,2,FALSE))&amp;"UnitDes"),'PC list edited'!$A$2:$DV$65,(B27+1),FALSE)))</f>
        <v>Asset health indicator</v>
      </c>
      <c r="G27" s="268" t="str">
        <f>IF($P$1="Select company","",IF(C27="","",HLOOKUP(((VLOOKUP($P$1,Lists!$B$4:$C$23,2,FALSE))&amp;"DP"),'PC list edited'!$A$2:$DV$65,(B27+1),FALSE)))</f>
        <v>na</v>
      </c>
      <c r="H27" s="268" t="str">
        <f>IF($P$1="Select company","",IF(C27 = "","",HLOOKUP(((VLOOKUP($P$1,Lists!$B$4:$C$23,2,FALSE))&amp;"201617Actual"),'PC list edited'!$A$2:$DV$65,(B27+1),FALSE)))</f>
        <v>Stable</v>
      </c>
      <c r="I27" s="474" t="s">
        <v>1984</v>
      </c>
      <c r="J27" s="569" t="s">
        <v>1979</v>
      </c>
      <c r="K27" s="430" t="s">
        <v>1981</v>
      </c>
      <c r="L27" s="431"/>
      <c r="M27" s="430" t="s">
        <v>1981</v>
      </c>
      <c r="N27" s="431"/>
      <c r="O27" s="430" t="s">
        <v>1981</v>
      </c>
      <c r="P27" s="432"/>
      <c r="Q27" s="116"/>
      <c r="R27" s="436">
        <f t="shared" si="4"/>
        <v>0</v>
      </c>
      <c r="S27" s="25">
        <f t="shared" si="1"/>
        <v>0</v>
      </c>
      <c r="T27" s="116"/>
      <c r="U27" s="111"/>
      <c r="V27" s="86">
        <f t="shared" si="2"/>
        <v>0</v>
      </c>
      <c r="W27" s="86">
        <f>IF($C27="",0,IF(ISBLANK(#REF!)=FALSE,0,1))</f>
        <v>0</v>
      </c>
      <c r="X27" s="86">
        <f t="shared" si="0"/>
        <v>0</v>
      </c>
      <c r="Y27" s="86">
        <f>IF(OR(ISBLANK(L27), L27=0), 0, IF(OR(K27=Lists!$F$11, K27=Lists!$F$13), 0, 1))</f>
        <v>0</v>
      </c>
      <c r="Z27" s="86">
        <f>IF(OR($C27="", AND(NOT(K27=Lists!$F$11), NOT(K27=Lists!$F$13))),0,IF(ISBLANK(L27)=FALSE,0,1))</f>
        <v>0</v>
      </c>
      <c r="AA27" s="86">
        <f>IF(OR(ISBLANK(N27), N27=0), 0, IF(OR(M27=Lists!$F$11, M27=Lists!$F$13), 0, 1))</f>
        <v>0</v>
      </c>
      <c r="AB27" s="86">
        <f>IF(OR($C27="", AND(NOT(M27=Lists!$F$11), NOT(M27=Lists!$F$13))),0,IF(ISBLANK(N27)=FALSE,0,1))</f>
        <v>0</v>
      </c>
      <c r="AC27" s="86">
        <f>IF(OR(ISBLANK(P27), P27=0), 0, IF(OR(O27=Lists!$F$11, O27=Lists!$F$13), 0, 1))</f>
        <v>0</v>
      </c>
      <c r="AD27" s="86">
        <f>IF(OR($C27="", AND(NOT(O27=Lists!$F$11), NOT(O27=Lists!$F$13))),0,IF(ISBLANK(P27)=FALSE,0,1))</f>
        <v>0</v>
      </c>
      <c r="AE27" s="111"/>
      <c r="AF27" s="438">
        <f xml:space="preserve"> IF(OR( AND( K27 = Lists!$F$11, '3A'!L27 &lt; 0), AND( '3A'!M27 = Lists!$F$11, '3A'!N27 &lt; 0), AND( '3A'!O27 = Lists!$F$11, '3A'!P27 &lt; 0)), 1, 0)</f>
        <v>0</v>
      </c>
      <c r="AG27" s="438">
        <f xml:space="preserve"> IF( OR( AND( K27 = Lists!$F$13, '3A'!L27 &gt; 0), AND( M27 = Lists!$F$13, '3A'!N27 &gt; 0), AND( O27 = Lists!$F$13, '3A'!P27 &gt; 0 )), 1, 0)</f>
        <v>0</v>
      </c>
      <c r="AH27" s="439"/>
      <c r="AI27" s="571" t="str">
        <f>IF($P$1="Select company","",IF((HLOOKUP(((VLOOKUP($P$1,Lists!$B$4:$C$23,2,FALSE))&amp;'PC LIST'!$J$2),'PC list edited'!$A$2:$DT$65,(B27+1),FALSE))=0,"",HLOOKUP(((VLOOKUP($P$1,Lists!$B$4:$C$23,2,FALSE))&amp; 'PC LIST'!$J$2),'PC list edited'!$A$2:$DT$65,(B27+1),FALSE)))</f>
        <v>Under</v>
      </c>
    </row>
    <row r="28" spans="1:35" s="70" customFormat="1" ht="30" customHeight="1">
      <c r="A28" s="69"/>
      <c r="B28" s="246">
        <f t="shared" si="3"/>
        <v>24</v>
      </c>
      <c r="C28" s="426" t="str">
        <f>IF($P$1="Select company","",IF((HLOOKUP((VLOOKUP($P$1,Lists!$B$4:$C$23,2,FALSE)),'PC list edited'!$A$2:$DV$65,(B28+1),FALSE))=0,"",HLOOKUP((VLOOKUP($P$1,Lists!$B$4:$C$23,2,FALSE)),'PC list edited'!$A$2:$DV$65,(B28+1),FALSE)))</f>
        <v>PR14TMSWSWW_SB2</v>
      </c>
      <c r="D28" s="425" t="str">
        <f>IF($P$1="Select company","",IF(C28 ="","",HLOOKUP(((VLOOKUP($P$1,Lists!$B$4:$C$23,2,FALSE))&amp;"PC"),'PC list edited'!$A$2:$DV$65,(B28+1),FALSE)))</f>
        <v>SB2: Asset health wastewater infrastructure</v>
      </c>
      <c r="E28" s="268" t="str">
        <f>IF($P$1="Select company","",IF(C28 ="","",HLOOKUP(((VLOOKUP($P$1,Lists!$B$4:$C$23,2,FALSE))&amp;"unit"),'PC list edited'!$A$2:$DV$65,(B28+1),FALSE)))</f>
        <v>category</v>
      </c>
      <c r="F28" s="268" t="str">
        <f>IF($P$1="Select company","",IF(C28 ="","",HLOOKUP(((VLOOKUP($P$1,Lists!$B$4:$C$23,2,FALSE))&amp;"UnitDes"),'PC list edited'!$A$2:$DV$65,(B28+1),FALSE)))</f>
        <v>Asset health indicator</v>
      </c>
      <c r="G28" s="268" t="str">
        <f>IF($P$1="Select company","",IF(C28="","",HLOOKUP(((VLOOKUP($P$1,Lists!$B$4:$C$23,2,FALSE))&amp;"DP"),'PC list edited'!$A$2:$DV$65,(B28+1),FALSE)))</f>
        <v>na</v>
      </c>
      <c r="H28" s="268" t="str">
        <f>IF($P$1="Select company","",IF(C28 = "","",HLOOKUP(((VLOOKUP($P$1,Lists!$B$4:$C$23,2,FALSE))&amp;"201617Actual"),'PC list edited'!$A$2:$DV$65,(B28+1),FALSE)))</f>
        <v>Stable</v>
      </c>
      <c r="I28" s="474" t="s">
        <v>1984</v>
      </c>
      <c r="J28" s="569" t="s">
        <v>1979</v>
      </c>
      <c r="K28" s="430" t="s">
        <v>1981</v>
      </c>
      <c r="L28" s="431"/>
      <c r="M28" s="430" t="s">
        <v>1981</v>
      </c>
      <c r="N28" s="431"/>
      <c r="O28" s="430" t="s">
        <v>1981</v>
      </c>
      <c r="P28" s="432"/>
      <c r="Q28" s="116"/>
      <c r="R28" s="436">
        <f t="shared" si="4"/>
        <v>0</v>
      </c>
      <c r="S28" s="25">
        <f t="shared" si="1"/>
        <v>0</v>
      </c>
      <c r="T28" s="116"/>
      <c r="U28" s="111"/>
      <c r="V28" s="86">
        <f t="shared" si="2"/>
        <v>0</v>
      </c>
      <c r="W28" s="86">
        <f>IF($C28="",0,IF(ISBLANK(#REF!)=FALSE,0,1))</f>
        <v>0</v>
      </c>
      <c r="X28" s="86">
        <f t="shared" si="0"/>
        <v>0</v>
      </c>
      <c r="Y28" s="86">
        <f>IF(OR(ISBLANK(L28), L28=0), 0, IF(OR(K28=Lists!$F$11, K28=Lists!$F$13), 0, 1))</f>
        <v>0</v>
      </c>
      <c r="Z28" s="86">
        <f>IF(OR($C28="", AND(NOT(K28=Lists!$F$11), NOT(K28=Lists!$F$13))),0,IF(ISBLANK(L28)=FALSE,0,1))</f>
        <v>0</v>
      </c>
      <c r="AA28" s="86">
        <f>IF(OR(ISBLANK(N28), N28=0), 0, IF(OR(M28=Lists!$F$11, M28=Lists!$F$13), 0, 1))</f>
        <v>0</v>
      </c>
      <c r="AB28" s="86">
        <f>IF(OR($C28="", AND(NOT(M28=Lists!$F$11), NOT(M28=Lists!$F$13))),0,IF(ISBLANK(N28)=FALSE,0,1))</f>
        <v>0</v>
      </c>
      <c r="AC28" s="86">
        <f>IF(OR(ISBLANK(P28), P28=0), 0, IF(OR(O28=Lists!$F$11, O28=Lists!$F$13), 0, 1))</f>
        <v>0</v>
      </c>
      <c r="AD28" s="86">
        <f>IF(OR($C28="", AND(NOT(O28=Lists!$F$11), NOT(O28=Lists!$F$13))),0,IF(ISBLANK(P28)=FALSE,0,1))</f>
        <v>0</v>
      </c>
      <c r="AE28" s="111"/>
      <c r="AF28" s="438">
        <f xml:space="preserve"> IF(OR( AND( K28 = Lists!$F$11, '3A'!L28 &lt; 0), AND( '3A'!M28 = Lists!$F$11, '3A'!N28 &lt; 0), AND( '3A'!O28 = Lists!$F$11, '3A'!P28 &lt; 0)), 1, 0)</f>
        <v>0</v>
      </c>
      <c r="AG28" s="438">
        <f xml:space="preserve"> IF( OR( AND( K28 = Lists!$F$13, '3A'!L28 &gt; 0), AND( M28 = Lists!$F$13, '3A'!N28 &gt; 0), AND( O28 = Lists!$F$13, '3A'!P28 &gt; 0 )), 1, 0)</f>
        <v>0</v>
      </c>
      <c r="AH28" s="439"/>
      <c r="AI28" s="571" t="str">
        <f>IF($P$1="Select company","",IF((HLOOKUP(((VLOOKUP($P$1,Lists!$B$4:$C$23,2,FALSE))&amp;'PC LIST'!$J$2),'PC list edited'!$A$2:$DT$65,(B28+1),FALSE))=0,"",HLOOKUP(((VLOOKUP($P$1,Lists!$B$4:$C$23,2,FALSE))&amp; 'PC LIST'!$J$2),'PC list edited'!$A$2:$DT$65,(B28+1),FALSE)))</f>
        <v>Under</v>
      </c>
    </row>
    <row r="29" spans="1:35" s="70" customFormat="1" ht="30" customHeight="1">
      <c r="A29" s="69"/>
      <c r="B29" s="246">
        <f t="shared" si="3"/>
        <v>25</v>
      </c>
      <c r="C29" s="426" t="str">
        <f>IF($P$1="Select company","",IF((HLOOKUP((VLOOKUP($P$1,Lists!$B$4:$C$23,2,FALSE)),'PC list edited'!$A$2:$DV$65,(B29+1),FALSE))=0,"",HLOOKUP((VLOOKUP($P$1,Lists!$B$4:$C$23,2,FALSE)),'PC list edited'!$A$2:$DV$65,(B29+1),FALSE)))</f>
        <v>PR14TMSWSWW_SB3</v>
      </c>
      <c r="D29" s="425" t="str">
        <f>IF($P$1="Select company","",IF(C29 ="","",HLOOKUP(((VLOOKUP($P$1,Lists!$B$4:$C$23,2,FALSE))&amp;"PC"),'PC list edited'!$A$2:$DV$65,(B29+1),FALSE)))</f>
        <v>SB3: Properties protected from flooding due to rainfall (including Counters Creek project)</v>
      </c>
      <c r="E29" s="268" t="str">
        <f>IF($P$1="Select company","",IF(C29 ="","",HLOOKUP(((VLOOKUP($P$1,Lists!$B$4:$C$23,2,FALSE))&amp;"unit"),'PC list edited'!$A$2:$DV$65,(B29+1),FALSE)))</f>
        <v>nr</v>
      </c>
      <c r="F29" s="268" t="str">
        <f>IF($P$1="Select company","",IF(C29 ="","",HLOOKUP(((VLOOKUP($P$1,Lists!$B$4:$C$23,2,FALSE))&amp;"UnitDes"),'PC list edited'!$A$2:$DV$65,(B29+1),FALSE)))</f>
        <v>No. properties protected from flooding due to rainfall</v>
      </c>
      <c r="G29" s="268">
        <f>IF($P$1="Select company","",IF(C29="","",HLOOKUP(((VLOOKUP($P$1,Lists!$B$4:$C$23,2,FALSE))&amp;"DP"),'PC list edited'!$A$2:$DV$65,(B29+1),FALSE)))</f>
        <v>0</v>
      </c>
      <c r="H29" s="268" t="str">
        <f>IF($P$1="Select company","",IF(C29 = "","",HLOOKUP(((VLOOKUP($P$1,Lists!$B$4:$C$23,2,FALSE))&amp;"201617Actual"),'PC list edited'!$A$2:$DV$65,(B29+1),FALSE)))</f>
        <v>Not available</v>
      </c>
      <c r="I29" s="474">
        <v>40</v>
      </c>
      <c r="J29" s="569" t="s">
        <v>1981</v>
      </c>
      <c r="K29" s="430" t="s">
        <v>1981</v>
      </c>
      <c r="L29" s="431"/>
      <c r="M29" s="430" t="s">
        <v>1981</v>
      </c>
      <c r="N29" s="431"/>
      <c r="O29" s="430" t="s">
        <v>1981</v>
      </c>
      <c r="P29" s="432"/>
      <c r="Q29" s="116"/>
      <c r="R29" s="436">
        <f t="shared" si="4"/>
        <v>0</v>
      </c>
      <c r="S29" s="25">
        <f t="shared" si="1"/>
        <v>0</v>
      </c>
      <c r="T29" s="116"/>
      <c r="U29" s="111"/>
      <c r="V29" s="86">
        <f t="shared" si="2"/>
        <v>0</v>
      </c>
      <c r="W29" s="86">
        <f>IF($C29="",0,IF(ISBLANK(#REF!)=FALSE,0,1))</f>
        <v>0</v>
      </c>
      <c r="X29" s="86">
        <f t="shared" si="0"/>
        <v>0</v>
      </c>
      <c r="Y29" s="86">
        <f>IF(OR(ISBLANK(L29), L29=0), 0, IF(OR(K29=Lists!$F$11, K29=Lists!$F$13), 0, 1))</f>
        <v>0</v>
      </c>
      <c r="Z29" s="86">
        <f>IF(OR($C29="", AND(NOT(K29=Lists!$F$11), NOT(K29=Lists!$F$13))),0,IF(ISBLANK(L29)=FALSE,0,1))</f>
        <v>0</v>
      </c>
      <c r="AA29" s="86">
        <f>IF(OR(ISBLANK(N29), N29=0), 0, IF(OR(M29=Lists!$F$11, M29=Lists!$F$13), 0, 1))</f>
        <v>0</v>
      </c>
      <c r="AB29" s="86">
        <f>IF(OR($C29="", AND(NOT(M29=Lists!$F$11), NOT(M29=Lists!$F$13))),0,IF(ISBLANK(N29)=FALSE,0,1))</f>
        <v>0</v>
      </c>
      <c r="AC29" s="86">
        <f>IF(OR(ISBLANK(P29), P29=0), 0, IF(OR(O29=Lists!$F$11, O29=Lists!$F$13), 0, 1))</f>
        <v>0</v>
      </c>
      <c r="AD29" s="86">
        <f>IF(OR($C29="", AND(NOT(O29=Lists!$F$11), NOT(O29=Lists!$F$13))),0,IF(ISBLANK(P29)=FALSE,0,1))</f>
        <v>0</v>
      </c>
      <c r="AE29" s="111"/>
      <c r="AF29" s="438">
        <f xml:space="preserve"> IF(OR( AND( K29 = Lists!$F$11, '3A'!L29 &lt; 0), AND( '3A'!M29 = Lists!$F$11, '3A'!N29 &lt; 0), AND( '3A'!O29 = Lists!$F$11, '3A'!P29 &lt; 0)), 1, 0)</f>
        <v>0</v>
      </c>
      <c r="AG29" s="438">
        <f xml:space="preserve"> IF( OR( AND( K29 = Lists!$F$13, '3A'!L29 &gt; 0), AND( M29 = Lists!$F$13, '3A'!N29 &gt; 0), AND( O29 = Lists!$F$13, '3A'!P29 &gt; 0 )), 1, 0)</f>
        <v>0</v>
      </c>
      <c r="AH29" s="439"/>
      <c r="AI29" s="571" t="str">
        <f>IF($P$1="Select company","",IF((HLOOKUP(((VLOOKUP($P$1,Lists!$B$4:$C$23,2,FALSE))&amp;'PC LIST'!$J$2),'PC list edited'!$A$2:$DT$65,(B29+1),FALSE))=0,"",HLOOKUP(((VLOOKUP($P$1,Lists!$B$4:$C$23,2,FALSE))&amp; 'PC LIST'!$J$2),'PC list edited'!$A$2:$DT$65,(B29+1),FALSE)))</f>
        <v>Out &amp; under</v>
      </c>
    </row>
    <row r="30" spans="1:35" s="70" customFormat="1" ht="30" customHeight="1">
      <c r="A30" s="69"/>
      <c r="B30" s="246">
        <f t="shared" si="3"/>
        <v>26</v>
      </c>
      <c r="C30" s="426" t="str">
        <f>IF($P$1="Select company","",IF((HLOOKUP((VLOOKUP($P$1,Lists!$B$4:$C$23,2,FALSE)),'PC list edited'!$A$2:$DV$65,(B30+1),FALSE))=0,"",HLOOKUP((VLOOKUP($P$1,Lists!$B$4:$C$23,2,FALSE)),'PC list edited'!$A$2:$DV$65,(B30+1),FALSE)))</f>
        <v>PR14TMSWSWW_SB4</v>
      </c>
      <c r="D30" s="425" t="str">
        <f>IF($P$1="Select company","",IF(C30 ="","",HLOOKUP(((VLOOKUP($P$1,Lists!$B$4:$C$23,2,FALSE))&amp;"PC"),'PC list edited'!$A$2:$DV$65,(B30+1),FALSE)))</f>
        <v>SB4: Number of internal flooding incidents, excluding those due to overloaded sewers (SFOC)</v>
      </c>
      <c r="E30" s="268" t="str">
        <f>IF($P$1="Select company","",IF(C30 ="","",HLOOKUP(((VLOOKUP($P$1,Lists!$B$4:$C$23,2,FALSE))&amp;"unit"),'PC list edited'!$A$2:$DV$65,(B30+1),FALSE)))</f>
        <v>nr</v>
      </c>
      <c r="F30" s="268" t="str">
        <f>IF($P$1="Select company","",IF(C30 ="","",HLOOKUP(((VLOOKUP($P$1,Lists!$B$4:$C$23,2,FALSE))&amp;"UnitDes"),'PC list edited'!$A$2:$DV$65,(B30+1),FALSE)))</f>
        <v>No. of internal sewer flooding (other causes) incidents</v>
      </c>
      <c r="G30" s="268">
        <f>IF($P$1="Select company","",IF(C30="","",HLOOKUP(((VLOOKUP($P$1,Lists!$B$4:$C$23,2,FALSE))&amp;"DP"),'PC list edited'!$A$2:$DV$65,(B30+1),FALSE)))</f>
        <v>0</v>
      </c>
      <c r="H30" s="268">
        <f>IF($P$1="Select company","",IF(C30 = "","",HLOOKUP(((VLOOKUP($P$1,Lists!$B$4:$C$23,2,FALSE))&amp;"201617Actual"),'PC list edited'!$A$2:$DV$65,(B30+1),FALSE)))</f>
        <v>1214</v>
      </c>
      <c r="I30" s="474">
        <v>1062</v>
      </c>
      <c r="J30" s="569" t="s">
        <v>1979</v>
      </c>
      <c r="K30" s="430" t="s">
        <v>1981</v>
      </c>
      <c r="L30" s="431"/>
      <c r="M30" s="430" t="s">
        <v>1988</v>
      </c>
      <c r="N30" s="431">
        <v>1.2649999999999999</v>
      </c>
      <c r="O30" s="430" t="s">
        <v>1983</v>
      </c>
      <c r="P30" s="432">
        <v>-5.9349999999999996</v>
      </c>
      <c r="Q30" s="116"/>
      <c r="R30" s="436">
        <f t="shared" si="4"/>
        <v>0</v>
      </c>
      <c r="S30" s="25">
        <f t="shared" si="1"/>
        <v>0</v>
      </c>
      <c r="T30" s="116"/>
      <c r="U30" s="111"/>
      <c r="V30" s="86">
        <f t="shared" si="2"/>
        <v>0</v>
      </c>
      <c r="W30" s="86">
        <f>IF($C30="",0,IF(ISBLANK(#REF!)=FALSE,0,1))</f>
        <v>0</v>
      </c>
      <c r="X30" s="86">
        <f t="shared" si="0"/>
        <v>0</v>
      </c>
      <c r="Y30" s="86">
        <f>IF(OR(ISBLANK(L30), L30=0), 0, IF(OR(K30=Lists!$F$11, K30=Lists!$F$13), 0, 1))</f>
        <v>0</v>
      </c>
      <c r="Z30" s="86">
        <f>IF(OR($C30="", AND(NOT(K30=Lists!$F$11), NOT(K30=Lists!$F$13))),0,IF(ISBLANK(L30)=FALSE,0,1))</f>
        <v>0</v>
      </c>
      <c r="AA30" s="86">
        <f>IF(OR(ISBLANK(N30), N30=0), 0, IF(OR(M30=Lists!$F$11, M30=Lists!$F$13), 0, 1))</f>
        <v>0</v>
      </c>
      <c r="AB30" s="86">
        <f>IF(OR($C30="", AND(NOT(M30=Lists!$F$11), NOT(M30=Lists!$F$13))),0,IF(ISBLANK(N30)=FALSE,0,1))</f>
        <v>0</v>
      </c>
      <c r="AC30" s="86">
        <f>IF(OR(ISBLANK(P30), P30=0), 0, IF(OR(O30=Lists!$F$11, O30=Lists!$F$13), 0, 1))</f>
        <v>0</v>
      </c>
      <c r="AD30" s="86">
        <f>IF(OR($C30="", AND(NOT(O30=Lists!$F$11), NOT(O30=Lists!$F$13))),0,IF(ISBLANK(P30)=FALSE,0,1))</f>
        <v>0</v>
      </c>
      <c r="AE30" s="111"/>
      <c r="AF30" s="438">
        <f xml:space="preserve"> IF(OR( AND( K30 = Lists!$F$11, '3A'!L30 &lt; 0), AND( '3A'!M30 = Lists!$F$11, '3A'!N30 &lt; 0), AND( '3A'!O30 = Lists!$F$11, '3A'!P30 &lt; 0)), 1, 0)</f>
        <v>0</v>
      </c>
      <c r="AG30" s="438">
        <f xml:space="preserve"> IF( OR( AND( K30 = Lists!$F$13, '3A'!L30 &gt; 0), AND( M30 = Lists!$F$13, '3A'!N30 &gt; 0), AND( O30 = Lists!$F$13, '3A'!P30 &gt; 0 )), 1, 0)</f>
        <v>0</v>
      </c>
      <c r="AH30" s="439"/>
      <c r="AI30" s="571" t="str">
        <f>IF($P$1="Select company","",IF((HLOOKUP(((VLOOKUP($P$1,Lists!$B$4:$C$23,2,FALSE))&amp;'PC LIST'!$J$2),'PC list edited'!$A$2:$DT$65,(B30+1),FALSE))=0,"",HLOOKUP(((VLOOKUP($P$1,Lists!$B$4:$C$23,2,FALSE))&amp; 'PC LIST'!$J$2),'PC list edited'!$A$2:$DT$65,(B30+1),FALSE)))</f>
        <v>Out &amp; under</v>
      </c>
    </row>
    <row r="31" spans="1:35" s="70" customFormat="1" ht="30" customHeight="1">
      <c r="A31" s="69"/>
      <c r="B31" s="246">
        <f t="shared" si="3"/>
        <v>27</v>
      </c>
      <c r="C31" s="426" t="str">
        <f>IF($P$1="Select company","",IF((HLOOKUP((VLOOKUP($P$1,Lists!$B$4:$C$23,2,FALSE)),'PC list edited'!$A$2:$DV$65,(B31+1),FALSE))=0,"",HLOOKUP((VLOOKUP($P$1,Lists!$B$4:$C$23,2,FALSE)),'PC list edited'!$A$2:$DV$65,(B31+1),FALSE)))</f>
        <v>PR14TMSWSWW_SB5</v>
      </c>
      <c r="D31" s="425" t="str">
        <f>IF($P$1="Select company","",IF(C31 ="","",HLOOKUP(((VLOOKUP($P$1,Lists!$B$4:$C$23,2,FALSE))&amp;"PC"),'PC list edited'!$A$2:$DV$65,(B31+1),FALSE)))</f>
        <v>SB5: Contributing area disconnected from combined sewers by retrofitting sustainable drainage</v>
      </c>
      <c r="E31" s="268" t="str">
        <f>IF($P$1="Select company","",IF(C31 ="","",HLOOKUP(((VLOOKUP($P$1,Lists!$B$4:$C$23,2,FALSE))&amp;"unit"),'PC list edited'!$A$2:$DV$65,(B31+1),FALSE)))</f>
        <v>nr</v>
      </c>
      <c r="F31" s="268" t="str">
        <f>IF($P$1="Select company","",IF(C31 ="","",HLOOKUP(((VLOOKUP($P$1,Lists!$B$4:$C$23,2,FALSE))&amp;"UnitDes"),'PC list edited'!$A$2:$DV$65,(B31+1),FALSE)))</f>
        <v>No. of hectares (cumulative)</v>
      </c>
      <c r="G31" s="268">
        <f>IF($P$1="Select company","",IF(C31="","",HLOOKUP(((VLOOKUP($P$1,Lists!$B$4:$C$23,2,FALSE))&amp;"DP"),'PC list edited'!$A$2:$DV$65,(B31+1),FALSE)))</f>
        <v>0</v>
      </c>
      <c r="H31" s="268">
        <f>IF($P$1="Select company","",IF(C31 = "","",HLOOKUP(((VLOOKUP($P$1,Lists!$B$4:$C$23,2,FALSE))&amp;"201617Actual"),'PC list edited'!$A$2:$DV$65,(B31+1),FALSE)))</f>
        <v>0</v>
      </c>
      <c r="I31" s="474">
        <v>0</v>
      </c>
      <c r="J31" s="569" t="s">
        <v>1981</v>
      </c>
      <c r="K31" s="430" t="s">
        <v>1981</v>
      </c>
      <c r="L31" s="431"/>
      <c r="M31" s="430" t="s">
        <v>1981</v>
      </c>
      <c r="N31" s="431"/>
      <c r="O31" s="430" t="s">
        <v>1981</v>
      </c>
      <c r="P31" s="432"/>
      <c r="Q31" s="118"/>
      <c r="R31" s="436">
        <f t="shared" si="4"/>
        <v>0</v>
      </c>
      <c r="S31" s="25">
        <f t="shared" si="1"/>
        <v>0</v>
      </c>
      <c r="T31" s="116"/>
      <c r="U31" s="111"/>
      <c r="V31" s="86">
        <f t="shared" si="2"/>
        <v>0</v>
      </c>
      <c r="W31" s="86">
        <f>IF($C31="",0,IF(ISBLANK(#REF!)=FALSE,0,1))</f>
        <v>0</v>
      </c>
      <c r="X31" s="86">
        <f t="shared" si="0"/>
        <v>0</v>
      </c>
      <c r="Y31" s="86">
        <f>IF(OR(ISBLANK(L31), L31=0), 0, IF(OR(K31=Lists!$F$11, K31=Lists!$F$13), 0, 1))</f>
        <v>0</v>
      </c>
      <c r="Z31" s="86">
        <f>IF(OR($C31="", AND(NOT(K31=Lists!$F$11), NOT(K31=Lists!$F$13))),0,IF(ISBLANK(L31)=FALSE,0,1))</f>
        <v>0</v>
      </c>
      <c r="AA31" s="86">
        <f>IF(OR(ISBLANK(N31), N31=0), 0, IF(OR(M31=Lists!$F$11, M31=Lists!$F$13), 0, 1))</f>
        <v>0</v>
      </c>
      <c r="AB31" s="86">
        <f>IF(OR($C31="", AND(NOT(M31=Lists!$F$11), NOT(M31=Lists!$F$13))),0,IF(ISBLANK(N31)=FALSE,0,1))</f>
        <v>0</v>
      </c>
      <c r="AC31" s="86">
        <f>IF(OR(ISBLANK(P31), P31=0), 0, IF(OR(O31=Lists!$F$11, O31=Lists!$F$13), 0, 1))</f>
        <v>0</v>
      </c>
      <c r="AD31" s="86">
        <f>IF(OR($C31="", AND(NOT(O31=Lists!$F$11), NOT(O31=Lists!$F$13))),0,IF(ISBLANK(P31)=FALSE,0,1))</f>
        <v>0</v>
      </c>
      <c r="AE31" s="111"/>
      <c r="AF31" s="438">
        <f xml:space="preserve"> IF(OR( AND( K31 = Lists!$F$11, '3A'!L31 &lt; 0), AND( '3A'!M31 = Lists!$F$11, '3A'!N31 &lt; 0), AND( '3A'!O31 = Lists!$F$11, '3A'!P31 &lt; 0)), 1, 0)</f>
        <v>0</v>
      </c>
      <c r="AG31" s="438">
        <f xml:space="preserve"> IF( OR( AND( K31 = Lists!$F$13, '3A'!L31 &gt; 0), AND( M31 = Lists!$F$13, '3A'!N31 &gt; 0), AND( O31 = Lists!$F$13, '3A'!P31 &gt; 0 )), 1, 0)</f>
        <v>0</v>
      </c>
      <c r="AH31" s="439"/>
      <c r="AI31" s="571" t="str">
        <f>IF($P$1="Select company","",IF((HLOOKUP(((VLOOKUP($P$1,Lists!$B$4:$C$23,2,FALSE))&amp;'PC LIST'!$J$2),'PC list edited'!$A$2:$DT$65,(B31+1),FALSE))=0,"",HLOOKUP(((VLOOKUP($P$1,Lists!$B$4:$C$23,2,FALSE))&amp; 'PC LIST'!$J$2),'PC list edited'!$A$2:$DT$65,(B31+1),FALSE)))</f>
        <v>Out &amp; under</v>
      </c>
    </row>
    <row r="32" spans="1:35" s="70" customFormat="1" ht="30" customHeight="1">
      <c r="A32" s="69"/>
      <c r="B32" s="246">
        <f t="shared" si="3"/>
        <v>28</v>
      </c>
      <c r="C32" s="426" t="str">
        <f>IF($P$1="Select company","",IF((HLOOKUP((VLOOKUP($P$1,Lists!$B$4:$C$23,2,FALSE)),'PC list edited'!$A$2:$DV$65,(B32+1),FALSE))=0,"",HLOOKUP((VLOOKUP($P$1,Lists!$B$4:$C$23,2,FALSE)),'PC list edited'!$A$2:$DV$65,(B32+1),FALSE)))</f>
        <v>PR14TMSWSWW_SB6</v>
      </c>
      <c r="D32" s="425" t="str">
        <f>IF($P$1="Select company","",IF(C32 ="","",HLOOKUP(((VLOOKUP($P$1,Lists!$B$4:$C$23,2,FALSE))&amp;"PC"),'PC list edited'!$A$2:$DV$65,(B32+1),FALSE)))</f>
        <v>SB6: Compliance with SEMD advice notes (with or without derogation)</v>
      </c>
      <c r="E32" s="268" t="str">
        <f>IF($P$1="Select company","",IF(C32 ="","",HLOOKUP(((VLOOKUP($P$1,Lists!$B$4:$C$23,2,FALSE))&amp;"unit"),'PC list edited'!$A$2:$DV$65,(B32+1),FALSE)))</f>
        <v>%</v>
      </c>
      <c r="F32" s="268" t="str">
        <f>IF($P$1="Select company","",IF(C32 ="","",HLOOKUP(((VLOOKUP($P$1,Lists!$B$4:$C$23,2,FALSE))&amp;"UnitDes"),'PC list edited'!$A$2:$DV$65,(B32+1),FALSE)))</f>
        <v>% compliance with SEMD advice notes</v>
      </c>
      <c r="G32" s="268">
        <f>IF($P$1="Select company","",IF(C32="","",HLOOKUP(((VLOOKUP($P$1,Lists!$B$4:$C$23,2,FALSE))&amp;"DP"),'PC list edited'!$A$2:$DV$65,(B32+1),FALSE)))</f>
        <v>0</v>
      </c>
      <c r="H32" s="268" t="str">
        <f>IF($P$1="Select company","",IF(C32 = "","",HLOOKUP(((VLOOKUP($P$1,Lists!$B$4:$C$23,2,FALSE))&amp;"201617Actual"),'PC list edited'!$A$2:$DV$65,(B32+1),FALSE)))</f>
        <v>Not available</v>
      </c>
      <c r="I32" s="2160" t="s">
        <v>1989</v>
      </c>
      <c r="J32" s="569" t="s">
        <v>1981</v>
      </c>
      <c r="K32" s="430" t="s">
        <v>1981</v>
      </c>
      <c r="L32" s="431"/>
      <c r="M32" s="430" t="s">
        <v>1981</v>
      </c>
      <c r="N32" s="431"/>
      <c r="O32" s="430" t="s">
        <v>1981</v>
      </c>
      <c r="P32" s="432"/>
      <c r="Q32" s="118"/>
      <c r="R32" s="436">
        <f t="shared" si="4"/>
        <v>0</v>
      </c>
      <c r="S32" s="25">
        <f t="shared" si="1"/>
        <v>0</v>
      </c>
      <c r="T32" s="116"/>
      <c r="U32" s="111"/>
      <c r="V32" s="86">
        <f t="shared" si="2"/>
        <v>0</v>
      </c>
      <c r="W32" s="86">
        <f>IF($C32="",0,IF(ISBLANK(#REF!)=FALSE,0,1))</f>
        <v>0</v>
      </c>
      <c r="X32" s="86">
        <f t="shared" si="0"/>
        <v>0</v>
      </c>
      <c r="Y32" s="86">
        <f>IF(OR(ISBLANK(L32), L32=0), 0, IF(OR(K32=Lists!$F$11, K32=Lists!$F$13), 0, 1))</f>
        <v>0</v>
      </c>
      <c r="Z32" s="86">
        <f>IF(OR($C32="", AND(NOT(K32=Lists!$F$11), NOT(K32=Lists!$F$13))),0,IF(ISBLANK(L32)=FALSE,0,1))</f>
        <v>0</v>
      </c>
      <c r="AA32" s="86">
        <f>IF(OR(ISBLANK(N32), N32=0), 0, IF(OR(M32=Lists!$F$11, M32=Lists!$F$13), 0, 1))</f>
        <v>0</v>
      </c>
      <c r="AB32" s="86">
        <f>IF(OR($C32="", AND(NOT(M32=Lists!$F$11), NOT(M32=Lists!$F$13))),0,IF(ISBLANK(N32)=FALSE,0,1))</f>
        <v>0</v>
      </c>
      <c r="AC32" s="86">
        <f>IF(OR(ISBLANK(P32), P32=0), 0, IF(OR(O32=Lists!$F$11, O32=Lists!$F$13), 0, 1))</f>
        <v>0</v>
      </c>
      <c r="AD32" s="86">
        <f>IF(OR($C32="", AND(NOT(O32=Lists!$F$11), NOT(O32=Lists!$F$13))),0,IF(ISBLANK(P32)=FALSE,0,1))</f>
        <v>0</v>
      </c>
      <c r="AE32" s="111"/>
      <c r="AF32" s="438">
        <f xml:space="preserve"> IF(OR( AND( K32 = Lists!$F$11, '3A'!L32 &lt; 0), AND( '3A'!M32 = Lists!$F$11, '3A'!N32 &lt; 0), AND( '3A'!O32 = Lists!$F$11, '3A'!P32 &lt; 0)), 1, 0)</f>
        <v>0</v>
      </c>
      <c r="AG32" s="438">
        <f xml:space="preserve"> IF( OR( AND( K32 = Lists!$F$13, '3A'!L32 &gt; 0), AND( M32 = Lists!$F$13, '3A'!N32 &gt; 0), AND( O32 = Lists!$F$13, '3A'!P32 &gt; 0 )), 1, 0)</f>
        <v>0</v>
      </c>
      <c r="AH32" s="439"/>
      <c r="AI32" s="571" t="str">
        <f>IF($P$1="Select company","",IF((HLOOKUP(((VLOOKUP($P$1,Lists!$B$4:$C$23,2,FALSE))&amp;'PC LIST'!$J$2),'PC list edited'!$A$2:$DT$65,(B32+1),FALSE))=0,"",HLOOKUP(((VLOOKUP($P$1,Lists!$B$4:$C$23,2,FALSE))&amp; 'PC LIST'!$J$2),'PC list edited'!$A$2:$DT$65,(B32+1),FALSE)))</f>
        <v>Under</v>
      </c>
    </row>
    <row r="33" spans="1:35" s="70" customFormat="1" ht="30" customHeight="1">
      <c r="A33" s="69"/>
      <c r="B33" s="246">
        <f t="shared" si="3"/>
        <v>29</v>
      </c>
      <c r="C33" s="426" t="str">
        <f>IF($P$1="Select company","",IF((HLOOKUP((VLOOKUP($P$1,Lists!$B$4:$C$23,2,FALSE)),'PC list edited'!$A$2:$DV$65,(B33+1),FALSE))=0,"",HLOOKUP((VLOOKUP($P$1,Lists!$B$4:$C$23,2,FALSE)),'PC list edited'!$A$2:$DV$65,(B33+1),FALSE)))</f>
        <v>PR14TMSWSWW_SB7</v>
      </c>
      <c r="D33" s="425" t="str">
        <f>IF($P$1="Select company","",IF(C33 ="","",HLOOKUP(((VLOOKUP($P$1,Lists!$B$4:$C$23,2,FALSE))&amp;"PC"),'PC list edited'!$A$2:$DV$65,(B33+1),FALSE)))</f>
        <v>SB7: Population equivalent of sites made resilient to future extreme rainfall events</v>
      </c>
      <c r="E33" s="268" t="str">
        <f>IF($P$1="Select company","",IF(C33 ="","",HLOOKUP(((VLOOKUP($P$1,Lists!$B$4:$C$23,2,FALSE))&amp;"unit"),'PC list edited'!$A$2:$DV$65,(B33+1),FALSE)))</f>
        <v>nr</v>
      </c>
      <c r="F33" s="268" t="str">
        <f>IF($P$1="Select company","",IF(C33 ="","",HLOOKUP(((VLOOKUP($P$1,Lists!$B$4:$C$23,2,FALSE))&amp;"UnitDes"),'PC list edited'!$A$2:$DV$65,(B33+1),FALSE)))</f>
        <v>Population equivalent (cumulative)</v>
      </c>
      <c r="G33" s="268">
        <f>IF($P$1="Select company","",IF(C33="","",HLOOKUP(((VLOOKUP($P$1,Lists!$B$4:$C$23,2,FALSE))&amp;"DP"),'PC list edited'!$A$2:$DV$65,(B33+1),FALSE)))</f>
        <v>0</v>
      </c>
      <c r="H33" s="268">
        <f>IF($P$1="Select company","",IF(C33 = "","",HLOOKUP(((VLOOKUP($P$1,Lists!$B$4:$C$23,2,FALSE))&amp;"201617Actual"),'PC list edited'!$A$2:$DV$65,(B33+1),FALSE)))</f>
        <v>0</v>
      </c>
      <c r="I33" s="474">
        <v>537700</v>
      </c>
      <c r="J33" s="569" t="s">
        <v>1981</v>
      </c>
      <c r="K33" s="430" t="s">
        <v>1981</v>
      </c>
      <c r="L33" s="431"/>
      <c r="M33" s="430" t="s">
        <v>1981</v>
      </c>
      <c r="N33" s="431"/>
      <c r="O33" s="430" t="s">
        <v>1981</v>
      </c>
      <c r="P33" s="432"/>
      <c r="Q33" s="118"/>
      <c r="R33" s="436">
        <f t="shared" si="4"/>
        <v>0</v>
      </c>
      <c r="S33" s="25">
        <f t="shared" si="1"/>
        <v>0</v>
      </c>
      <c r="T33" s="110"/>
      <c r="U33" s="114"/>
      <c r="V33" s="86">
        <f t="shared" si="2"/>
        <v>0</v>
      </c>
      <c r="W33" s="86">
        <f>IF($C33="",0,IF(ISBLANK(#REF!)=FALSE,0,1))</f>
        <v>0</v>
      </c>
      <c r="X33" s="86">
        <f t="shared" si="0"/>
        <v>0</v>
      </c>
      <c r="Y33" s="86">
        <f>IF(OR(ISBLANK(L33), L33=0), 0, IF(OR(K33=Lists!$F$11, K33=Lists!$F$13), 0, 1))</f>
        <v>0</v>
      </c>
      <c r="Z33" s="86">
        <f>IF(OR($C33="", AND(NOT(K33=Lists!$F$11), NOT(K33=Lists!$F$13))),0,IF(ISBLANK(L33)=FALSE,0,1))</f>
        <v>0</v>
      </c>
      <c r="AA33" s="86">
        <f>IF(OR(ISBLANK(N33), N33=0), 0, IF(OR(M33=Lists!$F$11, M33=Lists!$F$13), 0, 1))</f>
        <v>0</v>
      </c>
      <c r="AB33" s="86">
        <f>IF(OR($C33="", AND(NOT(M33=Lists!$F$11), NOT(M33=Lists!$F$13))),0,IF(ISBLANK(N33)=FALSE,0,1))</f>
        <v>0</v>
      </c>
      <c r="AC33" s="86">
        <f>IF(OR(ISBLANK(P33), P33=0), 0, IF(OR(O33=Lists!$F$11, O33=Lists!$F$13), 0, 1))</f>
        <v>0</v>
      </c>
      <c r="AD33" s="86">
        <f>IF(OR($C33="", AND(NOT(O33=Lists!$F$11), NOT(O33=Lists!$F$13))),0,IF(ISBLANK(P33)=FALSE,0,1))</f>
        <v>0</v>
      </c>
      <c r="AE33" s="114"/>
      <c r="AF33" s="438">
        <f xml:space="preserve"> IF(OR( AND( K33 = Lists!$F$11, '3A'!L33 &lt; 0), AND( '3A'!M33 = Lists!$F$11, '3A'!N33 &lt; 0), AND( '3A'!O33 = Lists!$F$11, '3A'!P33 &lt; 0)), 1, 0)</f>
        <v>0</v>
      </c>
      <c r="AG33" s="438">
        <f xml:space="preserve"> IF( OR( AND( K33 = Lists!$F$13, '3A'!L33 &gt; 0), AND( M33 = Lists!$F$13, '3A'!N33 &gt; 0), AND( O33 = Lists!$F$13, '3A'!P33 &gt; 0 )), 1, 0)</f>
        <v>0</v>
      </c>
      <c r="AH33" s="439"/>
      <c r="AI33" s="571" t="str">
        <f>IF($P$1="Select company","",IF((HLOOKUP(((VLOOKUP($P$1,Lists!$B$4:$C$23,2,FALSE))&amp;'PC LIST'!$J$2),'PC list edited'!$A$2:$DT$65,(B33+1),FALSE))=0,"",HLOOKUP(((VLOOKUP($P$1,Lists!$B$4:$C$23,2,FALSE))&amp; 'PC LIST'!$J$2),'PC list edited'!$A$2:$DT$65,(B33+1),FALSE)))</f>
        <v>Under</v>
      </c>
    </row>
    <row r="34" spans="1:35" s="70" customFormat="1" ht="30" customHeight="1">
      <c r="A34" s="69"/>
      <c r="B34" s="246">
        <f t="shared" si="3"/>
        <v>30</v>
      </c>
      <c r="C34" s="426" t="str">
        <f>IF($P$1="Select company","",IF((HLOOKUP((VLOOKUP($P$1,Lists!$B$4:$C$23,2,FALSE)),'PC list edited'!$A$2:$DV$65,(B34+1),FALSE))=0,"",HLOOKUP((VLOOKUP($P$1,Lists!$B$4:$C$23,2,FALSE)),'PC list edited'!$A$2:$DV$65,(B34+1),FALSE)))</f>
        <v>PR14TMSWSWW_SB8</v>
      </c>
      <c r="D34" s="425" t="str">
        <f>IF($P$1="Select company","",IF(C34 ="","",HLOOKUP(((VLOOKUP($P$1,Lists!$B$4:$C$23,2,FALSE))&amp;"PC"),'PC list edited'!$A$2:$DV$65,(B34+1),FALSE)))</f>
        <v>SB8: Lee Tunnel including Shaft G</v>
      </c>
      <c r="E34" s="268" t="str">
        <f>IF($P$1="Select company","",IF(C34 ="","",HLOOKUP(((VLOOKUP($P$1,Lists!$B$4:$C$23,2,FALSE))&amp;"unit"),'PC list edited'!$A$2:$DV$65,(B34+1),FALSE)))</f>
        <v>text</v>
      </c>
      <c r="F34" s="268" t="str">
        <f>IF($P$1="Select company","",IF(C34 ="","",HLOOKUP(((VLOOKUP($P$1,Lists!$B$4:$C$23,2,FALSE))&amp;"UnitDes"),'PC list edited'!$A$2:$DV$65,(B34+1),FALSE)))</f>
        <v>Scheme delivery</v>
      </c>
      <c r="G34" s="268" t="str">
        <f>IF($P$1="Select company","",IF(C34="","",HLOOKUP(((VLOOKUP($P$1,Lists!$B$4:$C$23,2,FALSE))&amp;"DP"),'PC list edited'!$A$2:$DV$65,(B34+1),FALSE)))</f>
        <v>na</v>
      </c>
      <c r="H34" s="268" t="str">
        <f>IF($P$1="Select company","",IF(C34 = "","",HLOOKUP(((VLOOKUP($P$1,Lists!$B$4:$C$23,2,FALSE))&amp;"201617Actual"),'PC list edited'!$A$2:$DV$65,(B34+1),FALSE)))</f>
        <v>Scheme delivered 2015-16</v>
      </c>
      <c r="I34" s="474" t="s">
        <v>1990</v>
      </c>
      <c r="J34" s="569" t="s">
        <v>1979</v>
      </c>
      <c r="K34" s="430" t="s">
        <v>1981</v>
      </c>
      <c r="L34" s="431"/>
      <c r="M34" s="430" t="s">
        <v>1981</v>
      </c>
      <c r="N34" s="431"/>
      <c r="O34" s="430" t="s">
        <v>1981</v>
      </c>
      <c r="P34" s="432"/>
      <c r="Q34" s="118"/>
      <c r="R34" s="436">
        <f t="shared" si="4"/>
        <v>0</v>
      </c>
      <c r="S34" s="25">
        <f t="shared" si="1"/>
        <v>0</v>
      </c>
      <c r="T34" s="110"/>
      <c r="U34" s="114"/>
      <c r="V34" s="86">
        <f t="shared" si="2"/>
        <v>0</v>
      </c>
      <c r="W34" s="86">
        <f>IF($C34="",0,IF(ISBLANK(#REF!)=FALSE,0,1))</f>
        <v>0</v>
      </c>
      <c r="X34" s="86">
        <f t="shared" si="0"/>
        <v>0</v>
      </c>
      <c r="Y34" s="86">
        <f>IF(OR(ISBLANK(L34), L34=0), 0, IF(OR(K34=Lists!$F$11, K34=Lists!$F$13), 0, 1))</f>
        <v>0</v>
      </c>
      <c r="Z34" s="86">
        <f>IF(OR($C34="", AND(NOT(K34=Lists!$F$11), NOT(K34=Lists!$F$13))),0,IF(ISBLANK(L34)=FALSE,0,1))</f>
        <v>0</v>
      </c>
      <c r="AA34" s="86">
        <f>IF(OR(ISBLANK(N34), N34=0), 0, IF(OR(M34=Lists!$F$11, M34=Lists!$F$13), 0, 1))</f>
        <v>0</v>
      </c>
      <c r="AB34" s="86">
        <f>IF(OR($C34="", AND(NOT(M34=Lists!$F$11), NOT(M34=Lists!$F$13))),0,IF(ISBLANK(N34)=FALSE,0,1))</f>
        <v>0</v>
      </c>
      <c r="AC34" s="86">
        <f>IF(OR(ISBLANK(P34), P34=0), 0, IF(OR(O34=Lists!$F$11, O34=Lists!$F$13), 0, 1))</f>
        <v>0</v>
      </c>
      <c r="AD34" s="86">
        <f>IF(OR($C34="", AND(NOT(O34=Lists!$F$11), NOT(O34=Lists!$F$13))),0,IF(ISBLANK(P34)=FALSE,0,1))</f>
        <v>0</v>
      </c>
      <c r="AE34" s="114"/>
      <c r="AF34" s="438">
        <f xml:space="preserve"> IF(OR( AND( K34 = Lists!$F$11, '3A'!L34 &lt; 0), AND( '3A'!M34 = Lists!$F$11, '3A'!N34 &lt; 0), AND( '3A'!O34 = Lists!$F$11, '3A'!P34 &lt; 0)), 1, 0)</f>
        <v>0</v>
      </c>
      <c r="AG34" s="438">
        <f xml:space="preserve"> IF( OR( AND( K34 = Lists!$F$13, '3A'!L34 &gt; 0), AND( M34 = Lists!$F$13, '3A'!N34 &gt; 0), AND( O34 = Lists!$F$13, '3A'!P34 &gt; 0 )), 1, 0)</f>
        <v>0</v>
      </c>
      <c r="AH34" s="439"/>
      <c r="AI34" s="571" t="str">
        <f>IF($P$1="Select company","",IF((HLOOKUP(((VLOOKUP($P$1,Lists!$B$4:$C$23,2,FALSE))&amp;'PC LIST'!$J$2),'PC list edited'!$A$2:$DT$65,(B34+1),FALSE))=0,"",HLOOKUP(((VLOOKUP($P$1,Lists!$B$4:$C$23,2,FALSE))&amp; 'PC LIST'!$J$2),'PC list edited'!$A$2:$DT$65,(B34+1),FALSE)))</f>
        <v>Under</v>
      </c>
    </row>
    <row r="35" spans="1:35" s="70" customFormat="1" ht="30" customHeight="1">
      <c r="A35" s="69"/>
      <c r="B35" s="246">
        <f t="shared" si="3"/>
        <v>31</v>
      </c>
      <c r="C35" s="426" t="str">
        <f>IF($P$1="Select company","",IF((HLOOKUP((VLOOKUP($P$1,Lists!$B$4:$C$23,2,FALSE)),'PC list edited'!$A$2:$DV$65,(B35+1),FALSE))=0,"",HLOOKUP((VLOOKUP($P$1,Lists!$B$4:$C$23,2,FALSE)),'PC list edited'!$A$2:$DV$65,(B35+1),FALSE)))</f>
        <v>PR14TMSWSWW_SB9</v>
      </c>
      <c r="D35" s="425" t="str">
        <f>IF($P$1="Select company","",IF(C35 ="","",HLOOKUP(((VLOOKUP($P$1,Lists!$B$4:$C$23,2,FALSE))&amp;"PC"),'PC list edited'!$A$2:$DV$65,(B35+1),FALSE)))</f>
        <v>SB9: Deephams Wastewater Treatment Works</v>
      </c>
      <c r="E35" s="268" t="str">
        <f>IF($P$1="Select company","",IF(C35 ="","",HLOOKUP(((VLOOKUP($P$1,Lists!$B$4:$C$23,2,FALSE))&amp;"unit"),'PC list edited'!$A$2:$DV$65,(B35+1),FALSE)))</f>
        <v>text</v>
      </c>
      <c r="F35" s="268" t="str">
        <f>IF($P$1="Select company","",IF(C35 ="","",HLOOKUP(((VLOOKUP($P$1,Lists!$B$4:$C$23,2,FALSE))&amp;"UnitDes"),'PC list edited'!$A$2:$DV$65,(B35+1),FALSE)))</f>
        <v>Scheme delivery</v>
      </c>
      <c r="G35" s="268" t="str">
        <f>IF($P$1="Select company","",IF(C35="","",HLOOKUP(((VLOOKUP($P$1,Lists!$B$4:$C$23,2,FALSE))&amp;"DP"),'PC list edited'!$A$2:$DV$65,(B35+1),FALSE)))</f>
        <v>na</v>
      </c>
      <c r="H35" s="268" t="str">
        <f>IF($P$1="Select company","",IF(C35 = "","",HLOOKUP(((VLOOKUP($P$1,Lists!$B$4:$C$23,2,FALSE))&amp;"201617Actual"),'PC list edited'!$A$2:$DV$65,(B35+1),FALSE)))</f>
        <v>Performance commitment delivered</v>
      </c>
      <c r="I35" s="474" t="s">
        <v>1991</v>
      </c>
      <c r="J35" s="569" t="s">
        <v>1979</v>
      </c>
      <c r="K35" s="430" t="s">
        <v>1981</v>
      </c>
      <c r="L35" s="431"/>
      <c r="M35" s="430" t="s">
        <v>1981</v>
      </c>
      <c r="N35" s="431"/>
      <c r="O35" s="430" t="s">
        <v>1981</v>
      </c>
      <c r="P35" s="432"/>
      <c r="Q35" s="118"/>
      <c r="R35" s="436">
        <f t="shared" si="4"/>
        <v>0</v>
      </c>
      <c r="S35" s="25">
        <f t="shared" si="1"/>
        <v>0</v>
      </c>
      <c r="T35" s="110"/>
      <c r="U35" s="114"/>
      <c r="V35" s="86">
        <f t="shared" si="2"/>
        <v>0</v>
      </c>
      <c r="W35" s="86">
        <f>IF($C35="",0,IF(ISBLANK(#REF!)=FALSE,0,1))</f>
        <v>0</v>
      </c>
      <c r="X35" s="86">
        <f t="shared" si="0"/>
        <v>0</v>
      </c>
      <c r="Y35" s="86">
        <f>IF(OR(ISBLANK(L35), L35=0), 0, IF(OR(K35=Lists!$F$11, K35=Lists!$F$13), 0, 1))</f>
        <v>0</v>
      </c>
      <c r="Z35" s="86">
        <f>IF(OR($C35="", AND(NOT(K35=Lists!$F$11), NOT(K35=Lists!$F$13))),0,IF(ISBLANK(L35)=FALSE,0,1))</f>
        <v>0</v>
      </c>
      <c r="AA35" s="86">
        <f>IF(OR(ISBLANK(N35), N35=0), 0, IF(OR(M35=Lists!$F$11, M35=Lists!$F$13), 0, 1))</f>
        <v>0</v>
      </c>
      <c r="AB35" s="86">
        <f>IF(OR($C35="", AND(NOT(M35=Lists!$F$11), NOT(M35=Lists!$F$13))),0,IF(ISBLANK(N35)=FALSE,0,1))</f>
        <v>0</v>
      </c>
      <c r="AC35" s="86">
        <f>IF(OR(ISBLANK(P35), P35=0), 0, IF(OR(O35=Lists!$F$11, O35=Lists!$F$13), 0, 1))</f>
        <v>0</v>
      </c>
      <c r="AD35" s="86">
        <f>IF(OR($C35="", AND(NOT(O35=Lists!$F$11), NOT(O35=Lists!$F$13))),0,IF(ISBLANK(P35)=FALSE,0,1))</f>
        <v>0</v>
      </c>
      <c r="AE35" s="114"/>
      <c r="AF35" s="438">
        <f xml:space="preserve"> IF(OR( AND( K35 = Lists!$F$11, '3A'!L35 &lt; 0), AND( '3A'!M35 = Lists!$F$11, '3A'!N35 &lt; 0), AND( '3A'!O35 = Lists!$F$11, '3A'!P35 &lt; 0)), 1, 0)</f>
        <v>0</v>
      </c>
      <c r="AG35" s="438">
        <f xml:space="preserve"> IF( OR( AND( K35 = Lists!$F$13, '3A'!L35 &gt; 0), AND( M35 = Lists!$F$13, '3A'!N35 &gt; 0), AND( O35 = Lists!$F$13, '3A'!P35 &gt; 0 )), 1, 0)</f>
        <v>0</v>
      </c>
      <c r="AH35" s="439"/>
      <c r="AI35" s="571" t="str">
        <f>IF($P$1="Select company","",IF((HLOOKUP(((VLOOKUP($P$1,Lists!$B$4:$C$23,2,FALSE))&amp;'PC LIST'!$J$2),'PC list edited'!$A$2:$DT$65,(B35+1),FALSE))=0,"",HLOOKUP(((VLOOKUP($P$1,Lists!$B$4:$C$23,2,FALSE))&amp; 'PC LIST'!$J$2),'PC list edited'!$A$2:$DT$65,(B35+1),FALSE)))</f>
        <v>Under</v>
      </c>
    </row>
    <row r="36" spans="1:35" s="70" customFormat="1" ht="30" customHeight="1">
      <c r="A36" s="69"/>
      <c r="B36" s="246">
        <f t="shared" si="3"/>
        <v>32</v>
      </c>
      <c r="C36" s="426" t="str">
        <f>IF($P$1="Select company","",IF((HLOOKUP((VLOOKUP($P$1,Lists!$B$4:$C$23,2,FALSE)),'PC list edited'!$A$2:$DV$65,(B36+1),FALSE))=0,"",HLOOKUP((VLOOKUP($P$1,Lists!$B$4:$C$23,2,FALSE)),'PC list edited'!$A$2:$DV$65,(B36+1),FALSE)))</f>
        <v>PR14TMSWSWW_SC1</v>
      </c>
      <c r="D36" s="425" t="str">
        <f>IF($P$1="Select company","",IF(C36 ="","",HLOOKUP(((VLOOKUP($P$1,Lists!$B$4:$C$23,2,FALSE))&amp;"PC"),'PC list edited'!$A$2:$DV$65,(B36+1),FALSE)))</f>
        <v>SC1: Greenhouse gas emissions from wastewater operations</v>
      </c>
      <c r="E36" s="268" t="str">
        <f>IF($P$1="Select company","",IF(C36 ="","",HLOOKUP(((VLOOKUP($P$1,Lists!$B$4:$C$23,2,FALSE))&amp;"unit"),'PC list edited'!$A$2:$DV$65,(B36+1),FALSE)))</f>
        <v>nr</v>
      </c>
      <c r="F36" s="268" t="str">
        <f>IF($P$1="Select company","",IF(C36 ="","",HLOOKUP(((VLOOKUP($P$1,Lists!$B$4:$C$23,2,FALSE))&amp;"UnitDes"),'PC list edited'!$A$2:$DV$65,(B36+1),FALSE)))</f>
        <v>ktCO2e</v>
      </c>
      <c r="G36" s="268">
        <f>IF($P$1="Select company","",IF(C36="","",HLOOKUP(((VLOOKUP($P$1,Lists!$B$4:$C$23,2,FALSE))&amp;"DP"),'PC list edited'!$A$2:$DV$65,(B36+1),FALSE)))</f>
        <v>1</v>
      </c>
      <c r="H36" s="268">
        <f>IF($P$1="Select company","",IF(C36 = "","",HLOOKUP(((VLOOKUP($P$1,Lists!$B$4:$C$23,2,FALSE))&amp;"201617Actual"),'PC list edited'!$A$2:$DV$65,(B36+1),FALSE)))</f>
        <v>346.7</v>
      </c>
      <c r="I36" s="474">
        <v>231.7</v>
      </c>
      <c r="J36" s="569" t="s">
        <v>1979</v>
      </c>
      <c r="K36" s="430"/>
      <c r="L36" s="431"/>
      <c r="M36" s="430"/>
      <c r="N36" s="431"/>
      <c r="O36" s="430"/>
      <c r="P36" s="432"/>
      <c r="Q36" s="118"/>
      <c r="R36" s="436">
        <f t="shared" si="4"/>
        <v>0</v>
      </c>
      <c r="S36" s="25">
        <f t="shared" si="1"/>
        <v>0</v>
      </c>
      <c r="T36" s="110"/>
      <c r="U36" s="114"/>
      <c r="V36" s="86">
        <f t="shared" si="2"/>
        <v>0</v>
      </c>
      <c r="W36" s="86">
        <f>IF($C36="",0,IF(ISBLANK(#REF!)=FALSE,0,1))</f>
        <v>0</v>
      </c>
      <c r="X36" s="86">
        <f t="shared" si="0"/>
        <v>0</v>
      </c>
      <c r="Y36" s="86">
        <f>IF(OR(ISBLANK(L36), L36=0), 0, IF(OR(K36=Lists!$F$11, K36=Lists!$F$13), 0, 1))</f>
        <v>0</v>
      </c>
      <c r="Z36" s="86">
        <f>IF(OR($C36="", AND(NOT(K36=Lists!$F$11), NOT(K36=Lists!$F$13))),0,IF(ISBLANK(L36)=FALSE,0,1))</f>
        <v>0</v>
      </c>
      <c r="AA36" s="86">
        <f>IF(OR(ISBLANK(N36), N36=0), 0, IF(OR(M36=Lists!$F$11, M36=Lists!$F$13), 0, 1))</f>
        <v>0</v>
      </c>
      <c r="AB36" s="86">
        <f>IF(OR($C36="", AND(NOT(M36=Lists!$F$11), NOT(M36=Lists!$F$13))),0,IF(ISBLANK(N36)=FALSE,0,1))</f>
        <v>0</v>
      </c>
      <c r="AC36" s="86">
        <f>IF(OR(ISBLANK(P36), P36=0), 0, IF(OR(O36=Lists!$F$11, O36=Lists!$F$13), 0, 1))</f>
        <v>0</v>
      </c>
      <c r="AD36" s="86">
        <f>IF(OR($C36="", AND(NOT(O36=Lists!$F$11), NOT(O36=Lists!$F$13))),0,IF(ISBLANK(P36)=FALSE,0,1))</f>
        <v>0</v>
      </c>
      <c r="AE36" s="114"/>
      <c r="AF36" s="438">
        <f xml:space="preserve"> IF(OR( AND( K36 = Lists!$F$11, '3A'!L36 &lt; 0), AND( '3A'!M36 = Lists!$F$11, '3A'!N36 &lt; 0), AND( '3A'!O36 = Lists!$F$11, '3A'!P36 &lt; 0)), 1, 0)</f>
        <v>0</v>
      </c>
      <c r="AG36" s="438">
        <f xml:space="preserve"> IF( OR( AND( K36 = Lists!$F$13, '3A'!L36 &gt; 0), AND( M36 = Lists!$F$13, '3A'!N36 &gt; 0), AND( O36 = Lists!$F$13, '3A'!P36 &gt; 0 )), 1, 0)</f>
        <v>0</v>
      </c>
      <c r="AH36" s="439"/>
      <c r="AI36" s="571" t="str">
        <f>IF($P$1="Select company","",IF((HLOOKUP(((VLOOKUP($P$1,Lists!$B$4:$C$23,2,FALSE))&amp;'PC LIST'!$J$2),'PC list edited'!$A$2:$DT$65,(B36+1),FALSE))=0,"",HLOOKUP(((VLOOKUP($P$1,Lists!$B$4:$C$23,2,FALSE))&amp; 'PC LIST'!$J$2),'PC list edited'!$A$2:$DT$65,(B36+1),FALSE)))</f>
        <v>NFI</v>
      </c>
    </row>
    <row r="37" spans="1:35" s="70" customFormat="1" ht="30" customHeight="1">
      <c r="A37" s="69"/>
      <c r="B37" s="246">
        <f t="shared" si="3"/>
        <v>33</v>
      </c>
      <c r="C37" s="426" t="str">
        <f>IF($P$1="Select company","",IF((HLOOKUP((VLOOKUP($P$1,Lists!$B$4:$C$23,2,FALSE)),'PC list edited'!$A$2:$DV$65,(B37+1),FALSE))=0,"",HLOOKUP((VLOOKUP($P$1,Lists!$B$4:$C$23,2,FALSE)),'PC list edited'!$A$2:$DV$65,(B37+1),FALSE)))</f>
        <v>PR14TMSWSWW_SC2</v>
      </c>
      <c r="D37" s="425" t="str">
        <f>IF($P$1="Select company","",IF(C37 ="","",HLOOKUP(((VLOOKUP($P$1,Lists!$B$4:$C$23,2,FALSE))&amp;"PC"),'PC list edited'!$A$2:$DV$65,(B37+1),FALSE)))</f>
        <v>SC2: Total category 1-3 pollution incidents from sewage related premises</v>
      </c>
      <c r="E37" s="268" t="str">
        <f>IF($P$1="Select company","",IF(C37 ="","",HLOOKUP(((VLOOKUP($P$1,Lists!$B$4:$C$23,2,FALSE))&amp;"unit"),'PC list edited'!$A$2:$DV$65,(B37+1),FALSE)))</f>
        <v>nr</v>
      </c>
      <c r="F37" s="268" t="str">
        <f>IF($P$1="Select company","",IF(C37 ="","",HLOOKUP(((VLOOKUP($P$1,Lists!$B$4:$C$23,2,FALSE))&amp;"UnitDes"),'PC list edited'!$A$2:$DV$65,(B37+1),FALSE)))</f>
        <v>No. of pollution incidents (cats 1, 2 and 3)</v>
      </c>
      <c r="G37" s="268">
        <f>IF($P$1="Select company","",IF(C37="","",HLOOKUP(((VLOOKUP($P$1,Lists!$B$4:$C$23,2,FALSE))&amp;"DP"),'PC list edited'!$A$2:$DV$65,(B37+1),FALSE)))</f>
        <v>0</v>
      </c>
      <c r="H37" s="268">
        <f>IF($P$1="Select company","",IF(C37 = "","",HLOOKUP(((VLOOKUP($P$1,Lists!$B$4:$C$23,2,FALSE))&amp;"201617Actual"),'PC list edited'!$A$2:$DV$65,(B37+1),FALSE)))</f>
        <v>315</v>
      </c>
      <c r="I37" s="474">
        <v>292</v>
      </c>
      <c r="J37" s="569" t="s">
        <v>1979</v>
      </c>
      <c r="K37" s="430" t="s">
        <v>1981</v>
      </c>
      <c r="L37" s="431"/>
      <c r="M37" s="430" t="s">
        <v>1992</v>
      </c>
      <c r="N37" s="431"/>
      <c r="O37" s="430" t="s">
        <v>1992</v>
      </c>
      <c r="P37" s="432"/>
      <c r="Q37" s="118"/>
      <c r="R37" s="436">
        <f t="shared" si="4"/>
        <v>0</v>
      </c>
      <c r="S37" s="25">
        <f t="shared" ref="S37:S59" si="5" xml:space="preserve"> IF( SUM( U37:AE37 ) = 0, 0, $V$3 )</f>
        <v>0</v>
      </c>
      <c r="T37" s="110"/>
      <c r="U37" s="114"/>
      <c r="V37" s="86">
        <f t="shared" ref="V37:V59" si="6">IF($C37="",0,IF(ISBLANK(I37)=FALSE,0,1))</f>
        <v>0</v>
      </c>
      <c r="W37" s="86">
        <f>IF($C37="",0,IF(ISBLANK(#REF!)=FALSE,0,1))</f>
        <v>0</v>
      </c>
      <c r="X37" s="86">
        <f t="shared" si="0"/>
        <v>0</v>
      </c>
      <c r="Y37" s="86">
        <f>IF(OR(ISBLANK(L37), L37=0), 0, IF(OR(K37=Lists!$F$11, K37=Lists!$F$13), 0, 1))</f>
        <v>0</v>
      </c>
      <c r="Z37" s="86">
        <f>IF(OR($C37="", AND(NOT(K37=Lists!$F$11), NOT(K37=Lists!$F$13))),0,IF(ISBLANK(L37)=FALSE,0,1))</f>
        <v>0</v>
      </c>
      <c r="AA37" s="86">
        <f>IF(OR(ISBLANK(N37), N37=0), 0, IF(OR(M37=Lists!$F$11, M37=Lists!$F$13), 0, 1))</f>
        <v>0</v>
      </c>
      <c r="AB37" s="86">
        <f>IF(OR($C37="", AND(NOT(M37=Lists!$F$11), NOT(M37=Lists!$F$13))),0,IF(ISBLANK(N37)=FALSE,0,1))</f>
        <v>0</v>
      </c>
      <c r="AC37" s="86">
        <f>IF(OR(ISBLANK(P37), P37=0), 0, IF(OR(O37=Lists!$F$11, O37=Lists!$F$13), 0, 1))</f>
        <v>0</v>
      </c>
      <c r="AD37" s="86">
        <f>IF(OR($C37="", AND(NOT(O37=Lists!$F$11), NOT(O37=Lists!$F$13))),0,IF(ISBLANK(P37)=FALSE,0,1))</f>
        <v>0</v>
      </c>
      <c r="AE37" s="114"/>
      <c r="AF37" s="438">
        <f xml:space="preserve"> IF(OR( AND( K37 = Lists!$F$11, '3A'!L37 &lt; 0), AND( '3A'!M37 = Lists!$F$11, '3A'!N37 &lt; 0), AND( '3A'!O37 = Lists!$F$11, '3A'!P37 &lt; 0)), 1, 0)</f>
        <v>0</v>
      </c>
      <c r="AG37" s="438">
        <f xml:space="preserve"> IF( OR( AND( K37 = Lists!$F$13, '3A'!L37 &gt; 0), AND( M37 = Lists!$F$13, '3A'!N37 &gt; 0), AND( O37 = Lists!$F$13, '3A'!P37 &gt; 0 )), 1, 0)</f>
        <v>0</v>
      </c>
      <c r="AH37" s="439"/>
      <c r="AI37" s="571" t="str">
        <f>IF($P$1="Select company","",IF((HLOOKUP(((VLOOKUP($P$1,Lists!$B$4:$C$23,2,FALSE))&amp;'PC LIST'!$J$2),'PC list edited'!$A$2:$DT$65,(B37+1),FALSE))=0,"",HLOOKUP(((VLOOKUP($P$1,Lists!$B$4:$C$23,2,FALSE))&amp; 'PC LIST'!$J$2),'PC list edited'!$A$2:$DT$65,(B37+1),FALSE)))</f>
        <v>Out &amp; under</v>
      </c>
    </row>
    <row r="38" spans="1:35" s="70" customFormat="1" ht="30" customHeight="1">
      <c r="A38" s="69"/>
      <c r="B38" s="246">
        <f t="shared" si="3"/>
        <v>34</v>
      </c>
      <c r="C38" s="426" t="str">
        <f>IF($P$1="Select company","",IF((HLOOKUP((VLOOKUP($P$1,Lists!$B$4:$C$23,2,FALSE)),'PC list edited'!$A$2:$DV$65,(B38+1),FALSE))=0,"",HLOOKUP((VLOOKUP($P$1,Lists!$B$4:$C$23,2,FALSE)),'PC list edited'!$A$2:$DV$65,(B38+1),FALSE)))</f>
        <v>PR14TMSWSWW_SC3</v>
      </c>
      <c r="D38" s="425" t="str">
        <f>IF($P$1="Select company","",IF(C38 ="","",HLOOKUP(((VLOOKUP($P$1,Lists!$B$4:$C$23,2,FALSE))&amp;"PC"),'PC list edited'!$A$2:$DV$65,(B38+1),FALSE)))</f>
        <v>SC3: Sewage treatment works discharge compliance</v>
      </c>
      <c r="E38" s="268" t="str">
        <f>IF($P$1="Select company","",IF(C38 ="","",HLOOKUP(((VLOOKUP($P$1,Lists!$B$4:$C$23,2,FALSE))&amp;"unit"),'PC list edited'!$A$2:$DV$65,(B38+1),FALSE)))</f>
        <v>%</v>
      </c>
      <c r="F38" s="268" t="str">
        <f>IF($P$1="Select company","",IF(C38 ="","",HLOOKUP(((VLOOKUP($P$1,Lists!$B$4:$C$23,2,FALSE))&amp;"UnitDes"),'PC list edited'!$A$2:$DV$65,(B38+1),FALSE)))</f>
        <v>% WwTW discharge compliance</v>
      </c>
      <c r="G38" s="268">
        <f>IF($P$1="Select company","",IF(C38="","",HLOOKUP(((VLOOKUP($P$1,Lists!$B$4:$C$23,2,FALSE))&amp;"DP"),'PC list edited'!$A$2:$DV$65,(B38+1),FALSE)))</f>
        <v>2</v>
      </c>
      <c r="H38" s="268">
        <f>IF($P$1="Select company","",IF(C38 = "","",HLOOKUP(((VLOOKUP($P$1,Lists!$B$4:$C$23,2,FALSE))&amp;"201617Actual"),'PC list edited'!$A$2:$DV$65,(B38+1),FALSE)))</f>
        <v>98.28</v>
      </c>
      <c r="I38" s="474">
        <v>99.43</v>
      </c>
      <c r="J38" s="569" t="s">
        <v>1980</v>
      </c>
      <c r="K38" s="430" t="s">
        <v>1981</v>
      </c>
      <c r="L38" s="431"/>
      <c r="M38" s="430" t="s">
        <v>1985</v>
      </c>
      <c r="N38" s="431"/>
      <c r="O38" s="430" t="s">
        <v>1983</v>
      </c>
      <c r="P38" s="432">
        <v>-2.3069999999999999</v>
      </c>
      <c r="Q38" s="118"/>
      <c r="R38" s="436">
        <f t="shared" si="4"/>
        <v>0</v>
      </c>
      <c r="S38" s="25">
        <f t="shared" si="5"/>
        <v>0</v>
      </c>
      <c r="T38" s="110"/>
      <c r="U38" s="114"/>
      <c r="V38" s="86">
        <f t="shared" si="6"/>
        <v>0</v>
      </c>
      <c r="W38" s="86">
        <f>IF($C38="",0,IF(ISBLANK(#REF!)=FALSE,0,1))</f>
        <v>0</v>
      </c>
      <c r="X38" s="86">
        <f t="shared" si="0"/>
        <v>0</v>
      </c>
      <c r="Y38" s="86">
        <f>IF(OR(ISBLANK(L38), L38=0), 0, IF(OR(K38=Lists!$F$11, K38=Lists!$F$13), 0, 1))</f>
        <v>0</v>
      </c>
      <c r="Z38" s="86">
        <f>IF(OR($C38="", AND(NOT(K38=Lists!$F$11), NOT(K38=Lists!$F$13))),0,IF(ISBLANK(L38)=FALSE,0,1))</f>
        <v>0</v>
      </c>
      <c r="AA38" s="86">
        <f>IF(OR(ISBLANK(N38), N38=0), 0, IF(OR(M38=Lists!$F$11, M38=Lists!$F$13), 0, 1))</f>
        <v>0</v>
      </c>
      <c r="AB38" s="86">
        <f>IF(OR($C38="", AND(NOT(M38=Lists!$F$11), NOT(M38=Lists!$F$13))),0,IF(ISBLANK(N38)=FALSE,0,1))</f>
        <v>0</v>
      </c>
      <c r="AC38" s="86">
        <f>IF(OR(ISBLANK(P38), P38=0), 0, IF(OR(O38=Lists!$F$11, O38=Lists!$F$13), 0, 1))</f>
        <v>0</v>
      </c>
      <c r="AD38" s="86">
        <f>IF(OR($C38="", AND(NOT(O38=Lists!$F$11), NOT(O38=Lists!$F$13))),0,IF(ISBLANK(P38)=FALSE,0,1))</f>
        <v>0</v>
      </c>
      <c r="AE38" s="114"/>
      <c r="AF38" s="438">
        <f xml:space="preserve"> IF(OR( AND( K38 = Lists!$F$11, '3A'!L38 &lt; 0), AND( '3A'!M38 = Lists!$F$11, '3A'!N38 &lt; 0), AND( '3A'!O38 = Lists!$F$11, '3A'!P38 &lt; 0)), 1, 0)</f>
        <v>0</v>
      </c>
      <c r="AG38" s="438">
        <f xml:space="preserve"> IF( OR( AND( K38 = Lists!$F$13, '3A'!L38 &gt; 0), AND( M38 = Lists!$F$13, '3A'!N38 &gt; 0), AND( O38 = Lists!$F$13, '3A'!P38 &gt; 0 )), 1, 0)</f>
        <v>0</v>
      </c>
      <c r="AH38" s="439"/>
      <c r="AI38" s="571" t="str">
        <f>IF($P$1="Select company","",IF((HLOOKUP(((VLOOKUP($P$1,Lists!$B$4:$C$23,2,FALSE))&amp;'PC LIST'!$J$2),'PC list edited'!$A$2:$DT$65,(B38+1),FALSE))=0,"",HLOOKUP(((VLOOKUP($P$1,Lists!$B$4:$C$23,2,FALSE))&amp; 'PC LIST'!$J$2),'PC list edited'!$A$2:$DT$65,(B38+1),FALSE)))</f>
        <v>Under</v>
      </c>
    </row>
    <row r="39" spans="1:35" s="70" customFormat="1" ht="30" customHeight="1">
      <c r="A39" s="69"/>
      <c r="B39" s="246">
        <f t="shared" si="3"/>
        <v>35</v>
      </c>
      <c r="C39" s="426" t="str">
        <f>IF($P$1="Select company","",IF((HLOOKUP((VLOOKUP($P$1,Lists!$B$4:$C$23,2,FALSE)),'PC list edited'!$A$2:$DV$65,(B39+1),FALSE))=0,"",HLOOKUP((VLOOKUP($P$1,Lists!$B$4:$C$23,2,FALSE)),'PC list edited'!$A$2:$DV$65,(B39+1),FALSE)))</f>
        <v>PR14TMSWSWW_SC4</v>
      </c>
      <c r="D39" s="425" t="str">
        <f>IF($P$1="Select company","",IF(C39 ="","",HLOOKUP(((VLOOKUP($P$1,Lists!$B$4:$C$23,2,FALSE))&amp;"PC"),'PC list edited'!$A$2:$DV$65,(B39+1),FALSE)))</f>
        <v>SC4: Water bodies improved or protected from deterioration as a result of Thames Water's activities</v>
      </c>
      <c r="E39" s="268" t="str">
        <f>IF($P$1="Select company","",IF(C39 ="","",HLOOKUP(((VLOOKUP($P$1,Lists!$B$4:$C$23,2,FALSE))&amp;"unit"),'PC list edited'!$A$2:$DV$65,(B39+1),FALSE)))</f>
        <v>nr</v>
      </c>
      <c r="F39" s="268" t="str">
        <f>IF($P$1="Select company","",IF(C39 ="","",HLOOKUP(((VLOOKUP($P$1,Lists!$B$4:$C$23,2,FALSE))&amp;"UnitDes"),'PC list edited'!$A$2:$DV$65,(B39+1),FALSE)))</f>
        <v>No. of water bodies improved or protected by catchment management</v>
      </c>
      <c r="G39" s="268">
        <f>IF($P$1="Select company","",IF(C39="","",HLOOKUP(((VLOOKUP($P$1,Lists!$B$4:$C$23,2,FALSE))&amp;"DP"),'PC list edited'!$A$2:$DV$65,(B39+1),FALSE)))</f>
        <v>0</v>
      </c>
      <c r="H39" s="268">
        <f>IF($P$1="Select company","",IF(C39 = "","",HLOOKUP(((VLOOKUP($P$1,Lists!$B$4:$C$23,2,FALSE))&amp;"201617Actual"),'PC list edited'!$A$2:$DV$65,(B39+1),FALSE)))</f>
        <v>0</v>
      </c>
      <c r="I39" s="474">
        <v>0</v>
      </c>
      <c r="J39" s="569" t="s">
        <v>1981</v>
      </c>
      <c r="K39" s="430"/>
      <c r="L39" s="431"/>
      <c r="M39" s="430"/>
      <c r="N39" s="431"/>
      <c r="O39" s="430"/>
      <c r="P39" s="432"/>
      <c r="Q39" s="118"/>
      <c r="R39" s="436">
        <f t="shared" si="4"/>
        <v>0</v>
      </c>
      <c r="S39" s="25">
        <f t="shared" si="5"/>
        <v>0</v>
      </c>
      <c r="T39" s="110"/>
      <c r="U39" s="114"/>
      <c r="V39" s="86">
        <f t="shared" si="6"/>
        <v>0</v>
      </c>
      <c r="W39" s="86">
        <f>IF($C39="",0,IF(ISBLANK(#REF!)=FALSE,0,1))</f>
        <v>0</v>
      </c>
      <c r="X39" s="86">
        <f t="shared" si="0"/>
        <v>0</v>
      </c>
      <c r="Y39" s="86">
        <f>IF(OR(ISBLANK(L39), L39=0), 0, IF(OR(K39=Lists!$F$11, K39=Lists!$F$13), 0, 1))</f>
        <v>0</v>
      </c>
      <c r="Z39" s="86">
        <f>IF(OR($C39="", AND(NOT(K39=Lists!$F$11), NOT(K39=Lists!$F$13))),0,IF(ISBLANK(L39)=FALSE,0,1))</f>
        <v>0</v>
      </c>
      <c r="AA39" s="86">
        <f>IF(OR(ISBLANK(N39), N39=0), 0, IF(OR(M39=Lists!$F$11, M39=Lists!$F$13), 0, 1))</f>
        <v>0</v>
      </c>
      <c r="AB39" s="86">
        <f>IF(OR($C39="", AND(NOT(M39=Lists!$F$11), NOT(M39=Lists!$F$13))),0,IF(ISBLANK(N39)=FALSE,0,1))</f>
        <v>0</v>
      </c>
      <c r="AC39" s="86">
        <f>IF(OR(ISBLANK(P39), P39=0), 0, IF(OR(O39=Lists!$F$11, O39=Lists!$F$13), 0, 1))</f>
        <v>0</v>
      </c>
      <c r="AD39" s="86">
        <f>IF(OR($C39="", AND(NOT(O39=Lists!$F$11), NOT(O39=Lists!$F$13))),0,IF(ISBLANK(P39)=FALSE,0,1))</f>
        <v>0</v>
      </c>
      <c r="AE39" s="114"/>
      <c r="AF39" s="438">
        <f xml:space="preserve"> IF(OR( AND( K39 = Lists!$F$11, '3A'!L39 &lt; 0), AND( '3A'!M39 = Lists!$F$11, '3A'!N39 &lt; 0), AND( '3A'!O39 = Lists!$F$11, '3A'!P39 &lt; 0)), 1, 0)</f>
        <v>0</v>
      </c>
      <c r="AG39" s="438">
        <f xml:space="preserve"> IF( OR( AND( K39 = Lists!$F$13, '3A'!L39 &gt; 0), AND( M39 = Lists!$F$13, '3A'!N39 &gt; 0), AND( O39 = Lists!$F$13, '3A'!P39 &gt; 0 )), 1, 0)</f>
        <v>0</v>
      </c>
      <c r="AH39" s="439"/>
      <c r="AI39" s="571" t="str">
        <f>IF($P$1="Select company","",IF((HLOOKUP(((VLOOKUP($P$1,Lists!$B$4:$C$23,2,FALSE))&amp;'PC LIST'!$J$2),'PC list edited'!$A$2:$DT$65,(B39+1),FALSE))=0,"",HLOOKUP(((VLOOKUP($P$1,Lists!$B$4:$C$23,2,FALSE))&amp; 'PC LIST'!$J$2),'PC list edited'!$A$2:$DT$65,(B39+1),FALSE)))</f>
        <v>NFI</v>
      </c>
    </row>
    <row r="40" spans="1:35" s="70" customFormat="1" ht="30" customHeight="1">
      <c r="A40" s="69"/>
      <c r="B40" s="246">
        <f t="shared" si="3"/>
        <v>36</v>
      </c>
      <c r="C40" s="426" t="str">
        <f>IF($P$1="Select company","",IF((HLOOKUP((VLOOKUP($P$1,Lists!$B$4:$C$23,2,FALSE)),'PC list edited'!$A$2:$DV$65,(B40+1),FALSE))=0,"",HLOOKUP((VLOOKUP($P$1,Lists!$B$4:$C$23,2,FALSE)),'PC list edited'!$A$2:$DV$65,(B40+1),FALSE)))</f>
        <v>PR14TMSWSWW_SC5</v>
      </c>
      <c r="D40" s="425" t="str">
        <f>IF($P$1="Select company","",IF(C40 ="","",HLOOKUP(((VLOOKUP($P$1,Lists!$B$4:$C$23,2,FALSE))&amp;"PC"),'PC list edited'!$A$2:$DV$65,(B40+1),FALSE)))</f>
        <v>SC5: Satisfactory sludge disposal compliance</v>
      </c>
      <c r="E40" s="268" t="str">
        <f>IF($P$1="Select company","",IF(C40 ="","",HLOOKUP(((VLOOKUP($P$1,Lists!$B$4:$C$23,2,FALSE))&amp;"unit"),'PC list edited'!$A$2:$DV$65,(B40+1),FALSE)))</f>
        <v>%</v>
      </c>
      <c r="F40" s="268" t="str">
        <f>IF($P$1="Select company","",IF(C40 ="","",HLOOKUP(((VLOOKUP($P$1,Lists!$B$4:$C$23,2,FALSE))&amp;"UnitDes"),'PC list edited'!$A$2:$DV$65,(B40+1),FALSE)))</f>
        <v>% satisfactory sludge disposal compliance</v>
      </c>
      <c r="G40" s="268">
        <f>IF($P$1="Select company","",IF(C40="","",HLOOKUP(((VLOOKUP($P$1,Lists!$B$4:$C$23,2,FALSE))&amp;"DP"),'PC list edited'!$A$2:$DV$65,(B40+1),FALSE)))</f>
        <v>0</v>
      </c>
      <c r="H40" s="268">
        <f>IF($P$1="Select company","",IF(C40 = "","",HLOOKUP(((VLOOKUP($P$1,Lists!$B$4:$C$23,2,FALSE))&amp;"201617Actual"),'PC list edited'!$A$2:$DV$65,(B40+1),FALSE)))</f>
        <v>100</v>
      </c>
      <c r="I40" s="474">
        <v>100</v>
      </c>
      <c r="J40" s="569" t="s">
        <v>1979</v>
      </c>
      <c r="K40" s="430"/>
      <c r="L40" s="431"/>
      <c r="M40" s="430"/>
      <c r="N40" s="431"/>
      <c r="O40" s="430"/>
      <c r="P40" s="432"/>
      <c r="Q40" s="118"/>
      <c r="R40" s="436">
        <f t="shared" si="4"/>
        <v>0</v>
      </c>
      <c r="S40" s="25">
        <f t="shared" si="5"/>
        <v>0</v>
      </c>
      <c r="T40" s="110"/>
      <c r="U40" s="114"/>
      <c r="V40" s="86">
        <f t="shared" si="6"/>
        <v>0</v>
      </c>
      <c r="W40" s="86">
        <f>IF($C40="",0,IF(ISBLANK(#REF!)=FALSE,0,1))</f>
        <v>0</v>
      </c>
      <c r="X40" s="86">
        <f t="shared" si="0"/>
        <v>0</v>
      </c>
      <c r="Y40" s="86">
        <f>IF(OR(ISBLANK(L40), L40=0), 0, IF(OR(K40=Lists!$F$11, K40=Lists!$F$13), 0, 1))</f>
        <v>0</v>
      </c>
      <c r="Z40" s="86">
        <f>IF(OR($C40="", AND(NOT(K40=Lists!$F$11), NOT(K40=Lists!$F$13))),0,IF(ISBLANK(L40)=FALSE,0,1))</f>
        <v>0</v>
      </c>
      <c r="AA40" s="86">
        <f>IF(OR(ISBLANK(N40), N40=0), 0, IF(OR(M40=Lists!$F$11, M40=Lists!$F$13), 0, 1))</f>
        <v>0</v>
      </c>
      <c r="AB40" s="86">
        <f>IF(OR($C40="", AND(NOT(M40=Lists!$F$11), NOT(M40=Lists!$F$13))),0,IF(ISBLANK(N40)=FALSE,0,1))</f>
        <v>0</v>
      </c>
      <c r="AC40" s="86">
        <f>IF(OR(ISBLANK(P40), P40=0), 0, IF(OR(O40=Lists!$F$11, O40=Lists!$F$13), 0, 1))</f>
        <v>0</v>
      </c>
      <c r="AD40" s="86">
        <f>IF(OR($C40="", AND(NOT(O40=Lists!$F$11), NOT(O40=Lists!$F$13))),0,IF(ISBLANK(P40)=FALSE,0,1))</f>
        <v>0</v>
      </c>
      <c r="AE40" s="114"/>
      <c r="AF40" s="438">
        <f xml:space="preserve"> IF(OR( AND( K40 = Lists!$F$11, '3A'!L40 &lt; 0), AND( '3A'!M40 = Lists!$F$11, '3A'!N40 &lt; 0), AND( '3A'!O40 = Lists!$F$11, '3A'!P40 &lt; 0)), 1, 0)</f>
        <v>0</v>
      </c>
      <c r="AG40" s="438">
        <f xml:space="preserve"> IF( OR( AND( K40 = Lists!$F$13, '3A'!L40 &gt; 0), AND( M40 = Lists!$F$13, '3A'!N40 &gt; 0), AND( O40 = Lists!$F$13, '3A'!P40 &gt; 0 )), 1, 0)</f>
        <v>0</v>
      </c>
      <c r="AH40" s="439"/>
      <c r="AI40" s="571" t="str">
        <f>IF($P$1="Select company","",IF((HLOOKUP(((VLOOKUP($P$1,Lists!$B$4:$C$23,2,FALSE))&amp;'PC LIST'!$J$2),'PC list edited'!$A$2:$DT$65,(B40+1),FALSE))=0,"",HLOOKUP(((VLOOKUP($P$1,Lists!$B$4:$C$23,2,FALSE))&amp; 'PC LIST'!$J$2),'PC list edited'!$A$2:$DT$65,(B40+1),FALSE)))</f>
        <v>NFI</v>
      </c>
    </row>
    <row r="41" spans="1:35" s="70" customFormat="1" ht="30" customHeight="1">
      <c r="A41" s="69"/>
      <c r="B41" s="246">
        <f t="shared" si="3"/>
        <v>37</v>
      </c>
      <c r="C41" s="426" t="str">
        <f>IF($P$1="Select company","",IF((HLOOKUP((VLOOKUP($P$1,Lists!$B$4:$C$23,2,FALSE)),'PC list edited'!$A$2:$DV$65,(B41+1),FALSE))=0,"",HLOOKUP((VLOOKUP($P$1,Lists!$B$4:$C$23,2,FALSE)),'PC list edited'!$A$2:$DV$65,(B41+1),FALSE)))</f>
        <v>PR14TMSWSWW_SC6</v>
      </c>
      <c r="D41" s="425" t="str">
        <f>IF($P$1="Select company","",IF(C41 ="","",HLOOKUP(((VLOOKUP($P$1,Lists!$B$4:$C$23,2,FALSE))&amp;"PC"),'PC list edited'!$A$2:$DV$65,(B41+1),FALSE)))</f>
        <v>SC6: We will educate our existing and future customers</v>
      </c>
      <c r="E41" s="268" t="str">
        <f>IF($P$1="Select company","",IF(C41 ="","",HLOOKUP(((VLOOKUP($P$1,Lists!$B$4:$C$23,2,FALSE))&amp;"unit"),'PC list edited'!$A$2:$DV$65,(B41+1),FALSE)))</f>
        <v>nr</v>
      </c>
      <c r="F41" s="268" t="str">
        <f>IF($P$1="Select company","",IF(C41 ="","",HLOOKUP(((VLOOKUP($P$1,Lists!$B$4:$C$23,2,FALSE))&amp;"UnitDes"),'PC list edited'!$A$2:$DV$65,(B41+1),FALSE)))</f>
        <v>No. of children directly engaged</v>
      </c>
      <c r="G41" s="268">
        <f>IF($P$1="Select company","",IF(C41="","",HLOOKUP(((VLOOKUP($P$1,Lists!$B$4:$C$23,2,FALSE))&amp;"DP"),'PC list edited'!$A$2:$DV$65,(B41+1),FALSE)))</f>
        <v>0</v>
      </c>
      <c r="H41" s="268">
        <f>IF($P$1="Select company","",IF(C41 = "","",HLOOKUP(((VLOOKUP($P$1,Lists!$B$4:$C$23,2,FALSE))&amp;"201617Actual"),'PC list edited'!$A$2:$DV$65,(B41+1),FALSE)))</f>
        <v>20898</v>
      </c>
      <c r="I41" s="474">
        <v>21341</v>
      </c>
      <c r="J41" s="569" t="s">
        <v>1979</v>
      </c>
      <c r="K41" s="430"/>
      <c r="L41" s="431"/>
      <c r="M41" s="430"/>
      <c r="N41" s="431"/>
      <c r="O41" s="430"/>
      <c r="P41" s="432"/>
      <c r="Q41" s="118"/>
      <c r="R41" s="436">
        <f t="shared" si="4"/>
        <v>0</v>
      </c>
      <c r="S41" s="25">
        <f t="shared" si="5"/>
        <v>0</v>
      </c>
      <c r="T41" s="110"/>
      <c r="U41" s="114"/>
      <c r="V41" s="86">
        <f t="shared" si="6"/>
        <v>0</v>
      </c>
      <c r="W41" s="86">
        <f>IF($C41="",0,IF(ISBLANK(#REF!)=FALSE,0,1))</f>
        <v>0</v>
      </c>
      <c r="X41" s="86">
        <f t="shared" si="0"/>
        <v>0</v>
      </c>
      <c r="Y41" s="86">
        <f>IF(OR(ISBLANK(L41), L41=0), 0, IF(OR(K41=Lists!$F$11, K41=Lists!$F$13), 0, 1))</f>
        <v>0</v>
      </c>
      <c r="Z41" s="86">
        <f>IF(OR($C41="", AND(NOT(K41=Lists!$F$11), NOT(K41=Lists!$F$13))),0,IF(ISBLANK(L41)=FALSE,0,1))</f>
        <v>0</v>
      </c>
      <c r="AA41" s="86">
        <f>IF(OR(ISBLANK(N41), N41=0), 0, IF(OR(M41=Lists!$F$11, M41=Lists!$F$13), 0, 1))</f>
        <v>0</v>
      </c>
      <c r="AB41" s="86">
        <f>IF(OR($C41="", AND(NOT(M41=Lists!$F$11), NOT(M41=Lists!$F$13))),0,IF(ISBLANK(N41)=FALSE,0,1))</f>
        <v>0</v>
      </c>
      <c r="AC41" s="86">
        <f>IF(OR(ISBLANK(P41), P41=0), 0, IF(OR(O41=Lists!$F$11, O41=Lists!$F$13), 0, 1))</f>
        <v>0</v>
      </c>
      <c r="AD41" s="86">
        <f>IF(OR($C41="", AND(NOT(O41=Lists!$F$11), NOT(O41=Lists!$F$13))),0,IF(ISBLANK(P41)=FALSE,0,1))</f>
        <v>0</v>
      </c>
      <c r="AE41" s="114"/>
      <c r="AF41" s="438">
        <f xml:space="preserve"> IF(OR( AND( K41 = Lists!$F$11, '3A'!L41 &lt; 0), AND( '3A'!M41 = Lists!$F$11, '3A'!N41 &lt; 0), AND( '3A'!O41 = Lists!$F$11, '3A'!P41 &lt; 0)), 1, 0)</f>
        <v>0</v>
      </c>
      <c r="AG41" s="438">
        <f xml:space="preserve"> IF( OR( AND( K41 = Lists!$F$13, '3A'!L41 &gt; 0), AND( M41 = Lists!$F$13, '3A'!N41 &gt; 0), AND( O41 = Lists!$F$13, '3A'!P41 &gt; 0 )), 1, 0)</f>
        <v>0</v>
      </c>
      <c r="AH41" s="439"/>
      <c r="AI41" s="571" t="str">
        <f>IF($P$1="Select company","",IF((HLOOKUP(((VLOOKUP($P$1,Lists!$B$4:$C$23,2,FALSE))&amp;'PC LIST'!$J$2),'PC list edited'!$A$2:$DT$65,(B41+1),FALSE))=0,"",HLOOKUP(((VLOOKUP($P$1,Lists!$B$4:$C$23,2,FALSE))&amp; 'PC LIST'!$J$2),'PC list edited'!$A$2:$DT$65,(B41+1),FALSE)))</f>
        <v>NFI</v>
      </c>
    </row>
    <row r="42" spans="1:35" s="70" customFormat="1" ht="30" customHeight="1">
      <c r="A42" s="69"/>
      <c r="B42" s="246">
        <f t="shared" si="3"/>
        <v>38</v>
      </c>
      <c r="C42" s="426" t="str">
        <f>IF($P$1="Select company","",IF((HLOOKUP((VLOOKUP($P$1,Lists!$B$4:$C$23,2,FALSE)),'PC list edited'!$A$2:$DV$65,(B42+1),FALSE))=0,"",HLOOKUP((VLOOKUP($P$1,Lists!$B$4:$C$23,2,FALSE)),'PC list edited'!$A$2:$DV$65,(B42+1),FALSE)))</f>
        <v>PR14TMSWSWW_SC7</v>
      </c>
      <c r="D42" s="425" t="str">
        <f>IF($P$1="Select company","",IF(C42 ="","",HLOOKUP(((VLOOKUP($P$1,Lists!$B$4:$C$23,2,FALSE))&amp;"PC"),'PC list edited'!$A$2:$DV$65,(B42+1),FALSE)))</f>
        <v>SC7: Modelled reduction in properties affected by odour</v>
      </c>
      <c r="E42" s="268" t="str">
        <f>IF($P$1="Select company","",IF(C42 ="","",HLOOKUP(((VLOOKUP($P$1,Lists!$B$4:$C$23,2,FALSE))&amp;"unit"),'PC list edited'!$A$2:$DV$65,(B42+1),FALSE)))</f>
        <v>nr</v>
      </c>
      <c r="F42" s="268" t="str">
        <f>IF($P$1="Select company","",IF(C42 ="","",HLOOKUP(((VLOOKUP($P$1,Lists!$B$4:$C$23,2,FALSE))&amp;"UnitDes"),'PC list edited'!$A$2:$DV$65,(B42+1),FALSE)))</f>
        <v>No. of properties (modelled cumulative reduction)</v>
      </c>
      <c r="G42" s="268">
        <f>IF($P$1="Select company","",IF(C42="","",HLOOKUP(((VLOOKUP($P$1,Lists!$B$4:$C$23,2,FALSE))&amp;"DP"),'PC list edited'!$A$2:$DV$65,(B42+1),FALSE)))</f>
        <v>0</v>
      </c>
      <c r="H42" s="268">
        <f>IF($P$1="Select company","",IF(C42 = "","",HLOOKUP(((VLOOKUP($P$1,Lists!$B$4:$C$23,2,FALSE))&amp;"201617Actual"),'PC list edited'!$A$2:$DV$65,(B42+1),FALSE)))</f>
        <v>1305</v>
      </c>
      <c r="I42" s="474">
        <v>1980</v>
      </c>
      <c r="J42" s="569" t="s">
        <v>1979</v>
      </c>
      <c r="K42" s="430" t="s">
        <v>1981</v>
      </c>
      <c r="L42" s="431"/>
      <c r="M42" s="430" t="s">
        <v>1988</v>
      </c>
      <c r="N42" s="431">
        <v>4.5999999999999999E-2</v>
      </c>
      <c r="O42" s="430" t="s">
        <v>1988</v>
      </c>
      <c r="P42" s="432">
        <v>0.25779999999999997</v>
      </c>
      <c r="Q42" s="118"/>
      <c r="R42" s="436">
        <f t="shared" si="4"/>
        <v>0</v>
      </c>
      <c r="S42" s="25">
        <f t="shared" si="5"/>
        <v>0</v>
      </c>
      <c r="T42" s="65"/>
      <c r="U42" s="66"/>
      <c r="V42" s="86">
        <f t="shared" si="6"/>
        <v>0</v>
      </c>
      <c r="W42" s="86">
        <f>IF($C42="",0,IF(ISBLANK(#REF!)=FALSE,0,1))</f>
        <v>0</v>
      </c>
      <c r="X42" s="86">
        <f t="shared" si="0"/>
        <v>0</v>
      </c>
      <c r="Y42" s="86">
        <f>IF(OR(ISBLANK(L42), L42=0), 0, IF(OR(K42=Lists!$F$11, K42=Lists!$F$13), 0, 1))</f>
        <v>0</v>
      </c>
      <c r="Z42" s="86">
        <f>IF(OR($C42="", AND(NOT(K42=Lists!$F$11), NOT(K42=Lists!$F$13))),0,IF(ISBLANK(L42)=FALSE,0,1))</f>
        <v>0</v>
      </c>
      <c r="AA42" s="86">
        <f>IF(OR(ISBLANK(N42), N42=0), 0, IF(OR(M42=Lists!$F$11, M42=Lists!$F$13), 0, 1))</f>
        <v>0</v>
      </c>
      <c r="AB42" s="86">
        <f>IF(OR($C42="", AND(NOT(M42=Lists!$F$11), NOT(M42=Lists!$F$13))),0,IF(ISBLANK(N42)=FALSE,0,1))</f>
        <v>0</v>
      </c>
      <c r="AC42" s="86">
        <f>IF(OR(ISBLANK(P42), P42=0), 0, IF(OR(O42=Lists!$F$11, O42=Lists!$F$13), 0, 1))</f>
        <v>0</v>
      </c>
      <c r="AD42" s="86">
        <f>IF(OR($C42="", AND(NOT(O42=Lists!$F$11), NOT(O42=Lists!$F$13))),0,IF(ISBLANK(P42)=FALSE,0,1))</f>
        <v>0</v>
      </c>
      <c r="AE42" s="66"/>
      <c r="AF42" s="438">
        <f xml:space="preserve"> IF(OR( AND( K42 = Lists!$F$11, '3A'!L42 &lt; 0), AND( '3A'!M42 = Lists!$F$11, '3A'!N42 &lt; 0), AND( '3A'!O42 = Lists!$F$11, '3A'!P42 &lt; 0)), 1, 0)</f>
        <v>0</v>
      </c>
      <c r="AG42" s="438">
        <f xml:space="preserve"> IF( OR( AND( K42 = Lists!$F$13, '3A'!L42 &gt; 0), AND( M42 = Lists!$F$13, '3A'!N42 &gt; 0), AND( O42 = Lists!$F$13, '3A'!P42 &gt; 0 )), 1, 0)</f>
        <v>0</v>
      </c>
      <c r="AH42" s="439"/>
      <c r="AI42" s="571" t="str">
        <f>IF($P$1="Select company","",IF((HLOOKUP(((VLOOKUP($P$1,Lists!$B$4:$C$23,2,FALSE))&amp;'PC LIST'!$J$2),'PC list edited'!$A$2:$DT$65,(B42+1),FALSE))=0,"",HLOOKUP(((VLOOKUP($P$1,Lists!$B$4:$C$23,2,FALSE))&amp; 'PC LIST'!$J$2),'PC list edited'!$A$2:$DT$65,(B42+1),FALSE)))</f>
        <v>Out &amp; under</v>
      </c>
    </row>
    <row r="43" spans="1:35" s="70" customFormat="1" ht="30" customHeight="1">
      <c r="A43" s="69"/>
      <c r="B43" s="246">
        <f t="shared" si="3"/>
        <v>39</v>
      </c>
      <c r="C43" s="426" t="str">
        <f>IF($P$1="Select company","",IF((HLOOKUP((VLOOKUP($P$1,Lists!$B$4:$C$23,2,FALSE)),'PC list edited'!$A$2:$DV$65,(B43+1),FALSE))=0,"",HLOOKUP((VLOOKUP($P$1,Lists!$B$4:$C$23,2,FALSE)),'PC list edited'!$A$2:$DV$65,(B43+1),FALSE)))</f>
        <v>PR14TMSWSWW_SC8</v>
      </c>
      <c r="D43" s="425" t="str">
        <f>IF($P$1="Select company","",IF(C43 ="","",HLOOKUP(((VLOOKUP($P$1,Lists!$B$4:$C$23,2,FALSE))&amp;"PC"),'PC list edited'!$A$2:$DV$65,(B43+1),FALSE)))</f>
        <v>SC8: Deliver 100% of agreed measures to meet new environmental regulations</v>
      </c>
      <c r="E43" s="268" t="str">
        <f>IF($P$1="Select company","",IF(C43 ="","",HLOOKUP(((VLOOKUP($P$1,Lists!$B$4:$C$23,2,FALSE))&amp;"unit"),'PC list edited'!$A$2:$DV$65,(B43+1),FALSE)))</f>
        <v>%</v>
      </c>
      <c r="F43" s="268" t="str">
        <f>IF($P$1="Select company","",IF(C43 ="","",HLOOKUP(((VLOOKUP($P$1,Lists!$B$4:$C$23,2,FALSE))&amp;"UnitDes"),'PC list edited'!$A$2:$DV$65,(B43+1),FALSE)))</f>
        <v>% of agreed schemes completed</v>
      </c>
      <c r="G43" s="268">
        <f>IF($P$1="Select company","",IF(C43="","",HLOOKUP(((VLOOKUP($P$1,Lists!$B$4:$C$23,2,FALSE))&amp;"DP"),'PC list edited'!$A$2:$DV$65,(B43+1),FALSE)))</f>
        <v>0</v>
      </c>
      <c r="H43" s="268">
        <f>IF($P$1="Select company","",IF(C43 = "","",HLOOKUP(((VLOOKUP($P$1,Lists!$B$4:$C$23,2,FALSE))&amp;"201617Actual"),'PC list edited'!$A$2:$DV$65,(B43+1),FALSE)))</f>
        <v>0</v>
      </c>
      <c r="I43" s="474" t="s">
        <v>1987</v>
      </c>
      <c r="J43" s="569" t="s">
        <v>1981</v>
      </c>
      <c r="K43" s="430" t="s">
        <v>1981</v>
      </c>
      <c r="L43" s="431"/>
      <c r="M43" s="430" t="s">
        <v>1981</v>
      </c>
      <c r="N43" s="431"/>
      <c r="O43" s="430" t="s">
        <v>1981</v>
      </c>
      <c r="P43" s="432"/>
      <c r="Q43" s="118"/>
      <c r="R43" s="436">
        <f t="shared" si="4"/>
        <v>0</v>
      </c>
      <c r="S43" s="25">
        <f t="shared" si="5"/>
        <v>0</v>
      </c>
      <c r="T43" s="65"/>
      <c r="U43" s="66"/>
      <c r="V43" s="86">
        <f t="shared" si="6"/>
        <v>0</v>
      </c>
      <c r="W43" s="86">
        <f>IF($C43="",0,IF(ISBLANK(#REF!)=FALSE,0,1))</f>
        <v>0</v>
      </c>
      <c r="X43" s="86">
        <f t="shared" si="0"/>
        <v>0</v>
      </c>
      <c r="Y43" s="86">
        <f>IF(OR(ISBLANK(L43), L43=0), 0, IF(OR(K43=Lists!$F$11, K43=Lists!$F$13), 0, 1))</f>
        <v>0</v>
      </c>
      <c r="Z43" s="86">
        <f>IF(OR($C43="", AND(NOT(K43=Lists!$F$11), NOT(K43=Lists!$F$13))),0,IF(ISBLANK(L43)=FALSE,0,1))</f>
        <v>0</v>
      </c>
      <c r="AA43" s="86">
        <f>IF(OR(ISBLANK(N43), N43=0), 0, IF(OR(M43=Lists!$F$11, M43=Lists!$F$13), 0, 1))</f>
        <v>0</v>
      </c>
      <c r="AB43" s="86">
        <f>IF(OR($C43="", AND(NOT(M43=Lists!$F$11), NOT(M43=Lists!$F$13))),0,IF(ISBLANK(N43)=FALSE,0,1))</f>
        <v>0</v>
      </c>
      <c r="AC43" s="86">
        <f>IF(OR(ISBLANK(P43), P43=0), 0, IF(OR(O43=Lists!$F$11, O43=Lists!$F$13), 0, 1))</f>
        <v>0</v>
      </c>
      <c r="AD43" s="86">
        <f>IF(OR($C43="", AND(NOT(O43=Lists!$F$11), NOT(O43=Lists!$F$13))),0,IF(ISBLANK(P43)=FALSE,0,1))</f>
        <v>0</v>
      </c>
      <c r="AE43" s="66"/>
      <c r="AF43" s="438">
        <f xml:space="preserve"> IF(OR( AND( K43 = Lists!$F$11, '3A'!L43 &lt; 0), AND( '3A'!M43 = Lists!$F$11, '3A'!N43 &lt; 0), AND( '3A'!O43 = Lists!$F$11, '3A'!P43 &lt; 0)), 1, 0)</f>
        <v>0</v>
      </c>
      <c r="AG43" s="438">
        <f xml:space="preserve"> IF( OR( AND( K43 = Lists!$F$13, '3A'!L43 &gt; 0), AND( M43 = Lists!$F$13, '3A'!N43 &gt; 0), AND( O43 = Lists!$F$13, '3A'!P43 &gt; 0 )), 1, 0)</f>
        <v>0</v>
      </c>
      <c r="AH43" s="439"/>
      <c r="AI43" s="571" t="str">
        <f>IF($P$1="Select company","",IF((HLOOKUP(((VLOOKUP($P$1,Lists!$B$4:$C$23,2,FALSE))&amp;'PC LIST'!$J$2),'PC list edited'!$A$2:$DT$65,(B43+1),FALSE))=0,"",HLOOKUP(((VLOOKUP($P$1,Lists!$B$4:$C$23,2,FALSE))&amp; 'PC LIST'!$J$2),'PC list edited'!$A$2:$DT$65,(B43+1),FALSE)))</f>
        <v>Under</v>
      </c>
    </row>
    <row r="44" spans="1:35" s="70" customFormat="1" ht="30" customHeight="1">
      <c r="A44" s="69"/>
      <c r="B44" s="246">
        <f t="shared" si="3"/>
        <v>40</v>
      </c>
      <c r="C44" s="426" t="str">
        <f>IF($P$1="Select company","",IF((HLOOKUP((VLOOKUP($P$1,Lists!$B$4:$C$23,2,FALSE)),'PC list edited'!$A$2:$DV$65,(B44+1),FALSE))=0,"",HLOOKUP((VLOOKUP($P$1,Lists!$B$4:$C$23,2,FALSE)),'PC list edited'!$A$2:$DV$65,(B44+1),FALSE)))</f>
        <v>PR14TMSWSWW_SC9</v>
      </c>
      <c r="D44" s="425" t="str">
        <f>IF($P$1="Select company","",IF(C44 ="","",HLOOKUP(((VLOOKUP($P$1,Lists!$B$4:$C$23,2,FALSE))&amp;"PC"),'PC list edited'!$A$2:$DV$65,(B44+1),FALSE)))</f>
        <v>SC9: Reduce the amount of phosphorus entering rivers to help improve aquatic plant and wildlife</v>
      </c>
      <c r="E44" s="268" t="str">
        <f>IF($P$1="Select company","",IF(C44 ="","",HLOOKUP(((VLOOKUP($P$1,Lists!$B$4:$C$23,2,FALSE))&amp;"unit"),'PC list edited'!$A$2:$DV$65,(B44+1),FALSE)))</f>
        <v>nr</v>
      </c>
      <c r="F44" s="268" t="str">
        <f>IF($P$1="Select company","",IF(C44 ="","",HLOOKUP(((VLOOKUP($P$1,Lists!$B$4:$C$23,2,FALSE))&amp;"UnitDes"),'PC list edited'!$A$2:$DV$65,(B44+1),FALSE)))</f>
        <v>Kilograms of phosphorus removed per day</v>
      </c>
      <c r="G44" s="268">
        <f>IF($P$1="Select company","",IF(C44="","",HLOOKUP(((VLOOKUP($P$1,Lists!$B$4:$C$23,2,FALSE))&amp;"DP"),'PC list edited'!$A$2:$DV$65,(B44+1),FALSE)))</f>
        <v>1</v>
      </c>
      <c r="H44" s="268">
        <f>IF($P$1="Select company","",IF(C44 = "","",HLOOKUP(((VLOOKUP($P$1,Lists!$B$4:$C$23,2,FALSE))&amp;"201617Actual"),'PC list edited'!$A$2:$DV$65,(B44+1),FALSE)))</f>
        <v>0</v>
      </c>
      <c r="I44" s="474">
        <v>0</v>
      </c>
      <c r="J44" s="569" t="s">
        <v>1981</v>
      </c>
      <c r="K44" s="430" t="s">
        <v>1981</v>
      </c>
      <c r="L44" s="431"/>
      <c r="M44" s="430" t="s">
        <v>1981</v>
      </c>
      <c r="N44" s="431"/>
      <c r="O44" s="430" t="s">
        <v>1981</v>
      </c>
      <c r="P44" s="432"/>
      <c r="Q44" s="118"/>
      <c r="R44" s="436">
        <f t="shared" si="4"/>
        <v>0</v>
      </c>
      <c r="S44" s="25">
        <f t="shared" si="5"/>
        <v>0</v>
      </c>
      <c r="T44" s="65"/>
      <c r="U44" s="66"/>
      <c r="V44" s="86">
        <f t="shared" si="6"/>
        <v>0</v>
      </c>
      <c r="W44" s="86">
        <f>IF($C44="",0,IF(ISBLANK(#REF!)=FALSE,0,1))</f>
        <v>0</v>
      </c>
      <c r="X44" s="86">
        <f t="shared" si="0"/>
        <v>0</v>
      </c>
      <c r="Y44" s="86">
        <f>IF(OR(ISBLANK(L44), L44=0), 0, IF(OR(K44=Lists!$F$11, K44=Lists!$F$13), 0, 1))</f>
        <v>0</v>
      </c>
      <c r="Z44" s="86">
        <f>IF(OR($C44="", AND(NOT(K44=Lists!$F$11), NOT(K44=Lists!$F$13))),0,IF(ISBLANK(L44)=FALSE,0,1))</f>
        <v>0</v>
      </c>
      <c r="AA44" s="86">
        <f>IF(OR(ISBLANK(N44), N44=0), 0, IF(OR(M44=Lists!$F$11, M44=Lists!$F$13), 0, 1))</f>
        <v>0</v>
      </c>
      <c r="AB44" s="86">
        <f>IF(OR($C44="", AND(NOT(M44=Lists!$F$11), NOT(M44=Lists!$F$13))),0,IF(ISBLANK(N44)=FALSE,0,1))</f>
        <v>0</v>
      </c>
      <c r="AC44" s="86">
        <f>IF(OR(ISBLANK(P44), P44=0), 0, IF(OR(O44=Lists!$F$11, O44=Lists!$F$13), 0, 1))</f>
        <v>0</v>
      </c>
      <c r="AD44" s="86">
        <f>IF(OR($C44="", AND(NOT(O44=Lists!$F$11), NOT(O44=Lists!$F$13))),0,IF(ISBLANK(P44)=FALSE,0,1))</f>
        <v>0</v>
      </c>
      <c r="AE44" s="66"/>
      <c r="AF44" s="438">
        <f xml:space="preserve"> IF(OR( AND( K44 = Lists!$F$11, '3A'!L44 &lt; 0), AND( '3A'!M44 = Lists!$F$11, '3A'!N44 &lt; 0), AND( '3A'!O44 = Lists!$F$11, '3A'!P44 &lt; 0)), 1, 0)</f>
        <v>0</v>
      </c>
      <c r="AG44" s="438">
        <f xml:space="preserve"> IF( OR( AND( K44 = Lists!$F$13, '3A'!L44 &gt; 0), AND( M44 = Lists!$F$13, '3A'!N44 &gt; 0), AND( O44 = Lists!$F$13, '3A'!P44 &gt; 0 )), 1, 0)</f>
        <v>0</v>
      </c>
      <c r="AH44" s="439"/>
      <c r="AI44" s="571" t="str">
        <f>IF($P$1="Select company","",IF((HLOOKUP(((VLOOKUP($P$1,Lists!$B$4:$C$23,2,FALSE))&amp;'PC LIST'!$J$2),'PC list edited'!$A$2:$DT$65,(B44+1),FALSE))=0,"",HLOOKUP(((VLOOKUP($P$1,Lists!$B$4:$C$23,2,FALSE))&amp; 'PC LIST'!$J$2),'PC list edited'!$A$2:$DT$65,(B44+1),FALSE)))</f>
        <v>Out &amp; under</v>
      </c>
    </row>
    <row r="45" spans="1:35" s="70" customFormat="1" ht="30" customHeight="1">
      <c r="A45" s="69"/>
      <c r="B45" s="246">
        <f t="shared" si="3"/>
        <v>41</v>
      </c>
      <c r="C45" s="426" t="str">
        <f>IF($P$1="Select company","",IF((HLOOKUP((VLOOKUP($P$1,Lists!$B$4:$C$23,2,FALSE)),'PC list edited'!$A$2:$DV$65,(B45+1),FALSE))=0,"",HLOOKUP((VLOOKUP($P$1,Lists!$B$4:$C$23,2,FALSE)),'PC list edited'!$A$2:$DV$65,(B45+1),FALSE)))</f>
        <v>PR14TMSWSWW_SD1</v>
      </c>
      <c r="D45" s="425" t="str">
        <f>IF($P$1="Select company","",IF(C45 ="","",HLOOKUP(((VLOOKUP($P$1,Lists!$B$4:$C$23,2,FALSE))&amp;"PC"),'PC list edited'!$A$2:$DV$65,(B45+1),FALSE)))</f>
        <v>SD1: Energy imported less energy exported</v>
      </c>
      <c r="E45" s="268" t="str">
        <f>IF($P$1="Select company","",IF(C45 ="","",HLOOKUP(((VLOOKUP($P$1,Lists!$B$4:$C$23,2,FALSE))&amp;"unit"),'PC list edited'!$A$2:$DV$65,(B45+1),FALSE)))</f>
        <v>nr</v>
      </c>
      <c r="F45" s="268" t="str">
        <f>IF($P$1="Select company","",IF(C45 ="","",HLOOKUP(((VLOOKUP($P$1,Lists!$B$4:$C$23,2,FALSE))&amp;"UnitDes"),'PC list edited'!$A$2:$DV$65,(B45+1),FALSE)))</f>
        <v>GWh (gigawatt-hours)</v>
      </c>
      <c r="G45" s="268">
        <f>IF($P$1="Select company","",IF(C45="","",HLOOKUP(((VLOOKUP($P$1,Lists!$B$4:$C$23,2,FALSE))&amp;"DP"),'PC list edited'!$A$2:$DV$65,(B45+1),FALSE)))</f>
        <v>0</v>
      </c>
      <c r="H45" s="268">
        <f>IF($P$1="Select company","",IF(C45 = "","",HLOOKUP(((VLOOKUP($P$1,Lists!$B$4:$C$23,2,FALSE))&amp;"201617Actual"),'PC list edited'!$A$2:$DV$65,(B45+1),FALSE)))</f>
        <v>476.5</v>
      </c>
      <c r="I45" s="474">
        <v>431</v>
      </c>
      <c r="J45" s="569" t="s">
        <v>1980</v>
      </c>
      <c r="K45" s="430"/>
      <c r="L45" s="431"/>
      <c r="M45" s="430"/>
      <c r="N45" s="431"/>
      <c r="O45" s="430"/>
      <c r="P45" s="432"/>
      <c r="Q45" s="118"/>
      <c r="R45" s="436">
        <f t="shared" si="4"/>
        <v>0</v>
      </c>
      <c r="S45" s="25">
        <f t="shared" si="5"/>
        <v>0</v>
      </c>
      <c r="T45" s="65"/>
      <c r="U45" s="66"/>
      <c r="V45" s="86">
        <f t="shared" si="6"/>
        <v>0</v>
      </c>
      <c r="W45" s="86">
        <f>IF($C45="",0,IF(ISBLANK(#REF!)=FALSE,0,1))</f>
        <v>0</v>
      </c>
      <c r="X45" s="86">
        <f t="shared" si="0"/>
        <v>0</v>
      </c>
      <c r="Y45" s="86">
        <f>IF(OR(ISBLANK(L45), L45=0), 0, IF(OR(K45=Lists!$F$11, K45=Lists!$F$13), 0, 1))</f>
        <v>0</v>
      </c>
      <c r="Z45" s="86">
        <f>IF(OR($C45="", AND(NOT(K45=Lists!$F$11), NOT(K45=Lists!$F$13))),0,IF(ISBLANK(L45)=FALSE,0,1))</f>
        <v>0</v>
      </c>
      <c r="AA45" s="86">
        <f>IF(OR(ISBLANK(N45), N45=0), 0, IF(OR(M45=Lists!$F$11, M45=Lists!$F$13), 0, 1))</f>
        <v>0</v>
      </c>
      <c r="AB45" s="86">
        <f>IF(OR($C45="", AND(NOT(M45=Lists!$F$11), NOT(M45=Lists!$F$13))),0,IF(ISBLANK(N45)=FALSE,0,1))</f>
        <v>0</v>
      </c>
      <c r="AC45" s="86">
        <f>IF(OR(ISBLANK(P45), P45=0), 0, IF(OR(O45=Lists!$F$11, O45=Lists!$F$13), 0, 1))</f>
        <v>0</v>
      </c>
      <c r="AD45" s="86">
        <f>IF(OR($C45="", AND(NOT(O45=Lists!$F$11), NOT(O45=Lists!$F$13))),0,IF(ISBLANK(P45)=FALSE,0,1))</f>
        <v>0</v>
      </c>
      <c r="AE45" s="66"/>
      <c r="AF45" s="438">
        <f xml:space="preserve"> IF(OR( AND( K45 = Lists!$F$11, '3A'!L45 &lt; 0), AND( '3A'!M45 = Lists!$F$11, '3A'!N45 &lt; 0), AND( '3A'!O45 = Lists!$F$11, '3A'!P45 &lt; 0)), 1, 0)</f>
        <v>0</v>
      </c>
      <c r="AG45" s="438">
        <f xml:space="preserve"> IF( OR( AND( K45 = Lists!$F$13, '3A'!L45 &gt; 0), AND( M45 = Lists!$F$13, '3A'!N45 &gt; 0), AND( O45 = Lists!$F$13, '3A'!P45 &gt; 0 )), 1, 0)</f>
        <v>0</v>
      </c>
      <c r="AH45" s="439"/>
      <c r="AI45" s="571" t="str">
        <f>IF($P$1="Select company","",IF((HLOOKUP(((VLOOKUP($P$1,Lists!$B$4:$C$23,2,FALSE))&amp;'PC LIST'!$J$2),'PC list edited'!$A$2:$DT$65,(B45+1),FALSE))=0,"",HLOOKUP(((VLOOKUP($P$1,Lists!$B$4:$C$23,2,FALSE))&amp; 'PC LIST'!$J$2),'PC list edited'!$A$2:$DT$65,(B45+1),FALSE)))</f>
        <v>NFI</v>
      </c>
    </row>
    <row r="46" spans="1:35" s="70" customFormat="1" ht="30" customHeight="1">
      <c r="A46" s="69"/>
      <c r="B46" s="246">
        <f t="shared" si="3"/>
        <v>42</v>
      </c>
      <c r="C46" s="426" t="str">
        <f>IF($P$1="Select company","",IF((HLOOKUP((VLOOKUP($P$1,Lists!$B$4:$C$23,2,FALSE)),'PC list edited'!$A$2:$DV$65,(B46+1),FALSE))=0,"",HLOOKUP((VLOOKUP($P$1,Lists!$B$4:$C$23,2,FALSE)),'PC list edited'!$A$2:$DV$65,(B46+1),FALSE)))</f>
        <v>PR14TMSTTT_T1A</v>
      </c>
      <c r="D46" s="425" t="str">
        <f>IF($P$1="Select company","",IF(C46 ="","",HLOOKUP(((VLOOKUP($P$1,Lists!$B$4:$C$23,2,FALSE))&amp;"PC"),'PC list edited'!$A$2:$DV$65,(B46+1),FALSE)))</f>
        <v>T1A: Successful procurement of the Infrastructure Provider (IP)</v>
      </c>
      <c r="E46" s="268" t="str">
        <f>IF($P$1="Select company","",IF(C46 ="","",HLOOKUP(((VLOOKUP($P$1,Lists!$B$4:$C$23,2,FALSE))&amp;"unit"),'PC list edited'!$A$2:$DV$65,(B46+1),FALSE)))</f>
        <v>text</v>
      </c>
      <c r="F46" s="268" t="str">
        <f>IF($P$1="Select company","",IF(C46 ="","",HLOOKUP(((VLOOKUP($P$1,Lists!$B$4:$C$23,2,FALSE))&amp;"UnitDes"),'PC list edited'!$A$2:$DV$65,(B46+1),FALSE)))</f>
        <v>Infrastructure Provider (IP) procurement</v>
      </c>
      <c r="G46" s="268" t="str">
        <f>IF($P$1="Select company","",IF(C46="","",HLOOKUP(((VLOOKUP($P$1,Lists!$B$4:$C$23,2,FALSE))&amp;"DP"),'PC list edited'!$A$2:$DV$65,(B46+1),FALSE)))</f>
        <v>na</v>
      </c>
      <c r="H46" s="268" t="str">
        <f>IF($P$1="Select company","",IF(C46 = "","",HLOOKUP(((VLOOKUP($P$1,Lists!$B$4:$C$23,2,FALSE))&amp;"201617Actual"),'PC list edited'!$A$2:$DV$65,(B46+1),FALSE)))</f>
        <v>Delivered 2015-16</v>
      </c>
      <c r="I46" s="474" t="s">
        <v>1990</v>
      </c>
      <c r="J46" s="569" t="s">
        <v>1979</v>
      </c>
      <c r="K46" s="430"/>
      <c r="L46" s="431"/>
      <c r="M46" s="430"/>
      <c r="N46" s="431"/>
      <c r="O46" s="430"/>
      <c r="P46" s="432"/>
      <c r="Q46" s="118"/>
      <c r="R46" s="436">
        <f t="shared" si="4"/>
        <v>0</v>
      </c>
      <c r="S46" s="25">
        <f t="shared" si="5"/>
        <v>0</v>
      </c>
      <c r="T46" s="65"/>
      <c r="U46" s="66"/>
      <c r="V46" s="86">
        <f t="shared" si="6"/>
        <v>0</v>
      </c>
      <c r="W46" s="86">
        <f>IF($C46="",0,IF(ISBLANK(#REF!)=FALSE,0,1))</f>
        <v>0</v>
      </c>
      <c r="X46" s="86">
        <f t="shared" si="0"/>
        <v>0</v>
      </c>
      <c r="Y46" s="86">
        <f>IF(OR(ISBLANK(L46), L46=0), 0, IF(OR(K46=Lists!$F$11, K46=Lists!$F$13), 0, 1))</f>
        <v>0</v>
      </c>
      <c r="Z46" s="86">
        <f>IF(OR($C46="", AND(NOT(K46=Lists!$F$11), NOT(K46=Lists!$F$13))),0,IF(ISBLANK(L46)=FALSE,0,1))</f>
        <v>0</v>
      </c>
      <c r="AA46" s="86">
        <f>IF(OR(ISBLANK(N46), N46=0), 0, IF(OR(M46=Lists!$F$11, M46=Lists!$F$13), 0, 1))</f>
        <v>0</v>
      </c>
      <c r="AB46" s="86">
        <f>IF(OR($C46="", AND(NOT(M46=Lists!$F$11), NOT(M46=Lists!$F$13))),0,IF(ISBLANK(N46)=FALSE,0,1))</f>
        <v>0</v>
      </c>
      <c r="AC46" s="86">
        <f>IF(OR(ISBLANK(P46), P46=0), 0, IF(OR(O46=Lists!$F$11, O46=Lists!$F$13), 0, 1))</f>
        <v>0</v>
      </c>
      <c r="AD46" s="86">
        <f>IF(OR($C46="", AND(NOT(O46=Lists!$F$11), NOT(O46=Lists!$F$13))),0,IF(ISBLANK(P46)=FALSE,0,1))</f>
        <v>0</v>
      </c>
      <c r="AE46" s="66"/>
      <c r="AF46" s="438">
        <f xml:space="preserve"> IF(OR( AND( K46 = Lists!$F$11, '3A'!L46 &lt; 0), AND( '3A'!M46 = Lists!$F$11, '3A'!N46 &lt; 0), AND( '3A'!O46 = Lists!$F$11, '3A'!P46 &lt; 0)), 1, 0)</f>
        <v>0</v>
      </c>
      <c r="AG46" s="438">
        <f xml:space="preserve"> IF( OR( AND( K46 = Lists!$F$13, '3A'!L46 &gt; 0), AND( M46 = Lists!$F$13, '3A'!N46 &gt; 0), AND( O46 = Lists!$F$13, '3A'!P46 &gt; 0 )), 1, 0)</f>
        <v>0</v>
      </c>
      <c r="AH46" s="439"/>
      <c r="AI46" s="571" t="str">
        <f>IF($P$1="Select company","",IF((HLOOKUP(((VLOOKUP($P$1,Lists!$B$4:$C$23,2,FALSE))&amp;'PC LIST'!$J$2),'PC list edited'!$A$2:$DT$65,(B46+1),FALSE))=0,"",HLOOKUP(((VLOOKUP($P$1,Lists!$B$4:$C$23,2,FALSE))&amp; 'PC LIST'!$J$2),'PC list edited'!$A$2:$DT$65,(B46+1),FALSE)))</f>
        <v>NFI</v>
      </c>
    </row>
    <row r="47" spans="1:35" s="70" customFormat="1" ht="30" customHeight="1">
      <c r="A47" s="69"/>
      <c r="B47" s="246">
        <f t="shared" si="3"/>
        <v>43</v>
      </c>
      <c r="C47" s="426" t="str">
        <f>IF($P$1="Select company","",IF((HLOOKUP((VLOOKUP($P$1,Lists!$B$4:$C$23,2,FALSE)),'PC list edited'!$A$2:$DV$65,(B47+1),FALSE))=0,"",HLOOKUP((VLOOKUP($P$1,Lists!$B$4:$C$23,2,FALSE)),'PC list edited'!$A$2:$DV$65,(B47+1),FALSE)))</f>
        <v>PR14TMSTTT_T1B</v>
      </c>
      <c r="D47" s="425" t="str">
        <f>IF($P$1="Select company","",IF(C47 ="","",HLOOKUP(((VLOOKUP($P$1,Lists!$B$4:$C$23,2,FALSE))&amp;"PC"),'PC list edited'!$A$2:$DV$65,(B47+1),FALSE)))</f>
        <v>T1B: Thames Water will fulfil its land related commitments in line with the TTT programme requirements</v>
      </c>
      <c r="E47" s="268" t="str">
        <f>IF($P$1="Select company","",IF(C47 ="","",HLOOKUP(((VLOOKUP($P$1,Lists!$B$4:$C$23,2,FALSE))&amp;"unit"),'PC list edited'!$A$2:$DV$65,(B47+1),FALSE)))</f>
        <v>text</v>
      </c>
      <c r="F47" s="268" t="str">
        <f>IF($P$1="Select company","",IF(C47 ="","",HLOOKUP(((VLOOKUP($P$1,Lists!$B$4:$C$23,2,FALSE))&amp;"UnitDes"),'PC list edited'!$A$2:$DV$65,(B47+1),FALSE)))</f>
        <v>Land related commitments</v>
      </c>
      <c r="G47" s="268" t="str">
        <f>IF($P$1="Select company","",IF(C47="","",HLOOKUP(((VLOOKUP($P$1,Lists!$B$4:$C$23,2,FALSE))&amp;"DP"),'PC list edited'!$A$2:$DV$65,(B47+1),FALSE)))</f>
        <v>na</v>
      </c>
      <c r="H47" s="268" t="str">
        <f>IF($P$1="Select company","",IF(C47 = "","",HLOOKUP(((VLOOKUP($P$1,Lists!$B$4:$C$23,2,FALSE))&amp;"201617Actual"),'PC list edited'!$A$2:$DV$65,(B47+1),FALSE)))</f>
        <v>Additional 13 sites access granted in year.  In line with Tideway requirements</v>
      </c>
      <c r="I47" s="474">
        <v>13</v>
      </c>
      <c r="J47" s="569" t="s">
        <v>1979</v>
      </c>
      <c r="K47" s="430"/>
      <c r="L47" s="431"/>
      <c r="M47" s="430"/>
      <c r="N47" s="431"/>
      <c r="O47" s="430"/>
      <c r="P47" s="432"/>
      <c r="Q47" s="118"/>
      <c r="R47" s="436">
        <f t="shared" si="4"/>
        <v>0</v>
      </c>
      <c r="S47" s="25">
        <f t="shared" si="5"/>
        <v>0</v>
      </c>
      <c r="T47" s="65"/>
      <c r="U47" s="66"/>
      <c r="V47" s="86">
        <f t="shared" si="6"/>
        <v>0</v>
      </c>
      <c r="W47" s="86">
        <f>IF($C47="",0,IF(ISBLANK(#REF!)=FALSE,0,1))</f>
        <v>0</v>
      </c>
      <c r="X47" s="86">
        <f t="shared" si="0"/>
        <v>0</v>
      </c>
      <c r="Y47" s="86">
        <f>IF(OR(ISBLANK(L47), L47=0), 0, IF(OR(K47=Lists!$F$11, K47=Lists!$F$13), 0, 1))</f>
        <v>0</v>
      </c>
      <c r="Z47" s="86">
        <f>IF(OR($C47="", AND(NOT(K47=Lists!$F$11), NOT(K47=Lists!$F$13))),0,IF(ISBLANK(L47)=FALSE,0,1))</f>
        <v>0</v>
      </c>
      <c r="AA47" s="86">
        <f>IF(OR(ISBLANK(N47), N47=0), 0, IF(OR(M47=Lists!$F$11, M47=Lists!$F$13), 0, 1))</f>
        <v>0</v>
      </c>
      <c r="AB47" s="86">
        <f>IF(OR($C47="", AND(NOT(M47=Lists!$F$11), NOT(M47=Lists!$F$13))),0,IF(ISBLANK(N47)=FALSE,0,1))</f>
        <v>0</v>
      </c>
      <c r="AC47" s="86">
        <f>IF(OR(ISBLANK(P47), P47=0), 0, IF(OR(O47=Lists!$F$11, O47=Lists!$F$13), 0, 1))</f>
        <v>0</v>
      </c>
      <c r="AD47" s="86">
        <f>IF(OR($C47="", AND(NOT(O47=Lists!$F$11), NOT(O47=Lists!$F$13))),0,IF(ISBLANK(P47)=FALSE,0,1))</f>
        <v>0</v>
      </c>
      <c r="AE47" s="66"/>
      <c r="AF47" s="438">
        <f xml:space="preserve"> IF(OR( AND( K47 = Lists!$F$11, '3A'!L47 &lt; 0), AND( '3A'!M47 = Lists!$F$11, '3A'!N47 &lt; 0), AND( '3A'!O47 = Lists!$F$11, '3A'!P47 &lt; 0)), 1, 0)</f>
        <v>0</v>
      </c>
      <c r="AG47" s="438">
        <f xml:space="preserve"> IF( OR( AND( K47 = Lists!$F$13, '3A'!L47 &gt; 0), AND( M47 = Lists!$F$13, '3A'!N47 &gt; 0), AND( O47 = Lists!$F$13, '3A'!P47 &gt; 0 )), 1, 0)</f>
        <v>0</v>
      </c>
      <c r="AH47" s="439"/>
      <c r="AI47" s="571" t="str">
        <f>IF($P$1="Select company","",IF((HLOOKUP(((VLOOKUP($P$1,Lists!$B$4:$C$23,2,FALSE))&amp;'PC LIST'!$J$2),'PC list edited'!$A$2:$DT$65,(B47+1),FALSE))=0,"",HLOOKUP(((VLOOKUP($P$1,Lists!$B$4:$C$23,2,FALSE))&amp; 'PC LIST'!$J$2),'PC list edited'!$A$2:$DT$65,(B47+1),FALSE)))</f>
        <v>NFI</v>
      </c>
    </row>
    <row r="48" spans="1:35" s="70" customFormat="1" ht="30" customHeight="1">
      <c r="A48" s="69"/>
      <c r="B48" s="246">
        <f t="shared" si="3"/>
        <v>44</v>
      </c>
      <c r="C48" s="426" t="str">
        <f>IF($P$1="Select company","",IF((HLOOKUP((VLOOKUP($P$1,Lists!$B$4:$C$23,2,FALSE)),'PC list edited'!$A$2:$DV$65,(B48+1),FALSE))=0,"",HLOOKUP((VLOOKUP($P$1,Lists!$B$4:$C$23,2,FALSE)),'PC list edited'!$A$2:$DV$65,(B48+1),FALSE)))</f>
        <v>PR14TMSTTT_T1C</v>
      </c>
      <c r="D48" s="425" t="str">
        <f>IF($P$1="Select company","",IF(C48 ="","",HLOOKUP(((VLOOKUP($P$1,Lists!$B$4:$C$23,2,FALSE))&amp;"PC"),'PC list edited'!$A$2:$DV$65,(B48+1),FALSE)))</f>
        <v>T1C: Completion of category 2 and 3 construction works and timely availability of sites to the IP</v>
      </c>
      <c r="E48" s="268" t="str">
        <f>IF($P$1="Select company","",IF(C48 ="","",HLOOKUP(((VLOOKUP($P$1,Lists!$B$4:$C$23,2,FALSE))&amp;"unit"),'PC list edited'!$A$2:$DV$65,(B48+1),FALSE)))</f>
        <v>nr</v>
      </c>
      <c r="F48" s="268" t="str">
        <f>IF($P$1="Select company","",IF(C48 ="","",HLOOKUP(((VLOOKUP($P$1,Lists!$B$4:$C$23,2,FALSE))&amp;"UnitDes"),'PC list edited'!$A$2:$DV$65,(B48+1),FALSE)))</f>
        <v>No. of sites (cumulative)</v>
      </c>
      <c r="G48" s="268">
        <f>IF($P$1="Select company","",IF(C48="","",HLOOKUP(((VLOOKUP($P$1,Lists!$B$4:$C$23,2,FALSE))&amp;"DP"),'PC list edited'!$A$2:$DV$65,(B48+1),FALSE)))</f>
        <v>0</v>
      </c>
      <c r="H48" s="268">
        <f>IF($P$1="Select company","",IF(C48 = "","",HLOOKUP(((VLOOKUP($P$1,Lists!$B$4:$C$23,2,FALSE))&amp;"201617Actual"),'PC list edited'!$A$2:$DV$65,(B48+1),FALSE)))</f>
        <v>19</v>
      </c>
      <c r="I48" s="474">
        <v>21</v>
      </c>
      <c r="J48" s="569" t="s">
        <v>1979</v>
      </c>
      <c r="K48" s="430" t="s">
        <v>1981</v>
      </c>
      <c r="L48" s="431"/>
      <c r="M48" s="430" t="s">
        <v>1981</v>
      </c>
      <c r="N48" s="431"/>
      <c r="O48" s="430" t="s">
        <v>1981</v>
      </c>
      <c r="P48" s="432"/>
      <c r="Q48" s="118"/>
      <c r="R48" s="436">
        <f t="shared" si="4"/>
        <v>0</v>
      </c>
      <c r="S48" s="25">
        <f t="shared" si="5"/>
        <v>0</v>
      </c>
      <c r="T48" s="65"/>
      <c r="U48" s="66"/>
      <c r="V48" s="86">
        <f t="shared" si="6"/>
        <v>0</v>
      </c>
      <c r="W48" s="86">
        <f>IF($C48="",0,IF(ISBLANK(#REF!)=FALSE,0,1))</f>
        <v>0</v>
      </c>
      <c r="X48" s="86">
        <f t="shared" si="0"/>
        <v>0</v>
      </c>
      <c r="Y48" s="86">
        <f>IF(OR(ISBLANK(L48), L48=0), 0, IF(OR(K48=Lists!$F$11, K48=Lists!$F$13), 0, 1))</f>
        <v>0</v>
      </c>
      <c r="Z48" s="86">
        <f>IF(OR($C48="", AND(NOT(K48=Lists!$F$11), NOT(K48=Lists!$F$13))),0,IF(ISBLANK(L48)=FALSE,0,1))</f>
        <v>0</v>
      </c>
      <c r="AA48" s="86">
        <f>IF(OR(ISBLANK(N48), N48=0), 0, IF(OR(M48=Lists!$F$11, M48=Lists!$F$13), 0, 1))</f>
        <v>0</v>
      </c>
      <c r="AB48" s="86">
        <f>IF(OR($C48="", AND(NOT(M48=Lists!$F$11), NOT(M48=Lists!$F$13))),0,IF(ISBLANK(N48)=FALSE,0,1))</f>
        <v>0</v>
      </c>
      <c r="AC48" s="86">
        <f>IF(OR(ISBLANK(P48), P48=0), 0, IF(OR(O48=Lists!$F$11, O48=Lists!$F$13), 0, 1))</f>
        <v>0</v>
      </c>
      <c r="AD48" s="86">
        <f>IF(OR($C48="", AND(NOT(O48=Lists!$F$11), NOT(O48=Lists!$F$13))),0,IF(ISBLANK(P48)=FALSE,0,1))</f>
        <v>0</v>
      </c>
      <c r="AE48" s="66"/>
      <c r="AF48" s="438">
        <f xml:space="preserve"> IF(OR( AND( K48 = Lists!$F$11, '3A'!L48 &lt; 0), AND( '3A'!M48 = Lists!$F$11, '3A'!N48 &lt; 0), AND( '3A'!O48 = Lists!$F$11, '3A'!P48 &lt; 0)), 1, 0)</f>
        <v>0</v>
      </c>
      <c r="AG48" s="438">
        <f xml:space="preserve"> IF( OR( AND( K48 = Lists!$F$13, '3A'!L48 &gt; 0), AND( M48 = Lists!$F$13, '3A'!N48 &gt; 0), AND( O48 = Lists!$F$13, '3A'!P48 &gt; 0 )), 1, 0)</f>
        <v>0</v>
      </c>
      <c r="AH48" s="439"/>
      <c r="AI48" s="571" t="str">
        <f>IF($P$1="Select company","",IF((HLOOKUP(((VLOOKUP($P$1,Lists!$B$4:$C$23,2,FALSE))&amp;'PC LIST'!$J$2),'PC list edited'!$A$2:$DT$65,(B48+1),FALSE))=0,"",HLOOKUP(((VLOOKUP($P$1,Lists!$B$4:$C$23,2,FALSE))&amp; 'PC LIST'!$J$2),'PC list edited'!$A$2:$DT$65,(B48+1),FALSE)))</f>
        <v>Under</v>
      </c>
    </row>
    <row r="49" spans="1:35" s="70" customFormat="1" ht="30" customHeight="1">
      <c r="A49" s="69"/>
      <c r="B49" s="246">
        <f t="shared" si="3"/>
        <v>45</v>
      </c>
      <c r="C49" s="426" t="str">
        <f>IF($P$1="Select company","",IF((HLOOKUP((VLOOKUP($P$1,Lists!$B$4:$C$23,2,FALSE)),'PC list edited'!$A$2:$DV$65,(B49+1),FALSE))=0,"",HLOOKUP((VLOOKUP($P$1,Lists!$B$4:$C$23,2,FALSE)),'PC list edited'!$A$2:$DV$65,(B49+1),FALSE)))</f>
        <v>PR14TMSTTT_T2</v>
      </c>
      <c r="D49" s="425" t="str">
        <f>IF($P$1="Select company","",IF(C49 ="","",HLOOKUP(((VLOOKUP($P$1,Lists!$B$4:$C$23,2,FALSE))&amp;"PC"),'PC list edited'!$A$2:$DV$65,(B49+1),FALSE)))</f>
        <v>T2: Thames Water will engage effectively with the IP, and other stakeholders, both in terms of integration and assurance</v>
      </c>
      <c r="E49" s="268" t="str">
        <f>IF($P$1="Select company","",IF(C49 ="","",HLOOKUP(((VLOOKUP($P$1,Lists!$B$4:$C$23,2,FALSE))&amp;"unit"),'PC list edited'!$A$2:$DV$65,(B49+1),FALSE)))</f>
        <v>text</v>
      </c>
      <c r="F49" s="268" t="str">
        <f>IF($P$1="Select company","",IF(C49 ="","",HLOOKUP(((VLOOKUP($P$1,Lists!$B$4:$C$23,2,FALSE))&amp;"UnitDes"),'PC list edited'!$A$2:$DV$65,(B49+1),FALSE)))</f>
        <v>Effective engagement with IP and stakeholders</v>
      </c>
      <c r="G49" s="268" t="str">
        <f>IF($P$1="Select company","",IF(C49="","",HLOOKUP(((VLOOKUP($P$1,Lists!$B$4:$C$23,2,FALSE))&amp;"DP"),'PC list edited'!$A$2:$DV$65,(B49+1),FALSE)))</f>
        <v>na</v>
      </c>
      <c r="H49" s="268" t="str">
        <f>IF($P$1="Select company","",IF(C49 = "","",HLOOKUP(((VLOOKUP($P$1,Lists!$B$4:$C$23,2,FALSE))&amp;"201617Actual"),'PC list edited'!$A$2:$DV$65,(B49+1),FALSE)))</f>
        <v>Engagement effective rating 4.9 / 6.0</v>
      </c>
      <c r="I49" s="474" t="s">
        <v>1979</v>
      </c>
      <c r="J49" s="569" t="s">
        <v>1979</v>
      </c>
      <c r="K49" s="430"/>
      <c r="L49" s="431"/>
      <c r="M49" s="430"/>
      <c r="N49" s="431"/>
      <c r="O49" s="430"/>
      <c r="P49" s="432"/>
      <c r="Q49" s="118"/>
      <c r="R49" s="436">
        <f t="shared" si="4"/>
        <v>0</v>
      </c>
      <c r="S49" s="25">
        <f t="shared" si="5"/>
        <v>0</v>
      </c>
      <c r="T49" s="65"/>
      <c r="U49" s="66"/>
      <c r="V49" s="86">
        <f t="shared" si="6"/>
        <v>0</v>
      </c>
      <c r="W49" s="86">
        <f>IF($C49="",0,IF(ISBLANK(#REF!)=FALSE,0,1))</f>
        <v>0</v>
      </c>
      <c r="X49" s="86">
        <f t="shared" si="0"/>
        <v>0</v>
      </c>
      <c r="Y49" s="86">
        <f>IF(OR(ISBLANK(L49), L49=0), 0, IF(OR(K49=Lists!$F$11, K49=Lists!$F$13), 0, 1))</f>
        <v>0</v>
      </c>
      <c r="Z49" s="86">
        <f>IF(OR($C49="", AND(NOT(K49=Lists!$F$11), NOT(K49=Lists!$F$13))),0,IF(ISBLANK(L49)=FALSE,0,1))</f>
        <v>0</v>
      </c>
      <c r="AA49" s="86">
        <f>IF(OR(ISBLANK(N49), N49=0), 0, IF(OR(M49=Lists!$F$11, M49=Lists!$F$13), 0, 1))</f>
        <v>0</v>
      </c>
      <c r="AB49" s="86">
        <f>IF(OR($C49="", AND(NOT(M49=Lists!$F$11), NOT(M49=Lists!$F$13))),0,IF(ISBLANK(N49)=FALSE,0,1))</f>
        <v>0</v>
      </c>
      <c r="AC49" s="86">
        <f>IF(OR(ISBLANK(P49), P49=0), 0, IF(OR(O49=Lists!$F$11, O49=Lists!$F$13), 0, 1))</f>
        <v>0</v>
      </c>
      <c r="AD49" s="86">
        <f>IF(OR($C49="", AND(NOT(O49=Lists!$F$11), NOT(O49=Lists!$F$13))),0,IF(ISBLANK(P49)=FALSE,0,1))</f>
        <v>0</v>
      </c>
      <c r="AE49" s="66"/>
      <c r="AF49" s="438">
        <f xml:space="preserve"> IF(OR( AND( K49 = Lists!$F$11, '3A'!L49 &lt; 0), AND( '3A'!M49 = Lists!$F$11, '3A'!N49 &lt; 0), AND( '3A'!O49 = Lists!$F$11, '3A'!P49 &lt; 0)), 1, 0)</f>
        <v>0</v>
      </c>
      <c r="AG49" s="438">
        <f xml:space="preserve"> IF( OR( AND( K49 = Lists!$F$13, '3A'!L49 &gt; 0), AND( M49 = Lists!$F$13, '3A'!N49 &gt; 0), AND( O49 = Lists!$F$13, '3A'!P49 &gt; 0 )), 1, 0)</f>
        <v>0</v>
      </c>
      <c r="AH49" s="439"/>
      <c r="AI49" s="571" t="str">
        <f>IF($P$1="Select company","",IF((HLOOKUP(((VLOOKUP($P$1,Lists!$B$4:$C$23,2,FALSE))&amp;'PC LIST'!$J$2),'PC list edited'!$A$2:$DT$65,(B49+1),FALSE))=0,"",HLOOKUP(((VLOOKUP($P$1,Lists!$B$4:$C$23,2,FALSE))&amp; 'PC LIST'!$J$2),'PC list edited'!$A$2:$DT$65,(B49+1),FALSE)))</f>
        <v>NFI</v>
      </c>
    </row>
    <row r="50" spans="1:35" s="70" customFormat="1" ht="30" customHeight="1">
      <c r="A50" s="69"/>
      <c r="B50" s="246">
        <f t="shared" si="3"/>
        <v>46</v>
      </c>
      <c r="C50" s="426" t="str">
        <f>IF($P$1="Select company","",IF((HLOOKUP((VLOOKUP($P$1,Lists!$B$4:$C$23,2,FALSE)),'PC list edited'!$A$2:$DV$65,(B50+1),FALSE))=0,"",HLOOKUP((VLOOKUP($P$1,Lists!$B$4:$C$23,2,FALSE)),'PC list edited'!$A$2:$DV$65,(B50+1),FALSE)))</f>
        <v>PR14TMSTTT_T3</v>
      </c>
      <c r="D50" s="425" t="str">
        <f>IF($P$1="Select company","",IF(C50 ="","",HLOOKUP(((VLOOKUP($P$1,Lists!$B$4:$C$23,2,FALSE))&amp;"PC"),'PC list edited'!$A$2:$DV$65,(B50+1),FALSE)))</f>
        <v>T3: Thames Water will engage with its customers to build understanding of the TTT project. Thames Water will liaise with the IP on its surveys of local communities impacted by construction</v>
      </c>
      <c r="E50" s="268" t="str">
        <f>IF($P$1="Select company","",IF(C50 ="","",HLOOKUP(((VLOOKUP($P$1,Lists!$B$4:$C$23,2,FALSE))&amp;"unit"),'PC list edited'!$A$2:$DV$65,(B50+1),FALSE)))</f>
        <v>text</v>
      </c>
      <c r="F50" s="268" t="str">
        <f>IF($P$1="Select company","",IF(C50 ="","",HLOOKUP(((VLOOKUP($P$1,Lists!$B$4:$C$23,2,FALSE))&amp;"UnitDes"),'PC list edited'!$A$2:$DV$65,(B50+1),FALSE)))</f>
        <v>Engagement to build TTT understanding</v>
      </c>
      <c r="G50" s="268" t="str">
        <f>IF($P$1="Select company","",IF(C50="","",HLOOKUP(((VLOOKUP($P$1,Lists!$B$4:$C$23,2,FALSE))&amp;"DP"),'PC list edited'!$A$2:$DV$65,(B50+1),FALSE)))</f>
        <v>na</v>
      </c>
      <c r="H50" s="268" t="str">
        <f>IF($P$1="Select company","",IF(C50 = "","",HLOOKUP(((VLOOKUP($P$1,Lists!$B$4:$C$23,2,FALSE))&amp;"201617Actual"),'PC list edited'!$A$2:$DV$65,(B50+1),FALSE)))</f>
        <v>Household customers: % aware of TTT = 36; % understand project = 31.
Non-household customers: % aware of TTT = 36; % understand project = 27.</v>
      </c>
      <c r="I50" s="474" t="s">
        <v>1993</v>
      </c>
      <c r="J50" s="569" t="s">
        <v>1980</v>
      </c>
      <c r="K50" s="430"/>
      <c r="L50" s="431"/>
      <c r="M50" s="430"/>
      <c r="N50" s="431"/>
      <c r="O50" s="430"/>
      <c r="P50" s="432"/>
      <c r="Q50" s="118"/>
      <c r="R50" s="436">
        <f t="shared" si="4"/>
        <v>0</v>
      </c>
      <c r="S50" s="25">
        <f t="shared" si="5"/>
        <v>0</v>
      </c>
      <c r="T50" s="65"/>
      <c r="U50" s="66"/>
      <c r="V50" s="86">
        <f t="shared" si="6"/>
        <v>0</v>
      </c>
      <c r="W50" s="86">
        <f>IF($C50="",0,IF(ISBLANK(#REF!)=FALSE,0,1))</f>
        <v>0</v>
      </c>
      <c r="X50" s="86">
        <f t="shared" ref="X50:X59" si="7">IF($C50="",0,IF(ISBLANK(J50)=FALSE,0,1))</f>
        <v>0</v>
      </c>
      <c r="Y50" s="86">
        <f>IF(OR(ISBLANK(L50), L50=0), 0, IF(OR(K50=Lists!$F$11, K50=Lists!$F$13), 0, 1))</f>
        <v>0</v>
      </c>
      <c r="Z50" s="86">
        <f>IF(OR($C50="", AND(NOT(K50=Lists!$F$11), NOT(K50=Lists!$F$13))),0,IF(ISBLANK(L50)=FALSE,0,1))</f>
        <v>0</v>
      </c>
      <c r="AA50" s="86">
        <f>IF(OR(ISBLANK(N50), N50=0), 0, IF(OR(M50=Lists!$F$11, M50=Lists!$F$13), 0, 1))</f>
        <v>0</v>
      </c>
      <c r="AB50" s="86">
        <f>IF(OR($C50="", AND(NOT(M50=Lists!$F$11), NOT(M50=Lists!$F$13))),0,IF(ISBLANK(N50)=FALSE,0,1))</f>
        <v>0</v>
      </c>
      <c r="AC50" s="86">
        <f>IF(OR(ISBLANK(P50), P50=0), 0, IF(OR(O50=Lists!$F$11, O50=Lists!$F$13), 0, 1))</f>
        <v>0</v>
      </c>
      <c r="AD50" s="86">
        <f>IF(OR($C50="", AND(NOT(O50=Lists!$F$11), NOT(O50=Lists!$F$13))),0,IF(ISBLANK(P50)=FALSE,0,1))</f>
        <v>0</v>
      </c>
      <c r="AE50" s="66"/>
      <c r="AF50" s="438">
        <f xml:space="preserve"> IF(OR( AND( K50 = Lists!$F$11, '3A'!L50 &lt; 0), AND( '3A'!M50 = Lists!$F$11, '3A'!N50 &lt; 0), AND( '3A'!O50 = Lists!$F$11, '3A'!P50 &lt; 0)), 1, 0)</f>
        <v>0</v>
      </c>
      <c r="AG50" s="438">
        <f xml:space="preserve"> IF( OR( AND( K50 = Lists!$F$13, '3A'!L50 &gt; 0), AND( M50 = Lists!$F$13, '3A'!N50 &gt; 0), AND( O50 = Lists!$F$13, '3A'!P50 &gt; 0 )), 1, 0)</f>
        <v>0</v>
      </c>
      <c r="AH50" s="439"/>
      <c r="AI50" s="571" t="str">
        <f>IF($P$1="Select company","",IF((HLOOKUP(((VLOOKUP($P$1,Lists!$B$4:$C$23,2,FALSE))&amp;'PC LIST'!$J$2),'PC list edited'!$A$2:$DT$65,(B50+1),FALSE))=0,"",HLOOKUP(((VLOOKUP($P$1,Lists!$B$4:$C$23,2,FALSE))&amp; 'PC LIST'!$J$2),'PC list edited'!$A$2:$DT$65,(B50+1),FALSE)))</f>
        <v>NFI</v>
      </c>
    </row>
    <row r="51" spans="1:35" s="70" customFormat="1" ht="30" customHeight="1">
      <c r="A51" s="69"/>
      <c r="B51" s="246">
        <f t="shared" si="3"/>
        <v>47</v>
      </c>
      <c r="C51" s="426" t="str">
        <f>IF($P$1="Select company","",IF((HLOOKUP((VLOOKUP($P$1,Lists!$B$4:$C$23,2,FALSE)),'PC list edited'!$A$2:$DV$65,(B51+1),FALSE))=0,"",HLOOKUP((VLOOKUP($P$1,Lists!$B$4:$C$23,2,FALSE)),'PC list edited'!$A$2:$DV$65,(B51+1),FALSE)))</f>
        <v>PR14TMSHHR_RA1</v>
      </c>
      <c r="D51" s="425" t="str">
        <f>IF($P$1="Select company","",IF(C51 ="","",HLOOKUP(((VLOOKUP($P$1,Lists!$B$4:$C$23,2,FALSE))&amp;"PC"),'PC list edited'!$A$2:$DV$65,(B51+1),FALSE)))</f>
        <v>RA1: Minimise the number of written complaints received from customers (relating to charging and billing)</v>
      </c>
      <c r="E51" s="268" t="str">
        <f>IF($P$1="Select company","",IF(C51 ="","",HLOOKUP(((VLOOKUP($P$1,Lists!$B$4:$C$23,2,FALSE))&amp;"unit"),'PC list edited'!$A$2:$DV$65,(B51+1),FALSE)))</f>
        <v>nr</v>
      </c>
      <c r="F51" s="268" t="str">
        <f>IF($P$1="Select company","",IF(C51 ="","",HLOOKUP(((VLOOKUP($P$1,Lists!$B$4:$C$23,2,FALSE))&amp;"UnitDes"),'PC list edited'!$A$2:$DV$65,(B51+1),FALSE)))</f>
        <v>No. written complaints / 10,000 properties</v>
      </c>
      <c r="G51" s="268">
        <f>IF($P$1="Select company","",IF(C51="","",HLOOKUP(((VLOOKUP($P$1,Lists!$B$4:$C$23,2,FALSE))&amp;"DP"),'PC list edited'!$A$2:$DV$65,(B51+1),FALSE)))</f>
        <v>0</v>
      </c>
      <c r="H51" s="268">
        <f>IF($P$1="Select company","",IF(C51 = "","",HLOOKUP(((VLOOKUP($P$1,Lists!$B$4:$C$23,2,FALSE))&amp;"201617Actual"),'PC list edited'!$A$2:$DV$65,(B51+1),FALSE)))</f>
        <v>18.677578018266502</v>
      </c>
      <c r="I51" s="474">
        <v>17</v>
      </c>
      <c r="J51" s="569" t="s">
        <v>1979</v>
      </c>
      <c r="K51" s="430"/>
      <c r="L51" s="431"/>
      <c r="M51" s="430"/>
      <c r="N51" s="431"/>
      <c r="O51" s="430"/>
      <c r="P51" s="432"/>
      <c r="Q51" s="118"/>
      <c r="R51" s="436">
        <f t="shared" si="4"/>
        <v>0</v>
      </c>
      <c r="S51" s="25">
        <f t="shared" si="5"/>
        <v>0</v>
      </c>
      <c r="T51" s="65"/>
      <c r="U51" s="66"/>
      <c r="V51" s="86">
        <f t="shared" si="6"/>
        <v>0</v>
      </c>
      <c r="W51" s="86">
        <f>IF($C51="",0,IF(ISBLANK(#REF!)=FALSE,0,1))</f>
        <v>0</v>
      </c>
      <c r="X51" s="86">
        <f t="shared" si="7"/>
        <v>0</v>
      </c>
      <c r="Y51" s="86">
        <f>IF(OR(ISBLANK(L51), L51=0), 0, IF(OR(K51=Lists!$F$11, K51=Lists!$F$13), 0, 1))</f>
        <v>0</v>
      </c>
      <c r="Z51" s="86">
        <f>IF(OR($C51="", AND(NOT(K51=Lists!$F$11), NOT(K51=Lists!$F$13))),0,IF(ISBLANK(L51)=FALSE,0,1))</f>
        <v>0</v>
      </c>
      <c r="AA51" s="86">
        <f>IF(OR(ISBLANK(N51), N51=0), 0, IF(OR(M51=Lists!$F$11, M51=Lists!$F$13), 0, 1))</f>
        <v>0</v>
      </c>
      <c r="AB51" s="86">
        <f>IF(OR($C51="", AND(NOT(M51=Lists!$F$11), NOT(M51=Lists!$F$13))),0,IF(ISBLANK(N51)=FALSE,0,1))</f>
        <v>0</v>
      </c>
      <c r="AC51" s="86">
        <f>IF(OR(ISBLANK(P51), P51=0), 0, IF(OR(O51=Lists!$F$11, O51=Lists!$F$13), 0, 1))</f>
        <v>0</v>
      </c>
      <c r="AD51" s="86">
        <f>IF(OR($C51="", AND(NOT(O51=Lists!$F$11), NOT(O51=Lists!$F$13))),0,IF(ISBLANK(P51)=FALSE,0,1))</f>
        <v>0</v>
      </c>
      <c r="AE51" s="66"/>
      <c r="AF51" s="438">
        <f xml:space="preserve"> IF(OR( AND( K51 = Lists!$F$11, '3A'!L51 &lt; 0), AND( '3A'!M51 = Lists!$F$11, '3A'!N51 &lt; 0), AND( '3A'!O51 = Lists!$F$11, '3A'!P51 &lt; 0)), 1, 0)</f>
        <v>0</v>
      </c>
      <c r="AG51" s="438">
        <f xml:space="preserve"> IF( OR( AND( K51 = Lists!$F$13, '3A'!L51 &gt; 0), AND( M51 = Lists!$F$13, '3A'!N51 &gt; 0), AND( O51 = Lists!$F$13, '3A'!P51 &gt; 0 )), 1, 0)</f>
        <v>0</v>
      </c>
      <c r="AH51" s="439"/>
      <c r="AI51" s="571" t="str">
        <f>IF($P$1="Select company","",IF((HLOOKUP(((VLOOKUP($P$1,Lists!$B$4:$C$23,2,FALSE))&amp;'PC LIST'!$J$2),'PC list edited'!$A$2:$DT$65,(B51+1),FALSE))=0,"",HLOOKUP(((VLOOKUP($P$1,Lists!$B$4:$C$23,2,FALSE))&amp; 'PC LIST'!$J$2),'PC list edited'!$A$2:$DT$65,(B51+1),FALSE)))</f>
        <v>NFI</v>
      </c>
    </row>
    <row r="52" spans="1:35" s="70" customFormat="1" ht="30" customHeight="1">
      <c r="A52" s="69"/>
      <c r="B52" s="246">
        <f t="shared" si="3"/>
        <v>48</v>
      </c>
      <c r="C52" s="426" t="str">
        <f>IF($P$1="Select company","",IF((HLOOKUP((VLOOKUP($P$1,Lists!$B$4:$C$23,2,FALSE)),'PC list edited'!$A$2:$DV$65,(B52+1),FALSE))=0,"",HLOOKUP((VLOOKUP($P$1,Lists!$B$4:$C$23,2,FALSE)),'PC list edited'!$A$2:$DV$65,(B52+1),FALSE)))</f>
        <v>PR14TMSHHR_RA2</v>
      </c>
      <c r="D52" s="425" t="str">
        <f>IF($P$1="Select company","",IF(C52 ="","",HLOOKUP(((VLOOKUP($P$1,Lists!$B$4:$C$23,2,FALSE))&amp;"PC"),'PC list edited'!$A$2:$DV$65,(B52+1),FALSE)))</f>
        <v>RA2: Improve handling of written complaints by increasing first time resolution - charging and billing</v>
      </c>
      <c r="E52" s="268" t="str">
        <f>IF($P$1="Select company","",IF(C52 ="","",HLOOKUP(((VLOOKUP($P$1,Lists!$B$4:$C$23,2,FALSE))&amp;"unit"),'PC list edited'!$A$2:$DV$65,(B52+1),FALSE)))</f>
        <v>%</v>
      </c>
      <c r="F52" s="268" t="str">
        <f>IF($P$1="Select company","",IF(C52 ="","",HLOOKUP(((VLOOKUP($P$1,Lists!$B$4:$C$23,2,FALSE))&amp;"UnitDes"),'PC list edited'!$A$2:$DV$65,(B52+1),FALSE)))</f>
        <v>% written complaints resolved 1st time</v>
      </c>
      <c r="G52" s="268">
        <f>IF($P$1="Select company","",IF(C52="","",HLOOKUP(((VLOOKUP($P$1,Lists!$B$4:$C$23,2,FALSE))&amp;"DP"),'PC list edited'!$A$2:$DV$65,(B52+1),FALSE)))</f>
        <v>0</v>
      </c>
      <c r="H52" s="268">
        <f>IF($P$1="Select company","",IF(C52 = "","",HLOOKUP(((VLOOKUP($P$1,Lists!$B$4:$C$23,2,FALSE))&amp;"201617Actual"),'PC list edited'!$A$2:$DV$65,(B52+1),FALSE)))</f>
        <v>94.37</v>
      </c>
      <c r="I52" s="474">
        <v>95</v>
      </c>
      <c r="J52" s="569" t="s">
        <v>1979</v>
      </c>
      <c r="K52" s="430"/>
      <c r="L52" s="431"/>
      <c r="M52" s="430"/>
      <c r="N52" s="431"/>
      <c r="O52" s="430"/>
      <c r="P52" s="432"/>
      <c r="Q52" s="118"/>
      <c r="R52" s="436">
        <f t="shared" si="4"/>
        <v>0</v>
      </c>
      <c r="S52" s="25">
        <f t="shared" si="5"/>
        <v>0</v>
      </c>
      <c r="T52" s="65"/>
      <c r="U52" s="66"/>
      <c r="V52" s="86">
        <f t="shared" si="6"/>
        <v>0</v>
      </c>
      <c r="W52" s="86">
        <f>IF($C52="",0,IF(ISBLANK(#REF!)=FALSE,0,1))</f>
        <v>0</v>
      </c>
      <c r="X52" s="86">
        <f t="shared" si="7"/>
        <v>0</v>
      </c>
      <c r="Y52" s="86">
        <f>IF(OR(ISBLANK(L52), L52=0), 0, IF(OR(K52=Lists!$F$11, K52=Lists!$F$13), 0, 1))</f>
        <v>0</v>
      </c>
      <c r="Z52" s="86">
        <f>IF(OR($C52="", AND(NOT(K52=Lists!$F$11), NOT(K52=Lists!$F$13))),0,IF(ISBLANK(L52)=FALSE,0,1))</f>
        <v>0</v>
      </c>
      <c r="AA52" s="86">
        <f>IF(OR(ISBLANK(N52), N52=0), 0, IF(OR(M52=Lists!$F$11, M52=Lists!$F$13), 0, 1))</f>
        <v>0</v>
      </c>
      <c r="AB52" s="86">
        <f>IF(OR($C52="", AND(NOT(M52=Lists!$F$11), NOT(M52=Lists!$F$13))),0,IF(ISBLANK(N52)=FALSE,0,1))</f>
        <v>0</v>
      </c>
      <c r="AC52" s="86">
        <f>IF(OR(ISBLANK(P52), P52=0), 0, IF(OR(O52=Lists!$F$11, O52=Lists!$F$13), 0, 1))</f>
        <v>0</v>
      </c>
      <c r="AD52" s="86">
        <f>IF(OR($C52="", AND(NOT(O52=Lists!$F$11), NOT(O52=Lists!$F$13))),0,IF(ISBLANK(P52)=FALSE,0,1))</f>
        <v>0</v>
      </c>
      <c r="AE52" s="66"/>
      <c r="AF52" s="438">
        <f xml:space="preserve"> IF(OR( AND( K52 = Lists!$F$11, '3A'!L52 &lt; 0), AND( '3A'!M52 = Lists!$F$11, '3A'!N52 &lt; 0), AND( '3A'!O52 = Lists!$F$11, '3A'!P52 &lt; 0)), 1, 0)</f>
        <v>0</v>
      </c>
      <c r="AG52" s="438">
        <f xml:space="preserve"> IF( OR( AND( K52 = Lists!$F$13, '3A'!L52 &gt; 0), AND( M52 = Lists!$F$13, '3A'!N52 &gt; 0), AND( O52 = Lists!$F$13, '3A'!P52 &gt; 0 )), 1, 0)</f>
        <v>0</v>
      </c>
      <c r="AH52" s="439"/>
      <c r="AI52" s="571" t="str">
        <f>IF($P$1="Select company","",IF((HLOOKUP(((VLOOKUP($P$1,Lists!$B$4:$C$23,2,FALSE))&amp;'PC LIST'!$J$2),'PC list edited'!$A$2:$DT$65,(B52+1),FALSE))=0,"",HLOOKUP(((VLOOKUP($P$1,Lists!$B$4:$C$23,2,FALSE))&amp; 'PC LIST'!$J$2),'PC list edited'!$A$2:$DT$65,(B52+1),FALSE)))</f>
        <v>NFI</v>
      </c>
    </row>
    <row r="53" spans="1:35" s="70" customFormat="1" ht="30" customHeight="1">
      <c r="A53" s="69"/>
      <c r="B53" s="246">
        <f t="shared" si="3"/>
        <v>49</v>
      </c>
      <c r="C53" s="426" t="str">
        <f>IF($P$1="Select company","",IF((HLOOKUP((VLOOKUP($P$1,Lists!$B$4:$C$23,2,FALSE)),'PC list edited'!$A$2:$DV$65,(B53+1),FALSE))=0,"",HLOOKUP((VLOOKUP($P$1,Lists!$B$4:$C$23,2,FALSE)),'PC list edited'!$A$2:$DV$65,(B53+1),FALSE)))</f>
        <v>PR14TMSHHR_RA3</v>
      </c>
      <c r="D53" s="425" t="str">
        <f>IF($P$1="Select company","",IF(C53 ="","",HLOOKUP(((VLOOKUP($P$1,Lists!$B$4:$C$23,2,FALSE))&amp;"PC"),'PC list edited'!$A$2:$DV$65,(B53+1),FALSE)))</f>
        <v>RA3: Improve customer satisfaction of retail customers - charging and billing service</v>
      </c>
      <c r="E53" s="268" t="str">
        <f>IF($P$1="Select company","",IF(C53 ="","",HLOOKUP(((VLOOKUP($P$1,Lists!$B$4:$C$23,2,FALSE))&amp;"unit"),'PC list edited'!$A$2:$DV$65,(B53+1),FALSE)))</f>
        <v>score</v>
      </c>
      <c r="F53" s="268" t="str">
        <f>IF($P$1="Select company","",IF(C53 ="","",HLOOKUP(((VLOOKUP($P$1,Lists!$B$4:$C$23,2,FALSE))&amp;"UnitDes"),'PC list edited'!$A$2:$DV$65,(B53+1),FALSE)))</f>
        <v>TW internal Customer satisfaction score (mean score out of 5)</v>
      </c>
      <c r="G53" s="268">
        <f>IF($P$1="Select company","",IF(C53="","",HLOOKUP(((VLOOKUP($P$1,Lists!$B$4:$C$23,2,FALSE))&amp;"DP"),'PC list edited'!$A$2:$DV$65,(B53+1),FALSE)))</f>
        <v>2</v>
      </c>
      <c r="H53" s="268">
        <f>IF($P$1="Select company","",IF(C53 = "","",HLOOKUP(((VLOOKUP($P$1,Lists!$B$4:$C$23,2,FALSE))&amp;"201617Actual"),'PC list edited'!$A$2:$DV$65,(B53+1),FALSE)))</f>
        <v>4.627722114500691</v>
      </c>
      <c r="I53" s="474">
        <v>4.66</v>
      </c>
      <c r="J53" s="569" t="s">
        <v>1979</v>
      </c>
      <c r="K53" s="430"/>
      <c r="L53" s="431"/>
      <c r="M53" s="430"/>
      <c r="N53" s="431"/>
      <c r="O53" s="430"/>
      <c r="P53" s="432"/>
      <c r="Q53" s="118"/>
      <c r="R53" s="436">
        <f t="shared" si="4"/>
        <v>0</v>
      </c>
      <c r="S53" s="25">
        <f t="shared" si="5"/>
        <v>0</v>
      </c>
      <c r="T53" s="65"/>
      <c r="U53" s="66"/>
      <c r="V53" s="86">
        <f t="shared" si="6"/>
        <v>0</v>
      </c>
      <c r="W53" s="86">
        <f>IF($C53="",0,IF(ISBLANK(#REF!)=FALSE,0,1))</f>
        <v>0</v>
      </c>
      <c r="X53" s="86">
        <f t="shared" si="7"/>
        <v>0</v>
      </c>
      <c r="Y53" s="86">
        <f>IF(OR(ISBLANK(L53), L53=0), 0, IF(OR(K53=Lists!$F$11, K53=Lists!$F$13), 0, 1))</f>
        <v>0</v>
      </c>
      <c r="Z53" s="86">
        <f>IF(OR($C53="", AND(NOT(K53=Lists!$F$11), NOT(K53=Lists!$F$13))),0,IF(ISBLANK(L53)=FALSE,0,1))</f>
        <v>0</v>
      </c>
      <c r="AA53" s="86">
        <f>IF(OR(ISBLANK(N53), N53=0), 0, IF(OR(M53=Lists!$F$11, M53=Lists!$F$13), 0, 1))</f>
        <v>0</v>
      </c>
      <c r="AB53" s="86">
        <f>IF(OR($C53="", AND(NOT(M53=Lists!$F$11), NOT(M53=Lists!$F$13))),0,IF(ISBLANK(N53)=FALSE,0,1))</f>
        <v>0</v>
      </c>
      <c r="AC53" s="86">
        <f>IF(OR(ISBLANK(P53), P53=0), 0, IF(OR(O53=Lists!$F$11, O53=Lists!$F$13), 0, 1))</f>
        <v>0</v>
      </c>
      <c r="AD53" s="86">
        <f>IF(OR($C53="", AND(NOT(O53=Lists!$F$11), NOT(O53=Lists!$F$13))),0,IF(ISBLANK(P53)=FALSE,0,1))</f>
        <v>0</v>
      </c>
      <c r="AE53" s="66"/>
      <c r="AF53" s="438">
        <f xml:space="preserve"> IF(OR( AND( K53 = Lists!$F$11, '3A'!L53 &lt; 0), AND( '3A'!M53 = Lists!$F$11, '3A'!N53 &lt; 0), AND( '3A'!O53 = Lists!$F$11, '3A'!P53 &lt; 0)), 1, 0)</f>
        <v>0</v>
      </c>
      <c r="AG53" s="438">
        <f xml:space="preserve"> IF( OR( AND( K53 = Lists!$F$13, '3A'!L53 &gt; 0), AND( M53 = Lists!$F$13, '3A'!N53 &gt; 0), AND( O53 = Lists!$F$13, '3A'!P53 &gt; 0 )), 1, 0)</f>
        <v>0</v>
      </c>
      <c r="AH53" s="439"/>
      <c r="AI53" s="571" t="str">
        <f>IF($P$1="Select company","",IF((HLOOKUP(((VLOOKUP($P$1,Lists!$B$4:$C$23,2,FALSE))&amp;'PC LIST'!$J$2),'PC list edited'!$A$2:$DT$65,(B53+1),FALSE))=0,"",HLOOKUP(((VLOOKUP($P$1,Lists!$B$4:$C$23,2,FALSE))&amp; 'PC LIST'!$J$2),'PC list edited'!$A$2:$DT$65,(B53+1),FALSE)))</f>
        <v>NFI</v>
      </c>
    </row>
    <row r="54" spans="1:35" s="70" customFormat="1" ht="30" customHeight="1">
      <c r="A54" s="69"/>
      <c r="B54" s="246">
        <f t="shared" si="3"/>
        <v>50</v>
      </c>
      <c r="C54" s="426" t="str">
        <f>IF($P$1="Select company","",IF((HLOOKUP((VLOOKUP($P$1,Lists!$B$4:$C$23,2,FALSE)),'PC list edited'!$A$2:$DV$65,(B54+1),FALSE))=0,"",HLOOKUP((VLOOKUP($P$1,Lists!$B$4:$C$23,2,FALSE)),'PC list edited'!$A$2:$DV$65,(B54+1),FALSE)))</f>
        <v>PR14TMSHHR_RA4</v>
      </c>
      <c r="D54" s="425" t="str">
        <f>IF($P$1="Select company","",IF(C54 ="","",HLOOKUP(((VLOOKUP($P$1,Lists!$B$4:$C$23,2,FALSE))&amp;"PC"),'PC list edited'!$A$2:$DV$65,(B54+1),FALSE)))</f>
        <v>RA4: Improve customer satisfaction of retail customers - operations contact centre</v>
      </c>
      <c r="E54" s="268" t="str">
        <f>IF($P$1="Select company","",IF(C54 ="","",HLOOKUP(((VLOOKUP($P$1,Lists!$B$4:$C$23,2,FALSE))&amp;"unit"),'PC list edited'!$A$2:$DV$65,(B54+1),FALSE)))</f>
        <v>score</v>
      </c>
      <c r="F54" s="268" t="str">
        <f>IF($P$1="Select company","",IF(C54 ="","",HLOOKUP(((VLOOKUP($P$1,Lists!$B$4:$C$23,2,FALSE))&amp;"UnitDes"),'PC list edited'!$A$2:$DV$65,(B54+1),FALSE)))</f>
        <v>TW internal Customer satisfaction score (mean score out of 5)</v>
      </c>
      <c r="G54" s="268">
        <f>IF($P$1="Select company","",IF(C54="","",HLOOKUP(((VLOOKUP($P$1,Lists!$B$4:$C$23,2,FALSE))&amp;"DP"),'PC list edited'!$A$2:$DV$65,(B54+1),FALSE)))</f>
        <v>2</v>
      </c>
      <c r="H54" s="268">
        <f>IF($P$1="Select company","",IF(C54 = "","",HLOOKUP(((VLOOKUP($P$1,Lists!$B$4:$C$23,2,FALSE))&amp;"201617Actual"),'PC list edited'!$A$2:$DV$65,(B54+1),FALSE)))</f>
        <v>4.455274610082272</v>
      </c>
      <c r="I54" s="474">
        <v>4.43</v>
      </c>
      <c r="J54" s="569" t="s">
        <v>1980</v>
      </c>
      <c r="K54" s="430"/>
      <c r="L54" s="431"/>
      <c r="M54" s="430"/>
      <c r="N54" s="431"/>
      <c r="O54" s="430"/>
      <c r="P54" s="432"/>
      <c r="Q54" s="118"/>
      <c r="R54" s="436">
        <f t="shared" si="4"/>
        <v>0</v>
      </c>
      <c r="S54" s="25">
        <f t="shared" si="5"/>
        <v>0</v>
      </c>
      <c r="T54" s="65"/>
      <c r="U54" s="66"/>
      <c r="V54" s="86">
        <f t="shared" si="6"/>
        <v>0</v>
      </c>
      <c r="W54" s="86">
        <f>IF($C54="",0,IF(ISBLANK(#REF!)=FALSE,0,1))</f>
        <v>0</v>
      </c>
      <c r="X54" s="86">
        <f t="shared" si="7"/>
        <v>0</v>
      </c>
      <c r="Y54" s="86">
        <f>IF(OR(ISBLANK(L54), L54=0), 0, IF(OR(K54=Lists!$F$11, K54=Lists!$F$13), 0, 1))</f>
        <v>0</v>
      </c>
      <c r="Z54" s="86">
        <f>IF(OR($C54="", AND(NOT(K54=Lists!$F$11), NOT(K54=Lists!$F$13))),0,IF(ISBLANK(L54)=FALSE,0,1))</f>
        <v>0</v>
      </c>
      <c r="AA54" s="86">
        <f>IF(OR(ISBLANK(N54), N54=0), 0, IF(OR(M54=Lists!$F$11, M54=Lists!$F$13), 0, 1))</f>
        <v>0</v>
      </c>
      <c r="AB54" s="86">
        <f>IF(OR($C54="", AND(NOT(M54=Lists!$F$11), NOT(M54=Lists!$F$13))),0,IF(ISBLANK(N54)=FALSE,0,1))</f>
        <v>0</v>
      </c>
      <c r="AC54" s="86">
        <f>IF(OR(ISBLANK(P54), P54=0), 0, IF(OR(O54=Lists!$F$11, O54=Lists!$F$13), 0, 1))</f>
        <v>0</v>
      </c>
      <c r="AD54" s="86">
        <f>IF(OR($C54="", AND(NOT(O54=Lists!$F$11), NOT(O54=Lists!$F$13))),0,IF(ISBLANK(P54)=FALSE,0,1))</f>
        <v>0</v>
      </c>
      <c r="AE54" s="66"/>
      <c r="AF54" s="438">
        <f xml:space="preserve"> IF(OR( AND( K54 = Lists!$F$11, '3A'!L54 &lt; 0), AND( '3A'!M54 = Lists!$F$11, '3A'!N54 &lt; 0), AND( '3A'!O54 = Lists!$F$11, '3A'!P54 &lt; 0)), 1, 0)</f>
        <v>0</v>
      </c>
      <c r="AG54" s="438">
        <f xml:space="preserve"> IF( OR( AND( K54 = Lists!$F$13, '3A'!L54 &gt; 0), AND( M54 = Lists!$F$13, '3A'!N54 &gt; 0), AND( O54 = Lists!$F$13, '3A'!P54 &gt; 0 )), 1, 0)</f>
        <v>0</v>
      </c>
      <c r="AH54" s="439"/>
      <c r="AI54" s="571" t="str">
        <f>IF($P$1="Select company","",IF((HLOOKUP(((VLOOKUP($P$1,Lists!$B$4:$C$23,2,FALSE))&amp;'PC LIST'!$J$2),'PC list edited'!$A$2:$DT$65,(B54+1),FALSE))=0,"",HLOOKUP(((VLOOKUP($P$1,Lists!$B$4:$C$23,2,FALSE))&amp; 'PC LIST'!$J$2),'PC list edited'!$A$2:$DT$65,(B54+1),FALSE)))</f>
        <v>NFI</v>
      </c>
    </row>
    <row r="55" spans="1:35" s="70" customFormat="1" ht="30" customHeight="1">
      <c r="A55" s="69"/>
      <c r="B55" s="246">
        <f t="shared" si="3"/>
        <v>51</v>
      </c>
      <c r="C55" s="426" t="str">
        <f>IF($P$1="Select company","",IF((HLOOKUP((VLOOKUP($P$1,Lists!$B$4:$C$23,2,FALSE)),'PC list edited'!$A$2:$DV$65,(B55+1),FALSE))=0,"",HLOOKUP((VLOOKUP($P$1,Lists!$B$4:$C$23,2,FALSE)),'PC list edited'!$A$2:$DV$65,(B55+1),FALSE)))</f>
        <v>PR14TMSHHR_RA5</v>
      </c>
      <c r="D55" s="425" t="str">
        <f>IF($P$1="Select company","",IF(C55 ="","",HLOOKUP(((VLOOKUP($P$1,Lists!$B$4:$C$23,2,FALSE))&amp;"PC"),'PC list edited'!$A$2:$DV$65,(B55+1),FALSE)))</f>
        <v>RA5: Increase the number of bills based on actual meter reads (in cycle)</v>
      </c>
      <c r="E55" s="268" t="str">
        <f>IF($P$1="Select company","",IF(C55 ="","",HLOOKUP(((VLOOKUP($P$1,Lists!$B$4:$C$23,2,FALSE))&amp;"unit"),'PC list edited'!$A$2:$DV$65,(B55+1),FALSE)))</f>
        <v>%</v>
      </c>
      <c r="F55" s="268" t="str">
        <f>IF($P$1="Select company","",IF(C55 ="","",HLOOKUP(((VLOOKUP($P$1,Lists!$B$4:$C$23,2,FALSE))&amp;"UnitDes"),'PC list edited'!$A$2:$DV$65,(B55+1),FALSE)))</f>
        <v>% bills based on actual meter reads</v>
      </c>
      <c r="G55" s="268">
        <f>IF($P$1="Select company","",IF(C55="","",HLOOKUP(((VLOOKUP($P$1,Lists!$B$4:$C$23,2,FALSE))&amp;"DP"),'PC list edited'!$A$2:$DV$65,(B55+1),FALSE)))</f>
        <v>0</v>
      </c>
      <c r="H55" s="268">
        <f>IF($P$1="Select company","",IF(C55 = "","",HLOOKUP(((VLOOKUP($P$1,Lists!$B$4:$C$23,2,FALSE))&amp;"201617Actual"),'PC list edited'!$A$2:$DV$65,(B55+1),FALSE)))</f>
        <v>96.8</v>
      </c>
      <c r="I55" s="474">
        <v>97</v>
      </c>
      <c r="J55" s="569" t="s">
        <v>1979</v>
      </c>
      <c r="K55" s="430"/>
      <c r="L55" s="431"/>
      <c r="M55" s="430"/>
      <c r="N55" s="431"/>
      <c r="O55" s="430"/>
      <c r="P55" s="432"/>
      <c r="Q55" s="118"/>
      <c r="R55" s="436">
        <f t="shared" si="4"/>
        <v>0</v>
      </c>
      <c r="S55" s="25">
        <f t="shared" si="5"/>
        <v>0</v>
      </c>
      <c r="T55" s="65"/>
      <c r="U55" s="66"/>
      <c r="V55" s="86">
        <f t="shared" si="6"/>
        <v>0</v>
      </c>
      <c r="W55" s="86">
        <f>IF($C55="",0,IF(ISBLANK(#REF!)=FALSE,0,1))</f>
        <v>0</v>
      </c>
      <c r="X55" s="86">
        <f t="shared" si="7"/>
        <v>0</v>
      </c>
      <c r="Y55" s="86">
        <f>IF(OR(ISBLANK(L55), L55=0), 0, IF(OR(K55=Lists!$F$11, K55=Lists!$F$13), 0, 1))</f>
        <v>0</v>
      </c>
      <c r="Z55" s="86">
        <f>IF(OR($C55="", AND(NOT(K55=Lists!$F$11), NOT(K55=Lists!$F$13))),0,IF(ISBLANK(L55)=FALSE,0,1))</f>
        <v>0</v>
      </c>
      <c r="AA55" s="86">
        <f>IF(OR(ISBLANK(N55), N55=0), 0, IF(OR(M55=Lists!$F$11, M55=Lists!$F$13), 0, 1))</f>
        <v>0</v>
      </c>
      <c r="AB55" s="86">
        <f>IF(OR($C55="", AND(NOT(M55=Lists!$F$11), NOT(M55=Lists!$F$13))),0,IF(ISBLANK(N55)=FALSE,0,1))</f>
        <v>0</v>
      </c>
      <c r="AC55" s="86">
        <f>IF(OR(ISBLANK(P55), P55=0), 0, IF(OR(O55=Lists!$F$11, O55=Lists!$F$13), 0, 1))</f>
        <v>0</v>
      </c>
      <c r="AD55" s="86">
        <f>IF(OR($C55="", AND(NOT(O55=Lists!$F$11), NOT(O55=Lists!$F$13))),0,IF(ISBLANK(P55)=FALSE,0,1))</f>
        <v>0</v>
      </c>
      <c r="AE55" s="66"/>
      <c r="AF55" s="438">
        <f xml:space="preserve"> IF(OR( AND( K55 = Lists!$F$11, '3A'!L55 &lt; 0), AND( '3A'!M55 = Lists!$F$11, '3A'!N55 &lt; 0), AND( '3A'!O55 = Lists!$F$11, '3A'!P55 &lt; 0)), 1, 0)</f>
        <v>0</v>
      </c>
      <c r="AG55" s="438">
        <f xml:space="preserve"> IF( OR( AND( K55 = Lists!$F$13, '3A'!L55 &gt; 0), AND( M55 = Lists!$F$13, '3A'!N55 &gt; 0), AND( O55 = Lists!$F$13, '3A'!P55 &gt; 0 )), 1, 0)</f>
        <v>0</v>
      </c>
      <c r="AH55" s="439"/>
      <c r="AI55" s="571" t="str">
        <f>IF($P$1="Select company","",IF((HLOOKUP(((VLOOKUP($P$1,Lists!$B$4:$C$23,2,FALSE))&amp;'PC LIST'!$J$2),'PC list edited'!$A$2:$DT$65,(B55+1),FALSE))=0,"",HLOOKUP(((VLOOKUP($P$1,Lists!$B$4:$C$23,2,FALSE))&amp; 'PC LIST'!$J$2),'PC list edited'!$A$2:$DT$65,(B55+1),FALSE)))</f>
        <v>NFI</v>
      </c>
    </row>
    <row r="56" spans="1:35" s="70" customFormat="1" ht="30" customHeight="1">
      <c r="A56" s="69"/>
      <c r="B56" s="246">
        <f t="shared" si="3"/>
        <v>52</v>
      </c>
      <c r="C56" s="426" t="str">
        <f>IF($P$1="Select company","",IF((HLOOKUP((VLOOKUP($P$1,Lists!$B$4:$C$23,2,FALSE)),'PC list edited'!$A$2:$DV$65,(B56+1),FALSE))=0,"",HLOOKUP((VLOOKUP($P$1,Lists!$B$4:$C$23,2,FALSE)),'PC list edited'!$A$2:$DV$65,(B56+1),FALSE)))</f>
        <v>PR14TMSHHR_RA6</v>
      </c>
      <c r="D56" s="425" t="str">
        <f>IF($P$1="Select company","",IF(C56 ="","",HLOOKUP(((VLOOKUP($P$1,Lists!$B$4:$C$23,2,FALSE))&amp;"PC"),'PC list edited'!$A$2:$DV$65,(B56+1),FALSE)))</f>
        <v>RA6: Service incentive mechanism (SIM)</v>
      </c>
      <c r="E56" s="268" t="str">
        <f>IF($P$1="Select company","",IF(C56 ="","",HLOOKUP(((VLOOKUP($P$1,Lists!$B$4:$C$23,2,FALSE))&amp;"unit"),'PC list edited'!$A$2:$DV$65,(B56+1),FALSE)))</f>
        <v>score</v>
      </c>
      <c r="F56" s="268" t="str">
        <f>IF($P$1="Select company","",IF(C56 ="","",HLOOKUP(((VLOOKUP($P$1,Lists!$B$4:$C$23,2,FALSE))&amp;"UnitDes"),'PC list edited'!$A$2:$DV$65,(B56+1),FALSE)))</f>
        <v>Service incentive mechanism (SIM) score</v>
      </c>
      <c r="G56" s="268">
        <f>IF($P$1="Select company","",IF(C56="","",HLOOKUP(((VLOOKUP($P$1,Lists!$B$4:$C$23,2,FALSE))&amp;"DP"),'PC list edited'!$A$2:$DV$65,(B56+1),FALSE)))</f>
        <v>1</v>
      </c>
      <c r="H56" s="268">
        <f>IF($P$1="Select company","",IF(C56 = "","",HLOOKUP(((VLOOKUP($P$1,Lists!$B$4:$C$23,2,FALSE))&amp;"201617Actual"),'PC list edited'!$A$2:$DV$65,(B56+1),FALSE)))</f>
        <v>77.264009835474994</v>
      </c>
      <c r="I56" s="474">
        <v>78.400000000000006</v>
      </c>
      <c r="J56" s="569" t="s">
        <v>1981</v>
      </c>
      <c r="K56" s="430"/>
      <c r="L56" s="431"/>
      <c r="M56" s="430"/>
      <c r="N56" s="431"/>
      <c r="O56" s="430"/>
      <c r="P56" s="432"/>
      <c r="Q56" s="118"/>
      <c r="R56" s="436">
        <f t="shared" si="4"/>
        <v>0</v>
      </c>
      <c r="S56" s="25">
        <f t="shared" si="5"/>
        <v>0</v>
      </c>
      <c r="T56" s="65"/>
      <c r="U56" s="66"/>
      <c r="V56" s="86">
        <f t="shared" si="6"/>
        <v>0</v>
      </c>
      <c r="W56" s="86">
        <f>IF($C56="",0,IF(ISBLANK(#REF!)=FALSE,0,1))</f>
        <v>0</v>
      </c>
      <c r="X56" s="86">
        <f t="shared" si="7"/>
        <v>0</v>
      </c>
      <c r="Y56" s="86">
        <f>IF(OR(ISBLANK(L56), L56=0), 0, IF(OR(K56=Lists!$F$11, K56=Lists!$F$13), 0, 1))</f>
        <v>0</v>
      </c>
      <c r="Z56" s="86">
        <f>IF(OR($C56="", AND(NOT(K56=Lists!$F$11), NOT(K56=Lists!$F$13))),0,IF(ISBLANK(L56)=FALSE,0,1))</f>
        <v>0</v>
      </c>
      <c r="AA56" s="86">
        <f>IF(OR(ISBLANK(N56), N56=0), 0, IF(OR(M56=Lists!$F$11, M56=Lists!$F$13), 0, 1))</f>
        <v>0</v>
      </c>
      <c r="AB56" s="86">
        <f>IF(OR($C56="", AND(NOT(M56=Lists!$F$11), NOT(M56=Lists!$F$13))),0,IF(ISBLANK(N56)=FALSE,0,1))</f>
        <v>0</v>
      </c>
      <c r="AC56" s="86">
        <f>IF(OR(ISBLANK(P56), P56=0), 0, IF(OR(O56=Lists!$F$11, O56=Lists!$F$13), 0, 1))</f>
        <v>0</v>
      </c>
      <c r="AD56" s="86">
        <f>IF(OR($C56="", AND(NOT(O56=Lists!$F$11), NOT(O56=Lists!$F$13))),0,IF(ISBLANK(P56)=FALSE,0,1))</f>
        <v>0</v>
      </c>
      <c r="AE56" s="66"/>
      <c r="AF56" s="438">
        <f xml:space="preserve"> IF(OR( AND( K56 = Lists!$F$11, '3A'!L56 &lt; 0), AND( '3A'!M56 = Lists!$F$11, '3A'!N56 &lt; 0), AND( '3A'!O56 = Lists!$F$11, '3A'!P56 &lt; 0)), 1, 0)</f>
        <v>0</v>
      </c>
      <c r="AG56" s="438">
        <f xml:space="preserve"> IF( OR( AND( K56 = Lists!$F$13, '3A'!L56 &gt; 0), AND( M56 = Lists!$F$13, '3A'!N56 &gt; 0), AND( O56 = Lists!$F$13, '3A'!P56 &gt; 0 )), 1, 0)</f>
        <v>0</v>
      </c>
      <c r="AH56" s="439"/>
      <c r="AI56" s="571" t="str">
        <f>IF($P$1="Select company","",IF((HLOOKUP(((VLOOKUP($P$1,Lists!$B$4:$C$23,2,FALSE))&amp;'PC LIST'!$J$2),'PC list edited'!$A$2:$DT$65,(B56+1),FALSE))=0,"",HLOOKUP(((VLOOKUP($P$1,Lists!$B$4:$C$23,2,FALSE))&amp; 'PC LIST'!$J$2),'PC list edited'!$A$2:$DT$65,(B56+1),FALSE)))</f>
        <v>Out &amp; under</v>
      </c>
    </row>
    <row r="57" spans="1:35" s="70" customFormat="1" ht="30" customHeight="1">
      <c r="A57" s="69"/>
      <c r="B57" s="246">
        <f t="shared" si="3"/>
        <v>53</v>
      </c>
      <c r="C57" s="426" t="str">
        <f>IF($P$1="Select company","",IF((HLOOKUP((VLOOKUP($P$1,Lists!$B$4:$C$23,2,FALSE)),'PC list edited'!$A$2:$DV$65,(B57+1),FALSE))=0,"",HLOOKUP((VLOOKUP($P$1,Lists!$B$4:$C$23,2,FALSE)),'PC list edited'!$A$2:$DV$65,(B57+1),FALSE)))</f>
        <v>PR14TMSHHR_RB1</v>
      </c>
      <c r="D57" s="425" t="str">
        <f>IF($P$1="Select company","",IF(C57 ="","",HLOOKUP(((VLOOKUP($P$1,Lists!$B$4:$C$23,2,FALSE))&amp;"PC"),'PC list edited'!$A$2:$DV$65,(B57+1),FALSE)))</f>
        <v>RB1: Implement new online account management for customers supported by web-chat</v>
      </c>
      <c r="E57" s="268" t="str">
        <f>IF($P$1="Select company","",IF(C57 ="","",HLOOKUP(((VLOOKUP($P$1,Lists!$B$4:$C$23,2,FALSE))&amp;"unit"),'PC list edited'!$A$2:$DV$65,(B57+1),FALSE)))</f>
        <v>text</v>
      </c>
      <c r="F57" s="268" t="str">
        <f>IF($P$1="Select company","",IF(C57 ="","",HLOOKUP(((VLOOKUP($P$1,Lists!$B$4:$C$23,2,FALSE))&amp;"UnitDes"),'PC list edited'!$A$2:$DV$65,(B57+1),FALSE)))</f>
        <v>Delivery status</v>
      </c>
      <c r="G57" s="268" t="str">
        <f>IF($P$1="Select company","",IF(C57="","",HLOOKUP(((VLOOKUP($P$1,Lists!$B$4:$C$23,2,FALSE))&amp;"DP"),'PC list edited'!$A$2:$DV$65,(B57+1),FALSE)))</f>
        <v>na</v>
      </c>
      <c r="H57" s="268" t="str">
        <f>IF($P$1="Select company","",IF(C57 = "","",HLOOKUP(((VLOOKUP($P$1,Lists!$B$4:$C$23,2,FALSE))&amp;"201617Actual"),'PC list edited'!$A$2:$DV$65,(B57+1),FALSE)))</f>
        <v>Limited Online</v>
      </c>
      <c r="I57" s="474" t="s">
        <v>1994</v>
      </c>
      <c r="J57" s="569" t="s">
        <v>1979</v>
      </c>
      <c r="K57" s="430"/>
      <c r="L57" s="431"/>
      <c r="M57" s="430"/>
      <c r="N57" s="431"/>
      <c r="O57" s="430"/>
      <c r="P57" s="432"/>
      <c r="Q57" s="118"/>
      <c r="R57" s="436">
        <f t="shared" si="4"/>
        <v>0</v>
      </c>
      <c r="S57" s="25">
        <f t="shared" si="5"/>
        <v>0</v>
      </c>
      <c r="T57" s="65"/>
      <c r="U57" s="66"/>
      <c r="V57" s="86">
        <f t="shared" si="6"/>
        <v>0</v>
      </c>
      <c r="W57" s="86">
        <f>IF($C57="",0,IF(ISBLANK(#REF!)=FALSE,0,1))</f>
        <v>0</v>
      </c>
      <c r="X57" s="86">
        <f t="shared" si="7"/>
        <v>0</v>
      </c>
      <c r="Y57" s="86">
        <f>IF(OR(ISBLANK(L57), L57=0), 0, IF(OR(K57=Lists!$F$11, K57=Lists!$F$13), 0, 1))</f>
        <v>0</v>
      </c>
      <c r="Z57" s="86">
        <f>IF(OR($C57="", AND(NOT(K57=Lists!$F$11), NOT(K57=Lists!$F$13))),0,IF(ISBLANK(L57)=FALSE,0,1))</f>
        <v>0</v>
      </c>
      <c r="AA57" s="86">
        <f>IF(OR(ISBLANK(N57), N57=0), 0, IF(OR(M57=Lists!$F$11, M57=Lists!$F$13), 0, 1))</f>
        <v>0</v>
      </c>
      <c r="AB57" s="86">
        <f>IF(OR($C57="", AND(NOT(M57=Lists!$F$11), NOT(M57=Lists!$F$13))),0,IF(ISBLANK(N57)=FALSE,0,1))</f>
        <v>0</v>
      </c>
      <c r="AC57" s="86">
        <f>IF(OR(ISBLANK(P57), P57=0), 0, IF(OR(O57=Lists!$F$11, O57=Lists!$F$13), 0, 1))</f>
        <v>0</v>
      </c>
      <c r="AD57" s="86">
        <f>IF(OR($C57="", AND(NOT(O57=Lists!$F$11), NOT(O57=Lists!$F$13))),0,IF(ISBLANK(P57)=FALSE,0,1))</f>
        <v>0</v>
      </c>
      <c r="AE57" s="66"/>
      <c r="AF57" s="438">
        <f xml:space="preserve"> IF(OR( AND( K57 = Lists!$F$11, '3A'!L57 &lt; 0), AND( '3A'!M57 = Lists!$F$11, '3A'!N57 &lt; 0), AND( '3A'!O57 = Lists!$F$11, '3A'!P57 &lt; 0)), 1, 0)</f>
        <v>0</v>
      </c>
      <c r="AG57" s="438">
        <f xml:space="preserve"> IF( OR( AND( K57 = Lists!$F$13, '3A'!L57 &gt; 0), AND( M57 = Lists!$F$13, '3A'!N57 &gt; 0), AND( O57 = Lists!$F$13, '3A'!P57 &gt; 0 )), 1, 0)</f>
        <v>0</v>
      </c>
      <c r="AH57" s="439"/>
      <c r="AI57" s="571" t="str">
        <f>IF($P$1="Select company","",IF((HLOOKUP(((VLOOKUP($P$1,Lists!$B$4:$C$23,2,FALSE))&amp;'PC LIST'!$J$2),'PC list edited'!$A$2:$DT$65,(B57+1),FALSE))=0,"",HLOOKUP(((VLOOKUP($P$1,Lists!$B$4:$C$23,2,FALSE))&amp; 'PC LIST'!$J$2),'PC list edited'!$A$2:$DT$65,(B57+1),FALSE)))</f>
        <v>Under</v>
      </c>
    </row>
    <row r="58" spans="1:35" s="70" customFormat="1" ht="30" customHeight="1">
      <c r="A58" s="69"/>
      <c r="B58" s="246">
        <f t="shared" si="3"/>
        <v>54</v>
      </c>
      <c r="C58" s="426" t="str">
        <f>IF($P$1="Select company","",IF((HLOOKUP((VLOOKUP($P$1,Lists!$B$4:$C$23,2,FALSE)),'PC list edited'!$A$2:$DV$65,(B58+1),FALSE))=0,"",HLOOKUP((VLOOKUP($P$1,Lists!$B$4:$C$23,2,FALSE)),'PC list edited'!$A$2:$DV$65,(B58+1),FALSE)))</f>
        <v>PR14TMSHHR_RC1</v>
      </c>
      <c r="D58" s="425" t="str">
        <f>IF($P$1="Select company","",IF(C58 ="","",HLOOKUP(((VLOOKUP($P$1,Lists!$B$4:$C$23,2,FALSE))&amp;"PC"),'PC list edited'!$A$2:$DV$65,(B58+1),FALSE)))</f>
        <v>RC1: Increase the number of customers on payment plans (excluding Thames Tideway Tunnel)</v>
      </c>
      <c r="E58" s="268" t="str">
        <f>IF($P$1="Select company","",IF(C58 ="","",HLOOKUP(((VLOOKUP($P$1,Lists!$B$4:$C$23,2,FALSE))&amp;"unit"),'PC list edited'!$A$2:$DV$65,(B58+1),FALSE)))</f>
        <v>%</v>
      </c>
      <c r="F58" s="268" t="str">
        <f>IF($P$1="Select company","",IF(C58 ="","",HLOOKUP(((VLOOKUP($P$1,Lists!$B$4:$C$23,2,FALSE))&amp;"UnitDes"),'PC list edited'!$A$2:$DV$65,(B58+1),FALSE)))</f>
        <v>% of customers on DD payment plans</v>
      </c>
      <c r="G58" s="268">
        <f>IF($P$1="Select company","",IF(C58="","",HLOOKUP(((VLOOKUP($P$1,Lists!$B$4:$C$23,2,FALSE))&amp;"DP"),'PC list edited'!$A$2:$DV$65,(B58+1),FALSE)))</f>
        <v>0</v>
      </c>
      <c r="H58" s="268">
        <f>IF($P$1="Select company","",IF(C58 = "","",HLOOKUP(((VLOOKUP($P$1,Lists!$B$4:$C$23,2,FALSE))&amp;"201617Actual"),'PC list edited'!$A$2:$DV$65,(B58+1),FALSE)))</f>
        <v>54.66</v>
      </c>
      <c r="I58" s="474">
        <v>58</v>
      </c>
      <c r="J58" s="569" t="s">
        <v>1979</v>
      </c>
      <c r="K58" s="430"/>
      <c r="L58" s="431"/>
      <c r="M58" s="430"/>
      <c r="N58" s="431"/>
      <c r="O58" s="430"/>
      <c r="P58" s="432"/>
      <c r="Q58" s="118"/>
      <c r="R58" s="436">
        <f t="shared" si="4"/>
        <v>0</v>
      </c>
      <c r="S58" s="25">
        <f t="shared" si="5"/>
        <v>0</v>
      </c>
      <c r="T58" s="65"/>
      <c r="U58" s="66"/>
      <c r="V58" s="86">
        <f t="shared" si="6"/>
        <v>0</v>
      </c>
      <c r="W58" s="86">
        <f>IF($C58="",0,IF(ISBLANK(#REF!)=FALSE,0,1))</f>
        <v>0</v>
      </c>
      <c r="X58" s="86">
        <f t="shared" si="7"/>
        <v>0</v>
      </c>
      <c r="Y58" s="86">
        <f>IF(OR(ISBLANK(L58), L58=0), 0, IF(OR(K58=Lists!$F$11, K58=Lists!$F$13), 0, 1))</f>
        <v>0</v>
      </c>
      <c r="Z58" s="86">
        <f>IF(OR($C58="", AND(NOT(K58=Lists!$F$11), NOT(K58=Lists!$F$13))),0,IF(ISBLANK(L58)=FALSE,0,1))</f>
        <v>0</v>
      </c>
      <c r="AA58" s="86">
        <f>IF(OR(ISBLANK(N58), N58=0), 0, IF(OR(M58=Lists!$F$11, M58=Lists!$F$13), 0, 1))</f>
        <v>0</v>
      </c>
      <c r="AB58" s="86">
        <f>IF(OR($C58="", AND(NOT(M58=Lists!$F$11), NOT(M58=Lists!$F$13))),0,IF(ISBLANK(N58)=FALSE,0,1))</f>
        <v>0</v>
      </c>
      <c r="AC58" s="86">
        <f>IF(OR(ISBLANK(P58), P58=0), 0, IF(OR(O58=Lists!$F$11, O58=Lists!$F$13), 0, 1))</f>
        <v>0</v>
      </c>
      <c r="AD58" s="86">
        <f>IF(OR($C58="", AND(NOT(O58=Lists!$F$11), NOT(O58=Lists!$F$13))),0,IF(ISBLANK(P58)=FALSE,0,1))</f>
        <v>0</v>
      </c>
      <c r="AE58" s="66"/>
      <c r="AF58" s="438">
        <f xml:space="preserve"> IF(OR( AND( K58 = Lists!$F$11, '3A'!L58 &lt; 0), AND( '3A'!M58 = Lists!$F$11, '3A'!N58 &lt; 0), AND( '3A'!O58 = Lists!$F$11, '3A'!P58 &lt; 0)), 1, 0)</f>
        <v>0</v>
      </c>
      <c r="AG58" s="438">
        <f xml:space="preserve"> IF( OR( AND( K58 = Lists!$F$13, '3A'!L58 &gt; 0), AND( M58 = Lists!$F$13, '3A'!N58 &gt; 0), AND( O58 = Lists!$F$13, '3A'!P58 &gt; 0 )), 1, 0)</f>
        <v>0</v>
      </c>
      <c r="AH58" s="439"/>
      <c r="AI58" s="571" t="str">
        <f>IF($P$1="Select company","",IF((HLOOKUP(((VLOOKUP($P$1,Lists!$B$4:$C$23,2,FALSE))&amp;'PC LIST'!$J$2),'PC list edited'!$A$2:$DT$65,(B58+1),FALSE))=0,"",HLOOKUP(((VLOOKUP($P$1,Lists!$B$4:$C$23,2,FALSE))&amp; 'PC LIST'!$J$2),'PC list edited'!$A$2:$DT$65,(B58+1),FALSE)))</f>
        <v>NFI</v>
      </c>
    </row>
    <row r="59" spans="1:35" s="70" customFormat="1" ht="30" customHeight="1" thickBot="1">
      <c r="A59" s="69"/>
      <c r="B59" s="247">
        <f t="shared" si="3"/>
        <v>55</v>
      </c>
      <c r="C59" s="554" t="str">
        <f>IF($P$1="Select company","",IF((HLOOKUP((VLOOKUP($P$1,Lists!$B$4:$C$23,2,FALSE)),'PC list edited'!$A$2:$DV$65,(B59+1),FALSE))=0,"",HLOOKUP((VLOOKUP($P$1,Lists!$B$4:$C$23,2,FALSE)),'PC list edited'!$A$2:$DV$65,(B59+1),FALSE)))</f>
        <v>PR14TMSHHR_RC2</v>
      </c>
      <c r="D59" s="544" t="str">
        <f>IF($P$1="Select company","",IF(C59 ="","",HLOOKUP(((VLOOKUP($P$1,Lists!$B$4:$C$23,2,FALSE))&amp;"PC"),'PC list edited'!$A$2:$DV$65,(B59+1),FALSE)))</f>
        <v>RC2: Increase cash collection rates (excluding Thames Tideway Tunnel)</v>
      </c>
      <c r="E59" s="269" t="str">
        <f>IF($P$1="Select company","",IF(C59 ="","",HLOOKUP(((VLOOKUP($P$1,Lists!$B$4:$C$23,2,FALSE))&amp;"unit"),'PC list edited'!$A$2:$DV$65,(B59+1),FALSE)))</f>
        <v>%</v>
      </c>
      <c r="F59" s="269" t="str">
        <f>IF($P$1="Select company","",IF(C59 ="","",HLOOKUP(((VLOOKUP($P$1,Lists!$B$4:$C$23,2,FALSE))&amp;"UnitDes"),'PC list edited'!$A$2:$DV$65,(B59+1),FALSE)))</f>
        <v>% of cash collected from billing in the year</v>
      </c>
      <c r="G59" s="269">
        <f>IF($P$1="Select company","",IF(C59="","",HLOOKUP(((VLOOKUP($P$1,Lists!$B$4:$C$23,2,FALSE))&amp;"DP"),'PC list edited'!$A$2:$DV$65,(B59+1),FALSE)))</f>
        <v>1</v>
      </c>
      <c r="H59" s="269">
        <f>IF($P$1="Select company","",IF(C59 = "","",HLOOKUP(((VLOOKUP($P$1,Lists!$B$4:$C$23,2,FALSE))&amp;"201617Actual"),'PC list edited'!$A$2:$DV$65,(B59+1),FALSE)))</f>
        <v>87.86</v>
      </c>
      <c r="I59" s="476">
        <v>89.2</v>
      </c>
      <c r="J59" s="570" t="s">
        <v>1980</v>
      </c>
      <c r="K59" s="433"/>
      <c r="L59" s="434"/>
      <c r="M59" s="433"/>
      <c r="N59" s="434"/>
      <c r="O59" s="433"/>
      <c r="P59" s="435"/>
      <c r="Q59" s="118"/>
      <c r="R59" s="436">
        <f t="shared" si="4"/>
        <v>0</v>
      </c>
      <c r="S59" s="25">
        <f t="shared" si="5"/>
        <v>0</v>
      </c>
      <c r="T59" s="65"/>
      <c r="U59" s="66"/>
      <c r="V59" s="86">
        <f t="shared" si="6"/>
        <v>0</v>
      </c>
      <c r="W59" s="86">
        <f>IF($C59="",0,IF(ISBLANK(#REF!)=FALSE,0,1))</f>
        <v>0</v>
      </c>
      <c r="X59" s="86">
        <f t="shared" si="7"/>
        <v>0</v>
      </c>
      <c r="Y59" s="86">
        <f>IF(OR(ISBLANK(L59), L59=0), 0, IF(OR(K59=Lists!$F$11, K59=Lists!$F$13), 0, 1))</f>
        <v>0</v>
      </c>
      <c r="Z59" s="86">
        <f>IF(OR($C59="", AND(NOT(K59=Lists!$F$11), NOT(K59=Lists!$F$13))),0,IF(ISBLANK(L59)=FALSE,0,1))</f>
        <v>0</v>
      </c>
      <c r="AA59" s="86">
        <f>IF(OR(ISBLANK(N59), N59=0), 0, IF(OR(M59=Lists!$F$11, M59=Lists!$F$13), 0, 1))</f>
        <v>0</v>
      </c>
      <c r="AB59" s="86">
        <f>IF(OR($C59="", AND(NOT(M59=Lists!$F$11), NOT(M59=Lists!$F$13))),0,IF(ISBLANK(N59)=FALSE,0,1))</f>
        <v>0</v>
      </c>
      <c r="AC59" s="86">
        <f>IF(OR(ISBLANK(P59), P59=0), 0, IF(OR(O59=Lists!$F$11, O59=Lists!$F$13), 0, 1))</f>
        <v>0</v>
      </c>
      <c r="AD59" s="86">
        <f>IF(OR($C59="", AND(NOT(O59=Lists!$F$11), NOT(O59=Lists!$F$13))),0,IF(ISBLANK(P59)=FALSE,0,1))</f>
        <v>0</v>
      </c>
      <c r="AE59" s="66"/>
      <c r="AF59" s="438">
        <f xml:space="preserve"> IF(OR( AND( K59 = Lists!$F$11, '3A'!L59 &lt; 0), AND( '3A'!M59 = Lists!$F$11, '3A'!N59 &lt; 0), AND( '3A'!O59 = Lists!$F$11, '3A'!P59 &lt; 0)), 1, 0)</f>
        <v>0</v>
      </c>
      <c r="AG59" s="438">
        <f xml:space="preserve"> IF( OR( AND( K59 = Lists!$F$13, '3A'!L59 &gt; 0), AND( M59 = Lists!$F$13, '3A'!N59 &gt; 0), AND( O59 = Lists!$F$13, '3A'!P59 &gt; 0 )), 1, 0)</f>
        <v>0</v>
      </c>
      <c r="AH59" s="439"/>
      <c r="AI59" s="571" t="str">
        <f>IF($P$1="Select company","",IF((HLOOKUP(((VLOOKUP($P$1,Lists!$B$4:$C$23,2,FALSE))&amp;'PC LIST'!$J$2),'PC list edited'!$A$2:$DT$65,(B59+1),FALSE))=0,"",HLOOKUP(((VLOOKUP($P$1,Lists!$B$4:$C$23,2,FALSE))&amp; 'PC LIST'!$J$2),'PC list edited'!$A$2:$DT$65,(B59+1),FALSE)))</f>
        <v>NFI</v>
      </c>
    </row>
    <row r="60" spans="1:35" s="70" customFormat="1">
      <c r="A60" s="69"/>
      <c r="B60" s="230"/>
      <c r="C60" s="230"/>
      <c r="D60" s="69"/>
      <c r="E60" s="142"/>
      <c r="F60" s="142"/>
      <c r="G60" s="142"/>
      <c r="H60" s="142"/>
      <c r="I60" s="144"/>
      <c r="J60" s="69"/>
      <c r="K60" s="69"/>
      <c r="L60" s="69"/>
      <c r="M60" s="69"/>
      <c r="N60" s="69"/>
      <c r="O60" s="69"/>
      <c r="P60" s="69"/>
      <c r="Q60" s="118"/>
      <c r="R60" s="118"/>
      <c r="S60" s="65"/>
      <c r="T60" s="65"/>
      <c r="U60" s="66"/>
      <c r="V60" s="65"/>
      <c r="W60" s="65"/>
      <c r="X60" s="65"/>
      <c r="Y60" s="65"/>
      <c r="Z60" s="65"/>
      <c r="AA60" s="65"/>
      <c r="AB60" s="65"/>
      <c r="AC60" s="65"/>
      <c r="AD60" s="65"/>
      <c r="AE60" s="66"/>
      <c r="AH60" s="439"/>
    </row>
    <row r="61" spans="1:35" s="142" customFormat="1">
      <c r="B61" s="2195" t="s">
        <v>275</v>
      </c>
      <c r="C61" s="2195"/>
      <c r="I61" s="613"/>
      <c r="P61" s="116"/>
      <c r="Q61" s="65"/>
      <c r="R61" s="65"/>
      <c r="S61" s="65"/>
      <c r="T61" s="65"/>
      <c r="U61" s="66"/>
      <c r="V61" s="65"/>
      <c r="W61" s="65"/>
      <c r="X61" s="65"/>
      <c r="Y61" s="65"/>
      <c r="Z61" s="65"/>
      <c r="AA61" s="65"/>
      <c r="AB61" s="65"/>
      <c r="AC61" s="65"/>
      <c r="AD61" s="65"/>
      <c r="AE61" s="66"/>
      <c r="AH61" s="440"/>
    </row>
    <row r="62" spans="1:35" s="142" customFormat="1">
      <c r="B62" s="127"/>
      <c r="C62" s="127"/>
      <c r="I62" s="613"/>
      <c r="O62" s="116"/>
      <c r="Q62" s="65"/>
      <c r="R62" s="65"/>
      <c r="S62" s="65"/>
      <c r="T62" s="65"/>
      <c r="U62" s="66"/>
      <c r="V62" s="65"/>
      <c r="W62" s="65"/>
      <c r="X62" s="65"/>
      <c r="Y62" s="65"/>
      <c r="Z62" s="65"/>
      <c r="AA62" s="65"/>
      <c r="AB62" s="65"/>
      <c r="AC62" s="65"/>
      <c r="AD62" s="65"/>
      <c r="AE62" s="66"/>
      <c r="AH62" s="440"/>
    </row>
    <row r="63" spans="1:35" s="142" customFormat="1">
      <c r="B63" s="26"/>
      <c r="C63" s="129" t="s">
        <v>249</v>
      </c>
      <c r="I63" s="613"/>
      <c r="O63" s="116"/>
      <c r="Q63" s="65"/>
      <c r="R63" s="65"/>
      <c r="S63" s="65"/>
      <c r="T63" s="65"/>
      <c r="U63" s="66"/>
      <c r="V63" s="65"/>
      <c r="W63" s="65"/>
      <c r="X63" s="65"/>
      <c r="Y63" s="65"/>
      <c r="Z63" s="65"/>
      <c r="AA63" s="65"/>
      <c r="AB63" s="65"/>
      <c r="AC63" s="65"/>
      <c r="AD63" s="65"/>
      <c r="AE63" s="66"/>
      <c r="AH63" s="440"/>
    </row>
    <row r="64" spans="1:35" s="142" customFormat="1">
      <c r="B64" s="127"/>
      <c r="C64" s="128"/>
      <c r="I64" s="613"/>
      <c r="O64" s="116"/>
      <c r="Q64" s="65"/>
      <c r="R64" s="65"/>
      <c r="S64" s="65"/>
      <c r="T64" s="65"/>
      <c r="U64" s="66"/>
      <c r="V64" s="65"/>
      <c r="W64" s="65"/>
      <c r="X64" s="65"/>
      <c r="Y64" s="65"/>
      <c r="Z64" s="65"/>
      <c r="AA64" s="65"/>
      <c r="AB64" s="65"/>
      <c r="AC64" s="65"/>
      <c r="AD64" s="65"/>
      <c r="AE64" s="66"/>
      <c r="AH64" s="440"/>
    </row>
    <row r="65" spans="2:34" s="142" customFormat="1">
      <c r="B65" s="130"/>
      <c r="C65" s="129" t="s">
        <v>250</v>
      </c>
      <c r="I65" s="613"/>
      <c r="O65" s="116"/>
      <c r="Q65" s="65"/>
      <c r="R65" s="65"/>
      <c r="S65" s="65"/>
      <c r="T65" s="65"/>
      <c r="U65" s="66"/>
      <c r="V65" s="65"/>
      <c r="W65" s="65"/>
      <c r="X65" s="65"/>
      <c r="Y65" s="65"/>
      <c r="Z65" s="65"/>
      <c r="AA65" s="65"/>
      <c r="AB65" s="65"/>
      <c r="AC65" s="65"/>
      <c r="AD65" s="65"/>
      <c r="AE65" s="66"/>
      <c r="AH65" s="440"/>
    </row>
    <row r="66" spans="2:34" s="142" customFormat="1">
      <c r="B66" s="131"/>
      <c r="C66" s="129"/>
      <c r="I66" s="613"/>
      <c r="O66" s="116"/>
      <c r="Q66" s="65"/>
      <c r="R66" s="65"/>
      <c r="S66" s="65"/>
      <c r="T66" s="65"/>
      <c r="U66" s="66"/>
      <c r="V66" s="65"/>
      <c r="W66" s="65"/>
      <c r="X66" s="65"/>
      <c r="Y66" s="65"/>
      <c r="Z66" s="65"/>
      <c r="AA66" s="65"/>
      <c r="AB66" s="65"/>
      <c r="AC66" s="65"/>
      <c r="AD66" s="65"/>
      <c r="AE66" s="66"/>
      <c r="AH66" s="440"/>
    </row>
    <row r="67" spans="2:34" ht="15" thickBot="1"/>
    <row r="68" spans="2:34" ht="16.5" thickBot="1">
      <c r="B68" s="1166" t="s">
        <v>251</v>
      </c>
      <c r="C68" s="133"/>
      <c r="D68" s="134"/>
      <c r="E68" s="134"/>
      <c r="F68" s="134"/>
      <c r="G68" s="134"/>
      <c r="H68" s="134"/>
      <c r="I68" s="614"/>
      <c r="J68" s="134"/>
      <c r="K68" s="134"/>
      <c r="L68" s="134"/>
      <c r="M68" s="134"/>
      <c r="N68" s="134"/>
      <c r="O68" s="134"/>
      <c r="P68" s="216"/>
    </row>
    <row r="69" spans="2:34"/>
    <row r="70" spans="2:34" hidden="1">
      <c r="Q70"/>
      <c r="R70"/>
      <c r="S70"/>
    </row>
    <row r="71" spans="2:34" hidden="1">
      <c r="Q71"/>
      <c r="R71"/>
      <c r="S71"/>
    </row>
    <row r="72" spans="2:34" hidden="1">
      <c r="Q72"/>
      <c r="R72"/>
      <c r="S72"/>
    </row>
    <row r="73" spans="2:34" hidden="1">
      <c r="Q73"/>
      <c r="R73"/>
      <c r="S73"/>
    </row>
    <row r="74" spans="2:34" hidden="1">
      <c r="Q74"/>
      <c r="R74"/>
      <c r="S74"/>
    </row>
    <row r="75" spans="2:34" hidden="1">
      <c r="Q75"/>
      <c r="R75"/>
      <c r="S75"/>
    </row>
    <row r="76" spans="2:34" hidden="1">
      <c r="Q76"/>
      <c r="R76"/>
      <c r="S76"/>
    </row>
    <row r="77" spans="2:34" hidden="1">
      <c r="Q77"/>
      <c r="R77"/>
      <c r="S77"/>
    </row>
    <row r="78" spans="2:34" hidden="1">
      <c r="Q78"/>
      <c r="R78"/>
      <c r="S78"/>
    </row>
    <row r="79" spans="2:34" hidden="1">
      <c r="Q79"/>
      <c r="R79"/>
      <c r="S79"/>
    </row>
  </sheetData>
  <sheetProtection algorithmName="SHA-512" hashValue="njlRVY/A5biBnkuPusEno7X5blHID/fWJor2euwj+3RqlhEG7MLttGKHK9wrNW9p/Ve15UMzS48ZNtRuslnXDA==" saltValue="C1cUP3cE1VAehHByKQq8dw==" spinCount="100000" sheet="1" objects="1" scenarios="1"/>
  <conditionalFormatting sqref="R5:S59">
    <cfRule type="cellIs" dxfId="526" priority="23" operator="equal">
      <formula>0</formula>
    </cfRule>
  </conditionalFormatting>
  <conditionalFormatting sqref="K5:P59">
    <cfRule type="expression" dxfId="525" priority="10">
      <formula xml:space="preserve"> $AI5 = "NFI"</formula>
    </cfRule>
  </conditionalFormatting>
  <conditionalFormatting sqref="H5:I59">
    <cfRule type="expression" dxfId="524" priority="3" stopIfTrue="1">
      <formula xml:space="preserve"> INDIRECT("G" &amp; ROW()) = 0</formula>
    </cfRule>
    <cfRule type="expression" dxfId="523" priority="4" stopIfTrue="1">
      <formula xml:space="preserve"> INDIRECT("G" &amp; ROW()) = 1</formula>
    </cfRule>
    <cfRule type="expression" dxfId="522" priority="5" stopIfTrue="1">
      <formula xml:space="preserve"> INDIRECT("G" &amp; ROW()) = 2</formula>
    </cfRule>
    <cfRule type="expression" dxfId="521" priority="6" stopIfTrue="1">
      <formula xml:space="preserve"> INDIRECT("G" &amp; ROW()) = 3</formula>
    </cfRule>
    <cfRule type="expression" dxfId="520" priority="7" stopIfTrue="1">
      <formula xml:space="preserve"> INDIRECT("G" &amp; ROW()) = 4</formula>
    </cfRule>
    <cfRule type="expression" dxfId="519" priority="8" stopIfTrue="1">
      <formula xml:space="preserve"> INDIRECT("G" &amp; ROW()) = 5</formula>
    </cfRule>
    <cfRule type="expression" dxfId="518" priority="9" stopIfTrue="1">
      <formula xml:space="preserve"> INDIRECT("G" &amp; ROW()) = 6</formula>
    </cfRule>
  </conditionalFormatting>
  <conditionalFormatting sqref="I18">
    <cfRule type="expression" dxfId="517" priority="1" stopIfTrue="1">
      <formula xml:space="preserve"> INDIRECT("G" &amp; ROW()) = "mins:secs"</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9" id="{A9E25563-0041-40CC-9DD4-C9FAEB0E0361}">
            <xm:f>K5=Lists!$F$16</xm:f>
            <x14:dxf>
              <fill>
                <patternFill>
                  <bgColor rgb="FFE0DCD8"/>
                </patternFill>
              </fill>
            </x14:dxf>
          </x14:cfRule>
          <x14:cfRule type="expression" priority="20" id="{744E93E1-46DD-4CBD-82E0-625EFF7B7179}">
            <xm:f>K5=Lists!$F$15</xm:f>
            <x14:dxf>
              <fill>
                <patternFill>
                  <bgColor rgb="FFE0DCD8"/>
                </patternFill>
              </fill>
            </x14:dxf>
          </x14:cfRule>
          <x14:cfRule type="expression" priority="21" id="{707EE4B1-0291-463F-8E26-85E4DD55D361}">
            <xm:f>K5=Lists!$F$14</xm:f>
            <x14:dxf>
              <fill>
                <patternFill>
                  <bgColor rgb="FFE0DCD8"/>
                </patternFill>
              </fill>
            </x14:dxf>
          </x14:cfRule>
          <x14:cfRule type="expression" priority="22" id="{0766AFC6-67B9-43A3-B735-EA6B8C679E3B}">
            <xm:f>K5=Lists!$F$12</xm:f>
            <x14:dxf>
              <font>
                <color auto="1"/>
              </font>
              <fill>
                <patternFill>
                  <bgColor rgb="FFE0DCD8"/>
                </patternFill>
              </fill>
            </x14:dxf>
          </x14:cfRule>
          <xm:sqref>L5:L59</xm:sqref>
        </x14:conditionalFormatting>
        <x14:conditionalFormatting xmlns:xm="http://schemas.microsoft.com/office/excel/2006/main">
          <x14:cfRule type="expression" priority="15" id="{F69E6454-E493-4BEB-82ED-832A15E2A4C6}">
            <xm:f>M5=Lists!$F$16</xm:f>
            <x14:dxf>
              <fill>
                <patternFill>
                  <bgColor rgb="FFE0DCD8"/>
                </patternFill>
              </fill>
            </x14:dxf>
          </x14:cfRule>
          <x14:cfRule type="expression" priority="16" id="{63F4D9E1-AFF7-4290-871B-712E643C504B}">
            <xm:f>M5=Lists!$F$15</xm:f>
            <x14:dxf>
              <fill>
                <patternFill>
                  <bgColor rgb="FFE0DCD8"/>
                </patternFill>
              </fill>
            </x14:dxf>
          </x14:cfRule>
          <x14:cfRule type="expression" priority="17" id="{627EDD62-D94D-4A0E-84C1-F3C2E2DCF8AA}">
            <xm:f>M5=Lists!$F$14</xm:f>
            <x14:dxf>
              <fill>
                <patternFill>
                  <bgColor rgb="FFE0DCD8"/>
                </patternFill>
              </fill>
            </x14:dxf>
          </x14:cfRule>
          <x14:cfRule type="expression" priority="18" id="{CDD2C458-6B8D-4215-9020-60B771EF8EE9}">
            <xm:f>M5=Lists!$F$12</xm:f>
            <x14:dxf>
              <font>
                <color auto="1"/>
              </font>
              <fill>
                <patternFill>
                  <bgColor rgb="FFE0DCD8"/>
                </patternFill>
              </fill>
            </x14:dxf>
          </x14:cfRule>
          <xm:sqref>N5:N59</xm:sqref>
        </x14:conditionalFormatting>
        <x14:conditionalFormatting xmlns:xm="http://schemas.microsoft.com/office/excel/2006/main">
          <x14:cfRule type="expression" priority="11" id="{ADA781DA-03C2-403B-8F25-5AAF4237E54A}">
            <xm:f>O5=Lists!$F$16</xm:f>
            <x14:dxf>
              <fill>
                <patternFill>
                  <bgColor rgb="FFE0DCD8"/>
                </patternFill>
              </fill>
            </x14:dxf>
          </x14:cfRule>
          <x14:cfRule type="expression" priority="12" id="{00B40E04-927E-4785-89F9-72F4091C5C1E}">
            <xm:f>O5=Lists!$F$15</xm:f>
            <x14:dxf>
              <fill>
                <patternFill>
                  <bgColor rgb="FFE0DCD8"/>
                </patternFill>
              </fill>
            </x14:dxf>
          </x14:cfRule>
          <x14:cfRule type="expression" priority="13" id="{2B30CA79-787E-44E0-8F7D-34610284DB1F}">
            <xm:f>O5=Lists!$F$14</xm:f>
            <x14:dxf>
              <fill>
                <patternFill>
                  <bgColor rgb="FFE0DCD8"/>
                </patternFill>
              </fill>
            </x14:dxf>
          </x14:cfRule>
          <x14:cfRule type="expression" priority="14" id="{A3FAF9E0-EF65-4430-8BEE-BCEC3463DE7F}">
            <xm:f>O5=Lists!$F$12</xm:f>
            <x14:dxf>
              <font>
                <color auto="1"/>
              </font>
              <fill>
                <patternFill>
                  <bgColor rgb="FFE0DCD8"/>
                </patternFill>
              </fill>
            </x14:dxf>
          </x14:cfRule>
          <xm:sqref>P5:P59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Lists!$F$11:$F$15</xm:f>
          </x14:formula1>
          <xm:sqref>K5:K59 M5:M59 O5:O59</xm:sqref>
        </x14:dataValidation>
        <x14:dataValidation type="list" allowBlank="1" showInputMessage="1" showErrorMessage="1" xr:uid="{00000000-0002-0000-1800-000001000000}">
          <x14:formula1>
            <xm:f>Lists!$F$6:$F$8</xm:f>
          </x14:formula1>
          <xm:sqref>J5:J59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fitToPage="1"/>
  </sheetPr>
  <dimension ref="A1:V54"/>
  <sheetViews>
    <sheetView showGridLines="0" topLeftCell="A13" zoomScale="80" zoomScaleNormal="80" workbookViewId="0">
      <selection activeCell="J5" sqref="J5:J28"/>
    </sheetView>
  </sheetViews>
  <sheetFormatPr defaultColWidth="0" defaultRowHeight="14.25" zeroHeight="1"/>
  <cols>
    <col min="1" max="1" width="0.625" style="445" customWidth="1"/>
    <col min="2" max="2" width="6.125" style="445" customWidth="1"/>
    <col min="3" max="3" width="17.125" style="445" bestFit="1" customWidth="1"/>
    <col min="4" max="4" width="14" style="464" customWidth="1"/>
    <col min="5" max="5" width="75" style="445" customWidth="1"/>
    <col min="6" max="6" width="8.625" style="464" customWidth="1"/>
    <col min="7" max="7" width="12.625" style="464" customWidth="1"/>
    <col min="8" max="8" width="18.625" style="464" customWidth="1"/>
    <col min="9" max="9" width="18.625" style="468" customWidth="1"/>
    <col min="10" max="10" width="9" style="470" customWidth="1"/>
    <col min="11" max="11" width="4" style="445" customWidth="1"/>
    <col min="12" max="12" width="33.625" style="445" customWidth="1"/>
    <col min="13" max="13" width="23" style="445" bestFit="1" customWidth="1"/>
    <col min="14" max="14" width="1.625" style="445" customWidth="1"/>
    <col min="15" max="15" width="1.625" style="446" hidden="1" customWidth="1"/>
    <col min="16" max="17" width="9.125" style="447" hidden="1" customWidth="1"/>
    <col min="18" max="18" width="1.625" style="478" hidden="1" customWidth="1"/>
    <col min="19" max="20" width="9.125" style="447" hidden="1" customWidth="1"/>
    <col min="21" max="21" width="1.625" style="478" hidden="1" customWidth="1"/>
    <col min="22" max="22" width="1.625" style="445" hidden="1" customWidth="1"/>
    <col min="23" max="16384" width="9" style="445" hidden="1"/>
  </cols>
  <sheetData>
    <row r="1" spans="1:20" ht="20.25">
      <c r="A1" s="141"/>
      <c r="B1" s="62" t="s">
        <v>1995</v>
      </c>
      <c r="C1" s="62"/>
      <c r="D1" s="460"/>
      <c r="E1" s="62"/>
      <c r="F1" s="62" t="str">
        <f>Validation!B3</f>
        <v>Thames Water</v>
      </c>
      <c r="G1" s="460"/>
      <c r="H1" s="460"/>
      <c r="I1" s="465"/>
      <c r="J1" s="64"/>
      <c r="K1" s="64"/>
      <c r="L1" s="64"/>
      <c r="M1" s="64" t="s">
        <v>94</v>
      </c>
    </row>
    <row r="2" spans="1:20" ht="19.5" thickBot="1">
      <c r="B2" s="448" t="s">
        <v>80</v>
      </c>
      <c r="C2" s="449"/>
      <c r="D2" s="471"/>
      <c r="E2" s="141"/>
      <c r="F2" s="141"/>
      <c r="G2" s="141"/>
      <c r="H2" s="141"/>
      <c r="I2" s="466"/>
      <c r="J2" s="469"/>
      <c r="K2" s="141"/>
      <c r="L2" s="141"/>
      <c r="M2" s="450"/>
      <c r="P2" s="71" t="s">
        <v>107</v>
      </c>
      <c r="Q2" s="451"/>
      <c r="S2" s="451" t="s">
        <v>1996</v>
      </c>
      <c r="T2" s="451"/>
    </row>
    <row r="3" spans="1:20" ht="27.75" thickBot="1">
      <c r="B3" s="2203" t="s">
        <v>1954</v>
      </c>
      <c r="C3" s="2203" t="s">
        <v>1955</v>
      </c>
      <c r="D3" s="261" t="s">
        <v>1997</v>
      </c>
      <c r="E3" s="260" t="s">
        <v>1998</v>
      </c>
      <c r="F3" s="261" t="s">
        <v>3</v>
      </c>
      <c r="G3" s="261" t="s">
        <v>26</v>
      </c>
      <c r="H3" s="261" t="s">
        <v>1999</v>
      </c>
      <c r="I3" s="467" t="s">
        <v>1959</v>
      </c>
      <c r="J3" s="253" t="s">
        <v>1960</v>
      </c>
      <c r="K3" s="450"/>
      <c r="L3" s="160" t="s">
        <v>1967</v>
      </c>
      <c r="M3" s="161" t="s">
        <v>103</v>
      </c>
      <c r="P3" s="452" t="s">
        <v>108</v>
      </c>
      <c r="S3" s="447" t="s">
        <v>2000</v>
      </c>
    </row>
    <row r="4" spans="1:20" ht="7.5" customHeight="1" thickBot="1">
      <c r="B4" s="141"/>
      <c r="C4" s="141"/>
      <c r="D4" s="251"/>
      <c r="E4" s="141"/>
      <c r="F4" s="251"/>
      <c r="G4" s="251"/>
      <c r="H4" s="251"/>
      <c r="I4" s="466"/>
      <c r="J4" s="469"/>
      <c r="P4" s="447" t="s">
        <v>1972</v>
      </c>
      <c r="Q4" s="447" t="s">
        <v>1973</v>
      </c>
    </row>
    <row r="5" spans="1:20" ht="30" customHeight="1">
      <c r="B5" s="453">
        <v>1</v>
      </c>
      <c r="C5" s="454" t="str">
        <f>IF($F$1="Select company","",IF((HLOOKUP((VLOOKUP($F$1,Lists!$B$4:$C$23,2,FALSE)),'SUB list edited'!$A$2:$DC$42,($B5+1),FALSE))=0,"",HLOOKUP((VLOOKUP($F$1,Lists!$B$4:$C$23,2,FALSE)),'SUB list edited'!$A$2:$DC$42,($B5+1),FALSE)))</f>
        <v>PR14TMSWSW_WB1</v>
      </c>
      <c r="D5" s="461" t="str">
        <f>IF($F$1="Select company","",IF(C5 = "","",HLOOKUP(((VLOOKUP($F$1,Lists!$B$4:$C$23,2,FALSE))&amp;"ID"),'SUB list edited'!$A$2:$DC$42,($B5+1),FALSE)))</f>
        <v>00</v>
      </c>
      <c r="E5" s="454" t="str">
        <f>IF($F$1="Select company","",IF(C5 = "","",HLOOKUP(((VLOOKUP($F$1,Lists!$B$4:$C$23,2,FALSE))&amp;"PC"),'SUB list edited'!$A$2:$DC$42,($B5+1),FALSE)))</f>
        <v>WB1: Asset health water infrastructure</v>
      </c>
      <c r="F5" s="461" t="str">
        <f>IF($F$1="Select company","",IF(C5 = "","",HLOOKUP(((VLOOKUP($F$1,Lists!$B$4:$C$23,2,FALSE))&amp;"unit"),'SUB list edited'!$A$2:$DC$42,($B5+1),FALSE)))</f>
        <v>category</v>
      </c>
      <c r="G5" s="1174" t="str">
        <f>IF($F$1="Select company","",IF(C5="","",HLOOKUP(((VLOOKUP($F$1,Lists!$B$4:$C$23,2,FALSE))&amp;"DP"),'SUB list edited'!$A$2:$DC$42,($B5+1),FALSE)))</f>
        <v>na</v>
      </c>
      <c r="H5" s="267" t="str">
        <f>IF($F$1="Select company","",IF(C5 = "","",HLOOKUP(((VLOOKUP($F$1,Lists!$B$4:$C$23,2,FALSE))&amp;"201617ActPerf"),'SUB list edited'!$A$2:$DD$42,($B5+1),FALSE)))</f>
        <v>Marginal</v>
      </c>
      <c r="I5" s="2158" t="s">
        <v>1982</v>
      </c>
      <c r="J5" s="473" t="s">
        <v>1980</v>
      </c>
      <c r="L5" s="455">
        <f>IF(SUM(S5:T5) &gt; 0, $S$3, 0)</f>
        <v>0</v>
      </c>
      <c r="M5" s="455">
        <f>IF(SUM(P5:Q5) &gt; 0, $P$3, 0)</f>
        <v>0</v>
      </c>
      <c r="P5" s="451">
        <f>IF($C5="", 0, IF(ISBLANK(I5), 1, 0))</f>
        <v>0</v>
      </c>
      <c r="Q5" s="451">
        <f>IF($C5="", 0, IF(ISBLANK(J5), 1, 0))</f>
        <v>0</v>
      </c>
      <c r="S5" s="451">
        <f xml:space="preserve"> IF(C5 = "", 0, IF(AND(NOT(INDEX('3A'!I$5:I$59, MATCH('3B'!$C5, '3A'!$C$5:$C$59, 0))=I5), $D5="00"), 1, 0))</f>
        <v>0</v>
      </c>
      <c r="T5" s="451">
        <f xml:space="preserve"> IF(C5 = "", 0, IF(AND(NOT(INDEX('3A'!J$5:J$59, MATCH('3B'!$C5, '3A'!$C$5:$C$59, 0))=J5), $D5="00"), 1, 0))</f>
        <v>0</v>
      </c>
    </row>
    <row r="6" spans="1:20" ht="30" customHeight="1">
      <c r="B6" s="456">
        <f xml:space="preserve"> B5 + 1</f>
        <v>2</v>
      </c>
      <c r="C6" s="457" t="str">
        <f>IF($F$1="Select company","",IF((HLOOKUP((VLOOKUP($F$1,Lists!$B$4:$C$23,2,FALSE)),'SUB list edited'!$A$2:$DC$42,($B6+1),FALSE))=0,"",HLOOKUP((VLOOKUP($F$1,Lists!$B$4:$C$23,2,FALSE)),'SUB list edited'!$A$2:$DC$42,($B6+1),FALSE)))</f>
        <v>PR14TMSWSW_WB1</v>
      </c>
      <c r="D6" s="462" t="str">
        <f>IF($F$1="Select company","",IF(C6 = "","",HLOOKUP(((VLOOKUP($F$1,Lists!$B$4:$C$23,2,FALSE))&amp;"ID"),'SUB list edited'!$A$2:$DC$42,($B6+1),FALSE)))</f>
        <v>01</v>
      </c>
      <c r="E6" s="457" t="str">
        <f>IF($F$1="Select company","",IF(C6 = "","",HLOOKUP(((VLOOKUP($F$1,Lists!$B$4:$C$23,2,FALSE))&amp;"PC"),'SUB list edited'!$A$2:$DC$42,($B6+1),FALSE)))</f>
        <v>Total bursts</v>
      </c>
      <c r="F6" s="462" t="str">
        <f>IF($F$1="Select company","",IF(C6 = "","",HLOOKUP(((VLOOKUP($F$1,Lists!$B$4:$C$23,2,FALSE))&amp;"unit"),'SUB list edited'!$A$2:$DC$42,($B6+1),FALSE)))</f>
        <v>nr</v>
      </c>
      <c r="G6" s="1175" t="str">
        <f>IF($F$1="Select company","",IF(C6="","",HLOOKUP(((VLOOKUP($F$1,Lists!$B$4:$C$23,2,FALSE))&amp;"DP"),'SUB list edited'!$A$2:$DC$42,($B6+1),FALSE)))</f>
        <v>0</v>
      </c>
      <c r="H6" s="268">
        <f>IF($F$1="Select company","",IF(C6 = "","",HLOOKUP(((VLOOKUP($F$1,Lists!$B$4:$C$23,2,FALSE))&amp;"201617ActPerf"),'SUB list edited'!$A$2:$DD$42,($B6+1),FALSE)))</f>
        <v>8326</v>
      </c>
      <c r="I6" s="474">
        <v>8546</v>
      </c>
      <c r="J6" s="475" t="s">
        <v>1979</v>
      </c>
      <c r="L6" s="455">
        <f>IF(SUM(S6:T6) &gt; 0, $S$3, 0)</f>
        <v>0</v>
      </c>
      <c r="M6" s="455">
        <f t="shared" ref="M6:M44" si="0">IF(SUM(P6:Q6) &gt; 0, $P$3, 0)</f>
        <v>0</v>
      </c>
      <c r="P6" s="451">
        <f t="shared" ref="P6:P44" si="1">IF($C6="", 0, IF(ISBLANK(I6), 1, 0))</f>
        <v>0</v>
      </c>
      <c r="Q6" s="451">
        <f t="shared" ref="Q6:Q44" si="2">IF($C6="", 0, IF(ISBLANK(J6), 1, 0))</f>
        <v>0</v>
      </c>
      <c r="S6" s="451">
        <f xml:space="preserve"> IF(C6 = "", 0, IF(AND(NOT(INDEX('3A'!I$5:I$59, MATCH('3B'!$C6, '3A'!$C$5:$C$59, 0))=I6), $D6="00"), 1, 0))</f>
        <v>0</v>
      </c>
      <c r="T6" s="451">
        <f xml:space="preserve"> IF(C6 = "", 0, IF(AND(NOT(INDEX('3A'!J$5:J$59, MATCH('3B'!$C6, '3A'!$C$5:$C$59, 0))=J6), $D6="00"), 1, 0))</f>
        <v>0</v>
      </c>
    </row>
    <row r="7" spans="1:20" ht="30" customHeight="1">
      <c r="B7" s="456">
        <f t="shared" ref="B7:B11" si="3" xml:space="preserve"> B6 + 1</f>
        <v>3</v>
      </c>
      <c r="C7" s="457" t="str">
        <f>IF($F$1="Select company","",IF((HLOOKUP((VLOOKUP($F$1,Lists!$B$4:$C$23,2,FALSE)),'SUB list edited'!$A$2:$DC$42,($B7+1),FALSE))=0,"",HLOOKUP((VLOOKUP($F$1,Lists!$B$4:$C$23,2,FALSE)),'SUB list edited'!$A$2:$DC$42,($B7+1),FALSE)))</f>
        <v>PR14TMSWSW_WB1</v>
      </c>
      <c r="D7" s="462" t="str">
        <f>IF($F$1="Select company","",IF(C7 = "","",HLOOKUP(((VLOOKUP($F$1,Lists!$B$4:$C$23,2,FALSE))&amp;"ID"),'SUB list edited'!$A$2:$DC$42,($B7+1),FALSE)))</f>
        <v>02</v>
      </c>
      <c r="E7" s="457" t="str">
        <f>IF($F$1="Select company","",IF(C7 = "","",HLOOKUP(((VLOOKUP($F$1,Lists!$B$4:$C$23,2,FALSE))&amp;"PC"),'SUB list edited'!$A$2:$DC$42,($B7+1),FALSE)))</f>
        <v>Unplanned interruptions to customer &gt;12 hours (DG3)</v>
      </c>
      <c r="F7" s="462" t="str">
        <f>IF($F$1="Select company","",IF(C7 = "","",HLOOKUP(((VLOOKUP($F$1,Lists!$B$4:$C$23,2,FALSE))&amp;"unit"),'SUB list edited'!$A$2:$DC$42,($B7+1),FALSE)))</f>
        <v>nr</v>
      </c>
      <c r="G7" s="1175" t="str">
        <f>IF($F$1="Select company","",IF(C7="","",HLOOKUP(((VLOOKUP($F$1,Lists!$B$4:$C$23,2,FALSE))&amp;"DP"),'SUB list edited'!$A$2:$DC$42,($B7+1),FALSE)))</f>
        <v>0</v>
      </c>
      <c r="H7" s="268">
        <f>IF($F$1="Select company","",IF(C7 = "","",HLOOKUP(((VLOOKUP($F$1,Lists!$B$4:$C$23,2,FALSE))&amp;"201617ActPerf"),'SUB list edited'!$A$2:$DD$42,($B7+1),FALSE)))</f>
        <v>6051</v>
      </c>
      <c r="I7" s="474">
        <v>23457</v>
      </c>
      <c r="J7" s="475" t="s">
        <v>1980</v>
      </c>
      <c r="L7" s="455">
        <f t="shared" ref="L7:L44" si="4">IF(SUM(S7:T7) &gt; 0, $S$3, 0)</f>
        <v>0</v>
      </c>
      <c r="M7" s="455">
        <f t="shared" si="0"/>
        <v>0</v>
      </c>
      <c r="P7" s="451">
        <f t="shared" si="1"/>
        <v>0</v>
      </c>
      <c r="Q7" s="451">
        <f t="shared" si="2"/>
        <v>0</v>
      </c>
      <c r="S7" s="451">
        <f xml:space="preserve"> IF(C7 = "", 0, IF(AND(NOT(INDEX('3A'!I$5:I$59, MATCH('3B'!$C7, '3A'!$C$5:$C$59, 0))=I7), $D7="00"), 1, 0))</f>
        <v>0</v>
      </c>
      <c r="T7" s="451">
        <f xml:space="preserve"> IF(C7 = "", 0, IF(AND(NOT(INDEX('3A'!J$5:J$59, MATCH('3B'!$C7, '3A'!$C$5:$C$59, 0))=J7), $D7="00"), 1, 0))</f>
        <v>0</v>
      </c>
    </row>
    <row r="8" spans="1:20" ht="30" customHeight="1">
      <c r="B8" s="456">
        <f t="shared" si="3"/>
        <v>4</v>
      </c>
      <c r="C8" s="457" t="str">
        <f>IF($F$1="Select company","",IF((HLOOKUP((VLOOKUP($F$1,Lists!$B$4:$C$23,2,FALSE)),'SUB list edited'!$A$2:$DC$42,($B8+1),FALSE))=0,"",HLOOKUP((VLOOKUP($F$1,Lists!$B$4:$C$23,2,FALSE)),'SUB list edited'!$A$2:$DC$42,($B8+1),FALSE)))</f>
        <v>PR14TMSWSW_WB1</v>
      </c>
      <c r="D8" s="462" t="str">
        <f>IF($F$1="Select company","",IF(C8 = "","",HLOOKUP(((VLOOKUP($F$1,Lists!$B$4:$C$23,2,FALSE))&amp;"ID"),'SUB list edited'!$A$2:$DC$42,($B8+1),FALSE)))</f>
        <v>03</v>
      </c>
      <c r="E8" s="457" t="str">
        <f>IF($F$1="Select company","",IF(C8 = "","",HLOOKUP(((VLOOKUP($F$1,Lists!$B$4:$C$23,2,FALSE))&amp;"PC"),'SUB list edited'!$A$2:$DC$42,($B8+1),FALSE)))</f>
        <v>Iron mean zonal non-compliance</v>
      </c>
      <c r="F8" s="462" t="str">
        <f>IF($F$1="Select company","",IF(C8 = "","",HLOOKUP(((VLOOKUP($F$1,Lists!$B$4:$C$23,2,FALSE))&amp;"unit"),'SUB list edited'!$A$2:$DC$42,($B8+1),FALSE)))</f>
        <v>%</v>
      </c>
      <c r="G8" s="1175">
        <f>IF($F$1="Select company","",IF(C8="","",HLOOKUP(((VLOOKUP($F$1,Lists!$B$4:$C$23,2,FALSE))&amp;"DP"),'SUB list edited'!$A$2:$DC$42,($B8+1),FALSE)))</f>
        <v>2</v>
      </c>
      <c r="H8" s="268">
        <f>IF($F$1="Select company","",IF(C8 = "","",HLOOKUP(((VLOOKUP($F$1,Lists!$B$4:$C$23,2,FALSE))&amp;"201617ActPerf"),'SUB list edited'!$A$2:$DD$42,($B8+1),FALSE)))</f>
        <v>0.09</v>
      </c>
      <c r="I8" s="474">
        <v>7.0000000000000007E-2</v>
      </c>
      <c r="J8" s="475" t="s">
        <v>1979</v>
      </c>
      <c r="L8" s="455">
        <f t="shared" si="4"/>
        <v>0</v>
      </c>
      <c r="M8" s="455">
        <f t="shared" si="0"/>
        <v>0</v>
      </c>
      <c r="P8" s="451">
        <f t="shared" si="1"/>
        <v>0</v>
      </c>
      <c r="Q8" s="451">
        <f t="shared" si="2"/>
        <v>0</v>
      </c>
      <c r="S8" s="451">
        <f xml:space="preserve"> IF(C8 = "", 0, IF(AND(NOT(INDEX('3A'!I$5:I$59, MATCH('3B'!$C8, '3A'!$C$5:$C$59, 0))=I8), $D8="00"), 1, 0))</f>
        <v>0</v>
      </c>
      <c r="T8" s="451">
        <f xml:space="preserve"> IF(C8 = "", 0, IF(AND(NOT(INDEX('3A'!J$5:J$59, MATCH('3B'!$C8, '3A'!$C$5:$C$59, 0))=J8), $D8="00"), 1, 0))</f>
        <v>0</v>
      </c>
    </row>
    <row r="9" spans="1:20" ht="30" customHeight="1">
      <c r="B9" s="456">
        <f t="shared" si="3"/>
        <v>5</v>
      </c>
      <c r="C9" s="457" t="str">
        <f>IF($F$1="Select company","",IF((HLOOKUP((VLOOKUP($F$1,Lists!$B$4:$C$23,2,FALSE)),'SUB list edited'!$A$2:$DC$42,($B9+1),FALSE))=0,"",HLOOKUP((VLOOKUP($F$1,Lists!$B$4:$C$23,2,FALSE)),'SUB list edited'!$A$2:$DC$42,($B9+1),FALSE)))</f>
        <v>PR14TMSWSW_WB1</v>
      </c>
      <c r="D9" s="462" t="str">
        <f>IF($F$1="Select company","",IF(C9 = "","",HLOOKUP(((VLOOKUP($F$1,Lists!$B$4:$C$23,2,FALSE))&amp;"ID"),'SUB list edited'!$A$2:$DC$42,($B9+1),FALSE)))</f>
        <v>04</v>
      </c>
      <c r="E9" s="457" t="str">
        <f>IF($F$1="Select company","",IF(C9 = "","",HLOOKUP(((VLOOKUP($F$1,Lists!$B$4:$C$23,2,FALSE))&amp;"PC"),'SUB list edited'!$A$2:$DC$42,($B9+1),FALSE)))</f>
        <v>Inadequate pressure (DG2)</v>
      </c>
      <c r="F9" s="462" t="str">
        <f>IF($F$1="Select company","",IF(C9 = "","",HLOOKUP(((VLOOKUP($F$1,Lists!$B$4:$C$23,2,FALSE))&amp;"unit"),'SUB list edited'!$A$2:$DC$42,($B9+1),FALSE)))</f>
        <v>nr</v>
      </c>
      <c r="G9" s="1175" t="str">
        <f>IF($F$1="Select company","",IF(C9="","",HLOOKUP(((VLOOKUP($F$1,Lists!$B$4:$C$23,2,FALSE))&amp;"DP"),'SUB list edited'!$A$2:$DC$42,($B9+1),FALSE)))</f>
        <v>0</v>
      </c>
      <c r="H9" s="268">
        <f>IF($F$1="Select company","",IF(C9 = "","",HLOOKUP(((VLOOKUP($F$1,Lists!$B$4:$C$23,2,FALSE))&amp;"201617ActPerf"),'SUB list edited'!$A$2:$DD$42,($B9+1),FALSE)))</f>
        <v>5</v>
      </c>
      <c r="I9" s="474">
        <v>206</v>
      </c>
      <c r="J9" s="475" t="s">
        <v>1980</v>
      </c>
      <c r="L9" s="455">
        <f t="shared" si="4"/>
        <v>0</v>
      </c>
      <c r="M9" s="455">
        <f t="shared" si="0"/>
        <v>0</v>
      </c>
      <c r="P9" s="451">
        <f t="shared" si="1"/>
        <v>0</v>
      </c>
      <c r="Q9" s="451">
        <f t="shared" si="2"/>
        <v>0</v>
      </c>
      <c r="S9" s="451">
        <f xml:space="preserve"> IF(C9 = "", 0, IF(AND(NOT(INDEX('3A'!I$5:I$59, MATCH('3B'!$C9, '3A'!$C$5:$C$59, 0))=I9), $D9="00"), 1, 0))</f>
        <v>0</v>
      </c>
      <c r="T9" s="451">
        <f xml:space="preserve"> IF(C9 = "", 0, IF(AND(NOT(INDEX('3A'!J$5:J$59, MATCH('3B'!$C9, '3A'!$C$5:$C$59, 0))=J9), $D9="00"), 1, 0))</f>
        <v>0</v>
      </c>
    </row>
    <row r="10" spans="1:20" ht="30" customHeight="1">
      <c r="B10" s="456">
        <f t="shared" si="3"/>
        <v>6</v>
      </c>
      <c r="C10" s="457" t="str">
        <f>IF($F$1="Select company","",IF((HLOOKUP((VLOOKUP($F$1,Lists!$B$4:$C$23,2,FALSE)),'SUB list edited'!$A$2:$DC$42,($B10+1),FALSE))=0,"",HLOOKUP((VLOOKUP($F$1,Lists!$B$4:$C$23,2,FALSE)),'SUB list edited'!$A$2:$DC$42,($B10+1),FALSE)))</f>
        <v>PR14TMSWSW_WB1</v>
      </c>
      <c r="D10" s="462" t="str">
        <f>IF($F$1="Select company","",IF(C10 = "","",HLOOKUP(((VLOOKUP($F$1,Lists!$B$4:$C$23,2,FALSE))&amp;"ID"),'SUB list edited'!$A$2:$DC$42,($B10+1),FALSE)))</f>
        <v>05</v>
      </c>
      <c r="E10" s="457" t="str">
        <f>IF($F$1="Select company","",IF(C10 = "","",HLOOKUP(((VLOOKUP($F$1,Lists!$B$4:$C$23,2,FALSE))&amp;"PC"),'SUB list edited'!$A$2:$DC$42,($B10+1),FALSE)))</f>
        <v>Planned network rehabilitation (kilometres)</v>
      </c>
      <c r="F10" s="462" t="str">
        <f>IF($F$1="Select company","",IF(C10 = "","",HLOOKUP(((VLOOKUP($F$1,Lists!$B$4:$C$23,2,FALSE))&amp;"unit"),'SUB list edited'!$A$2:$DC$42,($B10+1),FALSE)))</f>
        <v>nr</v>
      </c>
      <c r="G10" s="1175">
        <f>IF($F$1="Select company","",IF(C10="","",HLOOKUP(((VLOOKUP($F$1,Lists!$B$4:$C$23,2,FALSE))&amp;"DP"),'SUB list edited'!$A$2:$DC$42,($B10+1),FALSE)))</f>
        <v>2</v>
      </c>
      <c r="H10" s="268">
        <f>IF($F$1="Select company","",IF(C10 = "","",HLOOKUP(((VLOOKUP($F$1,Lists!$B$4:$C$23,2,FALSE))&amp;"201617ActPerf"),'SUB list edited'!$A$2:$DD$42,($B10+1),FALSE)))</f>
        <v>103.28</v>
      </c>
      <c r="I10" s="474">
        <v>142.75</v>
      </c>
      <c r="J10" s="475" t="s">
        <v>1981</v>
      </c>
      <c r="L10" s="455">
        <f t="shared" si="4"/>
        <v>0</v>
      </c>
      <c r="M10" s="455">
        <f t="shared" si="0"/>
        <v>0</v>
      </c>
      <c r="P10" s="451">
        <f t="shared" si="1"/>
        <v>0</v>
      </c>
      <c r="Q10" s="451">
        <f t="shared" si="2"/>
        <v>0</v>
      </c>
      <c r="S10" s="451">
        <f xml:space="preserve"> IF(C10 = "", 0, IF(AND(NOT(INDEX('3A'!I$5:I$59, MATCH('3B'!$C10, '3A'!$C$5:$C$59, 0))=I10), $D10="00"), 1, 0))</f>
        <v>0</v>
      </c>
      <c r="T10" s="451">
        <f xml:space="preserve"> IF(C10 = "", 0, IF(AND(NOT(INDEX('3A'!J$5:J$59, MATCH('3B'!$C10, '3A'!$C$5:$C$59, 0))=J10), $D10="00"), 1, 0))</f>
        <v>0</v>
      </c>
    </row>
    <row r="11" spans="1:20" ht="30" customHeight="1">
      <c r="B11" s="456">
        <f t="shared" si="3"/>
        <v>7</v>
      </c>
      <c r="C11" s="457" t="str">
        <f>IF($F$1="Select company","",IF((HLOOKUP((VLOOKUP($F$1,Lists!$B$4:$C$23,2,FALSE)),'SUB list edited'!$A$2:$DC$42,($B11+1),FALSE))=0,"",HLOOKUP((VLOOKUP($F$1,Lists!$B$4:$C$23,2,FALSE)),'SUB list edited'!$A$2:$DC$42,($B11+1),FALSE)))</f>
        <v>PR14TMSWSW_WB1</v>
      </c>
      <c r="D11" s="462" t="str">
        <f>IF($F$1="Select company","",IF(C11 = "","",HLOOKUP(((VLOOKUP($F$1,Lists!$B$4:$C$23,2,FALSE))&amp;"ID"),'SUB list edited'!$A$2:$DC$42,($B11+1),FALSE)))</f>
        <v>06</v>
      </c>
      <c r="E11" s="457" t="str">
        <f>IF($F$1="Select company","",IF(C11 = "","",HLOOKUP(((VLOOKUP($F$1,Lists!$B$4:$C$23,2,FALSE))&amp;"PC"),'SUB list edited'!$A$2:$DC$42,($B11+1),FALSE)))</f>
        <v>Customer complaints discolouration white water (nr per 1,000 population)</v>
      </c>
      <c r="F11" s="462" t="str">
        <f>IF($F$1="Select company","",IF(C11 = "","",HLOOKUP(((VLOOKUP($F$1,Lists!$B$4:$C$23,2,FALSE))&amp;"unit"),'SUB list edited'!$A$2:$DC$42,($B11+1),FALSE)))</f>
        <v>nr</v>
      </c>
      <c r="G11" s="1175">
        <f>IF($F$1="Select company","",IF(C11="","",HLOOKUP(((VLOOKUP($F$1,Lists!$B$4:$C$23,2,FALSE))&amp;"DP"),'SUB list edited'!$A$2:$DC$42,($B11+1),FALSE)))</f>
        <v>2</v>
      </c>
      <c r="H11" s="268">
        <f>IF($F$1="Select company","",IF(C11 = "","",HLOOKUP(((VLOOKUP($F$1,Lists!$B$4:$C$23,2,FALSE))&amp;"201617ActPerf"),'SUB list edited'!$A$2:$DD$42,($B11+1),FALSE)))</f>
        <v>0.17</v>
      </c>
      <c r="I11" s="474">
        <v>0.17</v>
      </c>
      <c r="J11" s="475" t="s">
        <v>1979</v>
      </c>
      <c r="L11" s="455">
        <f t="shared" si="4"/>
        <v>0</v>
      </c>
      <c r="M11" s="455">
        <f t="shared" si="0"/>
        <v>0</v>
      </c>
      <c r="P11" s="451">
        <f t="shared" si="1"/>
        <v>0</v>
      </c>
      <c r="Q11" s="451">
        <f t="shared" si="2"/>
        <v>0</v>
      </c>
      <c r="S11" s="451">
        <f xml:space="preserve"> IF(C11 = "", 0, IF(AND(NOT(INDEX('3A'!I$5:I$59, MATCH('3B'!$C11, '3A'!$C$5:$C$59, 0))=I11), $D11="00"), 1, 0))</f>
        <v>0</v>
      </c>
      <c r="T11" s="451">
        <f xml:space="preserve"> IF(C11 = "", 0, IF(AND(NOT(INDEX('3A'!J$5:J$59, MATCH('3B'!$C11, '3A'!$C$5:$C$59, 0))=J11), $D11="00"), 1, 0))</f>
        <v>0</v>
      </c>
    </row>
    <row r="12" spans="1:20" ht="30" customHeight="1">
      <c r="B12" s="456">
        <f xml:space="preserve"> B11 + 1</f>
        <v>8</v>
      </c>
      <c r="C12" s="457" t="str">
        <f>IF($F$1="Select company","",IF((HLOOKUP((VLOOKUP($F$1,Lists!$B$4:$C$23,2,FALSE)),'SUB list edited'!$A$2:$DC$42,($B12+1),FALSE))=0,"",HLOOKUP((VLOOKUP($F$1,Lists!$B$4:$C$23,2,FALSE)),'SUB list edited'!$A$2:$DC$42,($B12+1),FALSE)))</f>
        <v>PR14TMSWSW_WB2</v>
      </c>
      <c r="D12" s="462" t="str">
        <f>IF($F$1="Select company","",IF(C12 = "","",HLOOKUP(((VLOOKUP($F$1,Lists!$B$4:$C$23,2,FALSE))&amp;"ID"),'SUB list edited'!$A$2:$DC$42,($B12+1),FALSE)))</f>
        <v>00</v>
      </c>
      <c r="E12" s="457" t="str">
        <f>IF($F$1="Select company","",IF(C12 = "","",HLOOKUP(((VLOOKUP($F$1,Lists!$B$4:$C$23,2,FALSE))&amp;"PC"),'SUB list edited'!$A$2:$DC$42,($B12+1),FALSE)))</f>
        <v>WB2: Asset health water non-infrastructure</v>
      </c>
      <c r="F12" s="462" t="str">
        <f>IF($F$1="Select company","",IF(C12 = "","",HLOOKUP(((VLOOKUP($F$1,Lists!$B$4:$C$23,2,FALSE))&amp;"unit"),'SUB list edited'!$A$2:$DC$42,($B12+1),FALSE)))</f>
        <v>category</v>
      </c>
      <c r="G12" s="1175" t="str">
        <f>IF($F$1="Select company","",IF(C12="","",HLOOKUP(((VLOOKUP($F$1,Lists!$B$4:$C$23,2,FALSE))&amp;"DP"),'SUB list edited'!$A$2:$DC$42,($B12+1),FALSE)))</f>
        <v>na</v>
      </c>
      <c r="H12" s="268" t="str">
        <f>IF($F$1="Select company","",IF(C12 = "","",HLOOKUP(((VLOOKUP($F$1,Lists!$B$4:$C$23,2,FALSE))&amp;"201617ActPerf"),'SUB list edited'!$A$2:$DD$42,($B12+1),FALSE)))</f>
        <v>Stable</v>
      </c>
      <c r="I12" s="2159" t="s">
        <v>1984</v>
      </c>
      <c r="J12" s="475" t="s">
        <v>1979</v>
      </c>
      <c r="L12" s="455">
        <f t="shared" si="4"/>
        <v>0</v>
      </c>
      <c r="M12" s="455">
        <f t="shared" si="0"/>
        <v>0</v>
      </c>
      <c r="P12" s="451">
        <f t="shared" si="1"/>
        <v>0</v>
      </c>
      <c r="Q12" s="451">
        <f t="shared" si="2"/>
        <v>0</v>
      </c>
      <c r="S12" s="451">
        <f xml:space="preserve"> IF(C12 = "", 0, IF(AND(NOT(INDEX('3A'!I$5:I$59, MATCH('3B'!$C12, '3A'!$C$5:$C$59, 0))=I12), $D12="00"), 1, 0))</f>
        <v>0</v>
      </c>
      <c r="T12" s="451">
        <f xml:space="preserve"> IF(C12 = "", 0, IF(AND(NOT(INDEX('3A'!J$5:J$59, MATCH('3B'!$C12, '3A'!$C$5:$C$59, 0))=J12), $D12="00"), 1, 0))</f>
        <v>0</v>
      </c>
    </row>
    <row r="13" spans="1:20" ht="30" customHeight="1">
      <c r="B13" s="456">
        <f t="shared" ref="B13:B15" si="5" xml:space="preserve"> B12 + 1</f>
        <v>9</v>
      </c>
      <c r="C13" s="457" t="str">
        <f>IF($F$1="Select company","",IF((HLOOKUP((VLOOKUP($F$1,Lists!$B$4:$C$23,2,FALSE)),'SUB list edited'!$A$2:$DC$42,($B13+1),FALSE))=0,"",HLOOKUP((VLOOKUP($F$1,Lists!$B$4:$C$23,2,FALSE)),'SUB list edited'!$A$2:$DC$42,($B13+1),FALSE)))</f>
        <v>PR14TMSWSW_WB2</v>
      </c>
      <c r="D13" s="462" t="str">
        <f>IF($F$1="Select company","",IF(C13 = "","",HLOOKUP(((VLOOKUP($F$1,Lists!$B$4:$C$23,2,FALSE))&amp;"ID"),'SUB list edited'!$A$2:$DC$42,($B13+1),FALSE)))</f>
        <v>01</v>
      </c>
      <c r="E13" s="457" t="str">
        <f>IF($F$1="Select company","",IF(C13 = "","",HLOOKUP(((VLOOKUP($F$1,Lists!$B$4:$C$23,2,FALSE))&amp;"PC"),'SUB list edited'!$A$2:$DC$42,($B13+1),FALSE)))</f>
        <v>Disinfection index (DWI)</v>
      </c>
      <c r="F13" s="462" t="str">
        <f>IF($F$1="Select company","",IF(C13 = "","",HLOOKUP(((VLOOKUP($F$1,Lists!$B$4:$C$23,2,FALSE))&amp;"unit"),'SUB list edited'!$A$2:$DC$42,($B13+1),FALSE)))</f>
        <v>%</v>
      </c>
      <c r="G13" s="1175">
        <f>IF($F$1="Select company","",IF(C13="","",HLOOKUP(((VLOOKUP($F$1,Lists!$B$4:$C$23,2,FALSE))&amp;"DP"),'SUB list edited'!$A$2:$DC$42,($B13+1),FALSE)))</f>
        <v>2</v>
      </c>
      <c r="H13" s="268">
        <f>IF($F$1="Select company","",IF(C13 = "","",HLOOKUP(((VLOOKUP($F$1,Lists!$B$4:$C$23,2,FALSE))&amp;"201617ActPerf"),'SUB list edited'!$A$2:$DD$42,($B13+1),FALSE)))</f>
        <v>99.99</v>
      </c>
      <c r="I13" s="474">
        <v>99.96</v>
      </c>
      <c r="J13" s="475" t="s">
        <v>1980</v>
      </c>
      <c r="L13" s="455">
        <f t="shared" si="4"/>
        <v>0</v>
      </c>
      <c r="M13" s="455">
        <f t="shared" si="0"/>
        <v>0</v>
      </c>
      <c r="P13" s="451">
        <f t="shared" si="1"/>
        <v>0</v>
      </c>
      <c r="Q13" s="451">
        <f t="shared" si="2"/>
        <v>0</v>
      </c>
      <c r="S13" s="451">
        <f xml:space="preserve"> IF(C13 = "", 0, IF(AND(NOT(INDEX('3A'!I$5:I$59, MATCH('3B'!$C13, '3A'!$C$5:$C$59, 0))=I13), $D13="00"), 1, 0))</f>
        <v>0</v>
      </c>
      <c r="T13" s="451">
        <f xml:space="preserve"> IF(C13 = "", 0, IF(AND(NOT(INDEX('3A'!J$5:J$59, MATCH('3B'!$C13, '3A'!$C$5:$C$59, 0))=J13), $D13="00"), 1, 0))</f>
        <v>0</v>
      </c>
    </row>
    <row r="14" spans="1:20" ht="30" customHeight="1">
      <c r="B14" s="456">
        <f t="shared" si="5"/>
        <v>10</v>
      </c>
      <c r="C14" s="457" t="str">
        <f>IF($F$1="Select company","",IF((HLOOKUP((VLOOKUP($F$1,Lists!$B$4:$C$23,2,FALSE)),'SUB list edited'!$A$2:$DC$42,($B14+1),FALSE))=0,"",HLOOKUP((VLOOKUP($F$1,Lists!$B$4:$C$23,2,FALSE)),'SUB list edited'!$A$2:$DC$42,($B14+1),FALSE)))</f>
        <v>PR14TMSWSW_WB2</v>
      </c>
      <c r="D14" s="462" t="str">
        <f>IF($F$1="Select company","",IF(C14 = "","",HLOOKUP(((VLOOKUP($F$1,Lists!$B$4:$C$23,2,FALSE))&amp;"ID"),'SUB list edited'!$A$2:$DC$42,($B14+1),FALSE)))</f>
        <v>02</v>
      </c>
      <c r="E14" s="457" t="str">
        <f>IF($F$1="Select company","",IF(C14 = "","",HLOOKUP(((VLOOKUP($F$1,Lists!$B$4:$C$23,2,FALSE))&amp;"PC"),'SUB list edited'!$A$2:$DC$42,($B14+1),FALSE)))</f>
        <v>Reservoir integrity index</v>
      </c>
      <c r="F14" s="462" t="str">
        <f>IF($F$1="Select company","",IF(C14 = "","",HLOOKUP(((VLOOKUP($F$1,Lists!$B$4:$C$23,2,FALSE))&amp;"unit"),'SUB list edited'!$A$2:$DC$42,($B14+1),FALSE)))</f>
        <v>%</v>
      </c>
      <c r="G14" s="1175">
        <f>IF($F$1="Select company","",IF(C14="","",HLOOKUP(((VLOOKUP($F$1,Lists!$B$4:$C$23,2,FALSE))&amp;"DP"),'SUB list edited'!$A$2:$DC$42,($B14+1),FALSE)))</f>
        <v>2</v>
      </c>
      <c r="H14" s="268">
        <f>IF($F$1="Select company","",IF(C14 = "","",HLOOKUP(((VLOOKUP($F$1,Lists!$B$4:$C$23,2,FALSE))&amp;"201617ActPerf"),'SUB list edited'!$A$2:$DD$42,($B14+1),FALSE)))</f>
        <v>0</v>
      </c>
      <c r="I14" s="474">
        <v>0</v>
      </c>
      <c r="J14" s="475" t="s">
        <v>1979</v>
      </c>
      <c r="L14" s="455">
        <f t="shared" si="4"/>
        <v>0</v>
      </c>
      <c r="M14" s="455">
        <f t="shared" si="0"/>
        <v>0</v>
      </c>
      <c r="P14" s="451">
        <f t="shared" si="1"/>
        <v>0</v>
      </c>
      <c r="Q14" s="451">
        <f t="shared" si="2"/>
        <v>0</v>
      </c>
      <c r="S14" s="451">
        <f xml:space="preserve"> IF(C14 = "", 0, IF(AND(NOT(INDEX('3A'!I$5:I$59, MATCH('3B'!$C14, '3A'!$C$5:$C$59, 0))=I14), $D14="00"), 1, 0))</f>
        <v>0</v>
      </c>
      <c r="T14" s="451">
        <f xml:space="preserve"> IF(C14 = "", 0, IF(AND(NOT(INDEX('3A'!J$5:J$59, MATCH('3B'!$C14, '3A'!$C$5:$C$59, 0))=J14), $D14="00"), 1, 0))</f>
        <v>0</v>
      </c>
    </row>
    <row r="15" spans="1:20" ht="30" customHeight="1">
      <c r="B15" s="456">
        <f t="shared" si="5"/>
        <v>11</v>
      </c>
      <c r="C15" s="457" t="str">
        <f>IF($F$1="Select company","",IF((HLOOKUP((VLOOKUP($F$1,Lists!$B$4:$C$23,2,FALSE)),'SUB list edited'!$A$2:$DC$42,($B15+1),FALSE))=0,"",HLOOKUP((VLOOKUP($F$1,Lists!$B$4:$C$23,2,FALSE)),'SUB list edited'!$A$2:$DC$42,($B15+1),FALSE)))</f>
        <v>PR14TMSWSW_WB2</v>
      </c>
      <c r="D15" s="462" t="str">
        <f>IF($F$1="Select company","",IF(C15 = "","",HLOOKUP(((VLOOKUP($F$1,Lists!$B$4:$C$23,2,FALSE))&amp;"ID"),'SUB list edited'!$A$2:$DC$42,($B15+1),FALSE)))</f>
        <v>03</v>
      </c>
      <c r="E15" s="457" t="str">
        <f>IF($F$1="Select company","",IF(C15 = "","",HLOOKUP(((VLOOKUP($F$1,Lists!$B$4:$C$23,2,FALSE))&amp;"PC"),'SUB list edited'!$A$2:$DC$42,($B15+1),FALSE)))</f>
        <v>DWQ compliance measures - turbidity (number of sites)</v>
      </c>
      <c r="F15" s="462" t="str">
        <f>IF($F$1="Select company","",IF(C15 = "","",HLOOKUP(((VLOOKUP($F$1,Lists!$B$4:$C$23,2,FALSE))&amp;"unit"),'SUB list edited'!$A$2:$DC$42,($B15+1),FALSE)))</f>
        <v>nr</v>
      </c>
      <c r="G15" s="1175" t="str">
        <f>IF($F$1="Select company","",IF(C15="","",HLOOKUP(((VLOOKUP($F$1,Lists!$B$4:$C$23,2,FALSE))&amp;"DP"),'SUB list edited'!$A$2:$DC$42,($B15+1),FALSE)))</f>
        <v>0</v>
      </c>
      <c r="H15" s="268">
        <f>IF($F$1="Select company","",IF(C15 = "","",HLOOKUP(((VLOOKUP($F$1,Lists!$B$4:$C$23,2,FALSE))&amp;"201617ActPerf"),'SUB list edited'!$A$2:$DD$42,($B15+1),FALSE)))</f>
        <v>0</v>
      </c>
      <c r="I15" s="474">
        <v>1</v>
      </c>
      <c r="J15" s="475" t="s">
        <v>1979</v>
      </c>
      <c r="L15" s="455">
        <f t="shared" si="4"/>
        <v>0</v>
      </c>
      <c r="M15" s="455">
        <f t="shared" si="0"/>
        <v>0</v>
      </c>
      <c r="P15" s="451">
        <f t="shared" si="1"/>
        <v>0</v>
      </c>
      <c r="Q15" s="451">
        <f t="shared" si="2"/>
        <v>0</v>
      </c>
      <c r="S15" s="451">
        <f xml:space="preserve"> IF(C15 = "", 0, IF(AND(NOT(INDEX('3A'!I$5:I$59, MATCH('3B'!$C15, '3A'!$C$5:$C$59, 0))=I15), $D15="00"), 1, 0))</f>
        <v>0</v>
      </c>
      <c r="T15" s="451">
        <f xml:space="preserve"> IF(C15 = "", 0, IF(AND(NOT(INDEX('3A'!J$5:J$59, MATCH('3B'!$C15, '3A'!$C$5:$C$59, 0))=J15), $D15="00"), 1, 0))</f>
        <v>0</v>
      </c>
    </row>
    <row r="16" spans="1:20" ht="30" customHeight="1">
      <c r="B16" s="456">
        <f xml:space="preserve"> B15 + 1</f>
        <v>12</v>
      </c>
      <c r="C16" s="457" t="str">
        <f>IF($F$1="Select company","",IF((HLOOKUP((VLOOKUP($F$1,Lists!$B$4:$C$23,2,FALSE)),'SUB list edited'!$A$2:$DC$42,($B16+1),FALSE))=0,"",HLOOKUP((VLOOKUP($F$1,Lists!$B$4:$C$23,2,FALSE)),'SUB list edited'!$A$2:$DC$42,($B16+1),FALSE)))</f>
        <v>PR14TMSWSW_WB2</v>
      </c>
      <c r="D16" s="462" t="str">
        <f>IF($F$1="Select company","",IF(C16 = "","",HLOOKUP(((VLOOKUP($F$1,Lists!$B$4:$C$23,2,FALSE))&amp;"ID"),'SUB list edited'!$A$2:$DC$42,($B16+1),FALSE)))</f>
        <v>04</v>
      </c>
      <c r="E16" s="457" t="str">
        <f>IF($F$1="Select company","",IF(C16 = "","",HLOOKUP(((VLOOKUP($F$1,Lists!$B$4:$C$23,2,FALSE))&amp;"PC"),'SUB list edited'!$A$2:$DC$42,($B16+1),FALSE)))</f>
        <v>Process control index</v>
      </c>
      <c r="F16" s="462" t="str">
        <f>IF($F$1="Select company","",IF(C16 = "","",HLOOKUP(((VLOOKUP($F$1,Lists!$B$4:$C$23,2,FALSE))&amp;"unit"),'SUB list edited'!$A$2:$DC$42,($B16+1),FALSE)))</f>
        <v>%</v>
      </c>
      <c r="G16" s="1175">
        <f>IF($F$1="Select company","",IF(C16="","",HLOOKUP(((VLOOKUP($F$1,Lists!$B$4:$C$23,2,FALSE))&amp;"DP"),'SUB list edited'!$A$2:$DC$42,($B16+1),FALSE)))</f>
        <v>2</v>
      </c>
      <c r="H16" s="268">
        <f>IF($F$1="Select company","",IF(C16 = "","",HLOOKUP(((VLOOKUP($F$1,Lists!$B$4:$C$23,2,FALSE))&amp;"201617ActPerf"),'SUB list edited'!$A$2:$DD$42,($B16+1),FALSE)))</f>
        <v>100</v>
      </c>
      <c r="I16" s="474">
        <v>100</v>
      </c>
      <c r="J16" s="475" t="s">
        <v>1979</v>
      </c>
      <c r="L16" s="455">
        <f t="shared" si="4"/>
        <v>0</v>
      </c>
      <c r="M16" s="455">
        <f t="shared" si="0"/>
        <v>0</v>
      </c>
      <c r="P16" s="451">
        <f t="shared" si="1"/>
        <v>0</v>
      </c>
      <c r="Q16" s="451">
        <f t="shared" si="2"/>
        <v>0</v>
      </c>
      <c r="S16" s="451">
        <f xml:space="preserve"> IF(C16 = "", 0, IF(AND(NOT(INDEX('3A'!I$5:I$59, MATCH('3B'!$C16, '3A'!$C$5:$C$59, 0))=I16), $D16="00"), 1, 0))</f>
        <v>0</v>
      </c>
      <c r="T16" s="451">
        <f xml:space="preserve"> IF(C16 = "", 0, IF(AND(NOT(INDEX('3A'!J$5:J$59, MATCH('3B'!$C16, '3A'!$C$5:$C$59, 0))=J16), $D16="00"), 1, 0))</f>
        <v>0</v>
      </c>
    </row>
    <row r="17" spans="2:20" ht="30" customHeight="1">
      <c r="B17" s="456">
        <f t="shared" ref="B17:B44" si="6" xml:space="preserve"> B16 + 1</f>
        <v>13</v>
      </c>
      <c r="C17" s="457" t="str">
        <f>IF($F$1="Select company","",IF((HLOOKUP((VLOOKUP($F$1,Lists!$B$4:$C$23,2,FALSE)),'SUB list edited'!$A$2:$DC$42,($B17+1),FALSE))=0,"",HLOOKUP((VLOOKUP($F$1,Lists!$B$4:$C$23,2,FALSE)),'SUB list edited'!$A$2:$DC$42,($B17+1),FALSE)))</f>
        <v>PR14TMSWSW_WB2</v>
      </c>
      <c r="D17" s="462" t="str">
        <f>IF($F$1="Select company","",IF(C17 = "","",HLOOKUP(((VLOOKUP($F$1,Lists!$B$4:$C$23,2,FALSE))&amp;"ID"),'SUB list edited'!$A$2:$DC$42,($B17+1),FALSE)))</f>
        <v>05</v>
      </c>
      <c r="E17" s="457" t="str">
        <f>IF($F$1="Select company","",IF(C17 = "","",HLOOKUP(((VLOOKUP($F$1,Lists!$B$4:$C$23,2,FALSE))&amp;"PC"),'SUB list edited'!$A$2:$DC$42,($B17+1),FALSE)))</f>
        <v>DWQ compliance measures - enforcement actions</v>
      </c>
      <c r="F17" s="462" t="str">
        <f>IF($F$1="Select company","",IF(C17 = "","",HLOOKUP(((VLOOKUP($F$1,Lists!$B$4:$C$23,2,FALSE))&amp;"unit"),'SUB list edited'!$A$2:$DC$42,($B17+1),FALSE)))</f>
        <v>nr</v>
      </c>
      <c r="G17" s="1175" t="str">
        <f>IF($F$1="Select company","",IF(C17="","",HLOOKUP(((VLOOKUP($F$1,Lists!$B$4:$C$23,2,FALSE))&amp;"DP"),'SUB list edited'!$A$2:$DC$42,($B17+1),FALSE)))</f>
        <v>0</v>
      </c>
      <c r="H17" s="268">
        <f>IF($F$1="Select company","",IF(C17 = "","",HLOOKUP(((VLOOKUP($F$1,Lists!$B$4:$C$23,2,FALSE))&amp;"201617ActPerf"),'SUB list edited'!$A$2:$DD$42,($B17+1),FALSE)))</f>
        <v>0</v>
      </c>
      <c r="I17" s="474">
        <v>0</v>
      </c>
      <c r="J17" s="475" t="s">
        <v>1979</v>
      </c>
      <c r="L17" s="455">
        <f t="shared" si="4"/>
        <v>0</v>
      </c>
      <c r="M17" s="455">
        <f t="shared" si="0"/>
        <v>0</v>
      </c>
      <c r="P17" s="451">
        <f t="shared" si="1"/>
        <v>0</v>
      </c>
      <c r="Q17" s="451">
        <f t="shared" si="2"/>
        <v>0</v>
      </c>
      <c r="S17" s="451">
        <f xml:space="preserve"> IF(C17 = "", 0, IF(AND(NOT(INDEX('3A'!I$5:I$59, MATCH('3B'!$C17, '3A'!$C$5:$C$59, 0))=I17), $D17="00"), 1, 0))</f>
        <v>0</v>
      </c>
      <c r="T17" s="451">
        <f xml:space="preserve"> IF(C17 = "", 0, IF(AND(NOT(INDEX('3A'!J$5:J$59, MATCH('3B'!$C17, '3A'!$C$5:$C$59, 0))=J17), $D17="00"), 1, 0))</f>
        <v>0</v>
      </c>
    </row>
    <row r="18" spans="2:20" ht="30" customHeight="1">
      <c r="B18" s="456">
        <f t="shared" si="6"/>
        <v>14</v>
      </c>
      <c r="C18" s="457" t="str">
        <f>IF($F$1="Select company","",IF((HLOOKUP((VLOOKUP($F$1,Lists!$B$4:$C$23,2,FALSE)),'SUB list edited'!$A$2:$DC$42,($B18+1),FALSE))=0,"",HLOOKUP((VLOOKUP($F$1,Lists!$B$4:$C$23,2,FALSE)),'SUB list edited'!$A$2:$DC$42,($B18+1),FALSE)))</f>
        <v>PR14TMSWSW_WB2</v>
      </c>
      <c r="D18" s="462" t="str">
        <f>IF($F$1="Select company","",IF(C18 = "","",HLOOKUP(((VLOOKUP($F$1,Lists!$B$4:$C$23,2,FALSE))&amp;"ID"),'SUB list edited'!$A$2:$DC$42,($B18+1),FALSE)))</f>
        <v>06</v>
      </c>
      <c r="E18" s="457" t="str">
        <f>IF($F$1="Select company","",IF(C18 = "","",HLOOKUP(((VLOOKUP($F$1,Lists!$B$4:$C$23,2,FALSE))&amp;"PC"),'SUB list edited'!$A$2:$DC$42,($B18+1),FALSE)))</f>
        <v>Water quality complaints for chlorine (nr per 1,000 population)</v>
      </c>
      <c r="F18" s="462" t="str">
        <f>IF($F$1="Select company","",IF(C18 = "","",HLOOKUP(((VLOOKUP($F$1,Lists!$B$4:$C$23,2,FALSE))&amp;"unit"),'SUB list edited'!$A$2:$DC$42,($B18+1),FALSE)))</f>
        <v>nr</v>
      </c>
      <c r="G18" s="1175">
        <f>IF($F$1="Select company","",IF(C18="","",HLOOKUP(((VLOOKUP($F$1,Lists!$B$4:$C$23,2,FALSE))&amp;"DP"),'SUB list edited'!$A$2:$DC$42,($B18+1),FALSE)))</f>
        <v>3</v>
      </c>
      <c r="H18" s="268">
        <f>IF($F$1="Select company","",IF(C18 = "","",HLOOKUP(((VLOOKUP($F$1,Lists!$B$4:$C$23,2,FALSE))&amp;"201617ActPerf"),'SUB list edited'!$A$2:$DD$42,($B18+1),FALSE)))</f>
        <v>0.06</v>
      </c>
      <c r="I18" s="474">
        <v>0.05</v>
      </c>
      <c r="J18" s="475" t="s">
        <v>1979</v>
      </c>
      <c r="L18" s="455">
        <f t="shared" si="4"/>
        <v>0</v>
      </c>
      <c r="M18" s="455">
        <f t="shared" si="0"/>
        <v>0</v>
      </c>
      <c r="P18" s="451">
        <f t="shared" si="1"/>
        <v>0</v>
      </c>
      <c r="Q18" s="451">
        <f t="shared" si="2"/>
        <v>0</v>
      </c>
      <c r="S18" s="451">
        <f xml:space="preserve"> IF(C18 = "", 0, IF(AND(NOT(INDEX('3A'!I$5:I$59, MATCH('3B'!$C18, '3A'!$C$5:$C$59, 0))=I18), $D18="00"), 1, 0))</f>
        <v>0</v>
      </c>
      <c r="T18" s="451">
        <f xml:space="preserve"> IF(C18 = "", 0, IF(AND(NOT(INDEX('3A'!J$5:J$59, MATCH('3B'!$C18, '3A'!$C$5:$C$59, 0))=J18), $D18="00"), 1, 0))</f>
        <v>0</v>
      </c>
    </row>
    <row r="19" spans="2:20" ht="30" customHeight="1">
      <c r="B19" s="456">
        <f t="shared" si="6"/>
        <v>15</v>
      </c>
      <c r="C19" s="457" t="str">
        <f>IF($F$1="Select company","",IF((HLOOKUP((VLOOKUP($F$1,Lists!$B$4:$C$23,2,FALSE)),'SUB list edited'!$A$2:$DC$42,($B19+1),FALSE))=0,"",HLOOKUP((VLOOKUP($F$1,Lists!$B$4:$C$23,2,FALSE)),'SUB list edited'!$A$2:$DC$42,($B19+1),FALSE)))</f>
        <v>PR14TMSWSW_WB2</v>
      </c>
      <c r="D19" s="462" t="str">
        <f>IF($F$1="Select company","",IF(C19 = "","",HLOOKUP(((VLOOKUP($F$1,Lists!$B$4:$C$23,2,FALSE))&amp;"ID"),'SUB list edited'!$A$2:$DC$42,($B19+1),FALSE)))</f>
        <v>07</v>
      </c>
      <c r="E19" s="457" t="str">
        <f>IF($F$1="Select company","",IF(C19 = "","",HLOOKUP(((VLOOKUP($F$1,Lists!$B$4:$C$23,2,FALSE))&amp;"PC"),'SUB list edited'!$A$2:$DC$42,($B19+1),FALSE)))</f>
        <v>Water quality complaints for hardness (nr per 1,000 population)</v>
      </c>
      <c r="F19" s="462" t="str">
        <f>IF($F$1="Select company","",IF(C19 = "","",HLOOKUP(((VLOOKUP($F$1,Lists!$B$4:$C$23,2,FALSE))&amp;"unit"),'SUB list edited'!$A$2:$DC$42,($B19+1),FALSE)))</f>
        <v>nr</v>
      </c>
      <c r="G19" s="1175">
        <f>IF($F$1="Select company","",IF(C19="","",HLOOKUP(((VLOOKUP($F$1,Lists!$B$4:$C$23,2,FALSE))&amp;"DP"),'SUB list edited'!$A$2:$DC$42,($B19+1),FALSE)))</f>
        <v>3</v>
      </c>
      <c r="H19" s="268">
        <f>IF($F$1="Select company","",IF(C19 = "","",HLOOKUP(((VLOOKUP($F$1,Lists!$B$4:$C$23,2,FALSE))&amp;"201617ActPerf"),'SUB list edited'!$A$2:$DD$42,($B19+1),FALSE)))</f>
        <v>0.01</v>
      </c>
      <c r="I19" s="474">
        <v>0.01</v>
      </c>
      <c r="J19" s="475" t="s">
        <v>1979</v>
      </c>
      <c r="L19" s="455">
        <f t="shared" si="4"/>
        <v>0</v>
      </c>
      <c r="M19" s="455">
        <f t="shared" si="0"/>
        <v>0</v>
      </c>
      <c r="P19" s="451">
        <f t="shared" si="1"/>
        <v>0</v>
      </c>
      <c r="Q19" s="451">
        <f t="shared" si="2"/>
        <v>0</v>
      </c>
      <c r="S19" s="451">
        <f xml:space="preserve"> IF(C19 = "", 0, IF(AND(NOT(INDEX('3A'!I$5:I$59, MATCH('3B'!$C19, '3A'!$C$5:$C$59, 0))=I19), $D19="00"), 1, 0))</f>
        <v>0</v>
      </c>
      <c r="T19" s="451">
        <f xml:space="preserve"> IF(C19 = "", 0, IF(AND(NOT(INDEX('3A'!J$5:J$59, MATCH('3B'!$C19, '3A'!$C$5:$C$59, 0))=J19), $D19="00"), 1, 0))</f>
        <v>0</v>
      </c>
    </row>
    <row r="20" spans="2:20" ht="30" customHeight="1">
      <c r="B20" s="456">
        <f t="shared" si="6"/>
        <v>16</v>
      </c>
      <c r="C20" s="457" t="str">
        <f>IF($F$1="Select company","",IF((HLOOKUP((VLOOKUP($F$1,Lists!$B$4:$C$23,2,FALSE)),'SUB list edited'!$A$2:$DC$42,($B20+1),FALSE))=0,"",HLOOKUP((VLOOKUP($F$1,Lists!$B$4:$C$23,2,FALSE)),'SUB list edited'!$A$2:$DC$42,($B20+1),FALSE)))</f>
        <v>PR14TMSWSWW_SB1</v>
      </c>
      <c r="D20" s="462" t="str">
        <f>IF($F$1="Select company","",IF(C20 = "","",HLOOKUP(((VLOOKUP($F$1,Lists!$B$4:$C$23,2,FALSE))&amp;"ID"),'SUB list edited'!$A$2:$DC$42,($B20+1),FALSE)))</f>
        <v>00</v>
      </c>
      <c r="E20" s="457" t="str">
        <f>IF($F$1="Select company","",IF(C20 = "","",HLOOKUP(((VLOOKUP($F$1,Lists!$B$4:$C$23,2,FALSE))&amp;"PC"),'SUB list edited'!$A$2:$DC$42,($B20+1),FALSE)))</f>
        <v>SB1: Asset health wastewater non-infrastructure</v>
      </c>
      <c r="F20" s="462" t="str">
        <f>IF($F$1="Select company","",IF(C20 = "","",HLOOKUP(((VLOOKUP($F$1,Lists!$B$4:$C$23,2,FALSE))&amp;"unit"),'SUB list edited'!$A$2:$DC$42,($B20+1),FALSE)))</f>
        <v>category</v>
      </c>
      <c r="G20" s="1175" t="str">
        <f>IF($F$1="Select company","",IF(C20="","",HLOOKUP(((VLOOKUP($F$1,Lists!$B$4:$C$23,2,FALSE))&amp;"DP"),'SUB list edited'!$A$2:$DC$42,($B20+1),FALSE)))</f>
        <v>na</v>
      </c>
      <c r="H20" s="268" t="str">
        <f>IF($F$1="Select company","",IF(C20 = "","",HLOOKUP(((VLOOKUP($F$1,Lists!$B$4:$C$23,2,FALSE))&amp;"201617ActPerf"),'SUB list edited'!$A$2:$DD$42,($B20+1),FALSE)))</f>
        <v>Stable</v>
      </c>
      <c r="I20" s="2159" t="s">
        <v>1984</v>
      </c>
      <c r="J20" s="475" t="s">
        <v>1979</v>
      </c>
      <c r="L20" s="455">
        <f t="shared" si="4"/>
        <v>0</v>
      </c>
      <c r="M20" s="455">
        <f t="shared" si="0"/>
        <v>0</v>
      </c>
      <c r="P20" s="451">
        <f t="shared" si="1"/>
        <v>0</v>
      </c>
      <c r="Q20" s="451">
        <f t="shared" si="2"/>
        <v>0</v>
      </c>
      <c r="S20" s="451">
        <f xml:space="preserve"> IF(C20 = "", 0, IF(AND(NOT(INDEX('3A'!I$5:I$59, MATCH('3B'!$C20, '3A'!$C$5:$C$59, 0))=I20), $D20="00"), 1, 0))</f>
        <v>0</v>
      </c>
      <c r="T20" s="451">
        <f xml:space="preserve"> IF(C20 = "", 0, IF(AND(NOT(INDEX('3A'!J$5:J$59, MATCH('3B'!$C20, '3A'!$C$5:$C$59, 0))=J20), $D20="00"), 1, 0))</f>
        <v>0</v>
      </c>
    </row>
    <row r="21" spans="2:20" ht="30" customHeight="1">
      <c r="B21" s="456">
        <f t="shared" si="6"/>
        <v>17</v>
      </c>
      <c r="C21" s="457" t="str">
        <f>IF($F$1="Select company","",IF((HLOOKUP((VLOOKUP($F$1,Lists!$B$4:$C$23,2,FALSE)),'SUB list edited'!$A$2:$DC$42,($B21+1),FALSE))=0,"",HLOOKUP((VLOOKUP($F$1,Lists!$B$4:$C$23,2,FALSE)),'SUB list edited'!$A$2:$DC$42,($B21+1),FALSE)))</f>
        <v>PR14TMSWSWW_SB1</v>
      </c>
      <c r="D21" s="462" t="str">
        <f>IF($F$1="Select company","",IF(C21 = "","",HLOOKUP(((VLOOKUP($F$1,Lists!$B$4:$C$23,2,FALSE))&amp;"ID"),'SUB list edited'!$A$2:$DC$42,($B21+1),FALSE)))</f>
        <v>01</v>
      </c>
      <c r="E21" s="457" t="str">
        <f>IF($F$1="Select company","",IF(C21 = "","",HLOOKUP(((VLOOKUP($F$1,Lists!$B$4:$C$23,2,FALSE))&amp;"PC"),'SUB list edited'!$A$2:$DC$42,($B21+1),FALSE)))</f>
        <v>Unconsented pollution incidents (cat 1, 2 and 3) STWs, storm tanks, pumping stations and other</v>
      </c>
      <c r="F21" s="462" t="str">
        <f>IF($F$1="Select company","",IF(C21 = "","",HLOOKUP(((VLOOKUP($F$1,Lists!$B$4:$C$23,2,FALSE))&amp;"unit"),'SUB list edited'!$A$2:$DC$42,($B21+1),FALSE)))</f>
        <v>nr</v>
      </c>
      <c r="G21" s="1175" t="str">
        <f>IF($F$1="Select company","",IF(C21="","",HLOOKUP(((VLOOKUP($F$1,Lists!$B$4:$C$23,2,FALSE))&amp;"DP"),'SUB list edited'!$A$2:$DC$42,($B21+1),FALSE)))</f>
        <v>0</v>
      </c>
      <c r="H21" s="268">
        <f>IF($F$1="Select company","",IF(C21 = "","",HLOOKUP(((VLOOKUP($F$1,Lists!$B$4:$C$23,2,FALSE))&amp;"201617ActPerf"),'SUB list edited'!$A$2:$DD$42,($B21+1),FALSE)))</f>
        <v>34</v>
      </c>
      <c r="I21" s="474">
        <v>22</v>
      </c>
      <c r="J21" s="475" t="s">
        <v>1979</v>
      </c>
      <c r="L21" s="455">
        <f t="shared" si="4"/>
        <v>0</v>
      </c>
      <c r="M21" s="455">
        <f t="shared" si="0"/>
        <v>0</v>
      </c>
      <c r="P21" s="451">
        <f t="shared" si="1"/>
        <v>0</v>
      </c>
      <c r="Q21" s="451">
        <f t="shared" si="2"/>
        <v>0</v>
      </c>
      <c r="S21" s="451">
        <f xml:space="preserve"> IF(C21 = "", 0, IF(AND(NOT(INDEX('3A'!I$5:I$59, MATCH('3B'!$C21, '3A'!$C$5:$C$59, 0))=I21), $D21="00"), 1, 0))</f>
        <v>0</v>
      </c>
      <c r="T21" s="451">
        <f xml:space="preserve"> IF(C21 = "", 0, IF(AND(NOT(INDEX('3A'!J$5:J$59, MATCH('3B'!$C21, '3A'!$C$5:$C$59, 0))=J21), $D21="00"), 1, 0))</f>
        <v>0</v>
      </c>
    </row>
    <row r="22" spans="2:20" ht="30" customHeight="1">
      <c r="B22" s="456">
        <f t="shared" si="6"/>
        <v>18</v>
      </c>
      <c r="C22" s="457" t="str">
        <f>IF($F$1="Select company","",IF((HLOOKUP((VLOOKUP($F$1,Lists!$B$4:$C$23,2,FALSE)),'SUB list edited'!$A$2:$DC$42,($B22+1),FALSE))=0,"",HLOOKUP((VLOOKUP($F$1,Lists!$B$4:$C$23,2,FALSE)),'SUB list edited'!$A$2:$DC$42,($B22+1),FALSE)))</f>
        <v>PR14TMSWSWW_SB1</v>
      </c>
      <c r="D22" s="462" t="str">
        <f>IF($F$1="Select company","",IF(C22 = "","",HLOOKUP(((VLOOKUP($F$1,Lists!$B$4:$C$23,2,FALSE))&amp;"ID"),'SUB list edited'!$A$2:$DC$42,($B22+1),FALSE)))</f>
        <v>02</v>
      </c>
      <c r="E22" s="457" t="str">
        <f>IF($F$1="Select company","",IF(C22 = "","",HLOOKUP(((VLOOKUP($F$1,Lists!$B$4:$C$23,2,FALSE))&amp;"PC"),'SUB list edited'!$A$2:$DC$42,($B22+1),FALSE)))</f>
        <v>Sewage treatment works discharges failing numeric consents %</v>
      </c>
      <c r="F22" s="462" t="str">
        <f>IF($F$1="Select company","",IF(C22 = "","",HLOOKUP(((VLOOKUP($F$1,Lists!$B$4:$C$23,2,FALSE))&amp;"unit"),'SUB list edited'!$A$2:$DC$42,($B22+1),FALSE)))</f>
        <v>%</v>
      </c>
      <c r="G22" s="1175">
        <f>IF($F$1="Select company","",IF(C22="","",HLOOKUP(((VLOOKUP($F$1,Lists!$B$4:$C$23,2,FALSE))&amp;"DP"),'SUB list edited'!$A$2:$DC$42,($B22+1),FALSE)))</f>
        <v>2</v>
      </c>
      <c r="H22" s="268">
        <f>IF($F$1="Select company","",IF(C22 = "","",HLOOKUP(((VLOOKUP($F$1,Lists!$B$4:$C$23,2,FALSE))&amp;"201617ActPerf"),'SUB list edited'!$A$2:$DD$42,($B22+1),FALSE)))</f>
        <v>1.72</v>
      </c>
      <c r="I22" s="474">
        <v>0.56999999999999995</v>
      </c>
      <c r="J22" s="475" t="s">
        <v>1980</v>
      </c>
      <c r="L22" s="455">
        <f t="shared" si="4"/>
        <v>0</v>
      </c>
      <c r="M22" s="455">
        <f t="shared" si="0"/>
        <v>0</v>
      </c>
      <c r="P22" s="451">
        <f t="shared" si="1"/>
        <v>0</v>
      </c>
      <c r="Q22" s="451">
        <f t="shared" si="2"/>
        <v>0</v>
      </c>
      <c r="S22" s="451">
        <f xml:space="preserve"> IF(C22 = "", 0, IF(AND(NOT(INDEX('3A'!I$5:I$59, MATCH('3B'!$C22, '3A'!$C$5:$C$59, 0))=I22), $D22="00"), 1, 0))</f>
        <v>0</v>
      </c>
      <c r="T22" s="451">
        <f xml:space="preserve"> IF(C22 = "", 0, IF(AND(NOT(INDEX('3A'!J$5:J$59, MATCH('3B'!$C22, '3A'!$C$5:$C$59, 0))=J22), $D22="00"), 1, 0))</f>
        <v>0</v>
      </c>
    </row>
    <row r="23" spans="2:20" ht="30" customHeight="1">
      <c r="B23" s="456">
        <f t="shared" si="6"/>
        <v>19</v>
      </c>
      <c r="C23" s="457" t="str">
        <f>IF($F$1="Select company","",IF((HLOOKUP((VLOOKUP($F$1,Lists!$B$4:$C$23,2,FALSE)),'SUB list edited'!$A$2:$DC$42,($B23+1),FALSE))=0,"",HLOOKUP((VLOOKUP($F$1,Lists!$B$4:$C$23,2,FALSE)),'SUB list edited'!$A$2:$DC$42,($B23+1),FALSE)))</f>
        <v>PR14TMSWSWW_SB1</v>
      </c>
      <c r="D23" s="462" t="str">
        <f>IF($F$1="Select company","",IF(C23 = "","",HLOOKUP(((VLOOKUP($F$1,Lists!$B$4:$C$23,2,FALSE))&amp;"ID"),'SUB list edited'!$A$2:$DC$42,($B23+1),FALSE)))</f>
        <v>03</v>
      </c>
      <c r="E23" s="457" t="str">
        <f>IF($F$1="Select company","",IF(C23 = "","",HLOOKUP(((VLOOKUP($F$1,Lists!$B$4:$C$23,2,FALSE))&amp;"PC"),'SUB list edited'!$A$2:$DC$42,($B23+1),FALSE)))</f>
        <v>Total population equivalent served by sewage treatment works failing look-up table consents</v>
      </c>
      <c r="F23" s="462" t="str">
        <f>IF($F$1="Select company","",IF(C23 = "","",HLOOKUP(((VLOOKUP($F$1,Lists!$B$4:$C$23,2,FALSE))&amp;"unit"),'SUB list edited'!$A$2:$DC$42,($B23+1),FALSE)))</f>
        <v>%</v>
      </c>
      <c r="G23" s="1175">
        <f>IF($F$1="Select company","",IF(C23="","",HLOOKUP(((VLOOKUP($F$1,Lists!$B$4:$C$23,2,FALSE))&amp;"DP"),'SUB list edited'!$A$2:$DC$42,($B23+1),FALSE)))</f>
        <v>2</v>
      </c>
      <c r="H23" s="268">
        <f>IF($F$1="Select company","",IF(C23 = "","",HLOOKUP(((VLOOKUP($F$1,Lists!$B$4:$C$23,2,FALSE))&amp;"201617ActPerf"),'SUB list edited'!$A$2:$DD$42,($B23+1),FALSE)))</f>
        <v>0</v>
      </c>
      <c r="I23" s="474">
        <v>0</v>
      </c>
      <c r="J23" s="475" t="s">
        <v>1979</v>
      </c>
      <c r="L23" s="455">
        <f t="shared" si="4"/>
        <v>0</v>
      </c>
      <c r="M23" s="455">
        <f t="shared" si="0"/>
        <v>0</v>
      </c>
      <c r="P23" s="451">
        <f t="shared" si="1"/>
        <v>0</v>
      </c>
      <c r="Q23" s="451">
        <f t="shared" si="2"/>
        <v>0</v>
      </c>
      <c r="S23" s="451">
        <f xml:space="preserve"> IF(C23 = "", 0, IF(AND(NOT(INDEX('3A'!I$5:I$59, MATCH('3B'!$C23, '3A'!$C$5:$C$59, 0))=I23), $D23="00"), 1, 0))</f>
        <v>0</v>
      </c>
      <c r="T23" s="451">
        <f xml:space="preserve"> IF(C23 = "", 0, IF(AND(NOT(INDEX('3A'!J$5:J$59, MATCH('3B'!$C23, '3A'!$C$5:$C$59, 0))=J23), $D23="00"), 1, 0))</f>
        <v>0</v>
      </c>
    </row>
    <row r="24" spans="2:20" ht="30" customHeight="1">
      <c r="B24" s="456">
        <f t="shared" si="6"/>
        <v>20</v>
      </c>
      <c r="C24" s="457" t="str">
        <f>IF($F$1="Select company","",IF((HLOOKUP((VLOOKUP($F$1,Lists!$B$4:$C$23,2,FALSE)),'SUB list edited'!$A$2:$DC$42,($B24+1),FALSE))=0,"",HLOOKUP((VLOOKUP($F$1,Lists!$B$4:$C$23,2,FALSE)),'SUB list edited'!$A$2:$DC$42,($B24+1),FALSE)))</f>
        <v>PR14TMSWSWW_SB2</v>
      </c>
      <c r="D24" s="462" t="str">
        <f>IF($F$1="Select company","",IF(C24 = "","",HLOOKUP(((VLOOKUP($F$1,Lists!$B$4:$C$23,2,FALSE))&amp;"ID"),'SUB list edited'!$A$2:$DC$42,($B24+1),FALSE)))</f>
        <v>00</v>
      </c>
      <c r="E24" s="457" t="str">
        <f>IF($F$1="Select company","",IF(C24 = "","",HLOOKUP(((VLOOKUP($F$1,Lists!$B$4:$C$23,2,FALSE))&amp;"PC"),'SUB list edited'!$A$2:$DC$42,($B24+1),FALSE)))</f>
        <v>SB2: Asset health wastewater infrastructure</v>
      </c>
      <c r="F24" s="462" t="str">
        <f>IF($F$1="Select company","",IF(C24 = "","",HLOOKUP(((VLOOKUP($F$1,Lists!$B$4:$C$23,2,FALSE))&amp;"unit"),'SUB list edited'!$A$2:$DC$42,($B24+1),FALSE)))</f>
        <v>category</v>
      </c>
      <c r="G24" s="1175" t="str">
        <f>IF($F$1="Select company","",IF(C24="","",HLOOKUP(((VLOOKUP($F$1,Lists!$B$4:$C$23,2,FALSE))&amp;"DP"),'SUB list edited'!$A$2:$DC$42,($B24+1),FALSE)))</f>
        <v>na</v>
      </c>
      <c r="H24" s="268" t="str">
        <f>IF($F$1="Select company","",IF(C24 = "","",HLOOKUP(((VLOOKUP($F$1,Lists!$B$4:$C$23,2,FALSE))&amp;"201617ActPerf"),'SUB list edited'!$A$2:$DD$42,($B24+1),FALSE)))</f>
        <v>Stable</v>
      </c>
      <c r="I24" s="2159" t="s">
        <v>1984</v>
      </c>
      <c r="J24" s="475" t="s">
        <v>1979</v>
      </c>
      <c r="L24" s="455">
        <f t="shared" si="4"/>
        <v>0</v>
      </c>
      <c r="M24" s="455">
        <f t="shared" si="0"/>
        <v>0</v>
      </c>
      <c r="P24" s="451">
        <f t="shared" si="1"/>
        <v>0</v>
      </c>
      <c r="Q24" s="451">
        <f t="shared" si="2"/>
        <v>0</v>
      </c>
      <c r="S24" s="451">
        <f xml:space="preserve"> IF(C24 = "", 0, IF(AND(NOT(INDEX('3A'!I$5:I$59, MATCH('3B'!$C24, '3A'!$C$5:$C$59, 0))=I24), $D24="00"), 1, 0))</f>
        <v>0</v>
      </c>
      <c r="T24" s="451">
        <f xml:space="preserve"> IF(C24 = "", 0, IF(AND(NOT(INDEX('3A'!J$5:J$59, MATCH('3B'!$C24, '3A'!$C$5:$C$59, 0))=J24), $D24="00"), 1, 0))</f>
        <v>0</v>
      </c>
    </row>
    <row r="25" spans="2:20" ht="30" customHeight="1">
      <c r="B25" s="456">
        <f t="shared" si="6"/>
        <v>21</v>
      </c>
      <c r="C25" s="457" t="str">
        <f>IF($F$1="Select company","",IF((HLOOKUP((VLOOKUP($F$1,Lists!$B$4:$C$23,2,FALSE)),'SUB list edited'!$A$2:$DC$42,($B25+1),FALSE))=0,"",HLOOKUP((VLOOKUP($F$1,Lists!$B$4:$C$23,2,FALSE)),'SUB list edited'!$A$2:$DC$42,($B25+1),FALSE)))</f>
        <v>PR14TMSWSWW_SB2</v>
      </c>
      <c r="D25" s="462" t="str">
        <f>IF($F$1="Select company","",IF(C25 = "","",HLOOKUP(((VLOOKUP($F$1,Lists!$B$4:$C$23,2,FALSE))&amp;"ID"),'SUB list edited'!$A$2:$DC$42,($B25+1),FALSE)))</f>
        <v>01</v>
      </c>
      <c r="E25" s="457" t="str">
        <f>IF($F$1="Select company","",IF(C25 = "","",HLOOKUP(((VLOOKUP($F$1,Lists!$B$4:$C$23,2,FALSE))&amp;"PC"),'SUB list edited'!$A$2:$DC$42,($B25+1),FALSE)))</f>
        <v>Number of sewer collapses</v>
      </c>
      <c r="F25" s="462" t="str">
        <f>IF($F$1="Select company","",IF(C25 = "","",HLOOKUP(((VLOOKUP($F$1,Lists!$B$4:$C$23,2,FALSE))&amp;"unit"),'SUB list edited'!$A$2:$DC$42,($B25+1),FALSE)))</f>
        <v>nr</v>
      </c>
      <c r="G25" s="1175" t="str">
        <f>IF($F$1="Select company","",IF(C25="","",HLOOKUP(((VLOOKUP($F$1,Lists!$B$4:$C$23,2,FALSE))&amp;"DP"),'SUB list edited'!$A$2:$DC$42,($B25+1),FALSE)))</f>
        <v>0</v>
      </c>
      <c r="H25" s="268">
        <f>IF($F$1="Select company","",IF(C25 = "","",HLOOKUP(((VLOOKUP($F$1,Lists!$B$4:$C$23,2,FALSE))&amp;"201617ActPerf"),'SUB list edited'!$A$2:$DD$42,($B25+1),FALSE)))</f>
        <v>632</v>
      </c>
      <c r="I25" s="474">
        <v>321</v>
      </c>
      <c r="J25" s="475" t="s">
        <v>1979</v>
      </c>
      <c r="L25" s="455">
        <f t="shared" si="4"/>
        <v>0</v>
      </c>
      <c r="M25" s="455">
        <f t="shared" si="0"/>
        <v>0</v>
      </c>
      <c r="P25" s="451">
        <f t="shared" si="1"/>
        <v>0</v>
      </c>
      <c r="Q25" s="451">
        <f t="shared" si="2"/>
        <v>0</v>
      </c>
      <c r="S25" s="451">
        <f xml:space="preserve"> IF(C25 = "", 0, IF(AND(NOT(INDEX('3A'!I$5:I$59, MATCH('3B'!$C25, '3A'!$C$5:$C$59, 0))=I25), $D25="00"), 1, 0))</f>
        <v>0</v>
      </c>
      <c r="T25" s="451">
        <f xml:space="preserve"> IF(C25 = "", 0, IF(AND(NOT(INDEX('3A'!J$5:J$59, MATCH('3B'!$C25, '3A'!$C$5:$C$59, 0))=J25), $D25="00"), 1, 0))</f>
        <v>0</v>
      </c>
    </row>
    <row r="26" spans="2:20" ht="30" customHeight="1">
      <c r="B26" s="456">
        <f t="shared" si="6"/>
        <v>22</v>
      </c>
      <c r="C26" s="457" t="str">
        <f>IF($F$1="Select company","",IF((HLOOKUP((VLOOKUP($F$1,Lists!$B$4:$C$23,2,FALSE)),'SUB list edited'!$A$2:$DC$42,($B26+1),FALSE))=0,"",HLOOKUP((VLOOKUP($F$1,Lists!$B$4:$C$23,2,FALSE)),'SUB list edited'!$A$2:$DC$42,($B26+1),FALSE)))</f>
        <v>PR14TMSWSWW_SB2</v>
      </c>
      <c r="D26" s="462" t="str">
        <f>IF($F$1="Select company","",IF(C26 = "","",HLOOKUP(((VLOOKUP($F$1,Lists!$B$4:$C$23,2,FALSE))&amp;"ID"),'SUB list edited'!$A$2:$DC$42,($B26+1),FALSE)))</f>
        <v>02</v>
      </c>
      <c r="E26" s="457" t="str">
        <f>IF($F$1="Select company","",IF(C26 = "","",HLOOKUP(((VLOOKUP($F$1,Lists!$B$4:$C$23,2,FALSE))&amp;"PC"),'SUB list edited'!$A$2:$DC$42,($B26+1),FALSE)))</f>
        <v>Number of sewer blockages</v>
      </c>
      <c r="F26" s="462" t="str">
        <f>IF($F$1="Select company","",IF(C26 = "","",HLOOKUP(((VLOOKUP($F$1,Lists!$B$4:$C$23,2,FALSE))&amp;"unit"),'SUB list edited'!$A$2:$DC$42,($B26+1),FALSE)))</f>
        <v>nr</v>
      </c>
      <c r="G26" s="1175" t="str">
        <f>IF($F$1="Select company","",IF(C26="","",HLOOKUP(((VLOOKUP($F$1,Lists!$B$4:$C$23,2,FALSE))&amp;"DP"),'SUB list edited'!$A$2:$DC$42,($B26+1),FALSE)))</f>
        <v>0</v>
      </c>
      <c r="H26" s="268">
        <f>IF($F$1="Select company","",IF(C26 = "","",HLOOKUP(((VLOOKUP($F$1,Lists!$B$4:$C$23,2,FALSE))&amp;"201617ActPerf"),'SUB list edited'!$A$2:$DD$42,($B26+1),FALSE)))</f>
        <v>80747</v>
      </c>
      <c r="I26" s="474">
        <v>77402</v>
      </c>
      <c r="J26" s="475" t="s">
        <v>1979</v>
      </c>
      <c r="L26" s="455">
        <f t="shared" si="4"/>
        <v>0</v>
      </c>
      <c r="M26" s="455">
        <f t="shared" si="0"/>
        <v>0</v>
      </c>
      <c r="P26" s="451">
        <f t="shared" si="1"/>
        <v>0</v>
      </c>
      <c r="Q26" s="451">
        <f t="shared" si="2"/>
        <v>0</v>
      </c>
      <c r="S26" s="451">
        <f xml:space="preserve"> IF(C26 = "", 0, IF(AND(NOT(INDEX('3A'!I$5:I$59, MATCH('3B'!$C26, '3A'!$C$5:$C$59, 0))=I26), $D26="00"), 1, 0))</f>
        <v>0</v>
      </c>
      <c r="T26" s="451">
        <f xml:space="preserve"> IF(C26 = "", 0, IF(AND(NOT(INDEX('3A'!J$5:J$59, MATCH('3B'!$C26, '3A'!$C$5:$C$59, 0))=J26), $D26="00"), 1, 0))</f>
        <v>0</v>
      </c>
    </row>
    <row r="27" spans="2:20" ht="30" customHeight="1">
      <c r="B27" s="456">
        <f t="shared" si="6"/>
        <v>23</v>
      </c>
      <c r="C27" s="457" t="str">
        <f>IF($F$1="Select company","",IF((HLOOKUP((VLOOKUP($F$1,Lists!$B$4:$C$23,2,FALSE)),'SUB list edited'!$A$2:$DC$42,($B27+1),FALSE))=0,"",HLOOKUP((VLOOKUP($F$1,Lists!$B$4:$C$23,2,FALSE)),'SUB list edited'!$A$2:$DC$42,($B27+1),FALSE)))</f>
        <v>PR14TMSWSWW_SB2</v>
      </c>
      <c r="D27" s="462" t="str">
        <f>IF($F$1="Select company","",IF(C27 = "","",HLOOKUP(((VLOOKUP($F$1,Lists!$B$4:$C$23,2,FALSE))&amp;"ID"),'SUB list edited'!$A$2:$DC$42,($B27+1),FALSE)))</f>
        <v>03</v>
      </c>
      <c r="E27" s="457" t="str">
        <f>IF($F$1="Select company","",IF(C27 = "","",HLOOKUP(((VLOOKUP($F$1,Lists!$B$4:$C$23,2,FALSE))&amp;"PC"),'SUB list edited'!$A$2:$DC$42,($B27+1),FALSE)))</f>
        <v>Pollution incidents (cat 1-3)</v>
      </c>
      <c r="F27" s="462" t="str">
        <f>IF($F$1="Select company","",IF(C27 = "","",HLOOKUP(((VLOOKUP($F$1,Lists!$B$4:$C$23,2,FALSE))&amp;"unit"),'SUB list edited'!$A$2:$DC$42,($B27+1),FALSE)))</f>
        <v>nr</v>
      </c>
      <c r="G27" s="1175" t="str">
        <f>IF($F$1="Select company","",IF(C27="","",HLOOKUP(((VLOOKUP($F$1,Lists!$B$4:$C$23,2,FALSE))&amp;"DP"),'SUB list edited'!$A$2:$DC$42,($B27+1),FALSE)))</f>
        <v>0</v>
      </c>
      <c r="H27" s="268">
        <f>IF($F$1="Select company","",IF(C27 = "","",HLOOKUP(((VLOOKUP($F$1,Lists!$B$4:$C$23,2,FALSE))&amp;"201617ActPerf"),'SUB list edited'!$A$2:$DD$42,($B27+1),FALSE)))</f>
        <v>243</v>
      </c>
      <c r="I27" s="474">
        <v>241</v>
      </c>
      <c r="J27" s="475" t="s">
        <v>1980</v>
      </c>
      <c r="L27" s="455">
        <f t="shared" si="4"/>
        <v>0</v>
      </c>
      <c r="M27" s="455">
        <f t="shared" si="0"/>
        <v>0</v>
      </c>
      <c r="P27" s="451">
        <f t="shared" si="1"/>
        <v>0</v>
      </c>
      <c r="Q27" s="451">
        <f t="shared" si="2"/>
        <v>0</v>
      </c>
      <c r="S27" s="451">
        <f xml:space="preserve"> IF(C27 = "", 0, IF(AND(NOT(INDEX('3A'!I$5:I$59, MATCH('3B'!$C27, '3A'!$C$5:$C$59, 0))=I27), $D27="00"), 1, 0))</f>
        <v>0</v>
      </c>
      <c r="T27" s="451">
        <f xml:space="preserve"> IF(C27 = "", 0, IF(AND(NOT(INDEX('3A'!J$5:J$59, MATCH('3B'!$C27, '3A'!$C$5:$C$59, 0))=J27), $D27="00"), 1, 0))</f>
        <v>0</v>
      </c>
    </row>
    <row r="28" spans="2:20" ht="30" customHeight="1">
      <c r="B28" s="456">
        <f t="shared" si="6"/>
        <v>24</v>
      </c>
      <c r="C28" s="457" t="str">
        <f>IF($F$1="Select company","",IF((HLOOKUP((VLOOKUP($F$1,Lists!$B$4:$C$23,2,FALSE)),'SUB list edited'!$A$2:$DC$42,($B28+1),FALSE))=0,"",HLOOKUP((VLOOKUP($F$1,Lists!$B$4:$C$23,2,FALSE)),'SUB list edited'!$A$2:$DC$42,($B28+1),FALSE)))</f>
        <v>PR14TMSWSWW_SB2</v>
      </c>
      <c r="D28" s="462" t="str">
        <f>IF($F$1="Select company","",IF(C28 = "","",HLOOKUP(((VLOOKUP($F$1,Lists!$B$4:$C$23,2,FALSE))&amp;"ID"),'SUB list edited'!$A$2:$DC$42,($B28+1),FALSE)))</f>
        <v>04</v>
      </c>
      <c r="E28" s="457" t="str">
        <f>IF($F$1="Select company","",IF(C28 = "","",HLOOKUP(((VLOOKUP($F$1,Lists!$B$4:$C$23,2,FALSE))&amp;"PC"),'SUB list edited'!$A$2:$DC$42,($B28+1),FALSE)))</f>
        <v>Properties internally flooded</v>
      </c>
      <c r="F28" s="462" t="str">
        <f>IF($F$1="Select company","",IF(C28 = "","",HLOOKUP(((VLOOKUP($F$1,Lists!$B$4:$C$23,2,FALSE))&amp;"unit"),'SUB list edited'!$A$2:$DC$42,($B28+1),FALSE)))</f>
        <v>nr</v>
      </c>
      <c r="G28" s="1175" t="str">
        <f>IF($F$1="Select company","",IF(C28="","",HLOOKUP(((VLOOKUP($F$1,Lists!$B$4:$C$23,2,FALSE))&amp;"DP"),'SUB list edited'!$A$2:$DC$42,($B28+1),FALSE)))</f>
        <v>0</v>
      </c>
      <c r="H28" s="268">
        <f>IF($F$1="Select company","",IF(C28 = "","",HLOOKUP(((VLOOKUP($F$1,Lists!$B$4:$C$23,2,FALSE))&amp;"201617ActPerf"),'SUB list edited'!$A$2:$DD$42,($B28+1),FALSE)))</f>
        <v>1106</v>
      </c>
      <c r="I28" s="474">
        <v>969</v>
      </c>
      <c r="J28" s="475" t="s">
        <v>1979</v>
      </c>
      <c r="L28" s="455">
        <f t="shared" si="4"/>
        <v>0</v>
      </c>
      <c r="M28" s="455">
        <f t="shared" si="0"/>
        <v>0</v>
      </c>
      <c r="P28" s="451">
        <f t="shared" si="1"/>
        <v>0</v>
      </c>
      <c r="Q28" s="451">
        <f t="shared" si="2"/>
        <v>0</v>
      </c>
      <c r="S28" s="451">
        <f xml:space="preserve"> IF(C28 = "", 0, IF(AND(NOT(INDEX('3A'!I$5:I$59, MATCH('3B'!$C28, '3A'!$C$5:$C$59, 0))=I28), $D28="00"), 1, 0))</f>
        <v>0</v>
      </c>
      <c r="T28" s="451">
        <f xml:space="preserve"> IF(C28 = "", 0, IF(AND(NOT(INDEX('3A'!J$5:J$59, MATCH('3B'!$C28, '3A'!$C$5:$C$59, 0))=J28), $D28="00"), 1, 0))</f>
        <v>0</v>
      </c>
    </row>
    <row r="29" spans="2:20" ht="30" customHeight="1">
      <c r="B29" s="456">
        <f t="shared" si="6"/>
        <v>25</v>
      </c>
      <c r="C29" s="457" t="str">
        <f>IF($F$1="Select company","",IF((HLOOKUP((VLOOKUP($F$1,Lists!$B$4:$C$23,2,FALSE)),'SUB list edited'!$A$2:$DC$42,($B29+1),FALSE))=0,"",HLOOKUP((VLOOKUP($F$1,Lists!$B$4:$C$23,2,FALSE)),'SUB list edited'!$A$2:$DC$42,($B29+1),FALSE)))</f>
        <v/>
      </c>
      <c r="D29" s="462" t="str">
        <f>IF($F$1="Select company","",IF(C29 = "","",HLOOKUP(((VLOOKUP($F$1,Lists!$B$4:$C$23,2,FALSE))&amp;"ID"),'SUB list edited'!$A$2:$DC$42,($B29+1),FALSE)))</f>
        <v/>
      </c>
      <c r="E29" s="457" t="str">
        <f>IF($F$1="Select company","",IF(C29 = "","",HLOOKUP(((VLOOKUP($F$1,Lists!$B$4:$C$23,2,FALSE))&amp;"PC"),'SUB list edited'!$A$2:$DC$42,($B29+1),FALSE)))</f>
        <v/>
      </c>
      <c r="F29" s="462" t="str">
        <f>IF($F$1="Select company","",IF(C29 = "","",HLOOKUP(((VLOOKUP($F$1,Lists!$B$4:$C$23,2,FALSE))&amp;"unit"),'SUB list edited'!$A$2:$DC$42,($B29+1),FALSE)))</f>
        <v/>
      </c>
      <c r="G29" s="1175" t="str">
        <f>IF($F$1="Select company","",IF(C29="","",HLOOKUP(((VLOOKUP($F$1,Lists!$B$4:$C$23,2,FALSE))&amp;"DP"),'SUB list edited'!$A$2:$DC$42,($B29+1),FALSE)))</f>
        <v/>
      </c>
      <c r="H29" s="268" t="str">
        <f>IF($F$1="Select company","",IF(C29 = "","",HLOOKUP(((VLOOKUP($F$1,Lists!$B$4:$C$23,2,FALSE))&amp;"201617ActPerf"),'SUB list edited'!$A$2:$DD$42,($B29+1),FALSE)))</f>
        <v/>
      </c>
      <c r="I29" s="474"/>
      <c r="J29" s="475"/>
      <c r="L29" s="455">
        <f t="shared" si="4"/>
        <v>0</v>
      </c>
      <c r="M29" s="455">
        <f t="shared" si="0"/>
        <v>0</v>
      </c>
      <c r="P29" s="451">
        <f t="shared" si="1"/>
        <v>0</v>
      </c>
      <c r="Q29" s="451">
        <f t="shared" si="2"/>
        <v>0</v>
      </c>
      <c r="S29" s="451">
        <f xml:space="preserve"> IF(C29 = "", 0, IF(AND(NOT(INDEX('3A'!I$5:I$59, MATCH('3B'!$C29, '3A'!$C$5:$C$59, 0))=I29), $D29="00"), 1, 0))</f>
        <v>0</v>
      </c>
      <c r="T29" s="451">
        <f xml:space="preserve"> IF(C29 = "", 0, IF(AND(NOT(INDEX('3A'!J$5:J$59, MATCH('3B'!$C29, '3A'!$C$5:$C$59, 0))=J29), $D29="00"), 1, 0))</f>
        <v>0</v>
      </c>
    </row>
    <row r="30" spans="2:20" ht="30" customHeight="1">
      <c r="B30" s="456">
        <f t="shared" si="6"/>
        <v>26</v>
      </c>
      <c r="C30" s="457" t="str">
        <f>IF($F$1="Select company","",IF((HLOOKUP((VLOOKUP($F$1,Lists!$B$4:$C$23,2,FALSE)),'SUB list edited'!$A$2:$DC$42,($B30+1),FALSE))=0,"",HLOOKUP((VLOOKUP($F$1,Lists!$B$4:$C$23,2,FALSE)),'SUB list edited'!$A$2:$DC$42,($B30+1),FALSE)))</f>
        <v/>
      </c>
      <c r="D30" s="462" t="str">
        <f>IF($F$1="Select company","",IF(C30 = "","",HLOOKUP(((VLOOKUP($F$1,Lists!$B$4:$C$23,2,FALSE))&amp;"ID"),'SUB list edited'!$A$2:$DC$42,($B30+1),FALSE)))</f>
        <v/>
      </c>
      <c r="E30" s="457" t="str">
        <f>IF($F$1="Select company","",IF(C30 = "","",HLOOKUP(((VLOOKUP($F$1,Lists!$B$4:$C$23,2,FALSE))&amp;"PC"),'SUB list edited'!$A$2:$DC$42,($B30+1),FALSE)))</f>
        <v/>
      </c>
      <c r="F30" s="462" t="str">
        <f>IF($F$1="Select company","",IF(C30 = "","",HLOOKUP(((VLOOKUP($F$1,Lists!$B$4:$C$23,2,FALSE))&amp;"unit"),'SUB list edited'!$A$2:$DC$42,($B30+1),FALSE)))</f>
        <v/>
      </c>
      <c r="G30" s="1175" t="str">
        <f>IF($F$1="Select company","",IF(C30="","",HLOOKUP(((VLOOKUP($F$1,Lists!$B$4:$C$23,2,FALSE))&amp;"DP"),'SUB list edited'!$A$2:$DC$42,($B30+1),FALSE)))</f>
        <v/>
      </c>
      <c r="H30" s="268" t="str">
        <f>IF($F$1="Select company","",IF(C30 = "","",HLOOKUP(((VLOOKUP($F$1,Lists!$B$4:$C$23,2,FALSE))&amp;"201617ActPerf"),'SUB list edited'!$A$2:$DD$42,($B30+1),FALSE)))</f>
        <v/>
      </c>
      <c r="I30" s="474"/>
      <c r="J30" s="475"/>
      <c r="L30" s="455">
        <f t="shared" si="4"/>
        <v>0</v>
      </c>
      <c r="M30" s="455">
        <f t="shared" si="0"/>
        <v>0</v>
      </c>
      <c r="P30" s="451">
        <f t="shared" si="1"/>
        <v>0</v>
      </c>
      <c r="Q30" s="451">
        <f t="shared" si="2"/>
        <v>0</v>
      </c>
      <c r="S30" s="451">
        <f xml:space="preserve"> IF(C30 = "", 0, IF(AND(NOT(INDEX('3A'!I$5:I$59, MATCH('3B'!$C30, '3A'!$C$5:$C$59, 0))=I30), $D30="00"), 1, 0))</f>
        <v>0</v>
      </c>
      <c r="T30" s="451">
        <f xml:space="preserve"> IF(C30 = "", 0, IF(AND(NOT(INDEX('3A'!J$5:J$59, MATCH('3B'!$C30, '3A'!$C$5:$C$59, 0))=J30), $D30="00"), 1, 0))</f>
        <v>0</v>
      </c>
    </row>
    <row r="31" spans="2:20" ht="30" customHeight="1">
      <c r="B31" s="456">
        <f t="shared" si="6"/>
        <v>27</v>
      </c>
      <c r="C31" s="457" t="str">
        <f>IF($F$1="Select company","",IF((HLOOKUP((VLOOKUP($F$1,Lists!$B$4:$C$23,2,FALSE)),'SUB list edited'!$A$2:$DC$42,($B31+1),FALSE))=0,"",HLOOKUP((VLOOKUP($F$1,Lists!$B$4:$C$23,2,FALSE)),'SUB list edited'!$A$2:$DC$42,($B31+1),FALSE)))</f>
        <v/>
      </c>
      <c r="D31" s="462" t="str">
        <f>IF($F$1="Select company","",IF(C31 = "","",HLOOKUP(((VLOOKUP($F$1,Lists!$B$4:$C$23,2,FALSE))&amp;"ID"),'SUB list edited'!$A$2:$DC$42,($B31+1),FALSE)))</f>
        <v/>
      </c>
      <c r="E31" s="457" t="str">
        <f>IF($F$1="Select company","",IF(C31 = "","",HLOOKUP(((VLOOKUP($F$1,Lists!$B$4:$C$23,2,FALSE))&amp;"PC"),'SUB list edited'!$A$2:$DC$42,($B31+1),FALSE)))</f>
        <v/>
      </c>
      <c r="F31" s="462" t="str">
        <f>IF($F$1="Select company","",IF(C31 = "","",HLOOKUP(((VLOOKUP($F$1,Lists!$B$4:$C$23,2,FALSE))&amp;"unit"),'SUB list edited'!$A$2:$DC$42,($B31+1),FALSE)))</f>
        <v/>
      </c>
      <c r="G31" s="1175" t="str">
        <f>IF($F$1="Select company","",IF(C31="","",HLOOKUP(((VLOOKUP($F$1,Lists!$B$4:$C$23,2,FALSE))&amp;"DP"),'SUB list edited'!$A$2:$DC$42,($B31+1),FALSE)))</f>
        <v/>
      </c>
      <c r="H31" s="268" t="str">
        <f>IF($F$1="Select company","",IF(C31 = "","",HLOOKUP(((VLOOKUP($F$1,Lists!$B$4:$C$23,2,FALSE))&amp;"201617ActPerf"),'SUB list edited'!$A$2:$DD$42,($B31+1),FALSE)))</f>
        <v/>
      </c>
      <c r="I31" s="474"/>
      <c r="J31" s="475"/>
      <c r="L31" s="455">
        <f t="shared" si="4"/>
        <v>0</v>
      </c>
      <c r="M31" s="455">
        <f t="shared" si="0"/>
        <v>0</v>
      </c>
      <c r="P31" s="451">
        <f t="shared" si="1"/>
        <v>0</v>
      </c>
      <c r="Q31" s="451">
        <f t="shared" si="2"/>
        <v>0</v>
      </c>
      <c r="S31" s="451">
        <f xml:space="preserve"> IF(C31 = "", 0, IF(AND(NOT(INDEX('3A'!I$5:I$59, MATCH('3B'!$C31, '3A'!$C$5:$C$59, 0))=I31), $D31="00"), 1, 0))</f>
        <v>0</v>
      </c>
      <c r="T31" s="451">
        <f xml:space="preserve"> IF(C31 = "", 0, IF(AND(NOT(INDEX('3A'!J$5:J$59, MATCH('3B'!$C31, '3A'!$C$5:$C$59, 0))=J31), $D31="00"), 1, 0))</f>
        <v>0</v>
      </c>
    </row>
    <row r="32" spans="2:20" ht="30" customHeight="1">
      <c r="B32" s="456">
        <f t="shared" si="6"/>
        <v>28</v>
      </c>
      <c r="C32" s="457" t="str">
        <f>IF($F$1="Select company","",IF((HLOOKUP((VLOOKUP($F$1,Lists!$B$4:$C$23,2,FALSE)),'SUB list edited'!$A$2:$DC$42,($B32+1),FALSE))=0,"",HLOOKUP((VLOOKUP($F$1,Lists!$B$4:$C$23,2,FALSE)),'SUB list edited'!$A$2:$DC$42,($B32+1),FALSE)))</f>
        <v/>
      </c>
      <c r="D32" s="462" t="str">
        <f>IF($F$1="Select company","",IF(C32 = "","",HLOOKUP(((VLOOKUP($F$1,Lists!$B$4:$C$23,2,FALSE))&amp;"ID"),'SUB list edited'!$A$2:$DC$42,($B32+1),FALSE)))</f>
        <v/>
      </c>
      <c r="E32" s="457" t="str">
        <f>IF($F$1="Select company","",IF(C32 = "","",HLOOKUP(((VLOOKUP($F$1,Lists!$B$4:$C$23,2,FALSE))&amp;"PC"),'SUB list edited'!$A$2:$DC$42,($B32+1),FALSE)))</f>
        <v/>
      </c>
      <c r="F32" s="462" t="str">
        <f>IF($F$1="Select company","",IF(C32 = "","",HLOOKUP(((VLOOKUP($F$1,Lists!$B$4:$C$23,2,FALSE))&amp;"unit"),'SUB list edited'!$A$2:$DC$42,($B32+1),FALSE)))</f>
        <v/>
      </c>
      <c r="G32" s="1175" t="str">
        <f>IF($F$1="Select company","",IF(C32="","",HLOOKUP(((VLOOKUP($F$1,Lists!$B$4:$C$23,2,FALSE))&amp;"DP"),'SUB list edited'!$A$2:$DC$42,($B32+1),FALSE)))</f>
        <v/>
      </c>
      <c r="H32" s="268" t="str">
        <f>IF($F$1="Select company","",IF(C32 = "","",HLOOKUP(((VLOOKUP($F$1,Lists!$B$4:$C$23,2,FALSE))&amp;"201617ActPerf"),'SUB list edited'!$A$2:$DD$42,($B32+1),FALSE)))</f>
        <v/>
      </c>
      <c r="I32" s="474"/>
      <c r="J32" s="475"/>
      <c r="L32" s="455">
        <f t="shared" si="4"/>
        <v>0</v>
      </c>
      <c r="M32" s="455">
        <f t="shared" si="0"/>
        <v>0</v>
      </c>
      <c r="P32" s="451">
        <f t="shared" si="1"/>
        <v>0</v>
      </c>
      <c r="Q32" s="451">
        <f t="shared" si="2"/>
        <v>0</v>
      </c>
      <c r="S32" s="451">
        <f xml:space="preserve"> IF(C32 = "", 0, IF(AND(NOT(INDEX('3A'!I$5:I$59, MATCH('3B'!$C32, '3A'!$C$5:$C$59, 0))=I32), $D32="00"), 1, 0))</f>
        <v>0</v>
      </c>
      <c r="T32" s="451">
        <f xml:space="preserve"> IF(C32 = "", 0, IF(AND(NOT(INDEX('3A'!J$5:J$59, MATCH('3B'!$C32, '3A'!$C$5:$C$59, 0))=J32), $D32="00"), 1, 0))</f>
        <v>0</v>
      </c>
    </row>
    <row r="33" spans="2:20" ht="30" customHeight="1">
      <c r="B33" s="456">
        <f t="shared" si="6"/>
        <v>29</v>
      </c>
      <c r="C33" s="457" t="str">
        <f>IF($F$1="Select company","",IF((HLOOKUP((VLOOKUP($F$1,Lists!$B$4:$C$23,2,FALSE)),'SUB list edited'!$A$2:$DC$42,($B33+1),FALSE))=0,"",HLOOKUP((VLOOKUP($F$1,Lists!$B$4:$C$23,2,FALSE)),'SUB list edited'!$A$2:$DC$42,($B33+1),FALSE)))</f>
        <v/>
      </c>
      <c r="D33" s="462" t="str">
        <f>IF($F$1="Select company","",IF(C33 = "","",HLOOKUP(((VLOOKUP($F$1,Lists!$B$4:$C$23,2,FALSE))&amp;"ID"),'SUB list edited'!$A$2:$DC$42,($B33+1),FALSE)))</f>
        <v/>
      </c>
      <c r="E33" s="457" t="str">
        <f>IF($F$1="Select company","",IF(C33 = "","",HLOOKUP(((VLOOKUP($F$1,Lists!$B$4:$C$23,2,FALSE))&amp;"PC"),'SUB list edited'!$A$2:$DC$42,($B33+1),FALSE)))</f>
        <v/>
      </c>
      <c r="F33" s="462" t="str">
        <f>IF($F$1="Select company","",IF(C33 = "","",HLOOKUP(((VLOOKUP($F$1,Lists!$B$4:$C$23,2,FALSE))&amp;"unit"),'SUB list edited'!$A$2:$DC$42,($B33+1),FALSE)))</f>
        <v/>
      </c>
      <c r="G33" s="1175" t="str">
        <f>IF($F$1="Select company","",IF(C33="","",HLOOKUP(((VLOOKUP($F$1,Lists!$B$4:$C$23,2,FALSE))&amp;"DP"),'SUB list edited'!$A$2:$DC$42,($B33+1),FALSE)))</f>
        <v/>
      </c>
      <c r="H33" s="268" t="str">
        <f>IF($F$1="Select company","",IF(C33 = "","",HLOOKUP(((VLOOKUP($F$1,Lists!$B$4:$C$23,2,FALSE))&amp;"201617ActPerf"),'SUB list edited'!$A$2:$DD$42,($B33+1),FALSE)))</f>
        <v/>
      </c>
      <c r="I33" s="474"/>
      <c r="J33" s="475"/>
      <c r="L33" s="455">
        <f t="shared" si="4"/>
        <v>0</v>
      </c>
      <c r="M33" s="455">
        <f t="shared" si="0"/>
        <v>0</v>
      </c>
      <c r="P33" s="451">
        <f t="shared" si="1"/>
        <v>0</v>
      </c>
      <c r="Q33" s="451">
        <f t="shared" si="2"/>
        <v>0</v>
      </c>
      <c r="S33" s="451">
        <f xml:space="preserve"> IF(C33 = "", 0, IF(AND(NOT(INDEX('3A'!I$5:I$59, MATCH('3B'!$C33, '3A'!$C$5:$C$59, 0))=I33), $D33="00"), 1, 0))</f>
        <v>0</v>
      </c>
      <c r="T33" s="451">
        <f xml:space="preserve"> IF(C33 = "", 0, IF(AND(NOT(INDEX('3A'!J$5:J$59, MATCH('3B'!$C33, '3A'!$C$5:$C$59, 0))=J33), $D33="00"), 1, 0))</f>
        <v>0</v>
      </c>
    </row>
    <row r="34" spans="2:20" ht="30" customHeight="1">
      <c r="B34" s="456">
        <f t="shared" si="6"/>
        <v>30</v>
      </c>
      <c r="C34" s="457" t="str">
        <f>IF($F$1="Select company","",IF((HLOOKUP((VLOOKUP($F$1,Lists!$B$4:$C$23,2,FALSE)),'SUB list edited'!$A$2:$DC$42,($B34+1),FALSE))=0,"",HLOOKUP((VLOOKUP($F$1,Lists!$B$4:$C$23,2,FALSE)),'SUB list edited'!$A$2:$DC$42,($B34+1),FALSE)))</f>
        <v/>
      </c>
      <c r="D34" s="462" t="str">
        <f>IF($F$1="Select company","",IF(C34 = "","",HLOOKUP(((VLOOKUP($F$1,Lists!$B$4:$C$23,2,FALSE))&amp;"ID"),'SUB list edited'!$A$2:$DC$42,($B34+1),FALSE)))</f>
        <v/>
      </c>
      <c r="E34" s="457" t="str">
        <f>IF($F$1="Select company","",IF(C34 = "","",HLOOKUP(((VLOOKUP($F$1,Lists!$B$4:$C$23,2,FALSE))&amp;"PC"),'SUB list edited'!$A$2:$DC$42,($B34+1),FALSE)))</f>
        <v/>
      </c>
      <c r="F34" s="462" t="str">
        <f>IF($F$1="Select company","",IF(C34 = "","",HLOOKUP(((VLOOKUP($F$1,Lists!$B$4:$C$23,2,FALSE))&amp;"unit"),'SUB list edited'!$A$2:$DC$42,($B34+1),FALSE)))</f>
        <v/>
      </c>
      <c r="G34" s="1175" t="str">
        <f>IF($F$1="Select company","",IF(C34="","",HLOOKUP(((VLOOKUP($F$1,Lists!$B$4:$C$23,2,FALSE))&amp;"DP"),'SUB list edited'!$A$2:$DC$42,($B34+1),FALSE)))</f>
        <v/>
      </c>
      <c r="H34" s="268" t="str">
        <f>IF($F$1="Select company","",IF(C34 = "","",HLOOKUP(((VLOOKUP($F$1,Lists!$B$4:$C$23,2,FALSE))&amp;"201617ActPerf"),'SUB list edited'!$A$2:$DD$42,($B34+1),FALSE)))</f>
        <v/>
      </c>
      <c r="I34" s="474"/>
      <c r="J34" s="475"/>
      <c r="L34" s="455">
        <f t="shared" si="4"/>
        <v>0</v>
      </c>
      <c r="M34" s="455">
        <f t="shared" si="0"/>
        <v>0</v>
      </c>
      <c r="P34" s="451">
        <f t="shared" si="1"/>
        <v>0</v>
      </c>
      <c r="Q34" s="451">
        <f t="shared" si="2"/>
        <v>0</v>
      </c>
      <c r="S34" s="451">
        <f xml:space="preserve"> IF(C34 = "", 0, IF(AND(NOT(INDEX('3A'!I$5:I$59, MATCH('3B'!$C34, '3A'!$C$5:$C$59, 0))=I34), $D34="00"), 1, 0))</f>
        <v>0</v>
      </c>
      <c r="T34" s="451">
        <f xml:space="preserve"> IF(C34 = "", 0, IF(AND(NOT(INDEX('3A'!J$5:J$59, MATCH('3B'!$C34, '3A'!$C$5:$C$59, 0))=J34), $D34="00"), 1, 0))</f>
        <v>0</v>
      </c>
    </row>
    <row r="35" spans="2:20" ht="30" customHeight="1">
      <c r="B35" s="456">
        <f t="shared" si="6"/>
        <v>31</v>
      </c>
      <c r="C35" s="457" t="str">
        <f>IF($F$1="Select company","",IF((HLOOKUP((VLOOKUP($F$1,Lists!$B$4:$C$23,2,FALSE)),'SUB list edited'!$A$2:$DC$42,($B35+1),FALSE))=0,"",HLOOKUP((VLOOKUP($F$1,Lists!$B$4:$C$23,2,FALSE)),'SUB list edited'!$A$2:$DC$42,($B35+1),FALSE)))</f>
        <v/>
      </c>
      <c r="D35" s="462" t="str">
        <f>IF($F$1="Select company","",IF(C35 = "","",HLOOKUP(((VLOOKUP($F$1,Lists!$B$4:$C$23,2,FALSE))&amp;"ID"),'SUB list edited'!$A$2:$DC$42,($B35+1),FALSE)))</f>
        <v/>
      </c>
      <c r="E35" s="457" t="str">
        <f>IF($F$1="Select company","",IF(C35 = "","",HLOOKUP(((VLOOKUP($F$1,Lists!$B$4:$C$23,2,FALSE))&amp;"PC"),'SUB list edited'!$A$2:$DC$42,($B35+1),FALSE)))</f>
        <v/>
      </c>
      <c r="F35" s="462" t="str">
        <f>IF($F$1="Select company","",IF(C35 = "","",HLOOKUP(((VLOOKUP($F$1,Lists!$B$4:$C$23,2,FALSE))&amp;"unit"),'SUB list edited'!$A$2:$DC$42,($B35+1),FALSE)))</f>
        <v/>
      </c>
      <c r="G35" s="1175" t="str">
        <f>IF($F$1="Select company","",IF(C35="","",HLOOKUP(((VLOOKUP($F$1,Lists!$B$4:$C$23,2,FALSE))&amp;"DP"),'SUB list edited'!$A$2:$DC$42,($B35+1),FALSE)))</f>
        <v/>
      </c>
      <c r="H35" s="268" t="str">
        <f>IF($F$1="Select company","",IF(C35 = "","",HLOOKUP(((VLOOKUP($F$1,Lists!$B$4:$C$23,2,FALSE))&amp;"201617ActPerf"),'SUB list edited'!$A$2:$DD$42,($B35+1),FALSE)))</f>
        <v/>
      </c>
      <c r="I35" s="474"/>
      <c r="J35" s="475"/>
      <c r="L35" s="455">
        <f t="shared" si="4"/>
        <v>0</v>
      </c>
      <c r="M35" s="455">
        <f t="shared" si="0"/>
        <v>0</v>
      </c>
      <c r="P35" s="451">
        <f t="shared" si="1"/>
        <v>0</v>
      </c>
      <c r="Q35" s="451">
        <f t="shared" si="2"/>
        <v>0</v>
      </c>
      <c r="S35" s="451">
        <f xml:space="preserve"> IF(C35 = "", 0, IF(AND(NOT(INDEX('3A'!I$5:I$59, MATCH('3B'!$C35, '3A'!$C$5:$C$59, 0))=I35), $D35="00"), 1, 0))</f>
        <v>0</v>
      </c>
      <c r="T35" s="451">
        <f xml:space="preserve"> IF(C35 = "", 0, IF(AND(NOT(INDEX('3A'!J$5:J$59, MATCH('3B'!$C35, '3A'!$C$5:$C$59, 0))=J35), $D35="00"), 1, 0))</f>
        <v>0</v>
      </c>
    </row>
    <row r="36" spans="2:20" ht="30" customHeight="1">
      <c r="B36" s="456">
        <f t="shared" si="6"/>
        <v>32</v>
      </c>
      <c r="C36" s="457" t="str">
        <f>IF($F$1="Select company","",IF((HLOOKUP((VLOOKUP($F$1,Lists!$B$4:$C$23,2,FALSE)),'SUB list edited'!$A$2:$DC$42,($B36+1),FALSE))=0,"",HLOOKUP((VLOOKUP($F$1,Lists!$B$4:$C$23,2,FALSE)),'SUB list edited'!$A$2:$DC$42,($B36+1),FALSE)))</f>
        <v/>
      </c>
      <c r="D36" s="462" t="str">
        <f>IF($F$1="Select company","",IF(C36 = "","",HLOOKUP(((VLOOKUP($F$1,Lists!$B$4:$C$23,2,FALSE))&amp;"ID"),'SUB list edited'!$A$2:$DC$42,($B36+1),FALSE)))</f>
        <v/>
      </c>
      <c r="E36" s="457" t="str">
        <f>IF($F$1="Select company","",IF(C36 = "","",HLOOKUP(((VLOOKUP($F$1,Lists!$B$4:$C$23,2,FALSE))&amp;"PC"),'SUB list edited'!$A$2:$DC$42,($B36+1),FALSE)))</f>
        <v/>
      </c>
      <c r="F36" s="462" t="str">
        <f>IF($F$1="Select company","",IF(C36 = "","",HLOOKUP(((VLOOKUP($F$1,Lists!$B$4:$C$23,2,FALSE))&amp;"unit"),'SUB list edited'!$A$2:$DC$42,($B36+1),FALSE)))</f>
        <v/>
      </c>
      <c r="G36" s="1175" t="str">
        <f>IF($F$1="Select company","",IF(C36="","",HLOOKUP(((VLOOKUP($F$1,Lists!$B$4:$C$23,2,FALSE))&amp;"DP"),'SUB list edited'!$A$2:$DC$42,($B36+1),FALSE)))</f>
        <v/>
      </c>
      <c r="H36" s="268" t="str">
        <f>IF($F$1="Select company","",IF(C36 = "","",HLOOKUP(((VLOOKUP($F$1,Lists!$B$4:$C$23,2,FALSE))&amp;"201617ActPerf"),'SUB list edited'!$A$2:$DD$42,($B36+1),FALSE)))</f>
        <v/>
      </c>
      <c r="I36" s="474"/>
      <c r="J36" s="475"/>
      <c r="L36" s="455">
        <f t="shared" si="4"/>
        <v>0</v>
      </c>
      <c r="M36" s="455">
        <f t="shared" si="0"/>
        <v>0</v>
      </c>
      <c r="P36" s="451">
        <f t="shared" si="1"/>
        <v>0</v>
      </c>
      <c r="Q36" s="451">
        <f t="shared" si="2"/>
        <v>0</v>
      </c>
      <c r="S36" s="451">
        <f xml:space="preserve"> IF(C36 = "", 0, IF(AND(NOT(INDEX('3A'!I$5:I$59, MATCH('3B'!$C36, '3A'!$C$5:$C$59, 0))=I36), $D36="00"), 1, 0))</f>
        <v>0</v>
      </c>
      <c r="T36" s="451">
        <f xml:space="preserve"> IF(C36 = "", 0, IF(AND(NOT(INDEX('3A'!J$5:J$59, MATCH('3B'!$C36, '3A'!$C$5:$C$59, 0))=J36), $D36="00"), 1, 0))</f>
        <v>0</v>
      </c>
    </row>
    <row r="37" spans="2:20" ht="30" customHeight="1">
      <c r="B37" s="456">
        <f t="shared" si="6"/>
        <v>33</v>
      </c>
      <c r="C37" s="457" t="str">
        <f>IF($F$1="Select company","",IF((HLOOKUP((VLOOKUP($F$1,Lists!$B$4:$C$23,2,FALSE)),'SUB list edited'!$A$2:$DC$42,($B37+1),FALSE))=0,"",HLOOKUP((VLOOKUP($F$1,Lists!$B$4:$C$23,2,FALSE)),'SUB list edited'!$A$2:$DC$42,($B37+1),FALSE)))</f>
        <v/>
      </c>
      <c r="D37" s="462" t="str">
        <f>IF($F$1="Select company","",IF(C37 = "","",HLOOKUP(((VLOOKUP($F$1,Lists!$B$4:$C$23,2,FALSE))&amp;"ID"),'SUB list edited'!$A$2:$DC$42,($B37+1),FALSE)))</f>
        <v/>
      </c>
      <c r="E37" s="457" t="str">
        <f>IF($F$1="Select company","",IF(C37 = "","",HLOOKUP(((VLOOKUP($F$1,Lists!$B$4:$C$23,2,FALSE))&amp;"PC"),'SUB list edited'!$A$2:$DC$42,($B37+1),FALSE)))</f>
        <v/>
      </c>
      <c r="F37" s="462" t="str">
        <f>IF($F$1="Select company","",IF(C37 = "","",HLOOKUP(((VLOOKUP($F$1,Lists!$B$4:$C$23,2,FALSE))&amp;"unit"),'SUB list edited'!$A$2:$DC$42,($B37+1),FALSE)))</f>
        <v/>
      </c>
      <c r="G37" s="1175" t="str">
        <f>IF($F$1="Select company","",IF(C37="","",HLOOKUP(((VLOOKUP($F$1,Lists!$B$4:$C$23,2,FALSE))&amp;"DP"),'SUB list edited'!$A$2:$DC$42,($B37+1),FALSE)))</f>
        <v/>
      </c>
      <c r="H37" s="268" t="str">
        <f>IF($F$1="Select company","",IF(C37 = "","",HLOOKUP(((VLOOKUP($F$1,Lists!$B$4:$C$23,2,FALSE))&amp;"201617ActPerf"),'SUB list edited'!$A$2:$DD$42,($B37+1),FALSE)))</f>
        <v/>
      </c>
      <c r="I37" s="474"/>
      <c r="J37" s="475"/>
      <c r="L37" s="455">
        <f t="shared" si="4"/>
        <v>0</v>
      </c>
      <c r="M37" s="455">
        <f t="shared" si="0"/>
        <v>0</v>
      </c>
      <c r="P37" s="451">
        <f t="shared" si="1"/>
        <v>0</v>
      </c>
      <c r="Q37" s="451">
        <f t="shared" si="2"/>
        <v>0</v>
      </c>
      <c r="S37" s="451">
        <f xml:space="preserve"> IF(C37 = "", 0, IF(AND(NOT(INDEX('3A'!I$5:I$59, MATCH('3B'!$C37, '3A'!$C$5:$C$59, 0))=I37), $D37="00"), 1, 0))</f>
        <v>0</v>
      </c>
      <c r="T37" s="451">
        <f xml:space="preserve"> IF(C37 = "", 0, IF(AND(NOT(INDEX('3A'!J$5:J$59, MATCH('3B'!$C37, '3A'!$C$5:$C$59, 0))=J37), $D37="00"), 1, 0))</f>
        <v>0</v>
      </c>
    </row>
    <row r="38" spans="2:20" ht="30" customHeight="1">
      <c r="B38" s="456">
        <f xml:space="preserve"> B37 + 1</f>
        <v>34</v>
      </c>
      <c r="C38" s="457" t="str">
        <f>IF($F$1="Select company","",IF((HLOOKUP((VLOOKUP($F$1,Lists!$B$4:$C$23,2,FALSE)),'SUB list edited'!$A$2:$DC$42,($B38+1),FALSE))=0,"",HLOOKUP((VLOOKUP($F$1,Lists!$B$4:$C$23,2,FALSE)),'SUB list edited'!$A$2:$DC$42,($B38+1),FALSE)))</f>
        <v/>
      </c>
      <c r="D38" s="462" t="str">
        <f>IF($F$1="Select company","",IF(C38 = "","",HLOOKUP(((VLOOKUP($F$1,Lists!$B$4:$C$23,2,FALSE))&amp;"ID"),'SUB list edited'!$A$2:$DC$42,($B38+1),FALSE)))</f>
        <v/>
      </c>
      <c r="E38" s="457" t="str">
        <f>IF($F$1="Select company","",IF(C38 = "","",HLOOKUP(((VLOOKUP($F$1,Lists!$B$4:$C$23,2,FALSE))&amp;"PC"),'SUB list edited'!$A$2:$DC$42,($B38+1),FALSE)))</f>
        <v/>
      </c>
      <c r="F38" s="462" t="str">
        <f>IF($F$1="Select company","",IF(C38 = "","",HLOOKUP(((VLOOKUP($F$1,Lists!$B$4:$C$23,2,FALSE))&amp;"unit"),'SUB list edited'!$A$2:$DC$42,($B38+1),FALSE)))</f>
        <v/>
      </c>
      <c r="G38" s="1175" t="str">
        <f>IF($F$1="Select company","",IF(C38="","",HLOOKUP(((VLOOKUP($F$1,Lists!$B$4:$C$23,2,FALSE))&amp;"DP"),'SUB list edited'!$A$2:$DC$42,($B38+1),FALSE)))</f>
        <v/>
      </c>
      <c r="H38" s="268" t="str">
        <f>IF($F$1="Select company","",IF(C38 = "","",HLOOKUP(((VLOOKUP($F$1,Lists!$B$4:$C$23,2,FALSE))&amp;"201617ActPerf"),'SUB list edited'!$A$2:$DD$42,($B38+1),FALSE)))</f>
        <v/>
      </c>
      <c r="I38" s="474"/>
      <c r="J38" s="475"/>
      <c r="L38" s="455">
        <f t="shared" si="4"/>
        <v>0</v>
      </c>
      <c r="M38" s="455">
        <f t="shared" si="0"/>
        <v>0</v>
      </c>
      <c r="P38" s="451">
        <f t="shared" si="1"/>
        <v>0</v>
      </c>
      <c r="Q38" s="451">
        <f t="shared" si="2"/>
        <v>0</v>
      </c>
      <c r="S38" s="451">
        <f xml:space="preserve"> IF(C38 = "", 0, IF(AND(NOT(INDEX('3A'!I$5:I$59, MATCH('3B'!$C38, '3A'!$C$5:$C$59, 0))=I38), $D38="00"), 1, 0))</f>
        <v>0</v>
      </c>
      <c r="T38" s="451">
        <f xml:space="preserve"> IF(C38 = "", 0, IF(AND(NOT(INDEX('3A'!J$5:J$59, MATCH('3B'!$C38, '3A'!$C$5:$C$59, 0))=J38), $D38="00"), 1, 0))</f>
        <v>0</v>
      </c>
    </row>
    <row r="39" spans="2:20" ht="30" customHeight="1">
      <c r="B39" s="456">
        <f t="shared" si="6"/>
        <v>35</v>
      </c>
      <c r="C39" s="457" t="str">
        <f>IF($F$1="Select company","",IF((HLOOKUP((VLOOKUP($F$1,Lists!$B$4:$C$23,2,FALSE)),'SUB list edited'!$A$2:$DC$42,($B39+1),FALSE))=0,"",HLOOKUP((VLOOKUP($F$1,Lists!$B$4:$C$23,2,FALSE)),'SUB list edited'!$A$2:$DC$42,($B39+1),FALSE)))</f>
        <v/>
      </c>
      <c r="D39" s="462" t="str">
        <f>IF($F$1="Select company","",IF(C39 = "","",HLOOKUP(((VLOOKUP($F$1,Lists!$B$4:$C$23,2,FALSE))&amp;"ID"),'SUB list edited'!$A$2:$DC$42,($B39+1),FALSE)))</f>
        <v/>
      </c>
      <c r="E39" s="457" t="str">
        <f>IF($F$1="Select company","",IF(C39 = "","",HLOOKUP(((VLOOKUP($F$1,Lists!$B$4:$C$23,2,FALSE))&amp;"PC"),'SUB list edited'!$A$2:$DC$42,($B39+1),FALSE)))</f>
        <v/>
      </c>
      <c r="F39" s="462" t="str">
        <f>IF($F$1="Select company","",IF(C39 = "","",HLOOKUP(((VLOOKUP($F$1,Lists!$B$4:$C$23,2,FALSE))&amp;"unit"),'SUB list edited'!$A$2:$DC$42,($B39+1),FALSE)))</f>
        <v/>
      </c>
      <c r="G39" s="1175" t="str">
        <f>IF($F$1="Select company","",IF(C39="","",HLOOKUP(((VLOOKUP($F$1,Lists!$B$4:$C$23,2,FALSE))&amp;"DP"),'SUB list edited'!$A$2:$DC$42,($B39+1),FALSE)))</f>
        <v/>
      </c>
      <c r="H39" s="268" t="str">
        <f>IF($F$1="Select company","",IF(C39 = "","",HLOOKUP(((VLOOKUP($F$1,Lists!$B$4:$C$23,2,FALSE))&amp;"201617ActPerf"),'SUB list edited'!$A$2:$DD$42,($B39+1),FALSE)))</f>
        <v/>
      </c>
      <c r="I39" s="474"/>
      <c r="J39" s="475"/>
      <c r="L39" s="455">
        <f t="shared" si="4"/>
        <v>0</v>
      </c>
      <c r="M39" s="455">
        <f t="shared" si="0"/>
        <v>0</v>
      </c>
      <c r="P39" s="451">
        <f t="shared" si="1"/>
        <v>0</v>
      </c>
      <c r="Q39" s="451">
        <f t="shared" si="2"/>
        <v>0</v>
      </c>
      <c r="S39" s="451">
        <f xml:space="preserve"> IF(C39 = "", 0, IF(AND(NOT(INDEX('3A'!I$5:I$59, MATCH('3B'!$C39, '3A'!$C$5:$C$59, 0))=I39), $D39="00"), 1, 0))</f>
        <v>0</v>
      </c>
      <c r="T39" s="451">
        <f xml:space="preserve"> IF(C39 = "", 0, IF(AND(NOT(INDEX('3A'!J$5:J$59, MATCH('3B'!$C39, '3A'!$C$5:$C$59, 0))=J39), $D39="00"), 1, 0))</f>
        <v>0</v>
      </c>
    </row>
    <row r="40" spans="2:20" ht="30" customHeight="1">
      <c r="B40" s="456">
        <f t="shared" si="6"/>
        <v>36</v>
      </c>
      <c r="C40" s="457" t="str">
        <f>IF($F$1="Select company","",IF((HLOOKUP((VLOOKUP($F$1,Lists!$B$4:$C$23,2,FALSE)),'SUB list edited'!$A$2:$DC$42,($B40+1),FALSE))=0,"",HLOOKUP((VLOOKUP($F$1,Lists!$B$4:$C$23,2,FALSE)),'SUB list edited'!$A$2:$DC$42,($B40+1),FALSE)))</f>
        <v/>
      </c>
      <c r="D40" s="462" t="str">
        <f>IF($F$1="Select company","",IF(C40 = "","",HLOOKUP(((VLOOKUP($F$1,Lists!$B$4:$C$23,2,FALSE))&amp;"ID"),'SUB list edited'!$A$2:$DC$42,($B40+1),FALSE)))</f>
        <v/>
      </c>
      <c r="E40" s="457" t="str">
        <f>IF($F$1="Select company","",IF(C40 = "","",HLOOKUP(((VLOOKUP($F$1,Lists!$B$4:$C$23,2,FALSE))&amp;"PC"),'SUB list edited'!$A$2:$DC$42,($B40+1),FALSE)))</f>
        <v/>
      </c>
      <c r="F40" s="462" t="str">
        <f>IF($F$1="Select company","",IF(C40 = "","",HLOOKUP(((VLOOKUP($F$1,Lists!$B$4:$C$23,2,FALSE))&amp;"unit"),'SUB list edited'!$A$2:$DC$42,($B40+1),FALSE)))</f>
        <v/>
      </c>
      <c r="G40" s="1175" t="str">
        <f>IF($F$1="Select company","",IF(C40="","",HLOOKUP(((VLOOKUP($F$1,Lists!$B$4:$C$23,2,FALSE))&amp;"DP"),'SUB list edited'!$A$2:$DC$42,($B40+1),FALSE)))</f>
        <v/>
      </c>
      <c r="H40" s="268" t="str">
        <f>IF($F$1="Select company","",IF(C40 = "","",HLOOKUP(((VLOOKUP($F$1,Lists!$B$4:$C$23,2,FALSE))&amp;"201617ActPerf"),'SUB list edited'!$A$2:$DD$42,($B40+1),FALSE)))</f>
        <v/>
      </c>
      <c r="I40" s="474"/>
      <c r="J40" s="475"/>
      <c r="L40" s="455">
        <f t="shared" si="4"/>
        <v>0</v>
      </c>
      <c r="M40" s="455">
        <f t="shared" si="0"/>
        <v>0</v>
      </c>
      <c r="P40" s="451">
        <f t="shared" si="1"/>
        <v>0</v>
      </c>
      <c r="Q40" s="451">
        <f t="shared" si="2"/>
        <v>0</v>
      </c>
      <c r="S40" s="451">
        <f xml:space="preserve"> IF(C40 = "", 0, IF(AND(NOT(INDEX('3A'!I$5:I$59, MATCH('3B'!$C40, '3A'!$C$5:$C$59, 0))=I40), $D40="00"), 1, 0))</f>
        <v>0</v>
      </c>
      <c r="T40" s="451">
        <f xml:space="preserve"> IF(C40 = "", 0, IF(AND(NOT(INDEX('3A'!J$5:J$59, MATCH('3B'!$C40, '3A'!$C$5:$C$59, 0))=J40), $D40="00"), 1, 0))</f>
        <v>0</v>
      </c>
    </row>
    <row r="41" spans="2:20" ht="30" customHeight="1">
      <c r="B41" s="456">
        <f t="shared" si="6"/>
        <v>37</v>
      </c>
      <c r="C41" s="457" t="str">
        <f>IF($F$1="Select company","",IF((HLOOKUP((VLOOKUP($F$1,Lists!$B$4:$C$23,2,FALSE)),'SUB list edited'!$A$2:$DC$42,($B41+1),FALSE))=0,"",HLOOKUP((VLOOKUP($F$1,Lists!$B$4:$C$23,2,FALSE)),'SUB list edited'!$A$2:$DC$42,($B41+1),FALSE)))</f>
        <v/>
      </c>
      <c r="D41" s="462" t="str">
        <f>IF($F$1="Select company","",IF(C41 = "","",HLOOKUP(((VLOOKUP($F$1,Lists!$B$4:$C$23,2,FALSE))&amp;"ID"),'SUB list edited'!$A$2:$DC$42,($B41+1),FALSE)))</f>
        <v/>
      </c>
      <c r="E41" s="457" t="str">
        <f>IF($F$1="Select company","",IF(C41 = "","",HLOOKUP(((VLOOKUP($F$1,Lists!$B$4:$C$23,2,FALSE))&amp;"PC"),'SUB list edited'!$A$2:$DC$42,($B41+1),FALSE)))</f>
        <v/>
      </c>
      <c r="F41" s="462" t="str">
        <f>IF($F$1="Select company","",IF(C41 = "","",HLOOKUP(((VLOOKUP($F$1,Lists!$B$4:$C$23,2,FALSE))&amp;"unit"),'SUB list edited'!$A$2:$DC$42,($B41+1),FALSE)))</f>
        <v/>
      </c>
      <c r="G41" s="1175" t="str">
        <f>IF($F$1="Select company","",IF(C41="","",HLOOKUP(((VLOOKUP($F$1,Lists!$B$4:$C$23,2,FALSE))&amp;"DP"),'SUB list edited'!$A$2:$DC$42,($B41+1),FALSE)))</f>
        <v/>
      </c>
      <c r="H41" s="268" t="str">
        <f>IF($F$1="Select company","",IF(C41 = "","",HLOOKUP(((VLOOKUP($F$1,Lists!$B$4:$C$23,2,FALSE))&amp;"201617ActPerf"),'SUB list edited'!$A$2:$DD$42,($B41+1),FALSE)))</f>
        <v/>
      </c>
      <c r="I41" s="474"/>
      <c r="J41" s="475"/>
      <c r="L41" s="455">
        <f t="shared" si="4"/>
        <v>0</v>
      </c>
      <c r="M41" s="455">
        <f t="shared" si="0"/>
        <v>0</v>
      </c>
      <c r="P41" s="451">
        <f t="shared" si="1"/>
        <v>0</v>
      </c>
      <c r="Q41" s="451">
        <f t="shared" si="2"/>
        <v>0</v>
      </c>
      <c r="S41" s="451">
        <f xml:space="preserve"> IF(C41 = "", 0, IF(AND(NOT(INDEX('3A'!I$5:I$59, MATCH('3B'!$C41, '3A'!$C$5:$C$59, 0))=I41), $D41="00"), 1, 0))</f>
        <v>0</v>
      </c>
      <c r="T41" s="451">
        <f xml:space="preserve"> IF(C41 = "", 0, IF(AND(NOT(INDEX('3A'!J$5:J$59, MATCH('3B'!$C41, '3A'!$C$5:$C$59, 0))=J41), $D41="00"), 1, 0))</f>
        <v>0</v>
      </c>
    </row>
    <row r="42" spans="2:20" ht="30" customHeight="1">
      <c r="B42" s="456">
        <f t="shared" si="6"/>
        <v>38</v>
      </c>
      <c r="C42" s="457" t="str">
        <f>IF($F$1="Select company","",IF((HLOOKUP((VLOOKUP($F$1,Lists!$B$4:$C$23,2,FALSE)),'SUB list edited'!$A$2:$DC$42,($B42+1),FALSE))=0,"",HLOOKUP((VLOOKUP($F$1,Lists!$B$4:$C$23,2,FALSE)),'SUB list edited'!$A$2:$DC$42,($B42+1),FALSE)))</f>
        <v/>
      </c>
      <c r="D42" s="462" t="str">
        <f>IF($F$1="Select company","",IF(C42 = "","",HLOOKUP(((VLOOKUP($F$1,Lists!$B$4:$C$23,2,FALSE))&amp;"ID"),'SUB list edited'!$A$2:$DC$42,($B42+1),FALSE)))</f>
        <v/>
      </c>
      <c r="E42" s="457" t="str">
        <f>IF($F$1="Select company","",IF(C42 = "","",HLOOKUP(((VLOOKUP($F$1,Lists!$B$4:$C$23,2,FALSE))&amp;"PC"),'SUB list edited'!$A$2:$DC$42,($B42+1),FALSE)))</f>
        <v/>
      </c>
      <c r="F42" s="462" t="str">
        <f>IF($F$1="Select company","",IF(C42 = "","",HLOOKUP(((VLOOKUP($F$1,Lists!$B$4:$C$23,2,FALSE))&amp;"unit"),'SUB list edited'!$A$2:$DC$42,($B42+1),FALSE)))</f>
        <v/>
      </c>
      <c r="G42" s="1175" t="str">
        <f>IF($F$1="Select company","",IF(C42="","",HLOOKUP(((VLOOKUP($F$1,Lists!$B$4:$C$23,2,FALSE))&amp;"DP"),'SUB list edited'!$A$2:$DC$42,($B42+1),FALSE)))</f>
        <v/>
      </c>
      <c r="H42" s="268" t="str">
        <f>IF($F$1="Select company","",IF(C42 = "","",HLOOKUP(((VLOOKUP($F$1,Lists!$B$4:$C$23,2,FALSE))&amp;"201617ActPerf"),'SUB list edited'!$A$2:$DD$42,($B42+1),FALSE)))</f>
        <v/>
      </c>
      <c r="I42" s="474"/>
      <c r="J42" s="475"/>
      <c r="L42" s="455">
        <f t="shared" si="4"/>
        <v>0</v>
      </c>
      <c r="M42" s="455">
        <f t="shared" si="0"/>
        <v>0</v>
      </c>
      <c r="P42" s="451">
        <f t="shared" si="1"/>
        <v>0</v>
      </c>
      <c r="Q42" s="451">
        <f t="shared" si="2"/>
        <v>0</v>
      </c>
      <c r="S42" s="451">
        <f xml:space="preserve"> IF(C42 = "", 0, IF(AND(NOT(INDEX('3A'!I$5:I$59, MATCH('3B'!$C42, '3A'!$C$5:$C$59, 0))=I42), $D42="00"), 1, 0))</f>
        <v>0</v>
      </c>
      <c r="T42" s="451">
        <f xml:space="preserve"> IF(C42 = "", 0, IF(AND(NOT(INDEX('3A'!J$5:J$59, MATCH('3B'!$C42, '3A'!$C$5:$C$59, 0))=J42), $D42="00"), 1, 0))</f>
        <v>0</v>
      </c>
    </row>
    <row r="43" spans="2:20" ht="30" customHeight="1">
      <c r="B43" s="456">
        <f t="shared" si="6"/>
        <v>39</v>
      </c>
      <c r="C43" s="457" t="str">
        <f>IF($F$1="Select company","",IF((HLOOKUP((VLOOKUP($F$1,Lists!$B$4:$C$23,2,FALSE)),'SUB list edited'!$A$2:$DC$42,($B43+1),FALSE))=0,"",HLOOKUP((VLOOKUP($F$1,Lists!$B$4:$C$23,2,FALSE)),'SUB list edited'!$A$2:$DC$42,($B43+1),FALSE)))</f>
        <v/>
      </c>
      <c r="D43" s="462" t="str">
        <f>IF($F$1="Select company","",IF(C43 = "","",HLOOKUP(((VLOOKUP($F$1,Lists!$B$4:$C$23,2,FALSE))&amp;"ID"),'SUB list edited'!$A$2:$DC$42,($B43+1),FALSE)))</f>
        <v/>
      </c>
      <c r="E43" s="457" t="str">
        <f>IF($F$1="Select company","",IF(C43 = "","",HLOOKUP(((VLOOKUP($F$1,Lists!$B$4:$C$23,2,FALSE))&amp;"PC"),'SUB list edited'!$A$2:$DC$42,($B43+1),FALSE)))</f>
        <v/>
      </c>
      <c r="F43" s="462" t="str">
        <f>IF($F$1="Select company","",IF(C43 = "","",HLOOKUP(((VLOOKUP($F$1,Lists!$B$4:$C$23,2,FALSE))&amp;"unit"),'SUB list edited'!$A$2:$DC$42,($B43+1),FALSE)))</f>
        <v/>
      </c>
      <c r="G43" s="1175" t="str">
        <f>IF($F$1="Select company","",IF(C43="","",HLOOKUP(((VLOOKUP($F$1,Lists!$B$4:$C$23,2,FALSE))&amp;"DP"),'SUB list edited'!$A$2:$DC$42,($B43+1),FALSE)))</f>
        <v/>
      </c>
      <c r="H43" s="268" t="str">
        <f>IF($F$1="Select company","",IF(C43 = "","",HLOOKUP(((VLOOKUP($F$1,Lists!$B$4:$C$23,2,FALSE))&amp;"201617ActPerf"),'SUB list edited'!$A$2:$DD$42,($B43+1),FALSE)))</f>
        <v/>
      </c>
      <c r="I43" s="474"/>
      <c r="J43" s="475"/>
      <c r="L43" s="455">
        <f t="shared" si="4"/>
        <v>0</v>
      </c>
      <c r="M43" s="455">
        <f t="shared" si="0"/>
        <v>0</v>
      </c>
      <c r="P43" s="451">
        <f t="shared" si="1"/>
        <v>0</v>
      </c>
      <c r="Q43" s="451">
        <f t="shared" si="2"/>
        <v>0</v>
      </c>
      <c r="S43" s="451">
        <f xml:space="preserve"> IF(C43 = "", 0, IF(AND(NOT(INDEX('3A'!I$5:I$59, MATCH('3B'!$C43, '3A'!$C$5:$C$59, 0))=I43), $D43="00"), 1, 0))</f>
        <v>0</v>
      </c>
      <c r="T43" s="451">
        <f xml:space="preserve"> IF(C43 = "", 0, IF(AND(NOT(INDEX('3A'!J$5:J$59, MATCH('3B'!$C43, '3A'!$C$5:$C$59, 0))=J43), $D43="00"), 1, 0))</f>
        <v>0</v>
      </c>
    </row>
    <row r="44" spans="2:20" ht="30" customHeight="1" thickBot="1">
      <c r="B44" s="458">
        <f t="shared" si="6"/>
        <v>40</v>
      </c>
      <c r="C44" s="459" t="str">
        <f>IF($F$1="Select company","",IF((HLOOKUP((VLOOKUP($F$1,Lists!$B$4:$C$23,2,FALSE)),'SUB list edited'!$A$2:$DC$42,($B44+1),FALSE))=0,"",HLOOKUP((VLOOKUP($F$1,Lists!$B$4:$C$23,2,FALSE)),'SUB list edited'!$A$2:$DC$42,($B44+1),FALSE)))</f>
        <v/>
      </c>
      <c r="D44" s="463" t="str">
        <f>IF($F$1="Select company","",IF(C44 = "","",HLOOKUP(((VLOOKUP($F$1,Lists!$B$4:$C$23,2,FALSE))&amp;"ID"),'SUB list edited'!$A$2:$DC$42,($B44+1),FALSE)))</f>
        <v/>
      </c>
      <c r="E44" s="459" t="str">
        <f>IF($F$1="Select company","",IF(C44 = "","",HLOOKUP(((VLOOKUP($F$1,Lists!$B$4:$C$23,2,FALSE))&amp;"PC"),'SUB list edited'!$A$2:$DC$42,($B44+1),FALSE)))</f>
        <v/>
      </c>
      <c r="F44" s="463" t="str">
        <f>IF($F$1="Select company","",IF(C44 = "","",HLOOKUP(((VLOOKUP($F$1,Lists!$B$4:$C$23,2,FALSE))&amp;"unit"),'SUB list edited'!$A$2:$DC$42,($B44+1),FALSE)))</f>
        <v/>
      </c>
      <c r="G44" s="1176" t="str">
        <f>IF($F$1="Select company","",IF(C44="","",HLOOKUP(((VLOOKUP($F$1,Lists!$B$4:$C$23,2,FALSE))&amp;"DP"),'SUB list edited'!$A$2:$DC$42,($B44+1),FALSE)))</f>
        <v/>
      </c>
      <c r="H44" s="269" t="str">
        <f>IF($F$1="Select company","",IF(C44 = "","",HLOOKUP(((VLOOKUP($F$1,Lists!$B$4:$C$23,2,FALSE))&amp;"201617ActPerf"),'SUB list edited'!$A$2:$DD$42,($B44+1),FALSE)))</f>
        <v/>
      </c>
      <c r="I44" s="476"/>
      <c r="J44" s="477"/>
      <c r="L44" s="455">
        <f t="shared" si="4"/>
        <v>0</v>
      </c>
      <c r="M44" s="455">
        <f t="shared" si="0"/>
        <v>0</v>
      </c>
      <c r="P44" s="451">
        <f t="shared" si="1"/>
        <v>0</v>
      </c>
      <c r="Q44" s="451">
        <f t="shared" si="2"/>
        <v>0</v>
      </c>
      <c r="S44" s="451">
        <f xml:space="preserve"> IF(C44 = "", 0, IF(AND(NOT(INDEX('3A'!I$5:I$59, MATCH('3B'!$C44, '3A'!$C$5:$C$59, 0))=I44), $D44="00"), 1, 0))</f>
        <v>0</v>
      </c>
      <c r="T44" s="451">
        <f xml:space="preserve"> IF(C44 = "", 0, IF(AND(NOT(INDEX('3A'!J$5:J$59, MATCH('3B'!$C44, '3A'!$C$5:$C$59, 0))=J44), $D44="00"), 1, 0))</f>
        <v>0</v>
      </c>
    </row>
    <row r="45" spans="2:20"/>
    <row r="46" spans="2:20">
      <c r="B46" s="2195" t="s">
        <v>275</v>
      </c>
      <c r="C46" s="2195"/>
    </row>
    <row r="47" spans="2:20">
      <c r="B47" s="127"/>
      <c r="C47" s="127"/>
    </row>
    <row r="48" spans="2:20">
      <c r="B48" s="26"/>
      <c r="C48" s="129" t="s">
        <v>249</v>
      </c>
    </row>
    <row r="49" spans="2:10">
      <c r="B49" s="127"/>
      <c r="C49" s="128"/>
    </row>
    <row r="50" spans="2:10">
      <c r="B50" s="130"/>
      <c r="C50" s="129" t="s">
        <v>250</v>
      </c>
    </row>
    <row r="51" spans="2:10">
      <c r="B51" s="131"/>
      <c r="C51" s="129"/>
    </row>
    <row r="52" spans="2:10" ht="15" thickBot="1"/>
    <row r="53" spans="2:10" ht="16.5" thickBot="1">
      <c r="B53" s="1166" t="s">
        <v>251</v>
      </c>
      <c r="C53" s="133"/>
      <c r="D53" s="134"/>
      <c r="E53" s="134"/>
      <c r="F53" s="134"/>
      <c r="G53" s="134"/>
      <c r="H53" s="134"/>
      <c r="I53" s="134"/>
      <c r="J53" s="216"/>
    </row>
    <row r="54" spans="2:10"/>
  </sheetData>
  <sheetProtection algorithmName="SHA-512" hashValue="j38gyIGr1iPsoHl7Z91eS+ggiodXVJfDM6O8MsN70xqKt1QO610iLNLBCmG6V9PO+RjRZM3UmfaXiSFS3nfN1w==" saltValue="otzrP7v3CY3FotMIXy32KA==" spinCount="100000" sheet="1" objects="1" scenarios="1"/>
  <conditionalFormatting sqref="M5:M44">
    <cfRule type="cellIs" dxfId="504" priority="12" operator="equal">
      <formula>0</formula>
    </cfRule>
  </conditionalFormatting>
  <conditionalFormatting sqref="B5:H44">
    <cfRule type="expression" dxfId="503" priority="10">
      <formula>$D5="00"</formula>
    </cfRule>
  </conditionalFormatting>
  <conditionalFormatting sqref="L5:L44">
    <cfRule type="cellIs" dxfId="502" priority="8" operator="equal">
      <formula>0</formula>
    </cfRule>
  </conditionalFormatting>
  <conditionalFormatting sqref="H5:I44">
    <cfRule type="expression" dxfId="501" priority="1">
      <formula xml:space="preserve"> INDIRECT("G" &amp; ROW()) = 0</formula>
    </cfRule>
    <cfRule type="expression" dxfId="500" priority="2">
      <formula xml:space="preserve"> INDIRECT("G" &amp; ROW()) = 1</formula>
    </cfRule>
    <cfRule type="expression" dxfId="499" priority="3">
      <formula xml:space="preserve"> INDIRECT("G" &amp; ROW()) = 2</formula>
    </cfRule>
    <cfRule type="expression" dxfId="498" priority="4">
      <formula xml:space="preserve"> INDIRECT("G" &amp; ROW()) = 3</formula>
    </cfRule>
    <cfRule type="expression" dxfId="497" priority="5">
      <formula xml:space="preserve"> INDIRECT("G" &amp; ROW()) = 4</formula>
    </cfRule>
    <cfRule type="expression" dxfId="496" priority="6">
      <formula xml:space="preserve"> INDIRECT("G" &amp; ROW()) = 5</formula>
    </cfRule>
    <cfRule type="expression" dxfId="495"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AJ41"/>
  <sheetViews>
    <sheetView showGridLines="0" zoomScale="80" zoomScaleNormal="80" workbookViewId="0">
      <selection activeCell="A8" sqref="A8"/>
    </sheetView>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9" customWidth="1"/>
    <col min="11" max="11" width="33.125" customWidth="1"/>
    <col min="12" max="12" width="25.625" customWidth="1"/>
    <col min="13" max="13" width="1.625" customWidth="1"/>
    <col min="14" max="14" width="1.625" style="442" hidden="1" customWidth="1"/>
    <col min="15" max="19" width="5.625" hidden="1" customWidth="1"/>
    <col min="20" max="20" width="1.625" style="442" hidden="1" customWidth="1"/>
    <col min="21" max="25" width="7.125" hidden="1" customWidth="1"/>
    <col min="26" max="26" width="1.625" style="442" hidden="1" customWidth="1"/>
    <col min="27" max="28" width="9" hidden="1" customWidth="1"/>
    <col min="29" max="29" width="6.125" hidden="1" customWidth="1"/>
    <col min="30" max="30" width="27.125" hidden="1" customWidth="1"/>
    <col min="31" max="31" width="11.125" hidden="1" customWidth="1"/>
    <col min="32" max="35" width="14.625" hidden="1" customWidth="1"/>
    <col min="36" max="36" width="23.625" hidden="1" customWidth="1"/>
    <col min="37" max="16384" width="9" hidden="1"/>
  </cols>
  <sheetData>
    <row r="1" spans="1:36" ht="20.25">
      <c r="A1" s="69"/>
      <c r="B1" s="61" t="s">
        <v>2001</v>
      </c>
      <c r="C1" s="61"/>
      <c r="D1" s="61"/>
      <c r="E1" s="61"/>
      <c r="F1" s="61"/>
      <c r="G1" s="61"/>
      <c r="H1" s="61"/>
      <c r="I1" s="61" t="str">
        <f>Validation!B3</f>
        <v>Thames Water</v>
      </c>
      <c r="J1" s="61"/>
      <c r="K1" s="64"/>
      <c r="L1" s="64" t="s">
        <v>94</v>
      </c>
      <c r="AC1" s="61" t="s">
        <v>2002</v>
      </c>
      <c r="AD1" s="61"/>
      <c r="AE1" s="61"/>
      <c r="AF1" s="61"/>
      <c r="AG1" s="61"/>
      <c r="AH1" s="61"/>
      <c r="AI1" s="61"/>
      <c r="AJ1" s="61"/>
    </row>
    <row r="2" spans="1:36" ht="19.5" thickBot="1">
      <c r="B2" s="68" t="s">
        <v>80</v>
      </c>
      <c r="C2" s="259"/>
      <c r="D2" s="259"/>
      <c r="E2" s="69"/>
      <c r="O2" s="501" t="s">
        <v>107</v>
      </c>
      <c r="P2" s="583"/>
      <c r="Q2" s="501"/>
      <c r="R2" s="501"/>
      <c r="S2" s="501"/>
      <c r="U2" s="501" t="s">
        <v>2003</v>
      </c>
      <c r="V2" s="583"/>
      <c r="W2" s="583"/>
      <c r="X2" s="583"/>
      <c r="Y2" s="583"/>
      <c r="AC2" s="68" t="s">
        <v>80</v>
      </c>
      <c r="AD2" s="259"/>
      <c r="AE2" s="259"/>
      <c r="AF2" s="69"/>
    </row>
    <row r="3" spans="1:36" ht="75.599999999999994" customHeight="1" thickBot="1">
      <c r="B3" s="252" t="s">
        <v>1954</v>
      </c>
      <c r="C3" s="2204" t="s">
        <v>2004</v>
      </c>
      <c r="D3" s="262" t="s">
        <v>26</v>
      </c>
      <c r="E3" s="262" t="s">
        <v>2005</v>
      </c>
      <c r="F3" s="262" t="s">
        <v>2006</v>
      </c>
      <c r="G3" s="262" t="s">
        <v>2007</v>
      </c>
      <c r="H3" s="262" t="s">
        <v>2008</v>
      </c>
      <c r="I3" s="253" t="s">
        <v>35</v>
      </c>
      <c r="K3" s="252" t="s">
        <v>1967</v>
      </c>
      <c r="L3" s="253" t="s">
        <v>103</v>
      </c>
      <c r="O3" s="74" t="s">
        <v>2009</v>
      </c>
      <c r="Q3" s="24"/>
      <c r="R3" s="24"/>
      <c r="S3" s="24"/>
      <c r="U3" s="18" t="s">
        <v>2010</v>
      </c>
      <c r="AC3" s="252" t="s">
        <v>1954</v>
      </c>
      <c r="AD3" s="2204" t="s">
        <v>2004</v>
      </c>
      <c r="AE3" s="262" t="s">
        <v>26</v>
      </c>
      <c r="AF3" s="262" t="s">
        <v>2005</v>
      </c>
      <c r="AG3" s="262" t="s">
        <v>2006</v>
      </c>
      <c r="AH3" s="262" t="s">
        <v>2007</v>
      </c>
      <c r="AI3" s="262" t="s">
        <v>2008</v>
      </c>
      <c r="AJ3" s="253" t="s">
        <v>35</v>
      </c>
    </row>
    <row r="4" spans="1:36" ht="15" thickBot="1">
      <c r="B4" s="69"/>
      <c r="C4" s="69"/>
      <c r="D4" s="69"/>
      <c r="E4" s="69"/>
      <c r="O4" s="502" t="s">
        <v>419</v>
      </c>
      <c r="P4" s="502" t="s">
        <v>493</v>
      </c>
      <c r="Q4" s="502" t="s">
        <v>1970</v>
      </c>
      <c r="R4" s="502" t="s">
        <v>1971</v>
      </c>
      <c r="S4" s="502" t="s">
        <v>1972</v>
      </c>
      <c r="U4" s="502" t="s">
        <v>419</v>
      </c>
      <c r="V4" s="502" t="s">
        <v>493</v>
      </c>
      <c r="W4" s="502" t="s">
        <v>1970</v>
      </c>
      <c r="X4" s="502" t="s">
        <v>1971</v>
      </c>
      <c r="Y4" s="502" t="s">
        <v>1972</v>
      </c>
      <c r="AC4" s="69"/>
      <c r="AD4" s="69"/>
      <c r="AE4" s="69"/>
      <c r="AF4" s="69"/>
    </row>
    <row r="5" spans="1:36" ht="84">
      <c r="B5" s="245">
        <v>1</v>
      </c>
      <c r="C5" s="2117" t="s">
        <v>2011</v>
      </c>
      <c r="D5" s="2037">
        <v>1</v>
      </c>
      <c r="E5" s="1388">
        <v>-871.26</v>
      </c>
      <c r="F5" s="1609">
        <v>-0.21608630952380956</v>
      </c>
      <c r="G5" s="1388">
        <v>-871.26</v>
      </c>
      <c r="H5" s="1609">
        <v>-0.21608630952380956</v>
      </c>
      <c r="I5" s="1865" t="s">
        <v>2012</v>
      </c>
      <c r="K5" s="25">
        <f>IF(SUM(T5:Z5) &gt; 0, $U$3, 0)</f>
        <v>0</v>
      </c>
      <c r="L5" s="25">
        <f>IF(SUM(N5:T5) &gt; 0, $O$3, 0)</f>
        <v>0</v>
      </c>
      <c r="O5" s="503">
        <f>IF(ISBLANK($C5), 0, IF(ISBLANK(D5), 1, 0))</f>
        <v>0</v>
      </c>
      <c r="P5" s="503">
        <f>IF(ISBLANK($C5), 0, IF(ISBLANK(E5), 1, 0))</f>
        <v>0</v>
      </c>
      <c r="Q5" s="503">
        <f>IF(ISBLANK($C5), 0, IF(ISBLANK(F5), 1, 0))</f>
        <v>0</v>
      </c>
      <c r="R5" s="503">
        <f>IF(ISBLANK($C5), 0, IF(ISBLANK(G5), 1, 0))</f>
        <v>0</v>
      </c>
      <c r="S5" s="503">
        <f>IF(ISBLANK($C5), 0, IF(ISBLANK(H5), 1, 0))</f>
        <v>0</v>
      </c>
      <c r="U5" s="503">
        <f>IF(ISBLANK($C5), 0, IF(ISNUMBER(D5), 0, 1))</f>
        <v>0</v>
      </c>
      <c r="V5" s="503">
        <f>IF(ISBLANK($C5), 0, IF(ISNUMBER(E5), 0, 1))</f>
        <v>0</v>
      </c>
      <c r="W5" s="503">
        <f>IF(ISBLANK($C5), 0, IF(ISNUMBER(F5), 0, 1))</f>
        <v>0</v>
      </c>
      <c r="X5" s="503">
        <f>IF(ISBLANK($C5), 0, IF(ISNUMBER(G5), 0, 1))</f>
        <v>0</v>
      </c>
      <c r="Y5" s="503">
        <f>IF(ISBLANK($C5), 0, IF(ISNUMBER(H5), 0, 1))</f>
        <v>0</v>
      </c>
      <c r="AC5" s="245">
        <v>1</v>
      </c>
      <c r="AD5" s="504" t="s">
        <v>23</v>
      </c>
      <c r="AE5" s="1608" t="s">
        <v>2013</v>
      </c>
      <c r="AF5" s="1388" t="s">
        <v>25</v>
      </c>
      <c r="AG5" s="1388" t="s">
        <v>28</v>
      </c>
      <c r="AH5" s="1388" t="s">
        <v>30</v>
      </c>
      <c r="AI5" s="1388" t="s">
        <v>32</v>
      </c>
      <c r="AJ5" s="499" t="s">
        <v>34</v>
      </c>
    </row>
    <row r="6" spans="1:36" ht="60">
      <c r="B6" s="246">
        <v>2</v>
      </c>
      <c r="C6" s="2118" t="s">
        <v>2014</v>
      </c>
      <c r="D6" s="2038">
        <v>1</v>
      </c>
      <c r="E6" s="1389">
        <v>-494.85620286029945</v>
      </c>
      <c r="F6" s="1610">
        <v>-0.16838716580247021</v>
      </c>
      <c r="G6" s="1389">
        <v>-494.85620286029945</v>
      </c>
      <c r="H6" s="1610">
        <v>-0.16838716580247021</v>
      </c>
      <c r="I6" s="1866" t="s">
        <v>2015</v>
      </c>
      <c r="K6" s="25">
        <f t="shared" ref="K6:K29" si="0">IF(SUM(T6:Z6) &gt; 0, $U$3, 0)</f>
        <v>0</v>
      </c>
      <c r="L6" s="25">
        <f t="shared" ref="L6:L29" si="1">IF(SUM(N6:T6) &gt; 0, $O$3, 0)</f>
        <v>0</v>
      </c>
      <c r="O6" s="503">
        <f t="shared" ref="O6:P29" si="2">IF(ISBLANK($C6), 0, IF(ISBLANK(D6), 1, 0))</f>
        <v>0</v>
      </c>
      <c r="P6" s="503">
        <f t="shared" si="2"/>
        <v>0</v>
      </c>
      <c r="Q6" s="503">
        <f t="shared" ref="Q6:Q29" si="3">IF(ISBLANK($C6), 0, IF(ISBLANK(F6), 1, 0))</f>
        <v>0</v>
      </c>
      <c r="R6" s="503">
        <f t="shared" ref="R6:R29" si="4">IF(ISBLANK($C6), 0, IF(ISBLANK(G6), 1, 0))</f>
        <v>0</v>
      </c>
      <c r="S6" s="503">
        <f t="shared" ref="S6:S29" si="5">IF(ISBLANK($C6), 0, IF(ISBLANK(H6), 1, 0))</f>
        <v>0</v>
      </c>
      <c r="U6" s="503">
        <f t="shared" ref="U6:V29" si="6">IF(ISBLANK($C6), 0, IF(ISNUMBER(D6), 0, 1))</f>
        <v>0</v>
      </c>
      <c r="V6" s="503">
        <f t="shared" si="6"/>
        <v>0</v>
      </c>
      <c r="W6" s="503">
        <f t="shared" ref="W6:W29" si="7">IF(ISBLANK($C6), 0, IF(ISNUMBER(F6), 0, 1))</f>
        <v>0</v>
      </c>
      <c r="X6" s="503">
        <f t="shared" ref="X6:X29" si="8">IF(ISBLANK($C6), 0, IF(ISNUMBER(G6), 0, 1))</f>
        <v>0</v>
      </c>
      <c r="Y6" s="503">
        <f t="shared" ref="Y6:Y29" si="9">IF(ISBLANK($C6), 0, IF(ISNUMBER(H6), 0, 1))</f>
        <v>0</v>
      </c>
      <c r="AC6" s="246">
        <v>2</v>
      </c>
      <c r="AD6" s="26"/>
      <c r="AE6" s="676"/>
      <c r="AF6" s="1389"/>
      <c r="AG6" s="1389"/>
      <c r="AH6" s="1389"/>
      <c r="AI6" s="1389"/>
      <c r="AJ6" s="500"/>
    </row>
    <row r="7" spans="1:36" ht="84">
      <c r="B7" s="246">
        <v>3</v>
      </c>
      <c r="C7" s="2118" t="s">
        <v>2016</v>
      </c>
      <c r="D7" s="2038">
        <v>1</v>
      </c>
      <c r="E7" s="1389">
        <v>-164.3949999999941</v>
      </c>
      <c r="F7" s="1610">
        <v>-9.065817409766129E-2</v>
      </c>
      <c r="G7" s="1389">
        <v>-164.3949999999941</v>
      </c>
      <c r="H7" s="1610">
        <v>-9.065817409766129E-2</v>
      </c>
      <c r="I7" s="1866" t="s">
        <v>2017</v>
      </c>
      <c r="K7" s="25">
        <f t="shared" si="0"/>
        <v>0</v>
      </c>
      <c r="L7" s="25">
        <f t="shared" si="1"/>
        <v>0</v>
      </c>
      <c r="O7" s="503">
        <f t="shared" si="2"/>
        <v>0</v>
      </c>
      <c r="P7" s="503">
        <f t="shared" si="2"/>
        <v>0</v>
      </c>
      <c r="Q7" s="503">
        <f t="shared" si="3"/>
        <v>0</v>
      </c>
      <c r="R7" s="503">
        <f t="shared" si="4"/>
        <v>0</v>
      </c>
      <c r="S7" s="503">
        <f t="shared" si="5"/>
        <v>0</v>
      </c>
      <c r="U7" s="503">
        <f t="shared" si="6"/>
        <v>0</v>
      </c>
      <c r="V7" s="503">
        <f t="shared" si="6"/>
        <v>0</v>
      </c>
      <c r="W7" s="503">
        <f t="shared" si="7"/>
        <v>0</v>
      </c>
      <c r="X7" s="503">
        <f t="shared" si="8"/>
        <v>0</v>
      </c>
      <c r="Y7" s="503">
        <f t="shared" si="9"/>
        <v>0</v>
      </c>
      <c r="AC7" s="246">
        <v>3</v>
      </c>
      <c r="AD7" s="26"/>
      <c r="AE7" s="676"/>
      <c r="AF7" s="1389"/>
      <c r="AG7" s="1389"/>
      <c r="AH7" s="1389"/>
      <c r="AI7" s="1389"/>
      <c r="AJ7" s="500"/>
    </row>
    <row r="8" spans="1:36" ht="60">
      <c r="B8" s="246">
        <v>4</v>
      </c>
      <c r="C8" s="2118" t="s">
        <v>2018</v>
      </c>
      <c r="D8" s="2038">
        <v>1</v>
      </c>
      <c r="E8" s="1389">
        <v>-95.963036000000002</v>
      </c>
      <c r="F8" s="1610">
        <v>-8.0169620718462828E-2</v>
      </c>
      <c r="G8" s="1389">
        <v>-95.963036000000002</v>
      </c>
      <c r="H8" s="1610">
        <v>-8.0169620718462828E-2</v>
      </c>
      <c r="I8" s="1866" t="s">
        <v>2019</v>
      </c>
      <c r="K8" s="25">
        <f t="shared" si="0"/>
        <v>0</v>
      </c>
      <c r="L8" s="25">
        <f t="shared" si="1"/>
        <v>0</v>
      </c>
      <c r="O8" s="503">
        <f t="shared" si="2"/>
        <v>0</v>
      </c>
      <c r="P8" s="503">
        <f t="shared" si="2"/>
        <v>0</v>
      </c>
      <c r="Q8" s="503">
        <f t="shared" si="3"/>
        <v>0</v>
      </c>
      <c r="R8" s="503">
        <f t="shared" si="4"/>
        <v>0</v>
      </c>
      <c r="S8" s="503">
        <f t="shared" si="5"/>
        <v>0</v>
      </c>
      <c r="U8" s="503">
        <f t="shared" si="6"/>
        <v>0</v>
      </c>
      <c r="V8" s="503">
        <f t="shared" si="6"/>
        <v>0</v>
      </c>
      <c r="W8" s="503">
        <f t="shared" si="7"/>
        <v>0</v>
      </c>
      <c r="X8" s="503">
        <f t="shared" si="8"/>
        <v>0</v>
      </c>
      <c r="Y8" s="503">
        <f t="shared" si="9"/>
        <v>0</v>
      </c>
      <c r="AC8" s="246">
        <v>4</v>
      </c>
      <c r="AD8" s="26"/>
      <c r="AE8" s="676"/>
      <c r="AF8" s="1389"/>
      <c r="AG8" s="1389"/>
      <c r="AH8" s="1389"/>
      <c r="AI8" s="1389"/>
      <c r="AJ8" s="500"/>
    </row>
    <row r="9" spans="1:36" ht="60">
      <c r="B9" s="246">
        <v>5</v>
      </c>
      <c r="C9" s="2118" t="s">
        <v>2020</v>
      </c>
      <c r="D9" s="2038">
        <v>1</v>
      </c>
      <c r="E9" s="1389">
        <v>-49.82</v>
      </c>
      <c r="F9" s="1610">
        <v>-0.53523850451224753</v>
      </c>
      <c r="G9" s="1389">
        <v>-49.82</v>
      </c>
      <c r="H9" s="1610">
        <v>-0.53523850451224753</v>
      </c>
      <c r="I9" s="1866" t="s">
        <v>2021</v>
      </c>
      <c r="K9" s="25">
        <f t="shared" si="0"/>
        <v>0</v>
      </c>
      <c r="L9" s="25">
        <f t="shared" si="1"/>
        <v>0</v>
      </c>
      <c r="O9" s="503">
        <f t="shared" si="2"/>
        <v>0</v>
      </c>
      <c r="P9" s="503">
        <f t="shared" si="2"/>
        <v>0</v>
      </c>
      <c r="Q9" s="503">
        <f t="shared" si="3"/>
        <v>0</v>
      </c>
      <c r="R9" s="503">
        <f t="shared" si="4"/>
        <v>0</v>
      </c>
      <c r="S9" s="503">
        <f t="shared" si="5"/>
        <v>0</v>
      </c>
      <c r="U9" s="503">
        <f t="shared" si="6"/>
        <v>0</v>
      </c>
      <c r="V9" s="503">
        <f t="shared" si="6"/>
        <v>0</v>
      </c>
      <c r="W9" s="503">
        <f t="shared" si="7"/>
        <v>0</v>
      </c>
      <c r="X9" s="503">
        <f t="shared" si="8"/>
        <v>0</v>
      </c>
      <c r="Y9" s="503">
        <f t="shared" si="9"/>
        <v>0</v>
      </c>
      <c r="AC9" s="246">
        <v>5</v>
      </c>
      <c r="AD9" s="26"/>
      <c r="AE9" s="676"/>
      <c r="AF9" s="1389"/>
      <c r="AG9" s="1389"/>
      <c r="AH9" s="1389"/>
      <c r="AI9" s="1389"/>
      <c r="AJ9" s="500"/>
    </row>
    <row r="10" spans="1:36">
      <c r="B10" s="246">
        <v>6</v>
      </c>
      <c r="C10" s="2118"/>
      <c r="D10" s="2038"/>
      <c r="E10" s="1389"/>
      <c r="F10" s="1610"/>
      <c r="G10" s="1389"/>
      <c r="H10" s="1610"/>
      <c r="I10" s="1866"/>
      <c r="K10" s="25">
        <f t="shared" si="0"/>
        <v>0</v>
      </c>
      <c r="L10" s="25">
        <f t="shared" si="1"/>
        <v>0</v>
      </c>
      <c r="O10" s="503">
        <f t="shared" si="2"/>
        <v>0</v>
      </c>
      <c r="P10" s="503">
        <f t="shared" si="2"/>
        <v>0</v>
      </c>
      <c r="Q10" s="503">
        <f t="shared" si="3"/>
        <v>0</v>
      </c>
      <c r="R10" s="503">
        <f t="shared" si="4"/>
        <v>0</v>
      </c>
      <c r="S10" s="503">
        <f t="shared" si="5"/>
        <v>0</v>
      </c>
      <c r="U10" s="503">
        <f t="shared" si="6"/>
        <v>0</v>
      </c>
      <c r="V10" s="503">
        <f t="shared" si="6"/>
        <v>0</v>
      </c>
      <c r="W10" s="503">
        <f t="shared" si="7"/>
        <v>0</v>
      </c>
      <c r="X10" s="503">
        <f t="shared" si="8"/>
        <v>0</v>
      </c>
      <c r="Y10" s="503">
        <f t="shared" si="9"/>
        <v>0</v>
      </c>
      <c r="AC10" s="246">
        <v>6</v>
      </c>
      <c r="AD10" s="26"/>
      <c r="AE10" s="676"/>
      <c r="AF10" s="1389"/>
      <c r="AG10" s="1389"/>
      <c r="AH10" s="1389"/>
      <c r="AI10" s="1389"/>
      <c r="AJ10" s="500"/>
    </row>
    <row r="11" spans="1:36">
      <c r="B11" s="246">
        <v>7</v>
      </c>
      <c r="C11" s="2118"/>
      <c r="D11" s="2038"/>
      <c r="E11" s="1389"/>
      <c r="F11" s="1610"/>
      <c r="G11" s="1389"/>
      <c r="H11" s="1610"/>
      <c r="I11" s="1866"/>
      <c r="K11" s="25">
        <f t="shared" si="0"/>
        <v>0</v>
      </c>
      <c r="L11" s="25">
        <f t="shared" si="1"/>
        <v>0</v>
      </c>
      <c r="O11" s="503">
        <f t="shared" si="2"/>
        <v>0</v>
      </c>
      <c r="P11" s="503">
        <f t="shared" si="2"/>
        <v>0</v>
      </c>
      <c r="Q11" s="503">
        <f t="shared" si="3"/>
        <v>0</v>
      </c>
      <c r="R11" s="503">
        <f t="shared" si="4"/>
        <v>0</v>
      </c>
      <c r="S11" s="503">
        <f t="shared" si="5"/>
        <v>0</v>
      </c>
      <c r="U11" s="503">
        <f t="shared" si="6"/>
        <v>0</v>
      </c>
      <c r="V11" s="503">
        <f t="shared" si="6"/>
        <v>0</v>
      </c>
      <c r="W11" s="503">
        <f t="shared" si="7"/>
        <v>0</v>
      </c>
      <c r="X11" s="503">
        <f t="shared" si="8"/>
        <v>0</v>
      </c>
      <c r="Y11" s="503">
        <f t="shared" si="9"/>
        <v>0</v>
      </c>
      <c r="AC11" s="246">
        <v>7</v>
      </c>
      <c r="AD11" s="26"/>
      <c r="AE11" s="676"/>
      <c r="AF11" s="1389"/>
      <c r="AG11" s="1389"/>
      <c r="AH11" s="1389"/>
      <c r="AI11" s="1389"/>
      <c r="AJ11" s="500"/>
    </row>
    <row r="12" spans="1:36">
      <c r="B12" s="246">
        <v>8</v>
      </c>
      <c r="C12" s="2118"/>
      <c r="D12" s="2038"/>
      <c r="E12" s="1389"/>
      <c r="F12" s="1610"/>
      <c r="G12" s="1389"/>
      <c r="H12" s="1610"/>
      <c r="I12" s="1866"/>
      <c r="K12" s="25">
        <f t="shared" si="0"/>
        <v>0</v>
      </c>
      <c r="L12" s="25">
        <f t="shared" si="1"/>
        <v>0</v>
      </c>
      <c r="O12" s="503">
        <f t="shared" si="2"/>
        <v>0</v>
      </c>
      <c r="P12" s="503">
        <f t="shared" si="2"/>
        <v>0</v>
      </c>
      <c r="Q12" s="503">
        <f t="shared" si="3"/>
        <v>0</v>
      </c>
      <c r="R12" s="503">
        <f t="shared" si="4"/>
        <v>0</v>
      </c>
      <c r="S12" s="503">
        <f t="shared" si="5"/>
        <v>0</v>
      </c>
      <c r="U12" s="503">
        <f t="shared" si="6"/>
        <v>0</v>
      </c>
      <c r="V12" s="503">
        <f t="shared" si="6"/>
        <v>0</v>
      </c>
      <c r="W12" s="503">
        <f t="shared" si="7"/>
        <v>0</v>
      </c>
      <c r="X12" s="503">
        <f t="shared" si="8"/>
        <v>0</v>
      </c>
      <c r="Y12" s="503">
        <f t="shared" si="9"/>
        <v>0</v>
      </c>
      <c r="AC12" s="246">
        <v>8</v>
      </c>
      <c r="AD12" s="26"/>
      <c r="AE12" s="676"/>
      <c r="AF12" s="1389"/>
      <c r="AG12" s="1389"/>
      <c r="AH12" s="1389"/>
      <c r="AI12" s="1389"/>
      <c r="AJ12" s="500"/>
    </row>
    <row r="13" spans="1:36">
      <c r="B13" s="246">
        <v>9</v>
      </c>
      <c r="C13" s="2118"/>
      <c r="D13" s="2038"/>
      <c r="E13" s="1389"/>
      <c r="F13" s="1610"/>
      <c r="G13" s="1389"/>
      <c r="H13" s="1610"/>
      <c r="I13" s="1866"/>
      <c r="K13" s="25">
        <f t="shared" si="0"/>
        <v>0</v>
      </c>
      <c r="L13" s="25">
        <f t="shared" si="1"/>
        <v>0</v>
      </c>
      <c r="O13" s="503">
        <f t="shared" si="2"/>
        <v>0</v>
      </c>
      <c r="P13" s="503">
        <f t="shared" si="2"/>
        <v>0</v>
      </c>
      <c r="Q13" s="503">
        <f t="shared" si="3"/>
        <v>0</v>
      </c>
      <c r="R13" s="503">
        <f t="shared" si="4"/>
        <v>0</v>
      </c>
      <c r="S13" s="503">
        <f t="shared" si="5"/>
        <v>0</v>
      </c>
      <c r="U13" s="503">
        <f t="shared" si="6"/>
        <v>0</v>
      </c>
      <c r="V13" s="503">
        <f t="shared" si="6"/>
        <v>0</v>
      </c>
      <c r="W13" s="503">
        <f t="shared" si="7"/>
        <v>0</v>
      </c>
      <c r="X13" s="503">
        <f t="shared" si="8"/>
        <v>0</v>
      </c>
      <c r="Y13" s="503">
        <f t="shared" si="9"/>
        <v>0</v>
      </c>
      <c r="AC13" s="246">
        <v>9</v>
      </c>
      <c r="AD13" s="26"/>
      <c r="AE13" s="676"/>
      <c r="AF13" s="1389"/>
      <c r="AG13" s="1389"/>
      <c r="AH13" s="1389"/>
      <c r="AI13" s="1389"/>
      <c r="AJ13" s="500"/>
    </row>
    <row r="14" spans="1:36">
      <c r="B14" s="246">
        <v>10</v>
      </c>
      <c r="C14" s="2118"/>
      <c r="D14" s="2038"/>
      <c r="E14" s="1389"/>
      <c r="F14" s="1610"/>
      <c r="G14" s="1389"/>
      <c r="H14" s="1610"/>
      <c r="I14" s="1866"/>
      <c r="K14" s="25">
        <f t="shared" si="0"/>
        <v>0</v>
      </c>
      <c r="L14" s="25">
        <f t="shared" si="1"/>
        <v>0</v>
      </c>
      <c r="O14" s="503">
        <f t="shared" si="2"/>
        <v>0</v>
      </c>
      <c r="P14" s="503">
        <f t="shared" si="2"/>
        <v>0</v>
      </c>
      <c r="Q14" s="503">
        <f t="shared" si="3"/>
        <v>0</v>
      </c>
      <c r="R14" s="503">
        <f t="shared" si="4"/>
        <v>0</v>
      </c>
      <c r="S14" s="503">
        <f t="shared" si="5"/>
        <v>0</v>
      </c>
      <c r="U14" s="503">
        <f t="shared" si="6"/>
        <v>0</v>
      </c>
      <c r="V14" s="503">
        <f t="shared" si="6"/>
        <v>0</v>
      </c>
      <c r="W14" s="503">
        <f t="shared" si="7"/>
        <v>0</v>
      </c>
      <c r="X14" s="503">
        <f t="shared" si="8"/>
        <v>0</v>
      </c>
      <c r="Y14" s="503">
        <f t="shared" si="9"/>
        <v>0</v>
      </c>
      <c r="AC14" s="246">
        <v>10</v>
      </c>
      <c r="AD14" s="26"/>
      <c r="AE14" s="676"/>
      <c r="AF14" s="1389"/>
      <c r="AG14" s="1389"/>
      <c r="AH14" s="1389"/>
      <c r="AI14" s="1389"/>
      <c r="AJ14" s="500"/>
    </row>
    <row r="15" spans="1:36">
      <c r="B15" s="246">
        <v>11</v>
      </c>
      <c r="C15" s="2118"/>
      <c r="D15" s="2038"/>
      <c r="E15" s="1389"/>
      <c r="F15" s="1610"/>
      <c r="G15" s="1389"/>
      <c r="H15" s="1610"/>
      <c r="I15" s="1866"/>
      <c r="K15" s="25">
        <f t="shared" si="0"/>
        <v>0</v>
      </c>
      <c r="L15" s="25">
        <f t="shared" si="1"/>
        <v>0</v>
      </c>
      <c r="O15" s="503">
        <f t="shared" si="2"/>
        <v>0</v>
      </c>
      <c r="P15" s="503">
        <f t="shared" si="2"/>
        <v>0</v>
      </c>
      <c r="Q15" s="503">
        <f t="shared" si="3"/>
        <v>0</v>
      </c>
      <c r="R15" s="503">
        <f t="shared" si="4"/>
        <v>0</v>
      </c>
      <c r="S15" s="503">
        <f t="shared" si="5"/>
        <v>0</v>
      </c>
      <c r="U15" s="503">
        <f t="shared" si="6"/>
        <v>0</v>
      </c>
      <c r="V15" s="503">
        <f t="shared" si="6"/>
        <v>0</v>
      </c>
      <c r="W15" s="503">
        <f t="shared" si="7"/>
        <v>0</v>
      </c>
      <c r="X15" s="503">
        <f t="shared" si="8"/>
        <v>0</v>
      </c>
      <c r="Y15" s="503">
        <f t="shared" si="9"/>
        <v>0</v>
      </c>
      <c r="AC15" s="246">
        <v>11</v>
      </c>
      <c r="AD15" s="26"/>
      <c r="AE15" s="676"/>
      <c r="AF15" s="1389"/>
      <c r="AG15" s="1389"/>
      <c r="AH15" s="1389"/>
      <c r="AI15" s="1389"/>
      <c r="AJ15" s="500"/>
    </row>
    <row r="16" spans="1:36">
      <c r="B16" s="246">
        <v>12</v>
      </c>
      <c r="C16" s="2118"/>
      <c r="D16" s="2038"/>
      <c r="E16" s="1389"/>
      <c r="F16" s="1610"/>
      <c r="G16" s="1389"/>
      <c r="H16" s="1610"/>
      <c r="I16" s="1866"/>
      <c r="K16" s="25">
        <f t="shared" si="0"/>
        <v>0</v>
      </c>
      <c r="L16" s="25">
        <f t="shared" si="1"/>
        <v>0</v>
      </c>
      <c r="O16" s="503">
        <f t="shared" si="2"/>
        <v>0</v>
      </c>
      <c r="P16" s="503">
        <f t="shared" si="2"/>
        <v>0</v>
      </c>
      <c r="Q16" s="503">
        <f t="shared" si="3"/>
        <v>0</v>
      </c>
      <c r="R16" s="503">
        <f t="shared" si="4"/>
        <v>0</v>
      </c>
      <c r="S16" s="503">
        <f t="shared" si="5"/>
        <v>0</v>
      </c>
      <c r="U16" s="503">
        <f t="shared" si="6"/>
        <v>0</v>
      </c>
      <c r="V16" s="503">
        <f t="shared" si="6"/>
        <v>0</v>
      </c>
      <c r="W16" s="503">
        <f t="shared" si="7"/>
        <v>0</v>
      </c>
      <c r="X16" s="503">
        <f t="shared" si="8"/>
        <v>0</v>
      </c>
      <c r="Y16" s="503">
        <f t="shared" si="9"/>
        <v>0</v>
      </c>
      <c r="AC16" s="246">
        <v>12</v>
      </c>
      <c r="AD16" s="26"/>
      <c r="AE16" s="676"/>
      <c r="AF16" s="1389"/>
      <c r="AG16" s="1389"/>
      <c r="AH16" s="1389"/>
      <c r="AI16" s="1389"/>
      <c r="AJ16" s="500"/>
    </row>
    <row r="17" spans="2:36">
      <c r="B17" s="246">
        <v>13</v>
      </c>
      <c r="C17" s="2118"/>
      <c r="D17" s="2038"/>
      <c r="E17" s="1389"/>
      <c r="F17" s="1610"/>
      <c r="G17" s="1389"/>
      <c r="H17" s="1610"/>
      <c r="I17" s="1866"/>
      <c r="K17" s="25">
        <f t="shared" si="0"/>
        <v>0</v>
      </c>
      <c r="L17" s="25">
        <f t="shared" si="1"/>
        <v>0</v>
      </c>
      <c r="O17" s="503">
        <f t="shared" si="2"/>
        <v>0</v>
      </c>
      <c r="P17" s="503">
        <f t="shared" si="2"/>
        <v>0</v>
      </c>
      <c r="Q17" s="503">
        <f t="shared" si="3"/>
        <v>0</v>
      </c>
      <c r="R17" s="503">
        <f t="shared" si="4"/>
        <v>0</v>
      </c>
      <c r="S17" s="503">
        <f t="shared" si="5"/>
        <v>0</v>
      </c>
      <c r="U17" s="503">
        <f t="shared" si="6"/>
        <v>0</v>
      </c>
      <c r="V17" s="503">
        <f t="shared" si="6"/>
        <v>0</v>
      </c>
      <c r="W17" s="503">
        <f t="shared" si="7"/>
        <v>0</v>
      </c>
      <c r="X17" s="503">
        <f t="shared" si="8"/>
        <v>0</v>
      </c>
      <c r="Y17" s="503">
        <f t="shared" si="9"/>
        <v>0</v>
      </c>
      <c r="AC17" s="246">
        <v>13</v>
      </c>
      <c r="AD17" s="26"/>
      <c r="AE17" s="676"/>
      <c r="AF17" s="1389"/>
      <c r="AG17" s="1389"/>
      <c r="AH17" s="1389"/>
      <c r="AI17" s="1389"/>
      <c r="AJ17" s="500"/>
    </row>
    <row r="18" spans="2:36">
      <c r="B18" s="246">
        <v>14</v>
      </c>
      <c r="C18" s="2118"/>
      <c r="D18" s="2038"/>
      <c r="E18" s="1389"/>
      <c r="F18" s="1610"/>
      <c r="G18" s="1389"/>
      <c r="H18" s="1610"/>
      <c r="I18" s="1866"/>
      <c r="K18" s="25">
        <f t="shared" si="0"/>
        <v>0</v>
      </c>
      <c r="L18" s="25">
        <f t="shared" si="1"/>
        <v>0</v>
      </c>
      <c r="O18" s="503">
        <f t="shared" si="2"/>
        <v>0</v>
      </c>
      <c r="P18" s="503">
        <f t="shared" si="2"/>
        <v>0</v>
      </c>
      <c r="Q18" s="503">
        <f t="shared" si="3"/>
        <v>0</v>
      </c>
      <c r="R18" s="503">
        <f t="shared" si="4"/>
        <v>0</v>
      </c>
      <c r="S18" s="503">
        <f t="shared" si="5"/>
        <v>0</v>
      </c>
      <c r="U18" s="503">
        <f t="shared" si="6"/>
        <v>0</v>
      </c>
      <c r="V18" s="503">
        <f t="shared" si="6"/>
        <v>0</v>
      </c>
      <c r="W18" s="503">
        <f t="shared" si="7"/>
        <v>0</v>
      </c>
      <c r="X18" s="503">
        <f t="shared" si="8"/>
        <v>0</v>
      </c>
      <c r="Y18" s="503">
        <f t="shared" si="9"/>
        <v>0</v>
      </c>
      <c r="AC18" s="246">
        <v>14</v>
      </c>
      <c r="AD18" s="26"/>
      <c r="AE18" s="676"/>
      <c r="AF18" s="1389"/>
      <c r="AG18" s="1389"/>
      <c r="AH18" s="1389"/>
      <c r="AI18" s="1389"/>
      <c r="AJ18" s="500"/>
    </row>
    <row r="19" spans="2:36">
      <c r="B19" s="246">
        <v>15</v>
      </c>
      <c r="C19" s="2118"/>
      <c r="D19" s="2038"/>
      <c r="E19" s="1389"/>
      <c r="F19" s="1610"/>
      <c r="G19" s="1389"/>
      <c r="H19" s="1610"/>
      <c r="I19" s="1866"/>
      <c r="K19" s="25">
        <f t="shared" si="0"/>
        <v>0</v>
      </c>
      <c r="L19" s="25">
        <f t="shared" si="1"/>
        <v>0</v>
      </c>
      <c r="O19" s="503">
        <f t="shared" si="2"/>
        <v>0</v>
      </c>
      <c r="P19" s="503">
        <f t="shared" si="2"/>
        <v>0</v>
      </c>
      <c r="Q19" s="503">
        <f t="shared" si="3"/>
        <v>0</v>
      </c>
      <c r="R19" s="503">
        <f t="shared" si="4"/>
        <v>0</v>
      </c>
      <c r="S19" s="503">
        <f t="shared" si="5"/>
        <v>0</v>
      </c>
      <c r="U19" s="503">
        <f t="shared" si="6"/>
        <v>0</v>
      </c>
      <c r="V19" s="503">
        <f t="shared" si="6"/>
        <v>0</v>
      </c>
      <c r="W19" s="503">
        <f t="shared" si="7"/>
        <v>0</v>
      </c>
      <c r="X19" s="503">
        <f t="shared" si="8"/>
        <v>0</v>
      </c>
      <c r="Y19" s="503">
        <f t="shared" si="9"/>
        <v>0</v>
      </c>
      <c r="AC19" s="246">
        <v>15</v>
      </c>
      <c r="AD19" s="26"/>
      <c r="AE19" s="676"/>
      <c r="AF19" s="1389"/>
      <c r="AG19" s="1389"/>
      <c r="AH19" s="1389"/>
      <c r="AI19" s="1389"/>
      <c r="AJ19" s="500"/>
    </row>
    <row r="20" spans="2:36">
      <c r="B20" s="246">
        <v>16</v>
      </c>
      <c r="C20" s="2118"/>
      <c r="D20" s="2038"/>
      <c r="E20" s="1389"/>
      <c r="F20" s="1610"/>
      <c r="G20" s="1389"/>
      <c r="H20" s="1610"/>
      <c r="I20" s="1866"/>
      <c r="K20" s="25">
        <f t="shared" si="0"/>
        <v>0</v>
      </c>
      <c r="L20" s="25">
        <f t="shared" si="1"/>
        <v>0</v>
      </c>
      <c r="O20" s="503">
        <f t="shared" si="2"/>
        <v>0</v>
      </c>
      <c r="P20" s="503">
        <f t="shared" si="2"/>
        <v>0</v>
      </c>
      <c r="Q20" s="503">
        <f t="shared" si="3"/>
        <v>0</v>
      </c>
      <c r="R20" s="503">
        <f t="shared" si="4"/>
        <v>0</v>
      </c>
      <c r="S20" s="503">
        <f t="shared" si="5"/>
        <v>0</v>
      </c>
      <c r="U20" s="503">
        <f t="shared" si="6"/>
        <v>0</v>
      </c>
      <c r="V20" s="503">
        <f t="shared" si="6"/>
        <v>0</v>
      </c>
      <c r="W20" s="503">
        <f t="shared" si="7"/>
        <v>0</v>
      </c>
      <c r="X20" s="503">
        <f t="shared" si="8"/>
        <v>0</v>
      </c>
      <c r="Y20" s="503">
        <f t="shared" si="9"/>
        <v>0</v>
      </c>
      <c r="AC20" s="246">
        <v>16</v>
      </c>
      <c r="AD20" s="26"/>
      <c r="AE20" s="676"/>
      <c r="AF20" s="1389"/>
      <c r="AG20" s="1389"/>
      <c r="AH20" s="1389"/>
      <c r="AI20" s="1389"/>
      <c r="AJ20" s="500"/>
    </row>
    <row r="21" spans="2:36">
      <c r="B21" s="246">
        <v>17</v>
      </c>
      <c r="C21" s="2118"/>
      <c r="D21" s="2038"/>
      <c r="E21" s="1389"/>
      <c r="F21" s="1610"/>
      <c r="G21" s="1389"/>
      <c r="H21" s="1610"/>
      <c r="I21" s="1866"/>
      <c r="K21" s="25">
        <f t="shared" si="0"/>
        <v>0</v>
      </c>
      <c r="L21" s="25">
        <f t="shared" si="1"/>
        <v>0</v>
      </c>
      <c r="O21" s="503">
        <f t="shared" si="2"/>
        <v>0</v>
      </c>
      <c r="P21" s="503">
        <f t="shared" si="2"/>
        <v>0</v>
      </c>
      <c r="Q21" s="503">
        <f t="shared" si="3"/>
        <v>0</v>
      </c>
      <c r="R21" s="503">
        <f t="shared" si="4"/>
        <v>0</v>
      </c>
      <c r="S21" s="503">
        <f t="shared" si="5"/>
        <v>0</v>
      </c>
      <c r="U21" s="503">
        <f t="shared" si="6"/>
        <v>0</v>
      </c>
      <c r="V21" s="503">
        <f t="shared" si="6"/>
        <v>0</v>
      </c>
      <c r="W21" s="503">
        <f t="shared" si="7"/>
        <v>0</v>
      </c>
      <c r="X21" s="503">
        <f t="shared" si="8"/>
        <v>0</v>
      </c>
      <c r="Y21" s="503">
        <f t="shared" si="9"/>
        <v>0</v>
      </c>
      <c r="AC21" s="246">
        <v>17</v>
      </c>
      <c r="AD21" s="26"/>
      <c r="AE21" s="676"/>
      <c r="AF21" s="1389"/>
      <c r="AG21" s="1389"/>
      <c r="AH21" s="1389"/>
      <c r="AI21" s="1389"/>
      <c r="AJ21" s="500"/>
    </row>
    <row r="22" spans="2:36">
      <c r="B22" s="246">
        <v>18</v>
      </c>
      <c r="C22" s="2118"/>
      <c r="D22" s="2038"/>
      <c r="E22" s="1389"/>
      <c r="F22" s="1610"/>
      <c r="G22" s="1389"/>
      <c r="H22" s="1610"/>
      <c r="I22" s="1866"/>
      <c r="K22" s="25">
        <f t="shared" si="0"/>
        <v>0</v>
      </c>
      <c r="L22" s="25">
        <f t="shared" si="1"/>
        <v>0</v>
      </c>
      <c r="O22" s="503">
        <f t="shared" si="2"/>
        <v>0</v>
      </c>
      <c r="P22" s="503">
        <f t="shared" si="2"/>
        <v>0</v>
      </c>
      <c r="Q22" s="503">
        <f t="shared" si="3"/>
        <v>0</v>
      </c>
      <c r="R22" s="503">
        <f t="shared" si="4"/>
        <v>0</v>
      </c>
      <c r="S22" s="503">
        <f t="shared" si="5"/>
        <v>0</v>
      </c>
      <c r="U22" s="503">
        <f t="shared" si="6"/>
        <v>0</v>
      </c>
      <c r="V22" s="503">
        <f t="shared" si="6"/>
        <v>0</v>
      </c>
      <c r="W22" s="503">
        <f t="shared" si="7"/>
        <v>0</v>
      </c>
      <c r="X22" s="503">
        <f t="shared" si="8"/>
        <v>0</v>
      </c>
      <c r="Y22" s="503">
        <f t="shared" si="9"/>
        <v>0</v>
      </c>
      <c r="AC22" s="246">
        <v>18</v>
      </c>
      <c r="AD22" s="26"/>
      <c r="AE22" s="676"/>
      <c r="AF22" s="1389"/>
      <c r="AG22" s="1389"/>
      <c r="AH22" s="1389"/>
      <c r="AI22" s="1389"/>
      <c r="AJ22" s="500"/>
    </row>
    <row r="23" spans="2:36">
      <c r="B23" s="246">
        <v>19</v>
      </c>
      <c r="C23" s="2118"/>
      <c r="D23" s="2038"/>
      <c r="E23" s="1389"/>
      <c r="F23" s="1610"/>
      <c r="G23" s="1389"/>
      <c r="H23" s="1610"/>
      <c r="I23" s="1866"/>
      <c r="K23" s="25">
        <f t="shared" si="0"/>
        <v>0</v>
      </c>
      <c r="L23" s="25">
        <f t="shared" si="1"/>
        <v>0</v>
      </c>
      <c r="O23" s="503">
        <f t="shared" si="2"/>
        <v>0</v>
      </c>
      <c r="P23" s="503">
        <f t="shared" si="2"/>
        <v>0</v>
      </c>
      <c r="Q23" s="503">
        <f t="shared" si="3"/>
        <v>0</v>
      </c>
      <c r="R23" s="503">
        <f t="shared" si="4"/>
        <v>0</v>
      </c>
      <c r="S23" s="503">
        <f t="shared" si="5"/>
        <v>0</v>
      </c>
      <c r="U23" s="503">
        <f t="shared" si="6"/>
        <v>0</v>
      </c>
      <c r="V23" s="503">
        <f t="shared" si="6"/>
        <v>0</v>
      </c>
      <c r="W23" s="503">
        <f t="shared" si="7"/>
        <v>0</v>
      </c>
      <c r="X23" s="503">
        <f t="shared" si="8"/>
        <v>0</v>
      </c>
      <c r="Y23" s="503">
        <f t="shared" si="9"/>
        <v>0</v>
      </c>
      <c r="AC23" s="246">
        <v>19</v>
      </c>
      <c r="AD23" s="26"/>
      <c r="AE23" s="676"/>
      <c r="AF23" s="1389"/>
      <c r="AG23" s="1389"/>
      <c r="AH23" s="1389"/>
      <c r="AI23" s="1389"/>
      <c r="AJ23" s="500"/>
    </row>
    <row r="24" spans="2:36">
      <c r="B24" s="246">
        <v>20</v>
      </c>
      <c r="C24" s="2118"/>
      <c r="D24" s="2038"/>
      <c r="E24" s="1389"/>
      <c r="F24" s="1610"/>
      <c r="G24" s="1389"/>
      <c r="H24" s="1610"/>
      <c r="I24" s="1866"/>
      <c r="K24" s="25">
        <f t="shared" si="0"/>
        <v>0</v>
      </c>
      <c r="L24" s="25">
        <f t="shared" si="1"/>
        <v>0</v>
      </c>
      <c r="O24" s="503">
        <f t="shared" si="2"/>
        <v>0</v>
      </c>
      <c r="P24" s="503">
        <f t="shared" si="2"/>
        <v>0</v>
      </c>
      <c r="Q24" s="503">
        <f t="shared" si="3"/>
        <v>0</v>
      </c>
      <c r="R24" s="503">
        <f t="shared" si="4"/>
        <v>0</v>
      </c>
      <c r="S24" s="503">
        <f t="shared" si="5"/>
        <v>0</v>
      </c>
      <c r="U24" s="503">
        <f t="shared" si="6"/>
        <v>0</v>
      </c>
      <c r="V24" s="503">
        <f t="shared" si="6"/>
        <v>0</v>
      </c>
      <c r="W24" s="503">
        <f t="shared" si="7"/>
        <v>0</v>
      </c>
      <c r="X24" s="503">
        <f t="shared" si="8"/>
        <v>0</v>
      </c>
      <c r="Y24" s="503">
        <f t="shared" si="9"/>
        <v>0</v>
      </c>
      <c r="AC24" s="246">
        <v>20</v>
      </c>
      <c r="AD24" s="26"/>
      <c r="AE24" s="676"/>
      <c r="AF24" s="1389"/>
      <c r="AG24" s="1389"/>
      <c r="AH24" s="1389"/>
      <c r="AI24" s="1389"/>
      <c r="AJ24" s="500"/>
    </row>
    <row r="25" spans="2:36">
      <c r="B25" s="246">
        <v>21</v>
      </c>
      <c r="C25" s="2118"/>
      <c r="D25" s="2038"/>
      <c r="E25" s="1389"/>
      <c r="F25" s="1610"/>
      <c r="G25" s="1389"/>
      <c r="H25" s="1610"/>
      <c r="I25" s="1866"/>
      <c r="K25" s="25">
        <f t="shared" si="0"/>
        <v>0</v>
      </c>
      <c r="L25" s="25">
        <f t="shared" si="1"/>
        <v>0</v>
      </c>
      <c r="O25" s="503">
        <f t="shared" si="2"/>
        <v>0</v>
      </c>
      <c r="P25" s="503">
        <f t="shared" si="2"/>
        <v>0</v>
      </c>
      <c r="Q25" s="503">
        <f t="shared" si="3"/>
        <v>0</v>
      </c>
      <c r="R25" s="503">
        <f t="shared" si="4"/>
        <v>0</v>
      </c>
      <c r="S25" s="503">
        <f t="shared" si="5"/>
        <v>0</v>
      </c>
      <c r="U25" s="503">
        <f t="shared" si="6"/>
        <v>0</v>
      </c>
      <c r="V25" s="503">
        <f t="shared" si="6"/>
        <v>0</v>
      </c>
      <c r="W25" s="503">
        <f t="shared" si="7"/>
        <v>0</v>
      </c>
      <c r="X25" s="503">
        <f t="shared" si="8"/>
        <v>0</v>
      </c>
      <c r="Y25" s="503">
        <f t="shared" si="9"/>
        <v>0</v>
      </c>
      <c r="AC25" s="246">
        <v>21</v>
      </c>
      <c r="AD25" s="26"/>
      <c r="AE25" s="676"/>
      <c r="AF25" s="1389"/>
      <c r="AG25" s="1389"/>
      <c r="AH25" s="1389"/>
      <c r="AI25" s="1389"/>
      <c r="AJ25" s="500"/>
    </row>
    <row r="26" spans="2:36">
      <c r="B26" s="246">
        <v>22</v>
      </c>
      <c r="C26" s="2118"/>
      <c r="D26" s="2038"/>
      <c r="E26" s="1389"/>
      <c r="F26" s="1610"/>
      <c r="G26" s="1389"/>
      <c r="H26" s="1610"/>
      <c r="I26" s="1866"/>
      <c r="K26" s="25">
        <f t="shared" si="0"/>
        <v>0</v>
      </c>
      <c r="L26" s="25">
        <f t="shared" si="1"/>
        <v>0</v>
      </c>
      <c r="O26" s="503">
        <f t="shared" si="2"/>
        <v>0</v>
      </c>
      <c r="P26" s="503">
        <f t="shared" si="2"/>
        <v>0</v>
      </c>
      <c r="Q26" s="503">
        <f t="shared" si="3"/>
        <v>0</v>
      </c>
      <c r="R26" s="503">
        <f t="shared" si="4"/>
        <v>0</v>
      </c>
      <c r="S26" s="503">
        <f t="shared" si="5"/>
        <v>0</v>
      </c>
      <c r="U26" s="503">
        <f t="shared" si="6"/>
        <v>0</v>
      </c>
      <c r="V26" s="503">
        <f t="shared" si="6"/>
        <v>0</v>
      </c>
      <c r="W26" s="503">
        <f t="shared" si="7"/>
        <v>0</v>
      </c>
      <c r="X26" s="503">
        <f t="shared" si="8"/>
        <v>0</v>
      </c>
      <c r="Y26" s="503">
        <f t="shared" si="9"/>
        <v>0</v>
      </c>
      <c r="AC26" s="246">
        <v>22</v>
      </c>
      <c r="AD26" s="26"/>
      <c r="AE26" s="676"/>
      <c r="AF26" s="1389"/>
      <c r="AG26" s="1389"/>
      <c r="AH26" s="1389"/>
      <c r="AI26" s="1389"/>
      <c r="AJ26" s="500"/>
    </row>
    <row r="27" spans="2:36">
      <c r="B27" s="246">
        <v>23</v>
      </c>
      <c r="C27" s="2118"/>
      <c r="D27" s="2038"/>
      <c r="E27" s="1389"/>
      <c r="F27" s="1610"/>
      <c r="G27" s="1389"/>
      <c r="H27" s="1610"/>
      <c r="I27" s="1866"/>
      <c r="K27" s="25">
        <f t="shared" si="0"/>
        <v>0</v>
      </c>
      <c r="L27" s="25">
        <f t="shared" si="1"/>
        <v>0</v>
      </c>
      <c r="O27" s="503">
        <f t="shared" si="2"/>
        <v>0</v>
      </c>
      <c r="P27" s="503">
        <f t="shared" si="2"/>
        <v>0</v>
      </c>
      <c r="Q27" s="503">
        <f t="shared" si="3"/>
        <v>0</v>
      </c>
      <c r="R27" s="503">
        <f t="shared" si="4"/>
        <v>0</v>
      </c>
      <c r="S27" s="503">
        <f t="shared" si="5"/>
        <v>0</v>
      </c>
      <c r="U27" s="503">
        <f t="shared" si="6"/>
        <v>0</v>
      </c>
      <c r="V27" s="503">
        <f t="shared" si="6"/>
        <v>0</v>
      </c>
      <c r="W27" s="503">
        <f t="shared" si="7"/>
        <v>0</v>
      </c>
      <c r="X27" s="503">
        <f t="shared" si="8"/>
        <v>0</v>
      </c>
      <c r="Y27" s="503">
        <f t="shared" si="9"/>
        <v>0</v>
      </c>
      <c r="AC27" s="246">
        <v>23</v>
      </c>
      <c r="AD27" s="26"/>
      <c r="AE27" s="676"/>
      <c r="AF27" s="1389"/>
      <c r="AG27" s="1389"/>
      <c r="AH27" s="1389"/>
      <c r="AI27" s="1389"/>
      <c r="AJ27" s="500"/>
    </row>
    <row r="28" spans="2:36">
      <c r="B28" s="246">
        <v>24</v>
      </c>
      <c r="C28" s="2118"/>
      <c r="D28" s="2038"/>
      <c r="E28" s="1389"/>
      <c r="F28" s="1610"/>
      <c r="G28" s="1389"/>
      <c r="H28" s="1610"/>
      <c r="I28" s="1866"/>
      <c r="K28" s="25">
        <f t="shared" si="0"/>
        <v>0</v>
      </c>
      <c r="L28" s="25">
        <f t="shared" si="1"/>
        <v>0</v>
      </c>
      <c r="O28" s="503">
        <f t="shared" si="2"/>
        <v>0</v>
      </c>
      <c r="P28" s="503">
        <f t="shared" si="2"/>
        <v>0</v>
      </c>
      <c r="Q28" s="503">
        <f t="shared" si="3"/>
        <v>0</v>
      </c>
      <c r="R28" s="503">
        <f t="shared" si="4"/>
        <v>0</v>
      </c>
      <c r="S28" s="503">
        <f t="shared" si="5"/>
        <v>0</v>
      </c>
      <c r="U28" s="503">
        <f t="shared" si="6"/>
        <v>0</v>
      </c>
      <c r="V28" s="503">
        <f t="shared" si="6"/>
        <v>0</v>
      </c>
      <c r="W28" s="503">
        <f t="shared" si="7"/>
        <v>0</v>
      </c>
      <c r="X28" s="503">
        <f t="shared" si="8"/>
        <v>0</v>
      </c>
      <c r="Y28" s="503">
        <f t="shared" si="9"/>
        <v>0</v>
      </c>
      <c r="AC28" s="246">
        <v>24</v>
      </c>
      <c r="AD28" s="26"/>
      <c r="AE28" s="676"/>
      <c r="AF28" s="1389"/>
      <c r="AG28" s="1389"/>
      <c r="AH28" s="1389"/>
      <c r="AI28" s="1389"/>
      <c r="AJ28" s="500"/>
    </row>
    <row r="29" spans="2:36" ht="15" thickBot="1">
      <c r="B29" s="246">
        <v>25</v>
      </c>
      <c r="C29" s="2118"/>
      <c r="D29" s="2038"/>
      <c r="E29" s="1389"/>
      <c r="F29" s="1610"/>
      <c r="G29" s="1389"/>
      <c r="H29" s="1610"/>
      <c r="I29" s="1866"/>
      <c r="K29" s="25">
        <f t="shared" si="0"/>
        <v>0</v>
      </c>
      <c r="L29" s="25">
        <f t="shared" si="1"/>
        <v>0</v>
      </c>
      <c r="O29" s="503">
        <f t="shared" si="2"/>
        <v>0</v>
      </c>
      <c r="P29" s="503">
        <f t="shared" si="2"/>
        <v>0</v>
      </c>
      <c r="Q29" s="503">
        <f t="shared" si="3"/>
        <v>0</v>
      </c>
      <c r="R29" s="503">
        <f t="shared" si="4"/>
        <v>0</v>
      </c>
      <c r="S29" s="503">
        <f t="shared" si="5"/>
        <v>0</v>
      </c>
      <c r="U29" s="503">
        <f t="shared" si="6"/>
        <v>0</v>
      </c>
      <c r="V29" s="503">
        <f t="shared" si="6"/>
        <v>0</v>
      </c>
      <c r="W29" s="503">
        <f t="shared" si="7"/>
        <v>0</v>
      </c>
      <c r="X29" s="503">
        <f t="shared" si="8"/>
        <v>0</v>
      </c>
      <c r="Y29" s="503">
        <f t="shared" si="9"/>
        <v>0</v>
      </c>
      <c r="AC29" s="246">
        <v>25</v>
      </c>
      <c r="AD29" s="26"/>
      <c r="AE29" s="676"/>
      <c r="AF29" s="1389"/>
      <c r="AG29" s="1389"/>
      <c r="AH29" s="1389"/>
      <c r="AI29" s="1389"/>
      <c r="AJ29" s="500"/>
    </row>
    <row r="30" spans="2:36" ht="15" thickBot="1">
      <c r="B30" s="505" t="s">
        <v>680</v>
      </c>
      <c r="C30" s="506"/>
      <c r="D30" s="507"/>
      <c r="E30" s="1390">
        <f>SUM(E5:E29)</f>
        <v>-1676.2942388602935</v>
      </c>
      <c r="F30" s="1611">
        <f>SUM(F5:F29)</f>
        <v>-1.0905397746546512</v>
      </c>
      <c r="G30" s="1390">
        <f>SUM(G5:G29)</f>
        <v>-1676.2942388602935</v>
      </c>
      <c r="H30" s="1611">
        <f>SUM(H5:H29)</f>
        <v>-1.0905397746546512</v>
      </c>
      <c r="I30" s="733"/>
      <c r="AC30" s="505" t="s">
        <v>680</v>
      </c>
      <c r="AD30" s="506"/>
      <c r="AE30" s="507"/>
      <c r="AF30" s="1390"/>
      <c r="AG30" s="1390"/>
      <c r="AH30" s="1390"/>
      <c r="AI30" s="1390"/>
      <c r="AJ30" s="733"/>
    </row>
    <row r="31" spans="2:36"/>
    <row r="32" spans="2:36"/>
    <row r="33" spans="2:9">
      <c r="B33" s="2195" t="s">
        <v>275</v>
      </c>
      <c r="C33" s="2195"/>
    </row>
    <row r="34" spans="2:9">
      <c r="B34" s="127"/>
      <c r="C34" s="127"/>
    </row>
    <row r="35" spans="2:9">
      <c r="B35" s="26"/>
      <c r="C35" s="129" t="s">
        <v>249</v>
      </c>
    </row>
    <row r="36" spans="2:9">
      <c r="B36" s="127"/>
      <c r="C36" s="128"/>
    </row>
    <row r="37" spans="2:9">
      <c r="B37" s="130"/>
      <c r="C37" s="129" t="s">
        <v>250</v>
      </c>
    </row>
    <row r="38" spans="2:9">
      <c r="B38" s="131"/>
      <c r="C38" s="129"/>
    </row>
    <row r="39" spans="2:9" ht="15" thickBot="1"/>
    <row r="40" spans="2:9" ht="16.5" thickBot="1">
      <c r="B40" s="1166" t="s">
        <v>251</v>
      </c>
      <c r="C40" s="133"/>
      <c r="D40" s="134"/>
      <c r="E40" s="134"/>
      <c r="F40" s="134"/>
      <c r="G40" s="134"/>
      <c r="H40" s="134"/>
      <c r="I40" s="216"/>
    </row>
    <row r="41" spans="2:9"/>
  </sheetData>
  <sheetProtection algorithmName="SHA-512" hashValue="X7wJMoOOlXrb8Qdp3eA/04it5lh5z2k7+eGzny0gv09UtHs4RRKzdKPmab1ypdG1OQ+dDX4uSnXSYxoVE1R+rw==" saltValue="OSCge/IBOKKbhMiV1tvwEg==" spinCount="100000" sheet="1" objects="1" scenarios="1"/>
  <conditionalFormatting sqref="K5:L29">
    <cfRule type="cellIs" dxfId="4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pageSetUpPr fitToPage="1"/>
  </sheetPr>
  <dimension ref="A1:AE28"/>
  <sheetViews>
    <sheetView showGridLines="0" zoomScale="80" zoomScaleNormal="80" workbookViewId="0">
      <selection activeCell="B1" sqref="B1"/>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9" customWidth="1"/>
    <col min="8" max="8" width="30.625" bestFit="1" customWidth="1"/>
    <col min="9" max="9" width="16.125" customWidth="1"/>
    <col min="10" max="10" width="1.625" customWidth="1"/>
    <col min="11" max="11" width="1.625" style="442" hidden="1" customWidth="1"/>
    <col min="12" max="12" width="14.625" hidden="1" customWidth="1"/>
    <col min="13" max="13" width="1.625" style="442" hidden="1" customWidth="1"/>
    <col min="14" max="16" width="21.5" hidden="1" customWidth="1"/>
    <col min="17" max="17" width="1.625" style="442" hidden="1" customWidth="1"/>
    <col min="18" max="26" width="9" hidden="1" customWidth="1"/>
    <col min="27" max="27" width="5" hidden="1" customWidth="1"/>
    <col min="28" max="28" width="34.625" hidden="1" customWidth="1"/>
    <col min="29" max="30" width="5.125" hidden="1" customWidth="1"/>
    <col min="31" max="31" width="11.125" hidden="1" customWidth="1"/>
    <col min="32" max="16384" width="9" hidden="1"/>
  </cols>
  <sheetData>
    <row r="1" spans="2:31" ht="20.25">
      <c r="B1" s="61" t="s">
        <v>2022</v>
      </c>
      <c r="C1" s="61"/>
      <c r="D1" s="62" t="str">
        <f>Validation!B3</f>
        <v>Thames Water</v>
      </c>
      <c r="E1" s="61"/>
      <c r="F1" s="61"/>
      <c r="G1" s="61"/>
      <c r="H1" s="64"/>
      <c r="I1" s="64" t="s">
        <v>94</v>
      </c>
      <c r="AA1" s="61" t="s">
        <v>95</v>
      </c>
      <c r="AB1" s="61"/>
      <c r="AC1" s="62"/>
      <c r="AD1" s="61"/>
      <c r="AE1" s="61"/>
    </row>
    <row r="2" spans="2:31">
      <c r="B2" s="68" t="s">
        <v>80</v>
      </c>
      <c r="L2" s="483" t="s">
        <v>107</v>
      </c>
      <c r="M2" s="484"/>
      <c r="N2" s="485" t="s">
        <v>2023</v>
      </c>
      <c r="O2" s="485"/>
      <c r="P2" s="486"/>
      <c r="Q2" s="484"/>
      <c r="R2" s="486"/>
      <c r="S2" s="486"/>
      <c r="AA2" s="68" t="s">
        <v>80</v>
      </c>
    </row>
    <row r="3" spans="2:31" ht="15" thickBot="1">
      <c r="L3" s="78" t="s">
        <v>2024</v>
      </c>
      <c r="M3" s="484"/>
      <c r="N3" s="486" t="s">
        <v>2025</v>
      </c>
      <c r="O3" s="486" t="s">
        <v>2026</v>
      </c>
      <c r="P3" s="486" t="s">
        <v>681</v>
      </c>
      <c r="Q3" s="484"/>
      <c r="R3" s="486"/>
      <c r="S3" s="486"/>
    </row>
    <row r="4" spans="2:31" ht="15" thickBot="1">
      <c r="B4" s="2295" t="s">
        <v>96</v>
      </c>
      <c r="C4" s="2296"/>
      <c r="D4" s="310" t="s">
        <v>98</v>
      </c>
      <c r="E4" s="253" t="s">
        <v>99</v>
      </c>
      <c r="F4" s="311" t="s">
        <v>2027</v>
      </c>
      <c r="G4" s="482"/>
      <c r="H4" s="223" t="s">
        <v>2028</v>
      </c>
      <c r="I4" s="311" t="s">
        <v>103</v>
      </c>
      <c r="L4" s="487"/>
      <c r="M4" s="488"/>
      <c r="N4" s="486"/>
      <c r="O4" s="486"/>
      <c r="P4" s="486"/>
      <c r="Q4" s="488"/>
      <c r="R4" s="486"/>
      <c r="S4" s="486"/>
      <c r="AA4" s="2295" t="s">
        <v>96</v>
      </c>
      <c r="AB4" s="2296"/>
      <c r="AC4" s="310" t="s">
        <v>98</v>
      </c>
      <c r="AD4" s="253" t="s">
        <v>99</v>
      </c>
      <c r="AE4" s="311" t="s">
        <v>2027</v>
      </c>
    </row>
    <row r="5" spans="2:31" ht="15" thickBot="1">
      <c r="L5" s="486"/>
      <c r="M5" s="489"/>
      <c r="N5" s="486"/>
      <c r="O5" s="486"/>
      <c r="P5" s="486"/>
      <c r="Q5" s="489"/>
      <c r="R5" s="486"/>
      <c r="S5" s="486"/>
    </row>
    <row r="6" spans="2:31" ht="15" thickBot="1">
      <c r="B6" s="494" t="s">
        <v>214</v>
      </c>
      <c r="C6" s="479" t="s">
        <v>2029</v>
      </c>
      <c r="L6" s="490"/>
      <c r="M6" s="489"/>
      <c r="N6" s="491" t="s">
        <v>2030</v>
      </c>
      <c r="O6" s="491" t="s">
        <v>2031</v>
      </c>
      <c r="P6" s="490" t="s">
        <v>2032</v>
      </c>
      <c r="Q6" s="489"/>
      <c r="R6" s="486"/>
      <c r="S6" s="486"/>
      <c r="AA6" s="494" t="s">
        <v>214</v>
      </c>
      <c r="AB6" s="479" t="s">
        <v>2029</v>
      </c>
    </row>
    <row r="7" spans="2:31">
      <c r="B7" s="245" t="s">
        <v>2033</v>
      </c>
      <c r="C7" s="1367" t="s">
        <v>2034</v>
      </c>
      <c r="D7" s="1373" t="s">
        <v>11</v>
      </c>
      <c r="E7" s="1813">
        <v>2</v>
      </c>
      <c r="F7" s="496">
        <v>4.1631413326741038</v>
      </c>
      <c r="H7" s="25">
        <f>IF(SUM(N7&gt;0),$N$3,0)</f>
        <v>0</v>
      </c>
      <c r="I7" s="25">
        <f>IF(L7&gt;0, $L$3, 0)</f>
        <v>0</v>
      </c>
      <c r="L7" s="492">
        <f>IF(ISBLANK(F7), 1, 0)</f>
        <v>0</v>
      </c>
      <c r="M7" s="489"/>
      <c r="N7" s="493">
        <f>IF(AND(F7&gt;=1, F7&lt;=5), 0, 1)</f>
        <v>0</v>
      </c>
      <c r="O7" s="491"/>
      <c r="P7" s="490"/>
      <c r="Q7" s="489"/>
      <c r="R7" s="486"/>
      <c r="S7" s="486"/>
      <c r="AA7" s="245" t="s">
        <v>2033</v>
      </c>
      <c r="AB7" s="1367" t="s">
        <v>2034</v>
      </c>
      <c r="AC7" s="1373" t="s">
        <v>11</v>
      </c>
      <c r="AD7" s="1374">
        <v>2</v>
      </c>
      <c r="AE7" s="496" t="s">
        <v>2035</v>
      </c>
    </row>
    <row r="8" spans="2:31">
      <c r="B8" s="246" t="s">
        <v>2036</v>
      </c>
      <c r="C8" s="1368" t="s">
        <v>2037</v>
      </c>
      <c r="D8" s="1375" t="s">
        <v>11</v>
      </c>
      <c r="E8" s="1814">
        <v>2</v>
      </c>
      <c r="F8" s="497">
        <v>4.2498869289914065</v>
      </c>
      <c r="H8" s="25">
        <f t="shared" ref="H8:H9" si="0">IF(SUM(N8&gt;0),$N$3,0)</f>
        <v>0</v>
      </c>
      <c r="I8" s="25">
        <f t="shared" ref="I8:I10" si="1">IF(L8&gt;0, $L$3, 0)</f>
        <v>0</v>
      </c>
      <c r="L8" s="492">
        <f t="shared" ref="L8:L10" si="2">IF(ISBLANK(F8), 1, 0)</f>
        <v>0</v>
      </c>
      <c r="M8" s="489"/>
      <c r="N8" s="493">
        <f t="shared" ref="N8:N11" si="3">IF(AND(F8&gt;=1, F8&lt;=5), 0, 1)</f>
        <v>0</v>
      </c>
      <c r="O8" s="491"/>
      <c r="P8" s="490"/>
      <c r="Q8" s="489"/>
      <c r="R8" s="486"/>
      <c r="S8" s="486"/>
      <c r="AA8" s="246" t="s">
        <v>2036</v>
      </c>
      <c r="AB8" s="1368" t="s">
        <v>2037</v>
      </c>
      <c r="AC8" s="1375" t="s">
        <v>11</v>
      </c>
      <c r="AD8" s="1376">
        <v>2</v>
      </c>
      <c r="AE8" s="497" t="s">
        <v>2038</v>
      </c>
    </row>
    <row r="9" spans="2:31">
      <c r="B9" s="246" t="s">
        <v>2039</v>
      </c>
      <c r="C9" s="1368" t="s">
        <v>2040</v>
      </c>
      <c r="D9" s="1375" t="s">
        <v>11</v>
      </c>
      <c r="E9" s="1814">
        <v>2</v>
      </c>
      <c r="F9" s="497">
        <v>4.1368298368298362</v>
      </c>
      <c r="H9" s="25">
        <f t="shared" si="0"/>
        <v>0</v>
      </c>
      <c r="I9" s="25">
        <f t="shared" si="1"/>
        <v>0</v>
      </c>
      <c r="L9" s="492">
        <f t="shared" si="2"/>
        <v>0</v>
      </c>
      <c r="M9" s="489"/>
      <c r="N9" s="493">
        <f t="shared" si="3"/>
        <v>0</v>
      </c>
      <c r="O9" s="491"/>
      <c r="P9" s="490"/>
      <c r="Q9" s="489"/>
      <c r="R9" s="486"/>
      <c r="S9" s="486"/>
      <c r="AA9" s="246" t="s">
        <v>2039</v>
      </c>
      <c r="AB9" s="1368" t="s">
        <v>2040</v>
      </c>
      <c r="AC9" s="1375" t="s">
        <v>11</v>
      </c>
      <c r="AD9" s="1376">
        <v>2</v>
      </c>
      <c r="AE9" s="497" t="s">
        <v>2041</v>
      </c>
    </row>
    <row r="10" spans="2:31">
      <c r="B10" s="246" t="s">
        <v>2042</v>
      </c>
      <c r="C10" s="1368" t="s">
        <v>2043</v>
      </c>
      <c r="D10" s="1375" t="s">
        <v>11</v>
      </c>
      <c r="E10" s="1814">
        <v>2</v>
      </c>
      <c r="F10" s="497">
        <v>4.1337928137003841</v>
      </c>
      <c r="H10" s="25">
        <f>IF(SUM(N10&gt;0),$N$3,0)</f>
        <v>0</v>
      </c>
      <c r="I10" s="25">
        <f t="shared" si="1"/>
        <v>0</v>
      </c>
      <c r="L10" s="492">
        <f t="shared" si="2"/>
        <v>0</v>
      </c>
      <c r="M10" s="489"/>
      <c r="N10" s="493">
        <f t="shared" si="3"/>
        <v>0</v>
      </c>
      <c r="O10" s="491"/>
      <c r="P10" s="490"/>
      <c r="Q10" s="489"/>
      <c r="R10" s="486"/>
      <c r="S10" s="486"/>
      <c r="AA10" s="246" t="s">
        <v>2042</v>
      </c>
      <c r="AB10" s="1368" t="s">
        <v>2043</v>
      </c>
      <c r="AC10" s="1375" t="s">
        <v>11</v>
      </c>
      <c r="AD10" s="1376">
        <v>2</v>
      </c>
      <c r="AE10" s="497" t="s">
        <v>2044</v>
      </c>
    </row>
    <row r="11" spans="2:31" ht="15" thickBot="1">
      <c r="B11" s="247" t="s">
        <v>2045</v>
      </c>
      <c r="C11" s="1369" t="s">
        <v>2046</v>
      </c>
      <c r="D11" s="1377" t="s">
        <v>11</v>
      </c>
      <c r="E11" s="1815">
        <v>2</v>
      </c>
      <c r="F11" s="631">
        <v>59.454613650917487</v>
      </c>
      <c r="H11" s="25">
        <f>IF(SUM(O11&gt;0),$O$3,0)</f>
        <v>0</v>
      </c>
      <c r="I11" s="25">
        <f>IF(L11&gt;0, $L$3, 0)</f>
        <v>0</v>
      </c>
      <c r="L11" s="492">
        <f t="shared" ref="L11" si="4">IF(ISBLANK(F11), 1, 0)</f>
        <v>0</v>
      </c>
      <c r="M11" s="489"/>
      <c r="N11" s="491">
        <f t="shared" si="3"/>
        <v>1</v>
      </c>
      <c r="O11" s="493">
        <f>IF(AND(F11&gt;=1, F11&lt;=75), 0, 1)</f>
        <v>0</v>
      </c>
      <c r="P11" s="490"/>
      <c r="Q11" s="489"/>
      <c r="R11" s="486"/>
      <c r="S11" s="486"/>
      <c r="AA11" s="247" t="s">
        <v>2045</v>
      </c>
      <c r="AB11" s="1369" t="s">
        <v>2046</v>
      </c>
      <c r="AC11" s="1377" t="s">
        <v>11</v>
      </c>
      <c r="AD11" s="1378">
        <v>2</v>
      </c>
      <c r="AE11" s="631" t="s">
        <v>2047</v>
      </c>
    </row>
    <row r="12" spans="2:31" ht="15" thickBot="1">
      <c r="D12" s="482"/>
      <c r="E12" s="482"/>
      <c r="F12" s="495"/>
      <c r="H12" s="486"/>
      <c r="I12" s="486"/>
      <c r="L12" s="486"/>
      <c r="M12" s="489"/>
      <c r="N12" s="491"/>
      <c r="O12" s="491"/>
      <c r="P12" s="490"/>
      <c r="Q12" s="489"/>
      <c r="R12" s="486"/>
      <c r="S12" s="486"/>
      <c r="AC12" s="482"/>
      <c r="AD12" s="482"/>
      <c r="AE12" s="495"/>
    </row>
    <row r="13" spans="2:31" ht="15" thickBot="1">
      <c r="B13" s="494" t="s">
        <v>236</v>
      </c>
      <c r="C13" s="479" t="s">
        <v>2048</v>
      </c>
      <c r="D13" s="482"/>
      <c r="E13" s="482"/>
      <c r="F13" s="495"/>
      <c r="H13" s="486"/>
      <c r="I13" s="486"/>
      <c r="L13" s="486"/>
      <c r="M13" s="489"/>
      <c r="N13" s="491"/>
      <c r="O13" s="491"/>
      <c r="P13" s="490"/>
      <c r="Q13" s="489"/>
      <c r="R13" s="486"/>
      <c r="S13" s="486"/>
      <c r="AA13" s="494" t="s">
        <v>236</v>
      </c>
      <c r="AB13" s="479" t="s">
        <v>2048</v>
      </c>
      <c r="AC13" s="482"/>
      <c r="AD13" s="482"/>
      <c r="AE13" s="495"/>
    </row>
    <row r="14" spans="2:31">
      <c r="B14" s="480" t="s">
        <v>2049</v>
      </c>
      <c r="C14" s="1370" t="s">
        <v>2050</v>
      </c>
      <c r="D14" s="1373" t="s">
        <v>11</v>
      </c>
      <c r="E14" s="1813">
        <v>2</v>
      </c>
      <c r="F14" s="496">
        <v>120.51746247131305</v>
      </c>
      <c r="H14" s="25">
        <f>IF(SUM(P14)&gt;0, P3, 0)</f>
        <v>0</v>
      </c>
      <c r="I14" s="25">
        <f t="shared" ref="I14" si="5">IF(L14&gt;0, $L$3, 0)</f>
        <v>0</v>
      </c>
      <c r="L14" s="492">
        <f t="shared" ref="L14" si="6">IF(ISBLANK(F14), 1, 0)</f>
        <v>0</v>
      </c>
      <c r="M14" s="489"/>
      <c r="N14" s="491"/>
      <c r="O14" s="491"/>
      <c r="P14" s="492">
        <f>IF(ISNUMBER(F14), IF(F14&gt;0, 0, 1), 1)</f>
        <v>0</v>
      </c>
      <c r="Q14" s="489"/>
      <c r="R14" s="486"/>
      <c r="S14" s="486"/>
      <c r="AA14" s="480" t="s">
        <v>2049</v>
      </c>
      <c r="AB14" s="1370" t="s">
        <v>2050</v>
      </c>
      <c r="AC14" s="1373" t="s">
        <v>11</v>
      </c>
      <c r="AD14" s="1374">
        <v>2</v>
      </c>
      <c r="AE14" s="496" t="s">
        <v>2051</v>
      </c>
    </row>
    <row r="15" spans="2:31" ht="15" thickBot="1">
      <c r="B15" s="481" t="s">
        <v>2052</v>
      </c>
      <c r="C15" s="1371" t="s">
        <v>2053</v>
      </c>
      <c r="D15" s="1377" t="s">
        <v>11</v>
      </c>
      <c r="E15" s="1815">
        <v>2</v>
      </c>
      <c r="F15" s="1816">
        <f>IF(F14&gt;500, 0, (1-((F14-0)/(500-0)))*25)</f>
        <v>18.974126876434347</v>
      </c>
      <c r="H15" s="486"/>
      <c r="I15" s="486"/>
      <c r="L15" s="486"/>
      <c r="M15" s="489"/>
      <c r="N15" s="486"/>
      <c r="O15" s="486"/>
      <c r="P15" s="486"/>
      <c r="Q15" s="489"/>
      <c r="R15" s="486"/>
      <c r="S15" s="486"/>
      <c r="AA15" s="481" t="s">
        <v>2052</v>
      </c>
      <c r="AB15" s="1371" t="s">
        <v>2053</v>
      </c>
      <c r="AC15" s="1377" t="s">
        <v>11</v>
      </c>
      <c r="AD15" s="1378">
        <v>2</v>
      </c>
      <c r="AE15" s="498" t="s">
        <v>2054</v>
      </c>
    </row>
    <row r="16" spans="2:31" ht="15" thickBot="1">
      <c r="D16" s="482"/>
      <c r="E16" s="482"/>
      <c r="F16" s="495"/>
      <c r="H16" s="486"/>
      <c r="I16" s="486"/>
      <c r="AC16" s="482"/>
      <c r="AD16" s="482"/>
      <c r="AE16" s="495"/>
    </row>
    <row r="17" spans="2:31" ht="15" thickBot="1">
      <c r="B17" s="494" t="s">
        <v>362</v>
      </c>
      <c r="C17" s="479" t="s">
        <v>2055</v>
      </c>
      <c r="D17" s="482"/>
      <c r="E17" s="482"/>
      <c r="F17" s="495"/>
      <c r="H17" s="486"/>
      <c r="I17" s="486"/>
      <c r="AA17" s="494" t="s">
        <v>362</v>
      </c>
      <c r="AB17" s="479" t="s">
        <v>2055</v>
      </c>
      <c r="AC17" s="482"/>
      <c r="AD17" s="482"/>
      <c r="AE17" s="495"/>
    </row>
    <row r="18" spans="2:31" ht="15" thickBot="1">
      <c r="B18" s="282" t="s">
        <v>2056</v>
      </c>
      <c r="C18" s="1372" t="s">
        <v>2057</v>
      </c>
      <c r="D18" s="1379" t="s">
        <v>11</v>
      </c>
      <c r="E18" s="1817">
        <v>2</v>
      </c>
      <c r="F18" s="1818">
        <f>F15+F11</f>
        <v>78.428740527351835</v>
      </c>
      <c r="H18" s="486"/>
      <c r="I18" s="486"/>
      <c r="AA18" s="282" t="s">
        <v>2056</v>
      </c>
      <c r="AB18" s="1372" t="s">
        <v>2057</v>
      </c>
      <c r="AC18" s="1379" t="s">
        <v>11</v>
      </c>
      <c r="AD18" s="1380">
        <v>2</v>
      </c>
      <c r="AE18" s="734" t="s">
        <v>2058</v>
      </c>
    </row>
    <row r="19" spans="2:31"/>
    <row r="20" spans="2:31">
      <c r="B20" s="2195" t="s">
        <v>275</v>
      </c>
      <c r="C20" s="2195"/>
    </row>
    <row r="21" spans="2:31">
      <c r="B21" s="127"/>
      <c r="C21" s="127"/>
    </row>
    <row r="22" spans="2:31">
      <c r="B22" s="26"/>
      <c r="C22" s="129" t="s">
        <v>249</v>
      </c>
    </row>
    <row r="23" spans="2:31">
      <c r="B23" s="127"/>
      <c r="C23" s="128"/>
    </row>
    <row r="24" spans="2:31">
      <c r="B24" s="130"/>
      <c r="C24" s="129" t="s">
        <v>250</v>
      </c>
    </row>
    <row r="25" spans="2:31">
      <c r="B25" s="131"/>
      <c r="C25" s="129"/>
    </row>
    <row r="26" spans="2:31" ht="15" thickBot="1"/>
    <row r="27" spans="2:31" ht="41.25" customHeight="1" thickBot="1">
      <c r="B27" s="2301" t="s">
        <v>251</v>
      </c>
      <c r="C27" s="2302"/>
      <c r="D27" s="2302"/>
      <c r="E27" s="2302"/>
      <c r="F27" s="2303"/>
      <c r="L27" s="553" t="s">
        <v>2059</v>
      </c>
    </row>
    <row r="28" spans="2:31"/>
  </sheetData>
  <sheetProtection algorithmName="SHA-512" hashValue="gj4fpNQ8+Sd5B1CPdBmsrQUhvOTTPQtgU07VMgDSDY4VbMUEQFk25069OO0BJvYGE/5Q9t/w8u5EI9/q/8o+0A==" saltValue="6bSU3J2PxTO8wORMSpnPuw==" spinCount="100000" sheet="1" objects="1" scenarios="1"/>
  <mergeCells count="3">
    <mergeCell ref="AA4:AB4"/>
    <mergeCell ref="B4:C4"/>
    <mergeCell ref="B27:F27"/>
  </mergeCells>
  <conditionalFormatting sqref="H7:I11">
    <cfRule type="cellIs" dxfId="493" priority="1" operator="equal">
      <formula>0</formula>
    </cfRule>
  </conditionalFormatting>
  <conditionalFormatting sqref="H14:I14">
    <cfRule type="cellIs" dxfId="492"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74"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C168"/>
  <sheetViews>
    <sheetView showGridLines="0" zoomScale="70" zoomScaleNormal="70" workbookViewId="0"/>
  </sheetViews>
  <sheetFormatPr defaultColWidth="0" defaultRowHeight="14.25"/>
  <cols>
    <col min="1" max="1" width="1.125" customWidth="1"/>
    <col min="2" max="2" width="6.5" customWidth="1"/>
    <col min="3" max="3" width="55.125" customWidth="1"/>
    <col min="4" max="4" width="17.125" customWidth="1"/>
    <col min="5" max="313" width="8.625" customWidth="1"/>
    <col min="314" max="314" width="1.625" customWidth="1"/>
    <col min="315" max="315" width="30.125" customWidth="1"/>
    <col min="316" max="316" width="2.125" customWidth="1"/>
    <col min="317" max="317" width="1.125" style="442" hidden="1" customWidth="1"/>
    <col min="318" max="318" width="25.625" hidden="1" customWidth="1"/>
    <col min="319" max="626" width="8.625" hidden="1" customWidth="1"/>
    <col min="627" max="627" width="1.5" style="442" hidden="1" customWidth="1"/>
    <col min="628" max="16384" width="8.625" hidden="1"/>
  </cols>
  <sheetData>
    <row r="1" spans="1:627" ht="7.5" customHeight="1"/>
    <row r="2" spans="1:627" ht="20.25">
      <c r="A2" s="1902"/>
      <c r="B2" s="1903" t="s">
        <v>2060</v>
      </c>
      <c r="C2" s="1904"/>
      <c r="D2" s="1905"/>
      <c r="E2" s="1905"/>
      <c r="F2" s="1906"/>
      <c r="G2" s="1905"/>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1907"/>
      <c r="AZ2" s="1907"/>
      <c r="BA2" s="1907"/>
      <c r="BB2" s="1907"/>
      <c r="BC2" s="1907"/>
      <c r="BD2" s="1907"/>
      <c r="BE2" s="1907"/>
      <c r="BF2" s="1907"/>
      <c r="BG2" s="1907"/>
      <c r="BH2" s="1907"/>
      <c r="BI2" s="1907"/>
      <c r="BJ2" s="1907"/>
      <c r="BK2" s="1907"/>
      <c r="BL2" s="1907"/>
      <c r="BM2" s="1907"/>
      <c r="BN2" s="1907"/>
      <c r="BO2" s="1907"/>
      <c r="BP2" s="1907"/>
      <c r="BQ2" s="1907"/>
      <c r="BR2" s="1907"/>
      <c r="BS2" s="1907"/>
      <c r="BT2" s="1907"/>
      <c r="BU2" s="63"/>
      <c r="BV2" s="1907"/>
      <c r="BW2" s="1907"/>
      <c r="BX2" s="1907"/>
      <c r="BY2" s="1907"/>
      <c r="BZ2" s="1907"/>
      <c r="CA2" s="1907"/>
      <c r="CB2" s="1907"/>
      <c r="CC2" s="1907"/>
      <c r="CD2" s="1907"/>
      <c r="CE2" s="1907"/>
      <c r="CF2" s="1907"/>
      <c r="CG2" s="1907"/>
      <c r="CH2" s="1907"/>
      <c r="CI2" s="1907"/>
      <c r="CJ2" s="1907"/>
      <c r="CK2" s="1907"/>
      <c r="CL2" s="1907"/>
      <c r="CM2" s="1907"/>
      <c r="CN2" s="1907"/>
      <c r="CO2" s="63"/>
      <c r="CP2" s="1907"/>
      <c r="CQ2" s="1907"/>
      <c r="CR2" s="1907"/>
      <c r="CS2" s="1907"/>
      <c r="CT2" s="1907"/>
      <c r="CU2" s="1907"/>
      <c r="CV2" s="1907"/>
      <c r="CW2" s="1907"/>
      <c r="CX2" s="1907"/>
      <c r="CY2" s="1907"/>
      <c r="CZ2" s="1907"/>
      <c r="DA2" s="1907"/>
      <c r="DB2" s="1907"/>
      <c r="DC2" s="1907"/>
      <c r="DD2" s="1907"/>
      <c r="DE2" s="1907"/>
      <c r="DF2" s="1907"/>
      <c r="DG2" s="1907"/>
      <c r="DH2" s="1907"/>
      <c r="DI2" s="63"/>
      <c r="DJ2" s="1907"/>
      <c r="DK2" s="1907"/>
      <c r="DL2" s="1907"/>
      <c r="DM2" s="1907"/>
      <c r="DN2" s="1907"/>
      <c r="DO2" s="1907"/>
      <c r="DP2" s="1907"/>
      <c r="DQ2" s="1907"/>
      <c r="DR2" s="1907"/>
      <c r="DS2" s="1907"/>
      <c r="DT2" s="1907"/>
      <c r="DU2" s="1907"/>
      <c r="DV2" s="1907"/>
      <c r="DW2" s="1907"/>
      <c r="DX2" s="1907"/>
      <c r="DY2" s="1907"/>
      <c r="DZ2" s="1907"/>
      <c r="EA2" s="1907"/>
      <c r="EB2" s="1907"/>
      <c r="EC2" s="63"/>
      <c r="ED2" s="1907"/>
      <c r="EE2" s="1907"/>
      <c r="EF2" s="1907"/>
      <c r="EG2" s="1907"/>
      <c r="EH2" s="1907"/>
      <c r="EI2" s="1907"/>
      <c r="EJ2" s="1907"/>
      <c r="EK2" s="1907"/>
      <c r="EL2" s="1907"/>
      <c r="EM2" s="1907"/>
      <c r="EN2" s="1907"/>
      <c r="EO2" s="1907"/>
      <c r="EP2" s="1907"/>
      <c r="EQ2" s="1907"/>
      <c r="ER2" s="1907"/>
      <c r="ES2" s="1907"/>
      <c r="ET2" s="1907"/>
      <c r="EU2" s="1907"/>
      <c r="EV2" s="1907"/>
      <c r="EW2" s="63"/>
      <c r="EX2" s="1907"/>
      <c r="EY2" s="1907"/>
      <c r="EZ2" s="1907"/>
      <c r="FA2" s="1907"/>
      <c r="FB2" s="1907"/>
      <c r="FC2" s="1907"/>
      <c r="FD2" s="1907"/>
      <c r="FE2" s="1907"/>
      <c r="FF2" s="1907"/>
      <c r="FG2" s="1907"/>
      <c r="FH2" s="1907"/>
      <c r="FI2" s="1907"/>
      <c r="FJ2" s="1907"/>
      <c r="FK2" s="1907"/>
      <c r="FL2" s="1907"/>
      <c r="FM2" s="1907"/>
      <c r="FN2" s="1907"/>
      <c r="FO2" s="1907"/>
      <c r="FP2" s="1907"/>
      <c r="FQ2" s="63"/>
      <c r="FR2" s="1907"/>
      <c r="FS2" s="1907"/>
      <c r="FT2" s="1907"/>
      <c r="FU2" s="1907"/>
      <c r="FV2" s="1907"/>
      <c r="FW2" s="1907"/>
      <c r="FX2" s="1907"/>
      <c r="FY2" s="1907"/>
      <c r="FZ2" s="1907"/>
      <c r="GA2" s="1907"/>
      <c r="GB2" s="1907"/>
      <c r="GC2" s="1907"/>
      <c r="GD2" s="1907"/>
      <c r="GE2" s="1907"/>
      <c r="GF2" s="1907"/>
      <c r="GG2" s="1907"/>
      <c r="GH2" s="1907"/>
      <c r="GI2" s="1907"/>
      <c r="GJ2" s="1907"/>
      <c r="GK2" s="63"/>
      <c r="GL2" s="1907"/>
      <c r="GM2" s="1907"/>
      <c r="GN2" s="1907"/>
      <c r="GO2" s="1907"/>
      <c r="GP2" s="1907"/>
      <c r="GQ2" s="1907"/>
      <c r="GR2" s="1907"/>
      <c r="GS2" s="1907"/>
      <c r="GT2" s="1907"/>
      <c r="GU2" s="1907"/>
      <c r="GV2" s="1907"/>
      <c r="GW2" s="1907"/>
      <c r="GX2" s="1907"/>
      <c r="GY2" s="1907"/>
      <c r="GZ2" s="1907"/>
      <c r="HA2" s="1907"/>
      <c r="HB2" s="1907"/>
      <c r="HC2" s="1907"/>
      <c r="HD2" s="1907"/>
      <c r="HE2" s="63"/>
      <c r="HF2" s="1907"/>
      <c r="HG2" s="1907"/>
      <c r="HH2" s="1907"/>
      <c r="HI2" s="1907"/>
      <c r="HJ2" s="1907"/>
      <c r="HK2" s="1907"/>
      <c r="HL2" s="1907"/>
      <c r="HM2" s="1907"/>
      <c r="HN2" s="1907"/>
      <c r="HO2" s="1907"/>
      <c r="HP2" s="1907"/>
      <c r="HQ2" s="1907"/>
      <c r="HR2" s="1907"/>
      <c r="HS2" s="1907"/>
      <c r="HT2" s="1907"/>
      <c r="HU2" s="1907"/>
      <c r="HV2" s="1907"/>
      <c r="HW2" s="1907"/>
      <c r="HX2" s="1907"/>
      <c r="HY2" s="63"/>
      <c r="HZ2" s="1907"/>
      <c r="IA2" s="1907"/>
      <c r="IB2" s="1907"/>
      <c r="IC2" s="1907"/>
      <c r="ID2" s="1907"/>
      <c r="IE2" s="1907"/>
      <c r="IF2" s="1907"/>
      <c r="IG2" s="1907"/>
      <c r="IH2" s="1907"/>
      <c r="II2" s="1907"/>
      <c r="IJ2" s="1907"/>
      <c r="IK2" s="1907"/>
      <c r="IL2" s="1907"/>
      <c r="IM2" s="1907"/>
      <c r="IN2" s="1907"/>
      <c r="IO2" s="1907"/>
      <c r="IP2" s="1907"/>
      <c r="IQ2" s="1907"/>
      <c r="IR2" s="1907"/>
      <c r="IS2" s="63"/>
      <c r="IT2" s="1907"/>
      <c r="IU2" s="1907"/>
      <c r="IV2" s="1907"/>
      <c r="IW2" s="1907"/>
      <c r="IX2" s="1907"/>
      <c r="IY2" s="1907"/>
      <c r="IZ2" s="1907"/>
      <c r="JA2" s="1907"/>
      <c r="JB2" s="1907"/>
      <c r="JC2" s="1907"/>
      <c r="JD2" s="1907"/>
      <c r="JE2" s="1907"/>
      <c r="JF2" s="1907"/>
      <c r="JG2" s="1907"/>
      <c r="JH2" s="1907"/>
      <c r="JI2" s="1907"/>
      <c r="JJ2" s="1907"/>
      <c r="JK2" s="1907"/>
      <c r="JL2" s="1907"/>
      <c r="JM2" s="63"/>
      <c r="JN2" s="1907"/>
      <c r="JO2" s="1907"/>
      <c r="JP2" s="1907"/>
      <c r="JQ2" s="1907"/>
      <c r="JR2" s="1907"/>
      <c r="JS2" s="1907"/>
      <c r="JT2" s="1907"/>
      <c r="JU2" s="1907"/>
      <c r="JV2" s="1907"/>
      <c r="JW2" s="1907"/>
      <c r="JX2" s="1907"/>
      <c r="JY2" s="1907"/>
      <c r="JZ2" s="1907"/>
      <c r="KA2" s="1907"/>
      <c r="KB2" s="1907"/>
      <c r="KC2" s="1907"/>
      <c r="KD2" s="1907"/>
      <c r="KE2" s="1907"/>
      <c r="KF2" s="1907"/>
      <c r="KG2" s="63"/>
      <c r="KH2" s="1907"/>
      <c r="KI2" s="1907"/>
      <c r="KJ2" s="1907"/>
      <c r="KK2" s="1907"/>
      <c r="KL2" s="1907"/>
      <c r="KM2" s="1907"/>
      <c r="KN2" s="1907"/>
      <c r="KO2" s="1907"/>
      <c r="KP2" s="1907"/>
      <c r="KQ2" s="1907"/>
      <c r="KR2" s="1907"/>
      <c r="KS2" s="63"/>
      <c r="KT2" s="1907"/>
      <c r="KU2" s="1907"/>
      <c r="KV2" s="1907"/>
      <c r="KW2" s="63"/>
      <c r="KX2" s="1907"/>
      <c r="KY2" s="1907"/>
      <c r="KZ2" s="1907"/>
      <c r="LA2" s="63" t="s">
        <v>2061</v>
      </c>
      <c r="LC2" s="64" t="s">
        <v>94</v>
      </c>
      <c r="LG2" s="71" t="s">
        <v>107</v>
      </c>
    </row>
    <row r="3" spans="1:627" ht="15.75" thickBot="1">
      <c r="A3" s="693"/>
      <c r="B3" s="693"/>
      <c r="C3" s="694"/>
      <c r="D3" s="694"/>
      <c r="E3" s="694"/>
      <c r="F3" s="694"/>
      <c r="G3" s="694"/>
      <c r="H3" s="693"/>
      <c r="I3" s="693"/>
      <c r="J3" s="693"/>
      <c r="K3" s="694"/>
      <c r="L3" s="693"/>
      <c r="M3" s="693"/>
      <c r="N3" s="693"/>
      <c r="O3" s="694"/>
      <c r="P3" s="693"/>
      <c r="Q3" s="693"/>
      <c r="R3" s="693"/>
      <c r="S3" s="694"/>
      <c r="T3" s="693"/>
      <c r="U3" s="693"/>
      <c r="V3" s="693"/>
      <c r="W3" s="694"/>
      <c r="X3" s="693"/>
      <c r="Y3" s="693"/>
      <c r="Z3" s="693"/>
      <c r="AA3" s="694"/>
      <c r="AB3" s="693"/>
      <c r="AC3" s="693"/>
      <c r="AD3" s="693"/>
      <c r="AE3" s="694"/>
      <c r="AF3" s="693"/>
      <c r="AG3" s="693"/>
      <c r="AH3" s="693"/>
      <c r="AI3" s="694"/>
      <c r="AJ3" s="693"/>
      <c r="AK3" s="693"/>
      <c r="AL3" s="693"/>
      <c r="AM3" s="694"/>
      <c r="AN3" s="693"/>
      <c r="AO3" s="693"/>
      <c r="AP3" s="693"/>
      <c r="AQ3" s="694"/>
      <c r="AR3" s="693"/>
      <c r="AS3" s="693"/>
      <c r="AT3" s="693"/>
      <c r="AU3" s="694"/>
      <c r="AV3" s="693"/>
      <c r="AW3" s="693"/>
      <c r="AX3" s="693"/>
      <c r="AY3" s="694"/>
      <c r="AZ3" s="693"/>
      <c r="BA3" s="693"/>
      <c r="BB3" s="693"/>
      <c r="BC3" s="694"/>
      <c r="BD3" s="693"/>
      <c r="BE3" s="693"/>
      <c r="BF3" s="693"/>
      <c r="BG3" s="694"/>
      <c r="BH3" s="693"/>
      <c r="BI3" s="693"/>
      <c r="BJ3" s="693"/>
      <c r="BK3" s="694"/>
      <c r="BL3" s="693"/>
      <c r="BM3" s="693"/>
      <c r="BN3" s="693"/>
      <c r="BO3" s="694"/>
      <c r="BP3" s="693"/>
      <c r="BQ3" s="693"/>
      <c r="BR3" s="693"/>
      <c r="BS3" s="694"/>
      <c r="BT3" s="693"/>
      <c r="BU3" s="693"/>
      <c r="BV3" s="693"/>
      <c r="BW3" s="694"/>
      <c r="BX3" s="693"/>
      <c r="BY3" s="693"/>
      <c r="BZ3" s="693"/>
      <c r="CA3" s="694"/>
      <c r="CB3" s="693"/>
      <c r="CC3" s="693"/>
      <c r="CD3" s="693"/>
      <c r="CE3" s="694"/>
      <c r="CF3" s="693"/>
      <c r="CG3" s="693"/>
      <c r="CH3" s="693"/>
      <c r="CI3" s="694"/>
      <c r="CJ3" s="693"/>
      <c r="CK3" s="693"/>
      <c r="CL3" s="693"/>
      <c r="CM3" s="694"/>
      <c r="CN3" s="693"/>
      <c r="CO3" s="693"/>
      <c r="CP3" s="693"/>
      <c r="CQ3" s="694"/>
      <c r="CR3" s="693"/>
      <c r="CS3" s="693"/>
      <c r="CT3" s="693"/>
      <c r="CU3" s="694"/>
      <c r="CV3" s="693"/>
      <c r="CW3" s="693"/>
      <c r="CX3" s="693"/>
      <c r="CY3" s="694"/>
      <c r="CZ3" s="693"/>
      <c r="DA3" s="693"/>
      <c r="DB3" s="693"/>
      <c r="DC3" s="694"/>
      <c r="DD3" s="693"/>
      <c r="DE3" s="693"/>
      <c r="DF3" s="693"/>
      <c r="DG3" s="694"/>
      <c r="DH3" s="693"/>
      <c r="DI3" s="693"/>
      <c r="DJ3" s="693"/>
      <c r="DK3" s="694"/>
      <c r="DL3" s="693"/>
      <c r="DM3" s="693"/>
      <c r="DN3" s="693"/>
      <c r="DO3" s="694"/>
      <c r="DP3" s="693"/>
      <c r="DQ3" s="693"/>
      <c r="DR3" s="693"/>
      <c r="DS3" s="694"/>
      <c r="DT3" s="693"/>
      <c r="DU3" s="693"/>
      <c r="DV3" s="693"/>
      <c r="DW3" s="694"/>
      <c r="DX3" s="693"/>
      <c r="DY3" s="693"/>
      <c r="DZ3" s="693"/>
      <c r="EA3" s="694"/>
      <c r="EB3" s="693"/>
      <c r="EC3" s="693"/>
      <c r="ED3" s="693"/>
      <c r="EE3" s="694"/>
      <c r="EF3" s="693"/>
      <c r="EG3" s="693"/>
      <c r="EH3" s="693"/>
      <c r="EI3" s="694"/>
      <c r="EJ3" s="693"/>
      <c r="EK3" s="693"/>
      <c r="EL3" s="693"/>
      <c r="EM3" s="694"/>
      <c r="EN3" s="693"/>
      <c r="EO3" s="693"/>
      <c r="EP3" s="693"/>
      <c r="EQ3" s="694"/>
      <c r="ER3" s="693"/>
      <c r="ES3" s="693"/>
      <c r="ET3" s="693"/>
      <c r="EU3" s="694"/>
      <c r="EV3" s="693"/>
      <c r="EW3" s="693"/>
      <c r="EX3" s="693"/>
      <c r="EY3" s="694"/>
      <c r="EZ3" s="693"/>
      <c r="FA3" s="693"/>
      <c r="FB3" s="693"/>
      <c r="FC3" s="694"/>
      <c r="FD3" s="693"/>
      <c r="FE3" s="693"/>
      <c r="FF3" s="693"/>
      <c r="FG3" s="694"/>
      <c r="FH3" s="693"/>
      <c r="FI3" s="693"/>
      <c r="FJ3" s="693"/>
      <c r="FK3" s="694"/>
      <c r="FL3" s="693"/>
      <c r="FM3" s="693"/>
      <c r="FN3" s="693"/>
      <c r="FO3" s="694"/>
      <c r="FP3" s="693"/>
      <c r="FQ3" s="693"/>
      <c r="FR3" s="693"/>
      <c r="FS3" s="694"/>
      <c r="FT3" s="693"/>
      <c r="FU3" s="693"/>
      <c r="FV3" s="693"/>
      <c r="FW3" s="694"/>
      <c r="FX3" s="693"/>
      <c r="FY3" s="693"/>
      <c r="FZ3" s="693"/>
      <c r="GA3" s="694"/>
      <c r="GB3" s="693"/>
      <c r="GC3" s="693"/>
      <c r="GD3" s="693"/>
      <c r="GE3" s="694"/>
      <c r="GF3" s="693"/>
      <c r="GG3" s="693"/>
      <c r="GH3" s="693"/>
      <c r="GI3" s="694"/>
      <c r="GJ3" s="693"/>
      <c r="GK3" s="693"/>
      <c r="GL3" s="693"/>
      <c r="GM3" s="694"/>
      <c r="GN3" s="693"/>
      <c r="GO3" s="693"/>
      <c r="GP3" s="693"/>
      <c r="GQ3" s="694"/>
      <c r="GR3" s="693"/>
      <c r="GS3" s="693"/>
      <c r="GT3" s="693"/>
      <c r="GU3" s="694"/>
      <c r="GV3" s="693"/>
      <c r="GW3" s="693"/>
      <c r="GX3" s="693"/>
      <c r="GY3" s="694"/>
      <c r="GZ3" s="693"/>
      <c r="HA3" s="693"/>
      <c r="HB3" s="693"/>
      <c r="HC3" s="694"/>
      <c r="HD3" s="693"/>
      <c r="HE3" s="693"/>
      <c r="HF3" s="693"/>
      <c r="HG3" s="694"/>
      <c r="HH3" s="693"/>
      <c r="HI3" s="693"/>
      <c r="HJ3" s="693"/>
      <c r="HK3" s="694"/>
      <c r="HL3" s="693"/>
      <c r="HM3" s="693"/>
      <c r="HN3" s="693"/>
      <c r="HO3" s="694"/>
      <c r="HP3" s="693"/>
      <c r="HQ3" s="693"/>
      <c r="HR3" s="693"/>
      <c r="HS3" s="694"/>
      <c r="HT3" s="693"/>
      <c r="HU3" s="693"/>
      <c r="HV3" s="693"/>
      <c r="HW3" s="694"/>
      <c r="HX3" s="693"/>
      <c r="HY3" s="693"/>
      <c r="HZ3" s="693"/>
      <c r="IA3" s="694"/>
      <c r="IB3" s="693"/>
      <c r="IC3" s="693"/>
      <c r="ID3" s="693"/>
      <c r="IE3" s="694"/>
      <c r="IF3" s="693"/>
      <c r="IG3" s="693"/>
      <c r="IH3" s="693"/>
      <c r="II3" s="694"/>
      <c r="IJ3" s="693"/>
      <c r="IK3" s="693"/>
      <c r="IL3" s="693"/>
      <c r="IM3" s="694"/>
      <c r="IN3" s="693"/>
      <c r="IO3" s="693"/>
      <c r="IP3" s="693"/>
      <c r="IQ3" s="694"/>
      <c r="IR3" s="693"/>
      <c r="IS3" s="693"/>
      <c r="IT3" s="693"/>
      <c r="IU3" s="694"/>
      <c r="IV3" s="693"/>
      <c r="IW3" s="693"/>
      <c r="IX3" s="693"/>
      <c r="IY3" s="694"/>
      <c r="IZ3" s="693"/>
      <c r="JA3" s="693"/>
      <c r="JB3" s="693"/>
      <c r="JC3" s="694"/>
      <c r="JD3" s="693"/>
      <c r="JE3" s="693"/>
      <c r="JF3" s="693"/>
      <c r="JG3" s="694"/>
      <c r="JH3" s="693"/>
      <c r="JI3" s="693"/>
      <c r="JJ3" s="693"/>
      <c r="JK3" s="694"/>
      <c r="JL3" s="693"/>
      <c r="JM3" s="693"/>
      <c r="JN3" s="693"/>
      <c r="JO3" s="694"/>
      <c r="JP3" s="693"/>
      <c r="JQ3" s="693"/>
      <c r="JR3" s="693"/>
      <c r="JS3" s="694"/>
      <c r="JT3" s="693"/>
      <c r="JU3" s="693"/>
      <c r="JV3" s="693"/>
      <c r="JW3" s="694"/>
      <c r="JX3" s="693"/>
      <c r="JY3" s="693"/>
      <c r="JZ3" s="693"/>
      <c r="KA3" s="694"/>
      <c r="KB3" s="693"/>
      <c r="KC3" s="693"/>
      <c r="KD3" s="693"/>
      <c r="KE3" s="694"/>
      <c r="KF3" s="693"/>
      <c r="KG3" s="693"/>
      <c r="KH3" s="693"/>
      <c r="KI3" s="694"/>
      <c r="KJ3" s="693"/>
      <c r="KK3" s="693"/>
      <c r="KL3" s="693"/>
      <c r="KM3" s="694"/>
      <c r="KN3" s="693"/>
      <c r="KO3" s="693"/>
      <c r="KP3" s="693"/>
      <c r="KQ3" s="694"/>
      <c r="KR3" s="693"/>
      <c r="KS3" s="693"/>
      <c r="KT3" s="693"/>
      <c r="KU3" s="694"/>
      <c r="KV3" s="693"/>
      <c r="KW3" s="693"/>
      <c r="LG3" s="78" t="s">
        <v>108</v>
      </c>
    </row>
    <row r="4" spans="1:627" ht="165" customHeight="1" thickBot="1">
      <c r="A4" s="693"/>
      <c r="B4" s="2305" t="s">
        <v>2062</v>
      </c>
      <c r="C4" s="2306"/>
      <c r="D4" s="2306"/>
      <c r="E4" s="2307"/>
      <c r="F4" s="2307"/>
      <c r="G4" s="2307"/>
      <c r="H4" s="2307"/>
      <c r="I4" s="2307"/>
      <c r="J4" s="2307"/>
      <c r="K4" s="2307"/>
      <c r="L4" s="2307"/>
      <c r="M4" s="2307"/>
      <c r="N4" s="2307"/>
      <c r="O4" s="2307"/>
      <c r="P4" s="2307"/>
      <c r="Q4" s="2307"/>
      <c r="R4" s="2307"/>
      <c r="S4" s="2307"/>
      <c r="T4" s="2307"/>
      <c r="U4" s="2308"/>
      <c r="V4" s="693"/>
      <c r="W4" s="694"/>
      <c r="X4" s="693"/>
      <c r="Y4" s="693"/>
      <c r="Z4" s="693"/>
      <c r="AA4" s="694"/>
      <c r="AB4" s="693"/>
      <c r="AC4" s="693"/>
      <c r="AD4" s="693"/>
      <c r="AE4" s="694"/>
      <c r="AF4" s="693"/>
      <c r="AG4" s="693"/>
      <c r="AH4" s="693"/>
      <c r="AI4" s="694"/>
      <c r="AJ4" s="693"/>
      <c r="AK4" s="693"/>
      <c r="AL4" s="693"/>
      <c r="AM4" s="694"/>
      <c r="AN4" s="693"/>
      <c r="AO4" s="693"/>
      <c r="AP4" s="693"/>
      <c r="AQ4" s="694"/>
      <c r="AR4" s="693"/>
      <c r="AS4" s="693"/>
      <c r="AT4" s="693"/>
      <c r="AU4" s="694"/>
      <c r="AV4" s="693"/>
      <c r="AW4" s="693"/>
      <c r="AX4" s="693"/>
      <c r="AY4" s="694"/>
      <c r="AZ4" s="693"/>
      <c r="BA4" s="693"/>
      <c r="BB4" s="693"/>
      <c r="BC4" s="694"/>
      <c r="BD4" s="693"/>
      <c r="BE4" s="693"/>
      <c r="BF4" s="693"/>
      <c r="BG4" s="694"/>
      <c r="BH4" s="693"/>
      <c r="BI4" s="693"/>
      <c r="BJ4" s="693"/>
      <c r="BK4" s="694"/>
      <c r="BL4" s="693"/>
      <c r="BM4" s="693"/>
      <c r="BN4" s="693"/>
      <c r="BO4" s="694"/>
      <c r="BP4" s="693"/>
      <c r="BQ4" s="693"/>
      <c r="BR4" s="693"/>
      <c r="BS4" s="694"/>
      <c r="BT4" s="693"/>
      <c r="BU4" s="693"/>
      <c r="BV4" s="693"/>
      <c r="BW4" s="694"/>
      <c r="BX4" s="693"/>
      <c r="BY4" s="693"/>
      <c r="BZ4" s="693"/>
      <c r="CA4" s="694"/>
      <c r="CB4" s="693"/>
      <c r="CC4" s="693"/>
      <c r="CD4" s="693"/>
      <c r="CE4" s="694"/>
      <c r="CF4" s="693"/>
      <c r="CG4" s="693"/>
      <c r="CH4" s="693"/>
      <c r="CI4" s="694"/>
      <c r="CJ4" s="693"/>
      <c r="CK4" s="693"/>
      <c r="CL4" s="693"/>
      <c r="CM4" s="694"/>
      <c r="CN4" s="693"/>
      <c r="CO4" s="693"/>
      <c r="CP4" s="693"/>
      <c r="CQ4" s="694"/>
      <c r="CR4" s="693"/>
      <c r="CS4" s="693"/>
      <c r="CT4" s="693"/>
      <c r="CU4" s="694"/>
      <c r="CV4" s="693"/>
      <c r="CW4" s="693"/>
      <c r="CX4" s="693"/>
      <c r="CY4" s="694"/>
      <c r="CZ4" s="693"/>
      <c r="DA4" s="693"/>
      <c r="DB4" s="693"/>
      <c r="DC4" s="694"/>
      <c r="DD4" s="693"/>
      <c r="DE4" s="693"/>
      <c r="DF4" s="693"/>
      <c r="DG4" s="694"/>
      <c r="DH4" s="693"/>
      <c r="DI4" s="693"/>
      <c r="DJ4" s="693"/>
      <c r="DK4" s="694"/>
      <c r="DL4" s="693"/>
      <c r="DM4" s="693"/>
      <c r="DN4" s="693"/>
      <c r="DO4" s="694"/>
      <c r="DP4" s="693"/>
      <c r="DQ4" s="693"/>
      <c r="DR4" s="693"/>
      <c r="DS4" s="694"/>
      <c r="DT4" s="693"/>
      <c r="DU4" s="693"/>
      <c r="DV4" s="693"/>
      <c r="DW4" s="694"/>
      <c r="DX4" s="693"/>
      <c r="DY4" s="693"/>
      <c r="DZ4" s="693"/>
      <c r="EA4" s="694"/>
      <c r="EB4" s="693"/>
      <c r="EC4" s="693"/>
      <c r="ED4" s="693"/>
      <c r="EE4" s="694"/>
      <c r="EF4" s="693"/>
      <c r="EG4" s="693"/>
      <c r="EH4" s="693"/>
      <c r="EI4" s="694"/>
      <c r="EJ4" s="693"/>
      <c r="EK4" s="693"/>
      <c r="EL4" s="693"/>
      <c r="EM4" s="694"/>
      <c r="EN4" s="693"/>
      <c r="EO4" s="693"/>
      <c r="EP4" s="693"/>
      <c r="EQ4" s="694"/>
      <c r="ER4" s="693"/>
      <c r="ES4" s="693"/>
      <c r="ET4" s="693"/>
      <c r="EU4" s="694"/>
      <c r="EV4" s="693"/>
      <c r="EW4" s="693"/>
      <c r="EX4" s="693"/>
      <c r="EY4" s="694"/>
      <c r="EZ4" s="693"/>
      <c r="FA4" s="693"/>
      <c r="FB4" s="693"/>
      <c r="FC4" s="694"/>
      <c r="FD4" s="693"/>
      <c r="FE4" s="693"/>
      <c r="FF4" s="693"/>
      <c r="FG4" s="694"/>
      <c r="FH4" s="693"/>
      <c r="FI4" s="693"/>
      <c r="FJ4" s="693"/>
      <c r="FK4" s="694"/>
      <c r="FL4" s="693"/>
      <c r="FM4" s="693"/>
      <c r="FN4" s="693"/>
      <c r="FO4" s="694"/>
      <c r="FP4" s="693"/>
      <c r="FQ4" s="693"/>
      <c r="FR4" s="693"/>
      <c r="FS4" s="694"/>
      <c r="FT4" s="693"/>
      <c r="FU4" s="693"/>
      <c r="FV4" s="693"/>
      <c r="FW4" s="694"/>
      <c r="FX4" s="693"/>
      <c r="FY4" s="693"/>
      <c r="FZ4" s="693"/>
      <c r="GA4" s="694"/>
      <c r="GB4" s="693"/>
      <c r="GC4" s="693"/>
      <c r="GD4" s="693"/>
      <c r="GE4" s="694"/>
      <c r="GF4" s="693"/>
      <c r="GG4" s="693"/>
      <c r="GH4" s="693"/>
      <c r="GI4" s="694"/>
      <c r="GJ4" s="693"/>
      <c r="GK4" s="693"/>
      <c r="GL4" s="693"/>
      <c r="GM4" s="694"/>
      <c r="GN4" s="693"/>
      <c r="GO4" s="693"/>
      <c r="GP4" s="693"/>
      <c r="GQ4" s="694"/>
      <c r="GR4" s="693"/>
      <c r="GS4" s="693"/>
      <c r="GT4" s="693"/>
      <c r="GU4" s="694"/>
      <c r="GV4" s="693"/>
      <c r="GW4" s="693"/>
      <c r="GX4" s="693"/>
      <c r="GY4" s="694"/>
      <c r="GZ4" s="693"/>
      <c r="HA4" s="693"/>
      <c r="HB4" s="693"/>
      <c r="HC4" s="694"/>
      <c r="HD4" s="693"/>
      <c r="HE4" s="693"/>
      <c r="HF4" s="693"/>
      <c r="HG4" s="694"/>
      <c r="HH4" s="693"/>
      <c r="HI4" s="693"/>
      <c r="HJ4" s="693"/>
      <c r="HK4" s="694"/>
      <c r="HL4" s="693"/>
      <c r="HM4" s="693"/>
      <c r="HN4" s="693"/>
      <c r="HO4" s="694"/>
      <c r="HP4" s="693"/>
      <c r="HQ4" s="693"/>
      <c r="HR4" s="693"/>
      <c r="HS4" s="694"/>
      <c r="HT4" s="693"/>
      <c r="HU4" s="693"/>
      <c r="HV4" s="693"/>
      <c r="HW4" s="694"/>
      <c r="HX4" s="693"/>
      <c r="HY4" s="693"/>
      <c r="HZ4" s="693"/>
      <c r="IA4" s="694"/>
      <c r="IB4" s="693"/>
      <c r="IC4" s="693"/>
      <c r="ID4" s="693"/>
      <c r="IE4" s="694"/>
      <c r="IF4" s="693"/>
      <c r="IG4" s="693"/>
      <c r="IH4" s="693"/>
      <c r="II4" s="694"/>
      <c r="IJ4" s="693"/>
      <c r="IK4" s="693"/>
      <c r="IL4" s="693"/>
      <c r="IM4" s="694"/>
      <c r="IN4" s="693"/>
      <c r="IO4" s="693"/>
      <c r="IP4" s="693"/>
      <c r="IQ4" s="694"/>
      <c r="IR4" s="693"/>
      <c r="IS4" s="693"/>
      <c r="IT4" s="693"/>
      <c r="IU4" s="694"/>
      <c r="IV4" s="693"/>
      <c r="IW4" s="693"/>
      <c r="IX4" s="693"/>
      <c r="IY4" s="694"/>
      <c r="IZ4" s="693"/>
      <c r="JA4" s="693"/>
      <c r="JB4" s="693"/>
      <c r="JC4" s="694"/>
      <c r="JD4" s="693"/>
      <c r="JE4" s="693"/>
      <c r="JF4" s="693"/>
      <c r="JG4" s="694"/>
      <c r="JH4" s="693"/>
      <c r="JI4" s="693"/>
      <c r="JJ4" s="693"/>
      <c r="JK4" s="694"/>
      <c r="JL4" s="693"/>
      <c r="JM4" s="693"/>
      <c r="JN4" s="693"/>
      <c r="JO4" s="694"/>
      <c r="JP4" s="693"/>
      <c r="JQ4" s="693"/>
      <c r="JR4" s="693"/>
      <c r="JS4" s="694"/>
      <c r="JT4" s="693"/>
      <c r="JU4" s="693"/>
      <c r="JV4" s="693"/>
      <c r="JW4" s="694"/>
      <c r="JX4" s="693"/>
      <c r="JY4" s="693"/>
      <c r="JZ4" s="693"/>
      <c r="KA4" s="694"/>
      <c r="KB4" s="693"/>
      <c r="KC4" s="693"/>
      <c r="KD4" s="693"/>
      <c r="KE4" s="694"/>
      <c r="KF4" s="693"/>
      <c r="KG4" s="693"/>
      <c r="KH4" s="693"/>
      <c r="KI4" s="694"/>
      <c r="KJ4" s="693"/>
      <c r="KK4" s="693"/>
      <c r="KL4" s="693"/>
      <c r="KM4" s="694"/>
      <c r="KN4" s="693"/>
      <c r="KO4" s="693"/>
      <c r="KP4" s="693"/>
      <c r="KQ4" s="694"/>
      <c r="KR4" s="693"/>
      <c r="KS4" s="693"/>
      <c r="KT4" s="693"/>
      <c r="KU4" s="694"/>
      <c r="KV4" s="693"/>
      <c r="KW4" s="693"/>
    </row>
    <row r="5" spans="1:627" ht="15.75" thickBot="1">
      <c r="A5" s="693"/>
      <c r="B5" s="693"/>
      <c r="C5" s="694"/>
      <c r="D5" s="694"/>
      <c r="E5" s="694"/>
      <c r="F5" s="694"/>
      <c r="G5" s="694"/>
      <c r="H5" s="693"/>
      <c r="I5" s="693"/>
      <c r="J5" s="693"/>
      <c r="K5" s="694"/>
      <c r="L5" s="693"/>
      <c r="M5" s="693"/>
      <c r="N5" s="693"/>
      <c r="O5" s="694"/>
      <c r="P5" s="693"/>
      <c r="Q5" s="693"/>
      <c r="R5" s="693"/>
      <c r="S5" s="694"/>
      <c r="T5" s="693"/>
      <c r="U5" s="693"/>
      <c r="V5" s="693"/>
      <c r="W5" s="694"/>
      <c r="X5" s="693"/>
      <c r="Y5" s="693"/>
      <c r="Z5" s="693"/>
      <c r="AA5" s="694"/>
      <c r="AB5" s="693"/>
      <c r="AC5" s="693"/>
      <c r="AD5" s="693"/>
      <c r="AE5" s="694"/>
      <c r="AF5" s="693"/>
      <c r="AG5" s="693"/>
      <c r="AH5" s="693"/>
      <c r="AI5" s="694"/>
      <c r="AJ5" s="693"/>
      <c r="AK5" s="693"/>
      <c r="AL5" s="693"/>
      <c r="AM5" s="694"/>
      <c r="AN5" s="693"/>
      <c r="AO5" s="693"/>
      <c r="AP5" s="693"/>
      <c r="AQ5" s="694"/>
      <c r="AR5" s="693"/>
      <c r="AS5" s="693"/>
      <c r="AT5" s="693"/>
      <c r="AU5" s="694"/>
      <c r="AV5" s="693"/>
      <c r="AW5" s="693"/>
      <c r="AX5" s="693"/>
      <c r="AY5" s="694"/>
      <c r="AZ5" s="693"/>
      <c r="BA5" s="693"/>
      <c r="BB5" s="693"/>
      <c r="BC5" s="694"/>
      <c r="BD5" s="693"/>
      <c r="BE5" s="693"/>
      <c r="BF5" s="693"/>
      <c r="BG5" s="694"/>
      <c r="BH5" s="693"/>
      <c r="BI5" s="693"/>
      <c r="BJ5" s="693"/>
      <c r="BK5" s="694"/>
      <c r="BL5" s="693"/>
      <c r="BM5" s="693"/>
      <c r="BN5" s="693"/>
      <c r="BO5" s="694"/>
      <c r="BP5" s="693"/>
      <c r="BQ5" s="693"/>
      <c r="BR5" s="693"/>
      <c r="BS5" s="694"/>
      <c r="BT5" s="693"/>
      <c r="BU5" s="693"/>
      <c r="BV5" s="693"/>
      <c r="BW5" s="694"/>
      <c r="BX5" s="693"/>
      <c r="BY5" s="693"/>
      <c r="BZ5" s="693"/>
      <c r="CA5" s="694"/>
      <c r="CB5" s="693"/>
      <c r="CC5" s="693"/>
      <c r="CD5" s="693"/>
      <c r="CE5" s="694"/>
      <c r="CF5" s="693"/>
      <c r="CG5" s="693"/>
      <c r="CH5" s="693"/>
      <c r="CI5" s="694"/>
      <c r="CJ5" s="693"/>
      <c r="CK5" s="693"/>
      <c r="CL5" s="693"/>
      <c r="CM5" s="694"/>
      <c r="CN5" s="693"/>
      <c r="CO5" s="693"/>
      <c r="CP5" s="693"/>
      <c r="CQ5" s="694"/>
      <c r="CR5" s="693"/>
      <c r="CS5" s="693"/>
      <c r="CT5" s="693"/>
      <c r="CU5" s="694"/>
      <c r="CV5" s="693"/>
      <c r="CW5" s="693"/>
      <c r="CX5" s="693"/>
      <c r="CY5" s="694"/>
      <c r="CZ5" s="693"/>
      <c r="DA5" s="693"/>
      <c r="DB5" s="693"/>
      <c r="DC5" s="694"/>
      <c r="DD5" s="693"/>
      <c r="DE5" s="693"/>
      <c r="DF5" s="693"/>
      <c r="DG5" s="694"/>
      <c r="DH5" s="693"/>
      <c r="DI5" s="693"/>
      <c r="DJ5" s="693"/>
      <c r="DK5" s="694"/>
      <c r="DL5" s="693"/>
      <c r="DM5" s="693"/>
      <c r="DN5" s="693"/>
      <c r="DO5" s="694"/>
      <c r="DP5" s="693"/>
      <c r="DQ5" s="693"/>
      <c r="DR5" s="693"/>
      <c r="DS5" s="694"/>
      <c r="DT5" s="693"/>
      <c r="DU5" s="693"/>
      <c r="DV5" s="693"/>
      <c r="DW5" s="694"/>
      <c r="DX5" s="693"/>
      <c r="DY5" s="693"/>
      <c r="DZ5" s="693"/>
      <c r="EA5" s="694"/>
      <c r="EB5" s="693"/>
      <c r="EC5" s="693"/>
      <c r="ED5" s="693"/>
      <c r="EE5" s="694"/>
      <c r="EF5" s="693"/>
      <c r="EG5" s="693"/>
      <c r="EH5" s="693"/>
      <c r="EI5" s="694"/>
      <c r="EJ5" s="693"/>
      <c r="EK5" s="693"/>
      <c r="EL5" s="693"/>
      <c r="EM5" s="694"/>
      <c r="EN5" s="693"/>
      <c r="EO5" s="693"/>
      <c r="EP5" s="693"/>
      <c r="EQ5" s="694"/>
      <c r="ER5" s="693"/>
      <c r="ES5" s="693"/>
      <c r="ET5" s="693"/>
      <c r="EU5" s="694"/>
      <c r="EV5" s="693"/>
      <c r="EW5" s="693"/>
      <c r="EX5" s="693"/>
      <c r="EY5" s="694"/>
      <c r="EZ5" s="693"/>
      <c r="FA5" s="693"/>
      <c r="FB5" s="693"/>
      <c r="FC5" s="694"/>
      <c r="FD5" s="693"/>
      <c r="FE5" s="693"/>
      <c r="FF5" s="693"/>
      <c r="FG5" s="694"/>
      <c r="FH5" s="693"/>
      <c r="FI5" s="693"/>
      <c r="FJ5" s="693"/>
      <c r="FK5" s="694"/>
      <c r="FL5" s="693"/>
      <c r="FM5" s="693"/>
      <c r="FN5" s="693"/>
      <c r="FO5" s="694"/>
      <c r="FP5" s="693"/>
      <c r="FQ5" s="693"/>
      <c r="FR5" s="693"/>
      <c r="FS5" s="694"/>
      <c r="FT5" s="693"/>
      <c r="FU5" s="693"/>
      <c r="FV5" s="693"/>
      <c r="FW5" s="694"/>
      <c r="FX5" s="693"/>
      <c r="FY5" s="693"/>
      <c r="FZ5" s="693"/>
      <c r="GA5" s="694"/>
      <c r="GB5" s="693"/>
      <c r="GC5" s="693"/>
      <c r="GD5" s="693"/>
      <c r="GE5" s="694"/>
      <c r="GF5" s="693"/>
      <c r="GG5" s="693"/>
      <c r="GH5" s="693"/>
      <c r="GI5" s="694"/>
      <c r="GJ5" s="693"/>
      <c r="GK5" s="693"/>
      <c r="GL5" s="693"/>
      <c r="GM5" s="694"/>
      <c r="GN5" s="693"/>
      <c r="GO5" s="693"/>
      <c r="GP5" s="693"/>
      <c r="GQ5" s="694"/>
      <c r="GR5" s="693"/>
      <c r="GS5" s="693"/>
      <c r="GT5" s="693"/>
      <c r="GU5" s="694"/>
      <c r="GV5" s="693"/>
      <c r="GW5" s="693"/>
      <c r="GX5" s="693"/>
      <c r="GY5" s="694"/>
      <c r="GZ5" s="693"/>
      <c r="HA5" s="693"/>
      <c r="HB5" s="693"/>
      <c r="HC5" s="694"/>
      <c r="HD5" s="693"/>
      <c r="HE5" s="693"/>
      <c r="HF5" s="693"/>
      <c r="HG5" s="694"/>
      <c r="HH5" s="693"/>
      <c r="HI5" s="693"/>
      <c r="HJ5" s="693"/>
      <c r="HK5" s="694"/>
      <c r="HL5" s="693"/>
      <c r="HM5" s="693"/>
      <c r="HN5" s="693"/>
      <c r="HO5" s="694"/>
      <c r="HP5" s="693"/>
      <c r="HQ5" s="693"/>
      <c r="HR5" s="693"/>
      <c r="HS5" s="694"/>
      <c r="HT5" s="693"/>
      <c r="HU5" s="693"/>
      <c r="HV5" s="693"/>
      <c r="HW5" s="694"/>
      <c r="HX5" s="693"/>
      <c r="HY5" s="693"/>
      <c r="HZ5" s="693"/>
      <c r="IA5" s="694"/>
      <c r="IB5" s="693"/>
      <c r="IC5" s="693"/>
      <c r="ID5" s="693"/>
      <c r="IE5" s="694"/>
      <c r="IF5" s="693"/>
      <c r="IG5" s="693"/>
      <c r="IH5" s="693"/>
      <c r="II5" s="694"/>
      <c r="IJ5" s="693"/>
      <c r="IK5" s="693"/>
      <c r="IL5" s="693"/>
      <c r="IM5" s="694"/>
      <c r="IN5" s="693"/>
      <c r="IO5" s="693"/>
      <c r="IP5" s="693"/>
      <c r="IQ5" s="694"/>
      <c r="IR5" s="693"/>
      <c r="IS5" s="693"/>
      <c r="IT5" s="693"/>
      <c r="IU5" s="694"/>
      <c r="IV5" s="693"/>
      <c r="IW5" s="693"/>
      <c r="IX5" s="693"/>
      <c r="IY5" s="694"/>
      <c r="IZ5" s="693"/>
      <c r="JA5" s="693"/>
      <c r="JB5" s="693"/>
      <c r="JC5" s="694"/>
      <c r="JD5" s="693"/>
      <c r="JE5" s="693"/>
      <c r="JF5" s="693"/>
      <c r="JG5" s="694"/>
      <c r="JH5" s="693"/>
      <c r="JI5" s="693"/>
      <c r="JJ5" s="693"/>
      <c r="JK5" s="694"/>
      <c r="JL5" s="693"/>
      <c r="JM5" s="693"/>
      <c r="JN5" s="693"/>
      <c r="JO5" s="694"/>
      <c r="JP5" s="693"/>
      <c r="JQ5" s="693"/>
      <c r="JR5" s="693"/>
      <c r="JS5" s="694"/>
      <c r="JT5" s="693"/>
      <c r="JU5" s="693"/>
      <c r="JV5" s="693"/>
      <c r="JW5" s="694"/>
      <c r="JX5" s="693"/>
      <c r="JY5" s="693"/>
      <c r="JZ5" s="693"/>
      <c r="KA5" s="694"/>
      <c r="KB5" s="693"/>
      <c r="KC5" s="693"/>
      <c r="KD5" s="693"/>
      <c r="KE5" s="694"/>
      <c r="KF5" s="693"/>
      <c r="KG5" s="693"/>
      <c r="KH5" s="693"/>
      <c r="KI5" s="694"/>
      <c r="KJ5" s="693"/>
      <c r="KK5" s="693"/>
      <c r="KL5" s="693"/>
      <c r="KM5" s="694"/>
      <c r="KN5" s="693"/>
      <c r="KO5" s="693"/>
      <c r="KP5" s="693"/>
      <c r="KQ5" s="694"/>
      <c r="KR5" s="693"/>
      <c r="KS5" s="693"/>
      <c r="KT5" s="693"/>
      <c r="KU5" s="694"/>
      <c r="KV5" s="693"/>
      <c r="KW5" s="693"/>
    </row>
    <row r="6" spans="1:627" ht="15.75">
      <c r="A6" s="693"/>
      <c r="B6" s="1908" t="s">
        <v>2063</v>
      </c>
      <c r="C6" s="1909"/>
      <c r="D6" s="694"/>
      <c r="E6" s="724"/>
      <c r="F6" s="694"/>
      <c r="G6" s="694"/>
      <c r="H6" s="693"/>
      <c r="I6" s="693"/>
      <c r="J6" s="693"/>
      <c r="K6" s="694"/>
      <c r="L6" s="693"/>
      <c r="M6" s="693"/>
      <c r="N6" s="693"/>
      <c r="O6" s="694"/>
      <c r="P6" s="693"/>
      <c r="Q6" s="693"/>
      <c r="R6" s="693"/>
      <c r="S6" s="694"/>
      <c r="T6" s="693"/>
      <c r="U6" s="693"/>
      <c r="V6" s="693"/>
      <c r="W6" s="694"/>
      <c r="X6" s="693"/>
      <c r="Y6" s="693"/>
      <c r="Z6" s="693"/>
      <c r="AA6" s="694"/>
      <c r="AB6" s="693"/>
      <c r="AC6" s="693"/>
      <c r="AD6" s="693"/>
      <c r="AE6" s="694"/>
      <c r="AF6" s="693"/>
      <c r="AG6" s="693"/>
      <c r="AH6" s="693"/>
      <c r="AI6" s="694"/>
      <c r="AJ6" s="693"/>
      <c r="AK6" s="693"/>
      <c r="AL6" s="693"/>
      <c r="AM6" s="694"/>
      <c r="AN6" s="693"/>
      <c r="AO6" s="693"/>
      <c r="AP6" s="693"/>
      <c r="AQ6" s="694"/>
      <c r="AR6" s="693"/>
      <c r="AS6" s="693"/>
      <c r="AT6" s="693"/>
      <c r="AU6" s="694"/>
      <c r="AV6" s="693"/>
      <c r="AW6" s="693"/>
      <c r="AX6" s="693"/>
      <c r="AY6" s="694"/>
      <c r="AZ6" s="693"/>
      <c r="BA6" s="693"/>
      <c r="BB6" s="693"/>
      <c r="BC6" s="694"/>
      <c r="BD6" s="693"/>
      <c r="BE6" s="693"/>
      <c r="BF6" s="693"/>
      <c r="BG6" s="694"/>
      <c r="BH6" s="693"/>
      <c r="BI6" s="693"/>
      <c r="BJ6" s="693"/>
      <c r="BK6" s="694"/>
      <c r="BL6" s="693"/>
      <c r="BM6" s="693"/>
      <c r="BN6" s="693"/>
      <c r="BO6" s="694"/>
      <c r="BP6" s="693"/>
      <c r="BQ6" s="693"/>
      <c r="BR6" s="693"/>
      <c r="BS6" s="694"/>
      <c r="BT6" s="693"/>
      <c r="BU6" s="693"/>
      <c r="BV6" s="693"/>
      <c r="BW6" s="694"/>
      <c r="BX6" s="693"/>
      <c r="BY6" s="693"/>
      <c r="BZ6" s="693"/>
      <c r="CA6" s="694"/>
      <c r="CB6" s="693"/>
      <c r="CC6" s="693"/>
      <c r="CD6" s="693"/>
      <c r="CE6" s="694"/>
      <c r="CF6" s="693"/>
      <c r="CG6" s="693"/>
      <c r="CH6" s="693"/>
      <c r="CI6" s="694"/>
      <c r="CJ6" s="693"/>
      <c r="CK6" s="693"/>
      <c r="CL6" s="693"/>
      <c r="CM6" s="694"/>
      <c r="CN6" s="693"/>
      <c r="CO6" s="693"/>
      <c r="CP6" s="693"/>
      <c r="CQ6" s="694"/>
      <c r="CR6" s="693"/>
      <c r="CS6" s="693"/>
      <c r="CT6" s="693"/>
      <c r="CU6" s="694"/>
      <c r="CV6" s="693"/>
      <c r="CW6" s="693"/>
      <c r="CX6" s="693"/>
      <c r="CY6" s="694"/>
      <c r="CZ6" s="693"/>
      <c r="DA6" s="693"/>
      <c r="DB6" s="693"/>
      <c r="DC6" s="694"/>
      <c r="DD6" s="693"/>
      <c r="DE6" s="693"/>
      <c r="DF6" s="693"/>
      <c r="DG6" s="694"/>
      <c r="DH6" s="693"/>
      <c r="DI6" s="693"/>
      <c r="DJ6" s="693"/>
      <c r="DK6" s="694"/>
      <c r="DL6" s="693"/>
      <c r="DM6" s="693"/>
      <c r="DN6" s="693"/>
      <c r="DO6" s="694"/>
      <c r="DP6" s="693"/>
      <c r="DQ6" s="693"/>
      <c r="DR6" s="693"/>
      <c r="DS6" s="694"/>
      <c r="DT6" s="693"/>
      <c r="DU6" s="693"/>
      <c r="DV6" s="693"/>
      <c r="DW6" s="694"/>
      <c r="DX6" s="693"/>
      <c r="DY6" s="693"/>
      <c r="DZ6" s="693"/>
      <c r="EA6" s="694"/>
      <c r="EB6" s="693"/>
      <c r="EC6" s="693"/>
      <c r="ED6" s="693"/>
      <c r="EE6" s="694"/>
      <c r="EF6" s="693"/>
      <c r="EG6" s="693"/>
      <c r="EH6" s="693"/>
      <c r="EI6" s="694"/>
      <c r="EJ6" s="693"/>
      <c r="EK6" s="693"/>
      <c r="EL6" s="693"/>
      <c r="EM6" s="694"/>
      <c r="EN6" s="693"/>
      <c r="EO6" s="693"/>
      <c r="EP6" s="693"/>
      <c r="EQ6" s="694"/>
      <c r="ER6" s="693"/>
      <c r="ES6" s="693"/>
      <c r="ET6" s="693"/>
      <c r="EU6" s="694"/>
      <c r="EV6" s="693"/>
      <c r="EW6" s="693"/>
      <c r="EX6" s="693"/>
      <c r="EY6" s="694"/>
      <c r="EZ6" s="693"/>
      <c r="FA6" s="693"/>
      <c r="FB6" s="693"/>
      <c r="FC6" s="694"/>
      <c r="FD6" s="693"/>
      <c r="FE6" s="693"/>
      <c r="FF6" s="693"/>
      <c r="FG6" s="694"/>
      <c r="FH6" s="693"/>
      <c r="FI6" s="693"/>
      <c r="FJ6" s="693"/>
      <c r="FK6" s="694"/>
      <c r="FL6" s="693"/>
      <c r="FM6" s="693"/>
      <c r="FN6" s="693"/>
      <c r="FO6" s="694"/>
      <c r="FP6" s="693"/>
      <c r="FQ6" s="693"/>
      <c r="FR6" s="693"/>
      <c r="FS6" s="694"/>
      <c r="FT6" s="693"/>
      <c r="FU6" s="693"/>
      <c r="FV6" s="693"/>
      <c r="FW6" s="694"/>
      <c r="FX6" s="693"/>
      <c r="FY6" s="693"/>
      <c r="FZ6" s="693"/>
      <c r="GA6" s="694"/>
      <c r="GB6" s="693"/>
      <c r="GC6" s="693"/>
      <c r="GD6" s="693"/>
      <c r="GE6" s="694"/>
      <c r="GF6" s="693"/>
      <c r="GG6" s="693"/>
      <c r="GH6" s="693"/>
      <c r="GI6" s="694"/>
      <c r="GJ6" s="693"/>
      <c r="GK6" s="693"/>
      <c r="GL6" s="693"/>
      <c r="GM6" s="694"/>
      <c r="GN6" s="693"/>
      <c r="GO6" s="693"/>
      <c r="GP6" s="693"/>
      <c r="GQ6" s="694"/>
      <c r="GR6" s="693"/>
      <c r="GS6" s="693"/>
      <c r="GT6" s="693"/>
      <c r="GU6" s="694"/>
      <c r="GV6" s="693"/>
      <c r="GW6" s="693"/>
      <c r="GX6" s="693"/>
      <c r="GY6" s="694"/>
      <c r="GZ6" s="693"/>
      <c r="HA6" s="693"/>
      <c r="HB6" s="693"/>
      <c r="HC6" s="694"/>
      <c r="HD6" s="693"/>
      <c r="HE6" s="693"/>
      <c r="HF6" s="693"/>
      <c r="HG6" s="694"/>
      <c r="HH6" s="693"/>
      <c r="HI6" s="693"/>
      <c r="HJ6" s="693"/>
      <c r="HK6" s="694"/>
      <c r="HL6" s="693"/>
      <c r="HM6" s="693"/>
      <c r="HN6" s="693"/>
      <c r="HO6" s="694"/>
      <c r="HP6" s="693"/>
      <c r="HQ6" s="693"/>
      <c r="HR6" s="693"/>
      <c r="HS6" s="694"/>
      <c r="HT6" s="693"/>
      <c r="HU6" s="693"/>
      <c r="HV6" s="693"/>
      <c r="HW6" s="694"/>
      <c r="HX6" s="693"/>
      <c r="HY6" s="693"/>
      <c r="HZ6" s="693"/>
      <c r="IA6" s="694"/>
      <c r="IB6" s="693"/>
      <c r="IC6" s="693"/>
      <c r="ID6" s="693"/>
      <c r="IE6" s="694"/>
      <c r="IF6" s="693"/>
      <c r="IG6" s="693"/>
      <c r="IH6" s="693"/>
      <c r="II6" s="694"/>
      <c r="IJ6" s="693"/>
      <c r="IK6" s="693"/>
      <c r="IL6" s="693"/>
      <c r="IM6" s="694"/>
      <c r="IN6" s="693"/>
      <c r="IO6" s="693"/>
      <c r="IP6" s="693"/>
      <c r="IQ6" s="694"/>
      <c r="IR6" s="693"/>
      <c r="IS6" s="693"/>
      <c r="IT6" s="693"/>
      <c r="IU6" s="694"/>
      <c r="IV6" s="693"/>
      <c r="IW6" s="693"/>
      <c r="IX6" s="693"/>
      <c r="IY6" s="694"/>
      <c r="IZ6" s="693"/>
      <c r="JA6" s="693"/>
      <c r="JB6" s="693"/>
      <c r="JC6" s="694"/>
      <c r="JD6" s="693"/>
      <c r="JE6" s="693"/>
      <c r="JF6" s="693"/>
      <c r="JG6" s="694"/>
      <c r="JH6" s="693"/>
      <c r="JI6" s="693"/>
      <c r="JJ6" s="693"/>
      <c r="JK6" s="694"/>
      <c r="JL6" s="693"/>
      <c r="JM6" s="693"/>
      <c r="JN6" s="693"/>
      <c r="JO6" s="694"/>
      <c r="JP6" s="693"/>
      <c r="JQ6" s="693"/>
      <c r="JR6" s="693"/>
      <c r="JS6" s="694"/>
      <c r="JT6" s="693"/>
      <c r="JU6" s="693"/>
      <c r="JV6" s="693"/>
      <c r="JW6" s="694"/>
      <c r="JX6" s="693"/>
      <c r="JY6" s="693"/>
      <c r="JZ6" s="693"/>
      <c r="KA6" s="694"/>
      <c r="KB6" s="693"/>
      <c r="KC6" s="693"/>
      <c r="KD6" s="693"/>
      <c r="KE6" s="694"/>
      <c r="KF6" s="693"/>
      <c r="KG6" s="693"/>
      <c r="KH6" s="693"/>
      <c r="KI6" s="694"/>
      <c r="KJ6" s="693"/>
      <c r="KK6" s="693"/>
      <c r="KL6" s="693"/>
      <c r="KM6" s="694"/>
      <c r="KN6" s="693"/>
      <c r="KO6" s="693"/>
      <c r="KP6" s="693"/>
      <c r="KQ6" s="694"/>
      <c r="KR6" s="693"/>
      <c r="KS6" s="693"/>
      <c r="KT6" s="693"/>
      <c r="KU6" s="694"/>
      <c r="KV6" s="693"/>
      <c r="KW6" s="693"/>
      <c r="LE6" s="66"/>
    </row>
    <row r="7" spans="1:627" ht="15.75" thickBot="1">
      <c r="A7" s="693"/>
      <c r="B7" s="1910"/>
      <c r="C7" s="1911" t="s">
        <v>1979</v>
      </c>
      <c r="D7" s="694"/>
      <c r="E7" s="694"/>
      <c r="F7" s="694"/>
      <c r="G7" s="694"/>
      <c r="H7" s="693"/>
      <c r="I7" s="693"/>
      <c r="J7" s="693"/>
      <c r="K7" s="694"/>
      <c r="L7" s="693"/>
      <c r="M7" s="693"/>
      <c r="N7" s="693"/>
      <c r="O7" s="694"/>
      <c r="P7" s="693"/>
      <c r="Q7" s="693"/>
      <c r="R7" s="693"/>
      <c r="S7" s="694"/>
      <c r="T7" s="693"/>
      <c r="U7" s="693"/>
      <c r="V7" s="693"/>
      <c r="W7" s="694"/>
      <c r="X7" s="693"/>
      <c r="Y7" s="693"/>
      <c r="Z7" s="693"/>
      <c r="AA7" s="694"/>
      <c r="AB7" s="693"/>
      <c r="AC7" s="693"/>
      <c r="AD7" s="693"/>
      <c r="AE7" s="694"/>
      <c r="AF7" s="693"/>
      <c r="AG7" s="693"/>
      <c r="AH7" s="693"/>
      <c r="AI7" s="694"/>
      <c r="AJ7" s="693"/>
      <c r="AK7" s="693"/>
      <c r="AL7" s="693"/>
      <c r="AM7" s="694"/>
      <c r="AN7" s="693"/>
      <c r="AO7" s="693"/>
      <c r="AP7" s="693"/>
      <c r="AQ7" s="694"/>
      <c r="AR7" s="693"/>
      <c r="AS7" s="693"/>
      <c r="AT7" s="693"/>
      <c r="AU7" s="694"/>
      <c r="AV7" s="693"/>
      <c r="AW7" s="693"/>
      <c r="AX7" s="693"/>
      <c r="AY7" s="694"/>
      <c r="AZ7" s="693"/>
      <c r="BA7" s="693"/>
      <c r="BB7" s="693"/>
      <c r="BC7" s="694"/>
      <c r="BD7" s="693"/>
      <c r="BE7" s="693"/>
      <c r="BF7" s="693"/>
      <c r="BG7" s="694"/>
      <c r="BH7" s="693"/>
      <c r="BI7" s="693"/>
      <c r="BJ7" s="693"/>
      <c r="BK7" s="694"/>
      <c r="BL7" s="693"/>
      <c r="BM7" s="693"/>
      <c r="BN7" s="693"/>
      <c r="BO7" s="694"/>
      <c r="BP7" s="693"/>
      <c r="BQ7" s="693"/>
      <c r="BR7" s="693"/>
      <c r="BS7" s="694"/>
      <c r="BT7" s="693"/>
      <c r="BU7" s="693"/>
      <c r="BV7" s="693"/>
      <c r="BW7" s="694"/>
      <c r="BX7" s="693"/>
      <c r="BY7" s="693"/>
      <c r="BZ7" s="693"/>
      <c r="CA7" s="694"/>
      <c r="CB7" s="693"/>
      <c r="CC7" s="693"/>
      <c r="CD7" s="693"/>
      <c r="CE7" s="694"/>
      <c r="CF7" s="693"/>
      <c r="CG7" s="693"/>
      <c r="CH7" s="693"/>
      <c r="CI7" s="694"/>
      <c r="CJ7" s="693"/>
      <c r="CK7" s="693"/>
      <c r="CL7" s="693"/>
      <c r="CM7" s="694"/>
      <c r="CN7" s="693"/>
      <c r="CO7" s="693"/>
      <c r="CP7" s="693"/>
      <c r="CQ7" s="694"/>
      <c r="CR7" s="693"/>
      <c r="CS7" s="693"/>
      <c r="CT7" s="693"/>
      <c r="CU7" s="694"/>
      <c r="CV7" s="693"/>
      <c r="CW7" s="693"/>
      <c r="CX7" s="693"/>
      <c r="CY7" s="694"/>
      <c r="CZ7" s="693"/>
      <c r="DA7" s="693"/>
      <c r="DB7" s="693"/>
      <c r="DC7" s="694"/>
      <c r="DD7" s="693"/>
      <c r="DE7" s="693"/>
      <c r="DF7" s="693"/>
      <c r="DG7" s="694"/>
      <c r="DH7" s="693"/>
      <c r="DI7" s="693"/>
      <c r="DJ7" s="693"/>
      <c r="DK7" s="694"/>
      <c r="DL7" s="693"/>
      <c r="DM7" s="693"/>
      <c r="DN7" s="693"/>
      <c r="DO7" s="694"/>
      <c r="DP7" s="693"/>
      <c r="DQ7" s="693"/>
      <c r="DR7" s="693"/>
      <c r="DS7" s="694"/>
      <c r="DT7" s="693"/>
      <c r="DU7" s="693"/>
      <c r="DV7" s="693"/>
      <c r="DW7" s="694"/>
      <c r="DX7" s="693"/>
      <c r="DY7" s="693"/>
      <c r="DZ7" s="693"/>
      <c r="EA7" s="694"/>
      <c r="EB7" s="693"/>
      <c r="EC7" s="693"/>
      <c r="ED7" s="693"/>
      <c r="EE7" s="694"/>
      <c r="EF7" s="693"/>
      <c r="EG7" s="693"/>
      <c r="EH7" s="693"/>
      <c r="EI7" s="694"/>
      <c r="EJ7" s="693"/>
      <c r="EK7" s="693"/>
      <c r="EL7" s="693"/>
      <c r="EM7" s="694"/>
      <c r="EN7" s="693"/>
      <c r="EO7" s="693"/>
      <c r="EP7" s="693"/>
      <c r="EQ7" s="694"/>
      <c r="ER7" s="693"/>
      <c r="ES7" s="693"/>
      <c r="ET7" s="693"/>
      <c r="EU7" s="694"/>
      <c r="EV7" s="693"/>
      <c r="EW7" s="693"/>
      <c r="EX7" s="693"/>
      <c r="EY7" s="694"/>
      <c r="EZ7" s="693"/>
      <c r="FA7" s="693"/>
      <c r="FB7" s="693"/>
      <c r="FC7" s="694"/>
      <c r="FD7" s="693"/>
      <c r="FE7" s="693"/>
      <c r="FF7" s="693"/>
      <c r="FG7" s="694"/>
      <c r="FH7" s="693"/>
      <c r="FI7" s="693"/>
      <c r="FJ7" s="693"/>
      <c r="FK7" s="694"/>
      <c r="FL7" s="693"/>
      <c r="FM7" s="693"/>
      <c r="FN7" s="693"/>
      <c r="FO7" s="694"/>
      <c r="FP7" s="693"/>
      <c r="FQ7" s="693"/>
      <c r="FR7" s="693"/>
      <c r="FS7" s="694"/>
      <c r="FT7" s="693"/>
      <c r="FU7" s="693"/>
      <c r="FV7" s="693"/>
      <c r="FW7" s="694"/>
      <c r="FX7" s="693"/>
      <c r="FY7" s="693"/>
      <c r="FZ7" s="693"/>
      <c r="GA7" s="694"/>
      <c r="GB7" s="693"/>
      <c r="GC7" s="693"/>
      <c r="GD7" s="693"/>
      <c r="GE7" s="694"/>
      <c r="GF7" s="693"/>
      <c r="GG7" s="693"/>
      <c r="GH7" s="693"/>
      <c r="GI7" s="694"/>
      <c r="GJ7" s="693"/>
      <c r="GK7" s="693"/>
      <c r="GL7" s="693"/>
      <c r="GM7" s="694"/>
      <c r="GN7" s="693"/>
      <c r="GO7" s="693"/>
      <c r="GP7" s="693"/>
      <c r="GQ7" s="694"/>
      <c r="GR7" s="693"/>
      <c r="GS7" s="693"/>
      <c r="GT7" s="693"/>
      <c r="GU7" s="694"/>
      <c r="GV7" s="693"/>
      <c r="GW7" s="693"/>
      <c r="GX7" s="693"/>
      <c r="GY7" s="694"/>
      <c r="GZ7" s="693"/>
      <c r="HA7" s="693"/>
      <c r="HB7" s="693"/>
      <c r="HC7" s="694"/>
      <c r="HD7" s="693"/>
      <c r="HE7" s="693"/>
      <c r="HF7" s="693"/>
      <c r="HG7" s="694"/>
      <c r="HH7" s="693"/>
      <c r="HI7" s="693"/>
      <c r="HJ7" s="693"/>
      <c r="HK7" s="694"/>
      <c r="HL7" s="693"/>
      <c r="HM7" s="693"/>
      <c r="HN7" s="693"/>
      <c r="HO7" s="694"/>
      <c r="HP7" s="693"/>
      <c r="HQ7" s="693"/>
      <c r="HR7" s="693"/>
      <c r="HS7" s="694"/>
      <c r="HT7" s="693"/>
      <c r="HU7" s="693"/>
      <c r="HV7" s="693"/>
      <c r="HW7" s="694"/>
      <c r="HX7" s="693"/>
      <c r="HY7" s="693"/>
      <c r="HZ7" s="693"/>
      <c r="IA7" s="694"/>
      <c r="IB7" s="693"/>
      <c r="IC7" s="693"/>
      <c r="ID7" s="693"/>
      <c r="IE7" s="694"/>
      <c r="IF7" s="693"/>
      <c r="IG7" s="693"/>
      <c r="IH7" s="693"/>
      <c r="II7" s="694"/>
      <c r="IJ7" s="693"/>
      <c r="IK7" s="693"/>
      <c r="IL7" s="693"/>
      <c r="IM7" s="694"/>
      <c r="IN7" s="693"/>
      <c r="IO7" s="693"/>
      <c r="IP7" s="693"/>
      <c r="IQ7" s="694"/>
      <c r="IR7" s="693"/>
      <c r="IS7" s="693"/>
      <c r="IT7" s="693"/>
      <c r="IU7" s="694"/>
      <c r="IV7" s="693"/>
      <c r="IW7" s="693"/>
      <c r="IX7" s="693"/>
      <c r="IY7" s="694"/>
      <c r="IZ7" s="693"/>
      <c r="JA7" s="693"/>
      <c r="JB7" s="693"/>
      <c r="JC7" s="694"/>
      <c r="JD7" s="693"/>
      <c r="JE7" s="693"/>
      <c r="JF7" s="693"/>
      <c r="JG7" s="694"/>
      <c r="JH7" s="693"/>
      <c r="JI7" s="693"/>
      <c r="JJ7" s="693"/>
      <c r="JK7" s="694"/>
      <c r="JL7" s="693"/>
      <c r="JM7" s="693"/>
      <c r="JN7" s="693"/>
      <c r="JO7" s="694"/>
      <c r="JP7" s="693"/>
      <c r="JQ7" s="693"/>
      <c r="JR7" s="693"/>
      <c r="JS7" s="694"/>
      <c r="JT7" s="693"/>
      <c r="JU7" s="693"/>
      <c r="JV7" s="693"/>
      <c r="JW7" s="694"/>
      <c r="JX7" s="693"/>
      <c r="JY7" s="693"/>
      <c r="JZ7" s="693"/>
      <c r="KA7" s="694"/>
      <c r="KB7" s="693"/>
      <c r="KC7" s="693"/>
      <c r="KD7" s="693"/>
      <c r="KE7" s="694"/>
      <c r="KF7" s="693"/>
      <c r="KG7" s="693"/>
      <c r="KH7" s="693"/>
      <c r="KI7" s="694"/>
      <c r="KJ7" s="693"/>
      <c r="KK7" s="693"/>
      <c r="KL7" s="693"/>
      <c r="KM7" s="694"/>
      <c r="KN7" s="693"/>
      <c r="KO7" s="693"/>
      <c r="KP7" s="693"/>
      <c r="KQ7" s="694"/>
      <c r="KR7" s="693"/>
      <c r="KS7" s="693"/>
      <c r="KT7" s="693"/>
      <c r="KU7" s="694"/>
      <c r="KV7" s="693"/>
      <c r="KW7" s="693"/>
      <c r="LC7" s="436" t="str">
        <f xml:space="preserve"> IF( SUM( LE7:XC7 ) = 0, 0, $LG$3 )</f>
        <v>Please complete all cells in row</v>
      </c>
      <c r="LG7" s="86">
        <f xml:space="preserve"> IF( OR( IH7 = "Yes", IH7 = "No"), 0, 1)</f>
        <v>1</v>
      </c>
    </row>
    <row r="8" spans="1:627" ht="15" thickBot="1">
      <c r="LG8" s="543" t="s">
        <v>2064</v>
      </c>
    </row>
    <row r="9" spans="1:627" ht="15" customHeight="1" thickBot="1">
      <c r="A9" s="1912"/>
      <c r="B9" s="2206" t="s">
        <v>96</v>
      </c>
      <c r="C9" s="262"/>
      <c r="D9" s="262" t="s">
        <v>98</v>
      </c>
      <c r="E9" s="262" t="s">
        <v>99</v>
      </c>
      <c r="F9" s="1913" t="s">
        <v>2065</v>
      </c>
      <c r="G9" s="1914"/>
      <c r="H9" s="1914"/>
      <c r="I9" s="1915"/>
      <c r="J9" s="1916" t="s">
        <v>2066</v>
      </c>
      <c r="K9" s="1917"/>
      <c r="L9" s="1917"/>
      <c r="M9" s="1918"/>
      <c r="N9" s="1916" t="str">
        <f>$J$9</f>
        <v>Component / sub-component</v>
      </c>
      <c r="O9" s="1917"/>
      <c r="P9" s="1917"/>
      <c r="Q9" s="1918"/>
      <c r="R9" s="1916" t="str">
        <f>$J$9</f>
        <v>Component / sub-component</v>
      </c>
      <c r="S9" s="1917"/>
      <c r="T9" s="1917"/>
      <c r="U9" s="1918"/>
      <c r="V9" s="1916" t="str">
        <f>$J$9</f>
        <v>Component / sub-component</v>
      </c>
      <c r="W9" s="1917"/>
      <c r="X9" s="1917"/>
      <c r="Y9" s="1918"/>
      <c r="Z9" s="1916" t="str">
        <f>$J$9</f>
        <v>Component / sub-component</v>
      </c>
      <c r="AA9" s="1917"/>
      <c r="AB9" s="1917"/>
      <c r="AC9" s="1918"/>
      <c r="AD9" s="1916" t="str">
        <f>$J$9</f>
        <v>Component / sub-component</v>
      </c>
      <c r="AE9" s="1917"/>
      <c r="AF9" s="1917"/>
      <c r="AG9" s="1918"/>
      <c r="AH9" s="1916" t="str">
        <f>$J$9</f>
        <v>Component / sub-component</v>
      </c>
      <c r="AI9" s="1917"/>
      <c r="AJ9" s="1917"/>
      <c r="AK9" s="1918"/>
      <c r="AL9" s="1916" t="str">
        <f>$J$9</f>
        <v>Component / sub-component</v>
      </c>
      <c r="AM9" s="1917"/>
      <c r="AN9" s="1917"/>
      <c r="AO9" s="1918"/>
      <c r="AP9" s="1916" t="str">
        <f>$J$9</f>
        <v>Component / sub-component</v>
      </c>
      <c r="AQ9" s="1917"/>
      <c r="AR9" s="1917"/>
      <c r="AS9" s="1918"/>
      <c r="AT9" s="1916" t="str">
        <f>$J$9</f>
        <v>Component / sub-component</v>
      </c>
      <c r="AU9" s="1917"/>
      <c r="AV9" s="1917"/>
      <c r="AW9" s="1918"/>
      <c r="AX9" s="1916" t="str">
        <f>$J$9</f>
        <v>Component / sub-component</v>
      </c>
      <c r="AY9" s="1917"/>
      <c r="AZ9" s="1917"/>
      <c r="BA9" s="1918"/>
      <c r="BB9" s="1916" t="str">
        <f>$J$9</f>
        <v>Component / sub-component</v>
      </c>
      <c r="BC9" s="1917"/>
      <c r="BD9" s="1917"/>
      <c r="BE9" s="1918"/>
      <c r="BF9" s="1916" t="str">
        <f>$J$9</f>
        <v>Component / sub-component</v>
      </c>
      <c r="BG9" s="1917"/>
      <c r="BH9" s="1917"/>
      <c r="BI9" s="1918"/>
      <c r="BJ9" s="1916" t="str">
        <f>$J$9</f>
        <v>Component / sub-component</v>
      </c>
      <c r="BK9" s="1917"/>
      <c r="BL9" s="1917"/>
      <c r="BM9" s="1918"/>
      <c r="BN9" s="1916" t="str">
        <f>$J$9</f>
        <v>Component / sub-component</v>
      </c>
      <c r="BO9" s="1917"/>
      <c r="BP9" s="1917"/>
      <c r="BQ9" s="1918"/>
      <c r="BR9" s="1916" t="str">
        <f>$J$9</f>
        <v>Component / sub-component</v>
      </c>
      <c r="BS9" s="1917"/>
      <c r="BT9" s="1917"/>
      <c r="BU9" s="1918"/>
      <c r="BV9" s="1916" t="str">
        <f>$J$9</f>
        <v>Component / sub-component</v>
      </c>
      <c r="BW9" s="1917"/>
      <c r="BX9" s="1917"/>
      <c r="BY9" s="1918"/>
      <c r="BZ9" s="1916" t="str">
        <f>$J$9</f>
        <v>Component / sub-component</v>
      </c>
      <c r="CA9" s="1917"/>
      <c r="CB9" s="1917"/>
      <c r="CC9" s="1918"/>
      <c r="CD9" s="1916" t="str">
        <f>$J$9</f>
        <v>Component / sub-component</v>
      </c>
      <c r="CE9" s="1917"/>
      <c r="CF9" s="1917"/>
      <c r="CG9" s="1918"/>
      <c r="CH9" s="1916" t="str">
        <f>$J$9</f>
        <v>Component / sub-component</v>
      </c>
      <c r="CI9" s="1917"/>
      <c r="CJ9" s="1917"/>
      <c r="CK9" s="1918"/>
      <c r="CL9" s="1916" t="str">
        <f>$J$9</f>
        <v>Component / sub-component</v>
      </c>
      <c r="CM9" s="1917"/>
      <c r="CN9" s="1917"/>
      <c r="CO9" s="1918"/>
      <c r="CP9" s="1916" t="str">
        <f>$J$9</f>
        <v>Component / sub-component</v>
      </c>
      <c r="CQ9" s="1917"/>
      <c r="CR9" s="1917"/>
      <c r="CS9" s="1918"/>
      <c r="CT9" s="1916" t="str">
        <f>$J$9</f>
        <v>Component / sub-component</v>
      </c>
      <c r="CU9" s="1917"/>
      <c r="CV9" s="1917"/>
      <c r="CW9" s="1918"/>
      <c r="CX9" s="1916" t="str">
        <f>$J$9</f>
        <v>Component / sub-component</v>
      </c>
      <c r="CY9" s="1917"/>
      <c r="CZ9" s="1917"/>
      <c r="DA9" s="1918"/>
      <c r="DB9" s="1916" t="str">
        <f>$J$9</f>
        <v>Component / sub-component</v>
      </c>
      <c r="DC9" s="1917"/>
      <c r="DD9" s="1917"/>
      <c r="DE9" s="1918"/>
      <c r="DF9" s="1916" t="str">
        <f>$J$9</f>
        <v>Component / sub-component</v>
      </c>
      <c r="DG9" s="1917"/>
      <c r="DH9" s="1917"/>
      <c r="DI9" s="1918"/>
      <c r="DJ9" s="1916" t="str">
        <f>$J$9</f>
        <v>Component / sub-component</v>
      </c>
      <c r="DK9" s="1917"/>
      <c r="DL9" s="1917"/>
      <c r="DM9" s="1918"/>
      <c r="DN9" s="1916" t="str">
        <f>$J$9</f>
        <v>Component / sub-component</v>
      </c>
      <c r="DO9" s="1917"/>
      <c r="DP9" s="1917"/>
      <c r="DQ9" s="1918"/>
      <c r="DR9" s="1916" t="str">
        <f>$J$9</f>
        <v>Component / sub-component</v>
      </c>
      <c r="DS9" s="1917"/>
      <c r="DT9" s="1917"/>
      <c r="DU9" s="1918"/>
      <c r="DV9" s="1916" t="str">
        <f>$J$9</f>
        <v>Component / sub-component</v>
      </c>
      <c r="DW9" s="1917"/>
      <c r="DX9" s="1917"/>
      <c r="DY9" s="1918"/>
      <c r="DZ9" s="1916" t="str">
        <f>$J$9</f>
        <v>Component / sub-component</v>
      </c>
      <c r="EA9" s="1917"/>
      <c r="EB9" s="1917"/>
      <c r="EC9" s="1918"/>
      <c r="ED9" s="1916" t="str">
        <f>$J$9</f>
        <v>Component / sub-component</v>
      </c>
      <c r="EE9" s="1917"/>
      <c r="EF9" s="1917"/>
      <c r="EG9" s="1918"/>
      <c r="EH9" s="1916" t="str">
        <f>$J$9</f>
        <v>Component / sub-component</v>
      </c>
      <c r="EI9" s="1917"/>
      <c r="EJ9" s="1917"/>
      <c r="EK9" s="1918"/>
      <c r="EL9" s="1916" t="str">
        <f>$J$9</f>
        <v>Component / sub-component</v>
      </c>
      <c r="EM9" s="1917"/>
      <c r="EN9" s="1917"/>
      <c r="EO9" s="1918"/>
      <c r="EP9" s="1916" t="str">
        <f>$J$9</f>
        <v>Component / sub-component</v>
      </c>
      <c r="EQ9" s="1917"/>
      <c r="ER9" s="1917"/>
      <c r="ES9" s="1918"/>
      <c r="ET9" s="1916" t="str">
        <f>$J$9</f>
        <v>Component / sub-component</v>
      </c>
      <c r="EU9" s="1917"/>
      <c r="EV9" s="1917"/>
      <c r="EW9" s="1918"/>
      <c r="EX9" s="1916" t="str">
        <f>$J$9</f>
        <v>Component / sub-component</v>
      </c>
      <c r="EY9" s="1917"/>
      <c r="EZ9" s="1917"/>
      <c r="FA9" s="1918"/>
      <c r="FB9" s="1916" t="str">
        <f>$J$9</f>
        <v>Component / sub-component</v>
      </c>
      <c r="FC9" s="1917"/>
      <c r="FD9" s="1917"/>
      <c r="FE9" s="1918"/>
      <c r="FF9" s="1916" t="str">
        <f>$J$9</f>
        <v>Component / sub-component</v>
      </c>
      <c r="FG9" s="1917"/>
      <c r="FH9" s="1917"/>
      <c r="FI9" s="1918"/>
      <c r="FJ9" s="1916" t="str">
        <f>$J$9</f>
        <v>Component / sub-component</v>
      </c>
      <c r="FK9" s="1917"/>
      <c r="FL9" s="1917"/>
      <c r="FM9" s="1918"/>
      <c r="FN9" s="1916" t="str">
        <f>$J$9</f>
        <v>Component / sub-component</v>
      </c>
      <c r="FO9" s="1917"/>
      <c r="FP9" s="1917"/>
      <c r="FQ9" s="1918"/>
      <c r="FR9" s="1916" t="str">
        <f>$J$9</f>
        <v>Component / sub-component</v>
      </c>
      <c r="FS9" s="1917"/>
      <c r="FT9" s="1917"/>
      <c r="FU9" s="1918"/>
      <c r="FV9" s="1916" t="str">
        <f>$J$9</f>
        <v>Component / sub-component</v>
      </c>
      <c r="FW9" s="1917"/>
      <c r="FX9" s="1917"/>
      <c r="FY9" s="1918"/>
      <c r="FZ9" s="1916" t="str">
        <f>$J$9</f>
        <v>Component / sub-component</v>
      </c>
      <c r="GA9" s="1917"/>
      <c r="GB9" s="1917"/>
      <c r="GC9" s="1918"/>
      <c r="GD9" s="1916" t="str">
        <f>$J$9</f>
        <v>Component / sub-component</v>
      </c>
      <c r="GE9" s="1917"/>
      <c r="GF9" s="1917"/>
      <c r="GG9" s="1918"/>
      <c r="GH9" s="1916" t="str">
        <f>$J$9</f>
        <v>Component / sub-component</v>
      </c>
      <c r="GI9" s="1917"/>
      <c r="GJ9" s="1917"/>
      <c r="GK9" s="1918"/>
      <c r="GL9" s="1916" t="str">
        <f>$J$9</f>
        <v>Component / sub-component</v>
      </c>
      <c r="GM9" s="1917"/>
      <c r="GN9" s="1917"/>
      <c r="GO9" s="1918"/>
      <c r="GP9" s="1916" t="str">
        <f>$J$9</f>
        <v>Component / sub-component</v>
      </c>
      <c r="GQ9" s="1917"/>
      <c r="GR9" s="1917"/>
      <c r="GS9" s="1918"/>
      <c r="GT9" s="1916" t="str">
        <f>$J$9</f>
        <v>Component / sub-component</v>
      </c>
      <c r="GU9" s="1917"/>
      <c r="GV9" s="1917"/>
      <c r="GW9" s="1918"/>
      <c r="GX9" s="1916" t="str">
        <f>$J$9</f>
        <v>Component / sub-component</v>
      </c>
      <c r="GY9" s="1917"/>
      <c r="GZ9" s="1917"/>
      <c r="HA9" s="1918"/>
      <c r="HB9" s="1916" t="str">
        <f>$J$9</f>
        <v>Component / sub-component</v>
      </c>
      <c r="HC9" s="1917"/>
      <c r="HD9" s="1917"/>
      <c r="HE9" s="1918"/>
      <c r="HF9" s="1916" t="str">
        <f>$J$9</f>
        <v>Component / sub-component</v>
      </c>
      <c r="HG9" s="1917"/>
      <c r="HH9" s="1917"/>
      <c r="HI9" s="1918"/>
      <c r="HJ9" s="1916" t="str">
        <f>$J$9</f>
        <v>Component / sub-component</v>
      </c>
      <c r="HK9" s="1917"/>
      <c r="HL9" s="1917"/>
      <c r="HM9" s="1918"/>
      <c r="HN9" s="1916" t="str">
        <f>$J$9</f>
        <v>Component / sub-component</v>
      </c>
      <c r="HO9" s="1917"/>
      <c r="HP9" s="1917"/>
      <c r="HQ9" s="1918"/>
      <c r="HR9" s="1916" t="str">
        <f>$J$9</f>
        <v>Component / sub-component</v>
      </c>
      <c r="HS9" s="1917"/>
      <c r="HT9" s="1917"/>
      <c r="HU9" s="1918"/>
      <c r="HV9" s="1916" t="str">
        <f>$J$9</f>
        <v>Component / sub-component</v>
      </c>
      <c r="HW9" s="1917"/>
      <c r="HX9" s="1917"/>
      <c r="HY9" s="1918"/>
      <c r="HZ9" s="1916" t="str">
        <f>$J$9</f>
        <v>Component / sub-component</v>
      </c>
      <c r="IA9" s="1917"/>
      <c r="IB9" s="1917"/>
      <c r="IC9" s="1918"/>
      <c r="ID9" s="1916" t="str">
        <f>$J$9</f>
        <v>Component / sub-component</v>
      </c>
      <c r="IE9" s="1917"/>
      <c r="IF9" s="1917"/>
      <c r="IG9" s="1918"/>
      <c r="IH9" s="1916" t="str">
        <f>$J$9</f>
        <v>Component / sub-component</v>
      </c>
      <c r="II9" s="1917"/>
      <c r="IJ9" s="1917"/>
      <c r="IK9" s="1918"/>
      <c r="IL9" s="1916" t="str">
        <f>$J$9</f>
        <v>Component / sub-component</v>
      </c>
      <c r="IM9" s="1917"/>
      <c r="IN9" s="1917"/>
      <c r="IO9" s="1918"/>
      <c r="IP9" s="1916" t="str">
        <f>$J$9</f>
        <v>Component / sub-component</v>
      </c>
      <c r="IQ9" s="1917"/>
      <c r="IR9" s="1917"/>
      <c r="IS9" s="1918"/>
      <c r="IT9" s="1916" t="str">
        <f>$J$9</f>
        <v>Component / sub-component</v>
      </c>
      <c r="IU9" s="1917"/>
      <c r="IV9" s="1917"/>
      <c r="IW9" s="1918"/>
      <c r="IX9" s="1916" t="str">
        <f>$J$9</f>
        <v>Component / sub-component</v>
      </c>
      <c r="IY9" s="1917"/>
      <c r="IZ9" s="1917"/>
      <c r="JA9" s="1918"/>
      <c r="JB9" s="1916" t="str">
        <f>$J$9</f>
        <v>Component / sub-component</v>
      </c>
      <c r="JC9" s="1917"/>
      <c r="JD9" s="1917"/>
      <c r="JE9" s="1918"/>
      <c r="JF9" s="1916" t="str">
        <f>$J$9</f>
        <v>Component / sub-component</v>
      </c>
      <c r="JG9" s="1917"/>
      <c r="JH9" s="1917"/>
      <c r="JI9" s="1918"/>
      <c r="JJ9" s="1916" t="str">
        <f>$J$9</f>
        <v>Component / sub-component</v>
      </c>
      <c r="JK9" s="1917"/>
      <c r="JL9" s="1917"/>
      <c r="JM9" s="1918"/>
      <c r="JN9" s="1916" t="str">
        <f>$J$9</f>
        <v>Component / sub-component</v>
      </c>
      <c r="JO9" s="1917"/>
      <c r="JP9" s="1917"/>
      <c r="JQ9" s="1918"/>
      <c r="JR9" s="1916" t="str">
        <f>$J$9</f>
        <v>Component / sub-component</v>
      </c>
      <c r="JS9" s="1917"/>
      <c r="JT9" s="1917"/>
      <c r="JU9" s="1918"/>
      <c r="JV9" s="1916" t="str">
        <f>$J$9</f>
        <v>Component / sub-component</v>
      </c>
      <c r="JW9" s="1917"/>
      <c r="JX9" s="1917"/>
      <c r="JY9" s="1918"/>
      <c r="JZ9" s="1916" t="str">
        <f>$J$9</f>
        <v>Component / sub-component</v>
      </c>
      <c r="KA9" s="1917"/>
      <c r="KB9" s="1917"/>
      <c r="KC9" s="1918"/>
      <c r="KD9" s="1916" t="str">
        <f>$J$9</f>
        <v>Component / sub-component</v>
      </c>
      <c r="KE9" s="1917"/>
      <c r="KF9" s="1917"/>
      <c r="KG9" s="1918"/>
      <c r="KH9" s="1916" t="str">
        <f>$J$9</f>
        <v>Component / sub-component</v>
      </c>
      <c r="KI9" s="1917"/>
      <c r="KJ9" s="1917"/>
      <c r="KK9" s="1918"/>
      <c r="KL9" s="1916" t="str">
        <f>$J$9</f>
        <v>Component / sub-component</v>
      </c>
      <c r="KM9" s="1917"/>
      <c r="KN9" s="1917"/>
      <c r="KO9" s="1918"/>
      <c r="KP9" s="1916" t="str">
        <f>$J$9</f>
        <v>Component / sub-component</v>
      </c>
      <c r="KQ9" s="1917"/>
      <c r="KR9" s="1917"/>
      <c r="KS9" s="1918"/>
      <c r="KT9" s="1916" t="str">
        <f>$J$9</f>
        <v>Component / sub-component</v>
      </c>
      <c r="KU9" s="1917"/>
      <c r="KV9" s="1917"/>
      <c r="KW9" s="1918"/>
      <c r="KX9" s="1916"/>
      <c r="KY9" s="1917"/>
      <c r="KZ9" s="1917"/>
      <c r="LA9" s="1918"/>
      <c r="LC9" s="312" t="s">
        <v>103</v>
      </c>
      <c r="LG9" s="725" t="s">
        <v>1970</v>
      </c>
      <c r="LH9" s="725" t="s">
        <v>1971</v>
      </c>
      <c r="LI9" s="725" t="s">
        <v>1972</v>
      </c>
      <c r="LJ9" s="725" t="s">
        <v>1973</v>
      </c>
      <c r="LK9" s="725" t="s">
        <v>1974</v>
      </c>
      <c r="LL9" s="725" t="s">
        <v>1975</v>
      </c>
      <c r="LM9" s="725" t="s">
        <v>1976</v>
      </c>
      <c r="LN9" s="725" t="s">
        <v>1977</v>
      </c>
      <c r="LO9" s="725" t="s">
        <v>1978</v>
      </c>
      <c r="LP9" s="725" t="s">
        <v>2067</v>
      </c>
      <c r="LQ9" s="725" t="s">
        <v>2068</v>
      </c>
      <c r="LR9" s="725" t="s">
        <v>2069</v>
      </c>
      <c r="LS9" s="725" t="s">
        <v>2070</v>
      </c>
      <c r="LT9" s="725" t="s">
        <v>2071</v>
      </c>
      <c r="LU9" s="725" t="s">
        <v>2072</v>
      </c>
      <c r="LV9" s="725" t="s">
        <v>2073</v>
      </c>
      <c r="LW9" s="725" t="s">
        <v>2074</v>
      </c>
      <c r="LX9" s="725" t="s">
        <v>2075</v>
      </c>
      <c r="LY9" s="725" t="s">
        <v>2076</v>
      </c>
      <c r="LZ9" s="725" t="s">
        <v>2077</v>
      </c>
      <c r="MA9" s="725" t="s">
        <v>2078</v>
      </c>
      <c r="MB9" s="725" t="s">
        <v>2079</v>
      </c>
      <c r="MC9" s="725" t="s">
        <v>2080</v>
      </c>
      <c r="MD9" s="725" t="s">
        <v>2081</v>
      </c>
      <c r="ME9" s="725" t="s">
        <v>2082</v>
      </c>
      <c r="MF9" s="725" t="s">
        <v>2083</v>
      </c>
      <c r="MG9" s="725" t="s">
        <v>2084</v>
      </c>
      <c r="MH9" s="725" t="s">
        <v>2085</v>
      </c>
      <c r="MI9" s="725" t="s">
        <v>2086</v>
      </c>
      <c r="MJ9" s="725" t="s">
        <v>2087</v>
      </c>
      <c r="MK9" s="725" t="s">
        <v>2088</v>
      </c>
      <c r="ML9" s="725" t="s">
        <v>2089</v>
      </c>
      <c r="MM9" s="725" t="s">
        <v>2090</v>
      </c>
      <c r="MN9" s="725" t="s">
        <v>2091</v>
      </c>
      <c r="MO9" s="725" t="s">
        <v>2092</v>
      </c>
      <c r="MP9" s="725" t="s">
        <v>2093</v>
      </c>
      <c r="MQ9" s="725" t="s">
        <v>2094</v>
      </c>
      <c r="MR9" s="725" t="s">
        <v>2095</v>
      </c>
      <c r="MS9" s="725" t="s">
        <v>2096</v>
      </c>
      <c r="MT9" s="725" t="s">
        <v>2097</v>
      </c>
      <c r="MU9" s="725" t="s">
        <v>2098</v>
      </c>
      <c r="MV9" s="725" t="s">
        <v>2099</v>
      </c>
      <c r="MW9" s="725" t="s">
        <v>2100</v>
      </c>
      <c r="MX9" s="725" t="s">
        <v>2101</v>
      </c>
      <c r="MY9" s="725" t="s">
        <v>2102</v>
      </c>
      <c r="MZ9" s="725" t="s">
        <v>2103</v>
      </c>
      <c r="NA9" s="725" t="s">
        <v>2104</v>
      </c>
      <c r="NB9" s="725" t="s">
        <v>2105</v>
      </c>
      <c r="NC9" s="725" t="s">
        <v>2106</v>
      </c>
      <c r="ND9" s="725" t="s">
        <v>2107</v>
      </c>
      <c r="NE9" s="725" t="s">
        <v>2108</v>
      </c>
      <c r="NF9" s="725" t="s">
        <v>2109</v>
      </c>
      <c r="NG9" s="725" t="s">
        <v>2110</v>
      </c>
      <c r="NH9" s="725" t="s">
        <v>2111</v>
      </c>
      <c r="NI9" s="725" t="s">
        <v>2112</v>
      </c>
      <c r="NJ9" s="725" t="s">
        <v>2113</v>
      </c>
      <c r="NK9" s="725" t="s">
        <v>2114</v>
      </c>
      <c r="NL9" s="725" t="s">
        <v>2115</v>
      </c>
      <c r="NM9" s="725" t="s">
        <v>2116</v>
      </c>
      <c r="NN9" s="725" t="s">
        <v>2117</v>
      </c>
      <c r="NO9" s="725" t="s">
        <v>2118</v>
      </c>
      <c r="NP9" s="725" t="s">
        <v>2119</v>
      </c>
      <c r="NQ9" s="725" t="s">
        <v>2120</v>
      </c>
      <c r="NR9" s="725" t="s">
        <v>2121</v>
      </c>
      <c r="NS9" s="725" t="s">
        <v>2122</v>
      </c>
      <c r="NT9" s="725" t="s">
        <v>2123</v>
      </c>
      <c r="NU9" s="725" t="s">
        <v>2124</v>
      </c>
      <c r="NV9" s="725" t="s">
        <v>2125</v>
      </c>
      <c r="NW9" s="725" t="s">
        <v>2126</v>
      </c>
      <c r="NX9" s="725" t="s">
        <v>2127</v>
      </c>
      <c r="NY9" s="725" t="s">
        <v>2128</v>
      </c>
      <c r="NZ9" s="725" t="s">
        <v>2129</v>
      </c>
      <c r="OA9" s="725" t="s">
        <v>2130</v>
      </c>
      <c r="OB9" s="725" t="s">
        <v>2131</v>
      </c>
      <c r="OC9" s="725" t="s">
        <v>2132</v>
      </c>
      <c r="OD9" s="725" t="s">
        <v>2133</v>
      </c>
      <c r="OE9" s="725" t="s">
        <v>2134</v>
      </c>
      <c r="OF9" s="725" t="s">
        <v>2135</v>
      </c>
      <c r="OG9" s="725" t="s">
        <v>2136</v>
      </c>
      <c r="OH9" s="725" t="s">
        <v>2137</v>
      </c>
      <c r="OI9" s="725" t="s">
        <v>2138</v>
      </c>
      <c r="OJ9" s="725" t="s">
        <v>2139</v>
      </c>
      <c r="OK9" s="725" t="s">
        <v>2140</v>
      </c>
      <c r="OL9" s="725" t="s">
        <v>2141</v>
      </c>
      <c r="OM9" s="725" t="s">
        <v>2142</v>
      </c>
      <c r="ON9" s="725" t="s">
        <v>2143</v>
      </c>
      <c r="OO9" s="725" t="s">
        <v>2144</v>
      </c>
      <c r="OP9" s="725" t="s">
        <v>2145</v>
      </c>
      <c r="OQ9" s="725" t="s">
        <v>2146</v>
      </c>
      <c r="OR9" s="725" t="s">
        <v>2147</v>
      </c>
      <c r="OS9" s="725" t="s">
        <v>2148</v>
      </c>
      <c r="OT9" s="725" t="s">
        <v>2149</v>
      </c>
      <c r="OU9" s="725" t="s">
        <v>2150</v>
      </c>
      <c r="OV9" s="725" t="s">
        <v>2151</v>
      </c>
      <c r="OW9" s="725" t="s">
        <v>2152</v>
      </c>
      <c r="OX9" s="725" t="s">
        <v>2153</v>
      </c>
      <c r="OY9" s="725" t="s">
        <v>2154</v>
      </c>
      <c r="OZ9" s="725" t="s">
        <v>2155</v>
      </c>
      <c r="PA9" s="725" t="s">
        <v>2156</v>
      </c>
      <c r="PB9" s="725" t="s">
        <v>2157</v>
      </c>
      <c r="PC9" s="725" t="s">
        <v>2158</v>
      </c>
      <c r="PD9" s="725" t="s">
        <v>2159</v>
      </c>
      <c r="PE9" s="725" t="s">
        <v>2160</v>
      </c>
      <c r="PF9" s="725" t="s">
        <v>2161</v>
      </c>
      <c r="PG9" s="725" t="s">
        <v>2162</v>
      </c>
      <c r="PH9" s="725" t="s">
        <v>2163</v>
      </c>
      <c r="PI9" s="725" t="s">
        <v>2164</v>
      </c>
      <c r="PJ9" s="725" t="s">
        <v>2165</v>
      </c>
      <c r="PK9" s="725" t="s">
        <v>2166</v>
      </c>
      <c r="PL9" s="725" t="s">
        <v>2167</v>
      </c>
      <c r="PM9" s="725" t="s">
        <v>2168</v>
      </c>
      <c r="PN9" s="725" t="s">
        <v>2169</v>
      </c>
      <c r="PO9" s="725" t="s">
        <v>2170</v>
      </c>
      <c r="PP9" s="725" t="s">
        <v>2171</v>
      </c>
      <c r="PQ9" s="725" t="s">
        <v>2172</v>
      </c>
      <c r="PR9" s="725" t="s">
        <v>2173</v>
      </c>
      <c r="PS9" s="725" t="s">
        <v>2174</v>
      </c>
      <c r="PT9" s="725" t="s">
        <v>2175</v>
      </c>
      <c r="PU9" s="725" t="s">
        <v>2176</v>
      </c>
      <c r="PV9" s="725" t="s">
        <v>2177</v>
      </c>
      <c r="PW9" s="725" t="s">
        <v>2178</v>
      </c>
      <c r="PX9" s="725" t="s">
        <v>2179</v>
      </c>
      <c r="PY9" s="725" t="s">
        <v>2180</v>
      </c>
      <c r="PZ9" s="725" t="s">
        <v>2181</v>
      </c>
      <c r="QA9" s="725" t="s">
        <v>2182</v>
      </c>
      <c r="QB9" s="725" t="s">
        <v>2183</v>
      </c>
      <c r="QC9" s="725" t="s">
        <v>2184</v>
      </c>
      <c r="QD9" s="725" t="s">
        <v>2185</v>
      </c>
      <c r="QE9" s="725" t="s">
        <v>2186</v>
      </c>
      <c r="QF9" s="725" t="s">
        <v>2187</v>
      </c>
      <c r="QG9" s="725" t="s">
        <v>2188</v>
      </c>
      <c r="QH9" s="725" t="s">
        <v>2189</v>
      </c>
      <c r="QI9" s="725" t="s">
        <v>2190</v>
      </c>
      <c r="QJ9" s="725" t="s">
        <v>2191</v>
      </c>
      <c r="QK9" s="725" t="s">
        <v>2192</v>
      </c>
      <c r="QL9" s="725" t="s">
        <v>2193</v>
      </c>
      <c r="QM9" s="725" t="s">
        <v>2194</v>
      </c>
      <c r="QN9" s="725" t="s">
        <v>2195</v>
      </c>
      <c r="QO9" s="725" t="s">
        <v>2196</v>
      </c>
      <c r="QP9" s="725" t="s">
        <v>2197</v>
      </c>
      <c r="QQ9" s="725" t="s">
        <v>2198</v>
      </c>
      <c r="QR9" s="725" t="s">
        <v>2199</v>
      </c>
      <c r="QS9" s="725" t="s">
        <v>2200</v>
      </c>
      <c r="QT9" s="725" t="s">
        <v>2201</v>
      </c>
      <c r="QU9" s="725" t="s">
        <v>2202</v>
      </c>
      <c r="QV9" s="725" t="s">
        <v>2203</v>
      </c>
      <c r="QW9" s="725" t="s">
        <v>2204</v>
      </c>
      <c r="QX9" s="725" t="s">
        <v>2205</v>
      </c>
      <c r="QY9" s="725" t="s">
        <v>2206</v>
      </c>
      <c r="QZ9" s="725" t="s">
        <v>2207</v>
      </c>
      <c r="RA9" s="725" t="s">
        <v>2208</v>
      </c>
      <c r="RB9" s="725" t="s">
        <v>2209</v>
      </c>
      <c r="RC9" s="725" t="s">
        <v>2210</v>
      </c>
      <c r="RD9" s="725" t="s">
        <v>2211</v>
      </c>
      <c r="RE9" s="725" t="s">
        <v>2212</v>
      </c>
      <c r="RF9" s="725" t="s">
        <v>2213</v>
      </c>
      <c r="RG9" s="725" t="s">
        <v>2214</v>
      </c>
      <c r="RH9" s="725" t="s">
        <v>2215</v>
      </c>
      <c r="RI9" s="725" t="s">
        <v>2216</v>
      </c>
      <c r="RJ9" s="725" t="s">
        <v>2217</v>
      </c>
      <c r="RK9" s="725" t="s">
        <v>2218</v>
      </c>
      <c r="RL9" s="725" t="s">
        <v>2219</v>
      </c>
      <c r="RM9" s="725" t="s">
        <v>2220</v>
      </c>
      <c r="RN9" s="725" t="s">
        <v>2221</v>
      </c>
      <c r="RO9" s="725" t="s">
        <v>2222</v>
      </c>
      <c r="RP9" s="725" t="s">
        <v>2223</v>
      </c>
      <c r="RQ9" s="725" t="s">
        <v>2224</v>
      </c>
      <c r="RR9" s="725" t="s">
        <v>2225</v>
      </c>
      <c r="RS9" s="725" t="s">
        <v>2226</v>
      </c>
      <c r="RT9" s="725" t="s">
        <v>2227</v>
      </c>
      <c r="RU9" s="725" t="s">
        <v>2228</v>
      </c>
      <c r="RV9" s="725" t="s">
        <v>2229</v>
      </c>
      <c r="RW9" s="725" t="s">
        <v>2230</v>
      </c>
      <c r="RX9" s="725" t="s">
        <v>2231</v>
      </c>
      <c r="RY9" s="725" t="s">
        <v>2232</v>
      </c>
      <c r="RZ9" s="725" t="s">
        <v>2233</v>
      </c>
      <c r="SA9" s="725" t="s">
        <v>2234</v>
      </c>
      <c r="SB9" s="725" t="s">
        <v>2235</v>
      </c>
      <c r="SC9" s="725" t="s">
        <v>2236</v>
      </c>
      <c r="SD9" s="725" t="s">
        <v>2237</v>
      </c>
      <c r="SE9" s="725" t="s">
        <v>2238</v>
      </c>
      <c r="SF9" s="725" t="s">
        <v>2239</v>
      </c>
      <c r="SG9" s="725" t="s">
        <v>2240</v>
      </c>
      <c r="SH9" s="725" t="s">
        <v>2241</v>
      </c>
      <c r="SI9" s="725" t="s">
        <v>2242</v>
      </c>
      <c r="SJ9" s="725" t="s">
        <v>2243</v>
      </c>
      <c r="SK9" s="725" t="s">
        <v>2244</v>
      </c>
      <c r="SL9" s="725" t="s">
        <v>2245</v>
      </c>
      <c r="SM9" s="725" t="s">
        <v>2246</v>
      </c>
      <c r="SN9" s="725" t="s">
        <v>2247</v>
      </c>
      <c r="SO9" s="725" t="s">
        <v>2248</v>
      </c>
      <c r="SP9" s="725" t="s">
        <v>2249</v>
      </c>
      <c r="SQ9" s="725" t="s">
        <v>2250</v>
      </c>
      <c r="SR9" s="725" t="s">
        <v>2251</v>
      </c>
      <c r="SS9" s="725" t="s">
        <v>2252</v>
      </c>
      <c r="ST9" s="725" t="s">
        <v>2253</v>
      </c>
      <c r="SU9" s="725" t="s">
        <v>2254</v>
      </c>
      <c r="SV9" s="725" t="s">
        <v>2255</v>
      </c>
      <c r="SW9" s="725" t="s">
        <v>2256</v>
      </c>
      <c r="SX9" s="725" t="s">
        <v>2257</v>
      </c>
      <c r="SY9" s="725" t="s">
        <v>2258</v>
      </c>
      <c r="SZ9" s="725" t="s">
        <v>2259</v>
      </c>
      <c r="TA9" s="725" t="s">
        <v>2260</v>
      </c>
      <c r="TB9" s="725" t="s">
        <v>2261</v>
      </c>
      <c r="TC9" s="725" t="s">
        <v>2262</v>
      </c>
      <c r="TD9" s="725" t="s">
        <v>2263</v>
      </c>
      <c r="TE9" s="725" t="s">
        <v>2264</v>
      </c>
      <c r="TF9" s="725" t="s">
        <v>2265</v>
      </c>
      <c r="TG9" s="725" t="s">
        <v>2266</v>
      </c>
      <c r="TH9" s="725" t="s">
        <v>2267</v>
      </c>
      <c r="TI9" s="725" t="s">
        <v>2268</v>
      </c>
      <c r="TJ9" s="725" t="s">
        <v>2269</v>
      </c>
      <c r="TK9" s="725" t="s">
        <v>2270</v>
      </c>
      <c r="TL9" s="725" t="s">
        <v>2271</v>
      </c>
      <c r="TM9" s="725" t="s">
        <v>2272</v>
      </c>
      <c r="TN9" s="725" t="s">
        <v>2273</v>
      </c>
      <c r="TO9" s="725" t="s">
        <v>2274</v>
      </c>
      <c r="TP9" s="725" t="s">
        <v>2275</v>
      </c>
      <c r="TQ9" s="725" t="s">
        <v>2276</v>
      </c>
      <c r="TR9" s="725" t="s">
        <v>2277</v>
      </c>
      <c r="TS9" s="725" t="s">
        <v>2278</v>
      </c>
      <c r="TT9" s="725" t="s">
        <v>2279</v>
      </c>
      <c r="TU9" s="725" t="s">
        <v>2280</v>
      </c>
      <c r="TV9" s="725" t="s">
        <v>2281</v>
      </c>
      <c r="TW9" s="725" t="s">
        <v>2282</v>
      </c>
      <c r="TX9" s="725" t="s">
        <v>2283</v>
      </c>
      <c r="TY9" s="725" t="s">
        <v>2284</v>
      </c>
      <c r="TZ9" s="725" t="s">
        <v>2285</v>
      </c>
      <c r="UA9" s="725" t="s">
        <v>2286</v>
      </c>
      <c r="UB9" s="725" t="s">
        <v>2287</v>
      </c>
      <c r="UC9" s="725" t="s">
        <v>2288</v>
      </c>
      <c r="UD9" s="725" t="s">
        <v>2289</v>
      </c>
      <c r="UE9" s="725" t="s">
        <v>2290</v>
      </c>
      <c r="UF9" s="725" t="s">
        <v>2291</v>
      </c>
      <c r="UG9" s="725" t="s">
        <v>2292</v>
      </c>
      <c r="UH9" s="725" t="s">
        <v>2293</v>
      </c>
      <c r="UI9" s="725" t="s">
        <v>2294</v>
      </c>
      <c r="UJ9" s="725" t="s">
        <v>2295</v>
      </c>
      <c r="UK9" s="725" t="s">
        <v>2296</v>
      </c>
      <c r="UL9" s="725" t="s">
        <v>2297</v>
      </c>
      <c r="UM9" s="725" t="s">
        <v>2298</v>
      </c>
      <c r="UN9" s="725" t="s">
        <v>2299</v>
      </c>
      <c r="UO9" s="725" t="s">
        <v>2300</v>
      </c>
      <c r="UP9" s="725" t="s">
        <v>2301</v>
      </c>
      <c r="UQ9" s="725" t="s">
        <v>2302</v>
      </c>
      <c r="UR9" s="725" t="s">
        <v>2303</v>
      </c>
      <c r="US9" s="725" t="s">
        <v>2304</v>
      </c>
      <c r="UT9" s="725" t="s">
        <v>2305</v>
      </c>
      <c r="UU9" s="725" t="s">
        <v>2306</v>
      </c>
      <c r="UV9" s="725" t="s">
        <v>2307</v>
      </c>
      <c r="UW9" s="725" t="s">
        <v>2308</v>
      </c>
      <c r="UX9" s="725" t="s">
        <v>2309</v>
      </c>
      <c r="UY9" s="725" t="s">
        <v>2310</v>
      </c>
      <c r="UZ9" s="725" t="s">
        <v>2311</v>
      </c>
      <c r="VA9" s="725" t="s">
        <v>2312</v>
      </c>
      <c r="VB9" s="725" t="s">
        <v>2313</v>
      </c>
      <c r="VC9" s="725" t="s">
        <v>2314</v>
      </c>
      <c r="VD9" s="725" t="s">
        <v>2315</v>
      </c>
      <c r="VE9" s="725" t="s">
        <v>2316</v>
      </c>
      <c r="VF9" s="725" t="s">
        <v>2317</v>
      </c>
      <c r="VG9" s="725" t="s">
        <v>2318</v>
      </c>
      <c r="VH9" s="725" t="s">
        <v>2319</v>
      </c>
      <c r="VI9" s="725" t="s">
        <v>2320</v>
      </c>
      <c r="VJ9" s="725" t="s">
        <v>2321</v>
      </c>
      <c r="VK9" s="725" t="s">
        <v>2322</v>
      </c>
      <c r="VL9" s="725" t="s">
        <v>2323</v>
      </c>
      <c r="VM9" s="725" t="s">
        <v>2324</v>
      </c>
      <c r="VN9" s="725" t="s">
        <v>2325</v>
      </c>
      <c r="VO9" s="725" t="s">
        <v>2326</v>
      </c>
      <c r="VP9" s="725" t="s">
        <v>2327</v>
      </c>
      <c r="VQ9" s="725" t="s">
        <v>2328</v>
      </c>
      <c r="VR9" s="725" t="s">
        <v>2329</v>
      </c>
      <c r="VS9" s="725" t="s">
        <v>2330</v>
      </c>
      <c r="VT9" s="725" t="s">
        <v>2331</v>
      </c>
      <c r="VU9" s="725" t="s">
        <v>2332</v>
      </c>
      <c r="VV9" s="725" t="s">
        <v>2333</v>
      </c>
      <c r="VW9" s="725" t="s">
        <v>2334</v>
      </c>
      <c r="VX9" s="725" t="s">
        <v>2335</v>
      </c>
      <c r="VY9" s="725" t="s">
        <v>2336</v>
      </c>
      <c r="VZ9" s="725" t="s">
        <v>2337</v>
      </c>
      <c r="WA9" s="725" t="s">
        <v>2338</v>
      </c>
      <c r="WB9" s="725" t="s">
        <v>2339</v>
      </c>
      <c r="WC9" s="725" t="s">
        <v>2340</v>
      </c>
      <c r="WD9" s="725" t="s">
        <v>2341</v>
      </c>
      <c r="WE9" s="725" t="s">
        <v>2342</v>
      </c>
      <c r="WF9" s="725" t="s">
        <v>2343</v>
      </c>
      <c r="WG9" s="725" t="s">
        <v>2344</v>
      </c>
      <c r="WH9" s="725" t="s">
        <v>2345</v>
      </c>
      <c r="WI9" s="725" t="s">
        <v>2346</v>
      </c>
      <c r="WJ9" s="725" t="s">
        <v>2347</v>
      </c>
      <c r="WK9" s="725" t="s">
        <v>2348</v>
      </c>
      <c r="WL9" s="725" t="s">
        <v>2349</v>
      </c>
      <c r="WM9" s="725" t="s">
        <v>2350</v>
      </c>
      <c r="WN9" s="725" t="s">
        <v>2351</v>
      </c>
      <c r="WO9" s="725" t="s">
        <v>2352</v>
      </c>
      <c r="WP9" s="725" t="s">
        <v>2353</v>
      </c>
      <c r="WQ9" s="725" t="s">
        <v>2354</v>
      </c>
      <c r="WR9" s="725" t="s">
        <v>2355</v>
      </c>
      <c r="WS9" s="725" t="s">
        <v>2356</v>
      </c>
      <c r="WT9" s="725" t="s">
        <v>2357</v>
      </c>
      <c r="WU9" s="725" t="s">
        <v>2358</v>
      </c>
      <c r="WV9" s="725" t="s">
        <v>2359</v>
      </c>
      <c r="WW9" s="725" t="s">
        <v>2360</v>
      </c>
      <c r="WX9" s="725" t="s">
        <v>2361</v>
      </c>
      <c r="WY9" s="725" t="s">
        <v>2362</v>
      </c>
      <c r="WZ9" s="725" t="s">
        <v>2363</v>
      </c>
      <c r="XA9" s="725" t="s">
        <v>2364</v>
      </c>
      <c r="XB9" s="725" t="s">
        <v>2365</v>
      </c>
    </row>
    <row r="10" spans="1:627" ht="15">
      <c r="A10" s="693"/>
      <c r="B10" s="693"/>
      <c r="C10" s="1919"/>
      <c r="D10" s="695"/>
      <c r="E10" s="695"/>
      <c r="F10" s="695"/>
      <c r="G10" s="693"/>
      <c r="H10" s="693"/>
      <c r="I10" s="693"/>
      <c r="J10" s="695"/>
      <c r="K10" s="1920"/>
      <c r="L10" s="1920"/>
      <c r="M10" s="1920"/>
      <c r="N10" s="695"/>
      <c r="O10" s="1920"/>
      <c r="P10" s="1920"/>
      <c r="Q10" s="1920"/>
      <c r="R10" s="695"/>
      <c r="S10" s="1920"/>
      <c r="T10" s="1920"/>
      <c r="U10" s="1920"/>
      <c r="V10" s="695"/>
      <c r="W10" s="1920"/>
      <c r="X10" s="1920"/>
      <c r="Y10" s="1920"/>
      <c r="Z10" s="695"/>
      <c r="AA10" s="1920"/>
      <c r="AB10" s="1920"/>
      <c r="AC10" s="1920"/>
      <c r="AD10" s="695"/>
      <c r="AE10" s="1920"/>
      <c r="AF10" s="1920"/>
      <c r="AG10" s="1920"/>
      <c r="AH10" s="695"/>
      <c r="AI10" s="1920"/>
      <c r="AJ10" s="1920"/>
      <c r="AK10" s="1920"/>
      <c r="AL10" s="695"/>
      <c r="AM10" s="1920"/>
      <c r="AN10" s="1920"/>
      <c r="AO10" s="1920"/>
      <c r="AP10" s="695"/>
      <c r="AQ10" s="1920"/>
      <c r="AR10" s="1920"/>
      <c r="AS10" s="1920"/>
      <c r="AT10" s="695"/>
      <c r="AU10" s="1920"/>
      <c r="AV10" s="1920"/>
      <c r="AW10" s="1920"/>
      <c r="AX10" s="695"/>
      <c r="AY10" s="1920"/>
      <c r="AZ10" s="1920"/>
      <c r="BA10" s="1920"/>
      <c r="BB10" s="695"/>
      <c r="BC10" s="1920"/>
      <c r="BD10" s="1920"/>
      <c r="BE10" s="1920"/>
      <c r="BF10" s="695"/>
      <c r="BG10" s="1920"/>
      <c r="BH10" s="1920"/>
      <c r="BI10" s="1920"/>
      <c r="BJ10" s="695"/>
      <c r="BK10" s="1920"/>
      <c r="BL10" s="1920"/>
      <c r="BM10" s="1920"/>
      <c r="BN10" s="695"/>
      <c r="BO10" s="1920"/>
      <c r="BP10" s="1920"/>
      <c r="BQ10" s="1920"/>
      <c r="BR10" s="695"/>
      <c r="BS10" s="1920"/>
      <c r="BT10" s="1920"/>
      <c r="BU10" s="1920"/>
      <c r="BV10" s="695"/>
      <c r="BW10" s="1920"/>
      <c r="BX10" s="1920"/>
      <c r="BY10" s="1920"/>
      <c r="BZ10" s="695"/>
      <c r="CA10" s="1920"/>
      <c r="CB10" s="1920"/>
      <c r="CC10" s="1920"/>
      <c r="CD10" s="695"/>
      <c r="CE10" s="1920"/>
      <c r="CF10" s="1920"/>
      <c r="CG10" s="1920"/>
      <c r="CH10" s="695"/>
      <c r="CI10" s="1920"/>
      <c r="CJ10" s="1920"/>
      <c r="CK10" s="1920"/>
      <c r="CL10" s="695"/>
      <c r="CM10" s="1920"/>
      <c r="CN10" s="1920"/>
      <c r="CO10" s="1920"/>
      <c r="CP10" s="695"/>
      <c r="CQ10" s="1920"/>
      <c r="CR10" s="1920"/>
      <c r="CS10" s="1920"/>
      <c r="CT10" s="695"/>
      <c r="CU10" s="1920"/>
      <c r="CV10" s="1920"/>
      <c r="CW10" s="1920"/>
      <c r="CX10" s="695"/>
      <c r="CY10" s="1920"/>
      <c r="CZ10" s="1920"/>
      <c r="DA10" s="1920"/>
      <c r="DB10" s="695"/>
      <c r="DC10" s="1920"/>
      <c r="DD10" s="1920"/>
      <c r="DE10" s="1920"/>
      <c r="DF10" s="695"/>
      <c r="DG10" s="1920"/>
      <c r="DH10" s="1920"/>
      <c r="DI10" s="1920"/>
      <c r="DJ10" s="695"/>
      <c r="DK10" s="1920"/>
      <c r="DL10" s="1920"/>
      <c r="DM10" s="1920"/>
      <c r="DN10" s="695"/>
      <c r="DO10" s="1920"/>
      <c r="DP10" s="1920"/>
      <c r="DQ10" s="1920"/>
      <c r="DR10" s="695"/>
      <c r="DS10" s="1920"/>
      <c r="DT10" s="1920"/>
      <c r="DU10" s="1920"/>
      <c r="DV10" s="695"/>
      <c r="DW10" s="1920"/>
      <c r="DX10" s="1920"/>
      <c r="DY10" s="1920"/>
      <c r="DZ10" s="695"/>
      <c r="EA10" s="1920"/>
      <c r="EB10" s="1920"/>
      <c r="EC10" s="1920"/>
      <c r="ED10" s="695"/>
      <c r="EE10" s="1920"/>
      <c r="EF10" s="1920"/>
      <c r="EG10" s="1920"/>
      <c r="EH10" s="695"/>
      <c r="EI10" s="1920"/>
      <c r="EJ10" s="1920"/>
      <c r="EK10" s="1920"/>
      <c r="EL10" s="695"/>
      <c r="EM10" s="1920"/>
      <c r="EN10" s="1920"/>
      <c r="EO10" s="1920"/>
      <c r="EP10" s="695"/>
      <c r="EQ10" s="1920"/>
      <c r="ER10" s="1920"/>
      <c r="ES10" s="1920"/>
      <c r="ET10" s="695"/>
      <c r="EU10" s="1920"/>
      <c r="EV10" s="1920"/>
      <c r="EW10" s="1920"/>
      <c r="EX10" s="695"/>
      <c r="EY10" s="1920"/>
      <c r="EZ10" s="1920"/>
      <c r="FA10" s="1920"/>
      <c r="FB10" s="695"/>
      <c r="FC10" s="1920"/>
      <c r="FD10" s="1920"/>
      <c r="FE10" s="1920"/>
      <c r="FF10" s="695"/>
      <c r="FG10" s="1920"/>
      <c r="FH10" s="1920"/>
      <c r="FI10" s="1920"/>
      <c r="FJ10" s="695"/>
      <c r="FK10" s="1920"/>
      <c r="FL10" s="1920"/>
      <c r="FM10" s="1920"/>
      <c r="FN10" s="695"/>
      <c r="FO10" s="1920"/>
      <c r="FP10" s="1920"/>
      <c r="FQ10" s="1920"/>
      <c r="FR10" s="695"/>
      <c r="FS10" s="1920"/>
      <c r="FT10" s="1920"/>
      <c r="FU10" s="1920"/>
      <c r="FV10" s="695"/>
      <c r="FW10" s="1920"/>
      <c r="FX10" s="1920"/>
      <c r="FY10" s="1920"/>
      <c r="FZ10" s="695"/>
      <c r="GA10" s="1920"/>
      <c r="GB10" s="1920"/>
      <c r="GC10" s="1920"/>
      <c r="GD10" s="695"/>
      <c r="GE10" s="1920"/>
      <c r="GF10" s="1920"/>
      <c r="GG10" s="1920"/>
      <c r="GH10" s="695"/>
      <c r="GI10" s="1920"/>
      <c r="GJ10" s="1920"/>
      <c r="GK10" s="1920"/>
      <c r="GL10" s="695"/>
      <c r="GM10" s="1920"/>
      <c r="GN10" s="1920"/>
      <c r="GO10" s="1920"/>
      <c r="GP10" s="695"/>
      <c r="GQ10" s="1920"/>
      <c r="GR10" s="1920"/>
      <c r="GS10" s="1920"/>
      <c r="GT10" s="695"/>
      <c r="GU10" s="1920"/>
      <c r="GV10" s="1920"/>
      <c r="GW10" s="1920"/>
      <c r="GX10" s="695"/>
      <c r="GY10" s="1920"/>
      <c r="GZ10" s="1920"/>
      <c r="HA10" s="1920"/>
      <c r="HB10" s="695"/>
      <c r="HC10" s="1920"/>
      <c r="HD10" s="1920"/>
      <c r="HE10" s="1920"/>
      <c r="HF10" s="695"/>
      <c r="HG10" s="1920"/>
      <c r="HH10" s="1920"/>
      <c r="HI10" s="1920"/>
      <c r="HJ10" s="695"/>
      <c r="HK10" s="1920"/>
      <c r="HL10" s="1920"/>
      <c r="HM10" s="1920"/>
      <c r="HN10" s="695"/>
      <c r="HO10" s="1920"/>
      <c r="HP10" s="1920"/>
      <c r="HQ10" s="1920"/>
      <c r="HR10" s="695"/>
      <c r="HS10" s="1920"/>
      <c r="HT10" s="1920"/>
      <c r="HU10" s="1920"/>
      <c r="HV10" s="695"/>
      <c r="HW10" s="1920"/>
      <c r="HX10" s="1920"/>
      <c r="HY10" s="1920"/>
      <c r="HZ10" s="695"/>
      <c r="IA10" s="1920"/>
      <c r="IB10" s="1920"/>
      <c r="IC10" s="1920"/>
      <c r="ID10" s="695"/>
      <c r="IE10" s="1920"/>
      <c r="IF10" s="1920"/>
      <c r="IG10" s="1920"/>
      <c r="IH10" s="695"/>
      <c r="II10" s="1920"/>
      <c r="IJ10" s="1920"/>
      <c r="IK10" s="1920"/>
      <c r="IL10" s="695"/>
      <c r="IM10" s="1920"/>
      <c r="IN10" s="1920"/>
      <c r="IO10" s="1920"/>
      <c r="IP10" s="695"/>
      <c r="IQ10" s="1920"/>
      <c r="IR10" s="1920"/>
      <c r="IS10" s="1920"/>
      <c r="IT10" s="695"/>
      <c r="IU10" s="1920"/>
      <c r="IV10" s="1920"/>
      <c r="IW10" s="1920"/>
      <c r="IX10" s="695"/>
      <c r="IY10" s="1920"/>
      <c r="IZ10" s="1920"/>
      <c r="JA10" s="1920"/>
      <c r="JB10" s="695"/>
      <c r="JC10" s="1920"/>
      <c r="JD10" s="1920"/>
      <c r="JE10" s="1920"/>
      <c r="JF10" s="695"/>
      <c r="JG10" s="1920"/>
      <c r="JH10" s="1920"/>
      <c r="JI10" s="1920"/>
      <c r="JJ10" s="695"/>
      <c r="JK10" s="1920"/>
      <c r="JL10" s="1920"/>
      <c r="JM10" s="1920"/>
      <c r="JN10" s="695"/>
      <c r="JO10" s="1920"/>
      <c r="JP10" s="1920"/>
      <c r="JQ10" s="1920"/>
      <c r="JR10" s="695"/>
      <c r="JS10" s="1920"/>
      <c r="JT10" s="1920"/>
      <c r="JU10" s="1920"/>
      <c r="JV10" s="695"/>
      <c r="JW10" s="1920"/>
      <c r="JX10" s="1920"/>
      <c r="JY10" s="1920"/>
      <c r="JZ10" s="695"/>
      <c r="KA10" s="1920"/>
      <c r="KB10" s="1920"/>
      <c r="KC10" s="1920"/>
      <c r="KD10" s="695"/>
      <c r="KE10" s="1920"/>
      <c r="KF10" s="1920"/>
      <c r="KG10" s="1920"/>
      <c r="KH10" s="695"/>
      <c r="KI10" s="1920"/>
      <c r="KJ10" s="1920"/>
      <c r="KK10" s="1920"/>
      <c r="KL10" s="695"/>
      <c r="KM10" s="1920"/>
      <c r="KN10" s="1920"/>
      <c r="KO10" s="1920"/>
      <c r="KP10" s="695"/>
      <c r="KQ10" s="1920"/>
      <c r="KR10" s="1920"/>
      <c r="KS10" s="1920"/>
      <c r="KT10" s="695"/>
      <c r="KU10" s="1920"/>
      <c r="KV10" s="1920"/>
      <c r="KW10" s="1920"/>
      <c r="KX10" s="695"/>
      <c r="KY10" s="1920"/>
      <c r="KZ10" s="1920"/>
      <c r="LA10" s="1920"/>
      <c r="LG10" s="113"/>
      <c r="LH10" s="693"/>
      <c r="LI10" s="693"/>
      <c r="LJ10" s="693"/>
      <c r="LK10" s="693"/>
      <c r="LL10" s="693"/>
      <c r="LM10" s="693"/>
      <c r="LN10" s="693"/>
      <c r="LO10" s="693"/>
      <c r="LP10" s="693"/>
      <c r="LQ10" s="693"/>
      <c r="LR10" s="693"/>
      <c r="LS10" s="693"/>
      <c r="LT10" s="693"/>
      <c r="LU10" s="693"/>
      <c r="LV10" s="693"/>
      <c r="LW10" s="693"/>
      <c r="LX10" s="693"/>
      <c r="LY10" s="693"/>
      <c r="LZ10" s="693"/>
      <c r="MA10" s="693"/>
      <c r="MB10" s="693"/>
      <c r="MC10" s="693"/>
      <c r="MD10" s="693"/>
      <c r="ME10" s="693"/>
      <c r="MF10" s="693"/>
      <c r="MG10" s="693"/>
      <c r="MH10" s="693"/>
      <c r="MI10" s="693"/>
      <c r="MJ10" s="693"/>
      <c r="MK10" s="693"/>
      <c r="ML10" s="693"/>
      <c r="MM10" s="693"/>
      <c r="MN10" s="693"/>
      <c r="MO10" s="693"/>
      <c r="MP10" s="693"/>
      <c r="MQ10" s="693"/>
      <c r="MR10" s="693"/>
      <c r="MS10" s="693"/>
      <c r="MT10" s="693"/>
      <c r="MU10" s="693"/>
      <c r="MV10" s="693"/>
      <c r="MW10" s="693"/>
      <c r="MX10" s="693"/>
      <c r="MY10" s="693"/>
      <c r="MZ10" s="693"/>
      <c r="NA10" s="693"/>
      <c r="NB10" s="693"/>
      <c r="NC10" s="693"/>
      <c r="ND10" s="693"/>
      <c r="NE10" s="693"/>
      <c r="NF10" s="693"/>
      <c r="NG10" s="693"/>
      <c r="NH10" s="693"/>
      <c r="NI10" s="693"/>
      <c r="NJ10" s="693"/>
      <c r="NK10" s="693"/>
      <c r="NL10" s="693"/>
      <c r="NM10" s="693"/>
      <c r="NN10" s="693"/>
      <c r="NO10" s="693"/>
      <c r="NP10" s="693"/>
      <c r="NQ10" s="693"/>
      <c r="NR10" s="693"/>
      <c r="NS10" s="693"/>
      <c r="NT10" s="693"/>
      <c r="NU10" s="693"/>
      <c r="NV10" s="693"/>
    </row>
    <row r="11" spans="1:627" ht="16.5" thickBot="1">
      <c r="A11" s="693"/>
      <c r="B11" s="693"/>
      <c r="C11" s="1919"/>
      <c r="D11" s="695"/>
      <c r="E11" s="695"/>
      <c r="F11" s="695"/>
      <c r="G11" s="693"/>
      <c r="H11" s="693"/>
      <c r="I11" s="693"/>
      <c r="J11" s="695"/>
      <c r="K11" s="1920"/>
      <c r="L11" s="1920"/>
      <c r="M11" s="1920"/>
      <c r="N11" s="695"/>
      <c r="O11" s="1920"/>
      <c r="P11" s="1920"/>
      <c r="Q11" s="1920"/>
      <c r="R11" s="695"/>
      <c r="S11" s="1920"/>
      <c r="T11" s="1920"/>
      <c r="U11" s="1920"/>
      <c r="V11" s="695"/>
      <c r="W11" s="1920"/>
      <c r="X11" s="1920"/>
      <c r="Y11" s="1920"/>
      <c r="Z11" s="695"/>
      <c r="AA11" s="1920"/>
      <c r="AB11" s="1920"/>
      <c r="AC11" s="1920"/>
      <c r="AD11" s="695"/>
      <c r="AE11" s="1920"/>
      <c r="AF11" s="1920"/>
      <c r="AG11" s="1920"/>
      <c r="AH11" s="695"/>
      <c r="AI11" s="1920"/>
      <c r="AJ11" s="1920"/>
      <c r="AK11" s="1920"/>
      <c r="AL11" s="695"/>
      <c r="AM11" s="1920"/>
      <c r="AN11" s="1920"/>
      <c r="AO11" s="1920"/>
      <c r="AP11" s="695"/>
      <c r="AQ11" s="1920"/>
      <c r="AR11" s="1920"/>
      <c r="AS11" s="1920"/>
      <c r="AT11" s="695"/>
      <c r="AU11" s="1920"/>
      <c r="AV11" s="1920"/>
      <c r="AW11" s="1920"/>
      <c r="AX11" s="695"/>
      <c r="AY11" s="1920"/>
      <c r="AZ11" s="1920"/>
      <c r="BA11" s="1920"/>
      <c r="BB11" s="695"/>
      <c r="BC11" s="1920"/>
      <c r="BD11" s="1920"/>
      <c r="BE11" s="1920"/>
      <c r="BF11" s="695"/>
      <c r="BG11" s="1920"/>
      <c r="BH11" s="1920"/>
      <c r="BI11" s="1920"/>
      <c r="BJ11" s="695"/>
      <c r="BK11" s="1920"/>
      <c r="BL11" s="1920"/>
      <c r="BM11" s="1920"/>
      <c r="BN11" s="695"/>
      <c r="BO11" s="1920"/>
      <c r="BP11" s="1920"/>
      <c r="BQ11" s="1920"/>
      <c r="BR11" s="695"/>
      <c r="BS11" s="1920"/>
      <c r="BT11" s="1920"/>
      <c r="BU11" s="1920"/>
      <c r="BV11" s="695"/>
      <c r="BW11" s="1920"/>
      <c r="BX11" s="1920"/>
      <c r="BY11" s="1920"/>
      <c r="BZ11" s="695"/>
      <c r="CA11" s="1920"/>
      <c r="CB11" s="1920"/>
      <c r="CC11" s="1920"/>
      <c r="CD11" s="695"/>
      <c r="CE11" s="1920"/>
      <c r="CF11" s="1920"/>
      <c r="CG11" s="1920"/>
      <c r="CH11" s="695"/>
      <c r="CI11" s="1920"/>
      <c r="CJ11" s="1920"/>
      <c r="CK11" s="1920"/>
      <c r="CL11" s="695"/>
      <c r="CM11" s="1920"/>
      <c r="CN11" s="1920"/>
      <c r="CO11" s="1920"/>
      <c r="CP11" s="695"/>
      <c r="CQ11" s="1920"/>
      <c r="CR11" s="1920"/>
      <c r="CS11" s="1920"/>
      <c r="CT11" s="695"/>
      <c r="CU11" s="1920"/>
      <c r="CV11" s="1920"/>
      <c r="CW11" s="1920"/>
      <c r="CX11" s="695"/>
      <c r="CY11" s="1920"/>
      <c r="CZ11" s="1920"/>
      <c r="DA11" s="1920"/>
      <c r="DB11" s="695"/>
      <c r="DC11" s="1920"/>
      <c r="DD11" s="1920"/>
      <c r="DE11" s="1920"/>
      <c r="DF11" s="695"/>
      <c r="DG11" s="1920"/>
      <c r="DH11" s="1920"/>
      <c r="DI11" s="1920"/>
      <c r="DJ11" s="695"/>
      <c r="DK11" s="1920"/>
      <c r="DL11" s="1920"/>
      <c r="DM11" s="1920"/>
      <c r="DN11" s="695"/>
      <c r="DO11" s="1920"/>
      <c r="DP11" s="1920"/>
      <c r="DQ11" s="1920"/>
      <c r="DR11" s="695"/>
      <c r="DS11" s="1920"/>
      <c r="DT11" s="1920"/>
      <c r="DU11" s="1920"/>
      <c r="DV11" s="695"/>
      <c r="DW11" s="1920"/>
      <c r="DX11" s="1920"/>
      <c r="DY11" s="1920"/>
      <c r="DZ11" s="695"/>
      <c r="EA11" s="1920"/>
      <c r="EB11" s="1920"/>
      <c r="EC11" s="1920"/>
      <c r="ED11" s="695"/>
      <c r="EE11" s="1920"/>
      <c r="EF11" s="1920"/>
      <c r="EG11" s="1920"/>
      <c r="EH11" s="695"/>
      <c r="EI11" s="1920"/>
      <c r="EJ11" s="1920"/>
      <c r="EK11" s="1920"/>
      <c r="EL11" s="695"/>
      <c r="EM11" s="1920"/>
      <c r="EN11" s="1920"/>
      <c r="EO11" s="1920"/>
      <c r="EP11" s="695"/>
      <c r="EQ11" s="1920"/>
      <c r="ER11" s="1920"/>
      <c r="ES11" s="1920"/>
      <c r="ET11" s="695"/>
      <c r="EU11" s="1920"/>
      <c r="EV11" s="1920"/>
      <c r="EW11" s="1920"/>
      <c r="EX11" s="695"/>
      <c r="EY11" s="1920"/>
      <c r="EZ11" s="1920"/>
      <c r="FA11" s="1920"/>
      <c r="FB11" s="695"/>
      <c r="FC11" s="1920"/>
      <c r="FD11" s="1920"/>
      <c r="FE11" s="1920"/>
      <c r="FF11" s="695"/>
      <c r="FG11" s="1920"/>
      <c r="FH11" s="1920"/>
      <c r="FI11" s="1920"/>
      <c r="FJ11" s="695"/>
      <c r="FK11" s="1920"/>
      <c r="FL11" s="1920"/>
      <c r="FM11" s="1920"/>
      <c r="FN11" s="695"/>
      <c r="FO11" s="1920"/>
      <c r="FP11" s="1920"/>
      <c r="FQ11" s="1920"/>
      <c r="FR11" s="695"/>
      <c r="FS11" s="1920"/>
      <c r="FT11" s="1920"/>
      <c r="FU11" s="1920"/>
      <c r="FV11" s="695"/>
      <c r="FW11" s="1920"/>
      <c r="FX11" s="1920"/>
      <c r="FY11" s="1920"/>
      <c r="FZ11" s="695"/>
      <c r="GA11" s="1920"/>
      <c r="GB11" s="1920"/>
      <c r="GC11" s="1920"/>
      <c r="GD11" s="695"/>
      <c r="GE11" s="1920"/>
      <c r="GF11" s="1920"/>
      <c r="GG11" s="1920"/>
      <c r="GH11" s="695"/>
      <c r="GI11" s="1920"/>
      <c r="GJ11" s="1920"/>
      <c r="GK11" s="1920"/>
      <c r="GL11" s="695"/>
      <c r="GM11" s="1920"/>
      <c r="GN11" s="1920"/>
      <c r="GO11" s="1920"/>
      <c r="GP11" s="695"/>
      <c r="GQ11" s="1920"/>
      <c r="GR11" s="1920"/>
      <c r="GS11" s="1920"/>
      <c r="GT11" s="695"/>
      <c r="GU11" s="1920"/>
      <c r="GV11" s="1920"/>
      <c r="GW11" s="1920"/>
      <c r="GX11" s="695"/>
      <c r="GY11" s="1920"/>
      <c r="GZ11" s="1920"/>
      <c r="HA11" s="1920"/>
      <c r="HB11" s="695"/>
      <c r="HC11" s="1920"/>
      <c r="HD11" s="1920"/>
      <c r="HE11" s="1920"/>
      <c r="HF11" s="695"/>
      <c r="HG11" s="1920"/>
      <c r="HH11" s="1920"/>
      <c r="HI11" s="1920"/>
      <c r="HJ11" s="695"/>
      <c r="HK11" s="1920"/>
      <c r="HL11" s="1920"/>
      <c r="HM11" s="1920"/>
      <c r="HN11" s="695"/>
      <c r="HO11" s="1920"/>
      <c r="HP11" s="1920"/>
      <c r="HQ11" s="1920"/>
      <c r="HR11" s="695"/>
      <c r="HS11" s="1920"/>
      <c r="HT11" s="1920"/>
      <c r="HU11" s="1920"/>
      <c r="HV11" s="695"/>
      <c r="HW11" s="1920"/>
      <c r="HX11" s="1920"/>
      <c r="HY11" s="1920"/>
      <c r="HZ11" s="695"/>
      <c r="IA11" s="1920"/>
      <c r="IB11" s="1920"/>
      <c r="IC11" s="1920"/>
      <c r="ID11" s="695"/>
      <c r="IE11" s="1920"/>
      <c r="IF11" s="1920"/>
      <c r="IG11" s="1920"/>
      <c r="IH11" s="695"/>
      <c r="II11" s="1920"/>
      <c r="IJ11" s="1920"/>
      <c r="IK11" s="1920"/>
      <c r="IL11" s="695"/>
      <c r="IM11" s="1920"/>
      <c r="IN11" s="1920"/>
      <c r="IO11" s="1920"/>
      <c r="IP11" s="695"/>
      <c r="IQ11" s="1920"/>
      <c r="IR11" s="1920"/>
      <c r="IS11" s="1920"/>
      <c r="IT11" s="695"/>
      <c r="IU11" s="1920"/>
      <c r="IV11" s="1920"/>
      <c r="IW11" s="1920"/>
      <c r="IX11" s="695"/>
      <c r="IY11" s="1920"/>
      <c r="IZ11" s="1920"/>
      <c r="JA11" s="1920"/>
      <c r="JB11" s="695"/>
      <c r="JC11" s="1920"/>
      <c r="JD11" s="1920"/>
      <c r="JE11" s="1920"/>
      <c r="JF11" s="695"/>
      <c r="JG11" s="1920"/>
      <c r="JH11" s="1920"/>
      <c r="JI11" s="1920"/>
      <c r="JJ11" s="695"/>
      <c r="JK11" s="1920"/>
      <c r="JL11" s="1920"/>
      <c r="JM11" s="1920"/>
      <c r="JN11" s="695"/>
      <c r="JO11" s="1920"/>
      <c r="JP11" s="1920"/>
      <c r="JQ11" s="1920"/>
      <c r="JR11" s="695"/>
      <c r="JS11" s="1920"/>
      <c r="JT11" s="1920"/>
      <c r="JU11" s="1920"/>
      <c r="JV11" s="695"/>
      <c r="JW11" s="1920"/>
      <c r="JX11" s="1920"/>
      <c r="JY11" s="1920"/>
      <c r="JZ11" s="695"/>
      <c r="KA11" s="1920"/>
      <c r="KB11" s="1920"/>
      <c r="KC11" s="1920"/>
      <c r="KD11" s="695"/>
      <c r="KE11" s="1920"/>
      <c r="KF11" s="1920"/>
      <c r="KG11" s="1920"/>
      <c r="KH11" s="695"/>
      <c r="KI11" s="1920"/>
      <c r="KJ11" s="1920"/>
      <c r="KK11" s="1920"/>
      <c r="KL11" s="695"/>
      <c r="KM11" s="1920"/>
      <c r="KN11" s="1920"/>
      <c r="KO11" s="1920"/>
      <c r="KP11" s="695"/>
      <c r="KQ11" s="1920"/>
      <c r="KR11" s="1920"/>
      <c r="KS11" s="1920"/>
      <c r="KT11" s="695"/>
      <c r="KU11" s="1920"/>
      <c r="KV11" s="1920"/>
      <c r="KW11" s="1920"/>
      <c r="KX11" s="695"/>
      <c r="KY11" s="1920"/>
      <c r="KZ11" s="1920"/>
      <c r="LA11" s="1920"/>
      <c r="LG11" s="725"/>
      <c r="LH11" s="726"/>
      <c r="LI11" s="726"/>
      <c r="LJ11" s="726"/>
      <c r="LK11" s="725"/>
      <c r="LL11" s="726"/>
      <c r="LM11" s="726"/>
      <c r="LN11" s="726"/>
      <c r="LO11" s="725"/>
      <c r="LP11" s="726"/>
      <c r="LQ11" s="726"/>
      <c r="LR11" s="726"/>
      <c r="LS11" s="725"/>
      <c r="LT11" s="726"/>
      <c r="LU11" s="726"/>
      <c r="LV11" s="726"/>
      <c r="LW11" s="725"/>
      <c r="LX11" s="726"/>
      <c r="LY11" s="726"/>
      <c r="LZ11" s="726"/>
      <c r="MA11" s="725"/>
      <c r="MB11" s="726"/>
      <c r="MC11" s="726"/>
      <c r="MD11" s="726"/>
      <c r="ME11" s="725"/>
      <c r="MF11" s="726"/>
      <c r="MG11" s="726"/>
      <c r="MH11" s="726"/>
      <c r="MI11" s="725"/>
      <c r="MJ11" s="726"/>
      <c r="MK11" s="726"/>
      <c r="ML11" s="726"/>
      <c r="MM11" s="725"/>
      <c r="MN11" s="726"/>
      <c r="MO11" s="726"/>
      <c r="MP11" s="726"/>
      <c r="MQ11" s="725"/>
      <c r="MR11" s="726"/>
      <c r="MS11" s="726"/>
      <c r="MT11" s="726"/>
      <c r="MU11" s="725"/>
      <c r="MV11" s="726"/>
      <c r="MW11" s="726"/>
      <c r="MX11" s="726"/>
      <c r="MY11" s="725"/>
      <c r="MZ11" s="726"/>
      <c r="NA11" s="726"/>
      <c r="NB11" s="726"/>
      <c r="NC11" s="725"/>
      <c r="ND11" s="726"/>
      <c r="NE11" s="726"/>
      <c r="NF11" s="726"/>
      <c r="NG11" s="725"/>
      <c r="NH11" s="726"/>
      <c r="NI11" s="726"/>
      <c r="NJ11" s="726"/>
      <c r="NK11" s="725"/>
      <c r="NL11" s="726"/>
      <c r="NM11" s="726"/>
      <c r="NN11" s="726"/>
      <c r="NO11" s="725"/>
      <c r="NP11" s="726"/>
      <c r="NQ11" s="726"/>
      <c r="NR11" s="726"/>
      <c r="NS11" s="725"/>
      <c r="NT11" s="726"/>
      <c r="NU11" s="726"/>
      <c r="NV11" s="726"/>
      <c r="NW11" s="725"/>
      <c r="NX11" s="726"/>
      <c r="NY11" s="726"/>
      <c r="NZ11" s="726"/>
      <c r="OA11" s="725"/>
      <c r="OB11" s="726"/>
      <c r="OC11" s="726"/>
      <c r="OD11" s="726"/>
      <c r="OE11" s="725"/>
      <c r="OF11" s="726"/>
      <c r="OG11" s="726"/>
      <c r="OH11" s="726"/>
      <c r="OI11" s="725"/>
      <c r="OJ11" s="726"/>
      <c r="OK11" s="726"/>
      <c r="OL11" s="726"/>
      <c r="OM11" s="725"/>
      <c r="ON11" s="726"/>
      <c r="OO11" s="726"/>
      <c r="OP11" s="726"/>
      <c r="OQ11" s="725"/>
      <c r="OR11" s="726"/>
      <c r="OS11" s="726"/>
      <c r="OT11" s="726"/>
      <c r="OU11" s="725"/>
      <c r="OV11" s="726"/>
      <c r="OW11" s="726"/>
      <c r="OX11" s="726"/>
      <c r="OY11" s="725"/>
      <c r="OZ11" s="726"/>
      <c r="PA11" s="726"/>
      <c r="PB11" s="726"/>
      <c r="PC11" s="725"/>
      <c r="PD11" s="726"/>
      <c r="PE11" s="726"/>
      <c r="PF11" s="726"/>
      <c r="PG11" s="725"/>
      <c r="PH11" s="726"/>
      <c r="PI11" s="726"/>
      <c r="PJ11" s="726"/>
      <c r="PK11" s="725"/>
      <c r="PL11" s="726"/>
      <c r="PM11" s="726"/>
      <c r="PN11" s="726"/>
      <c r="PO11" s="725"/>
      <c r="PP11" s="726"/>
      <c r="PQ11" s="726"/>
      <c r="PR11" s="726"/>
      <c r="PS11" s="725"/>
      <c r="PT11" s="726"/>
      <c r="PU11" s="726"/>
      <c r="PV11" s="726"/>
      <c r="PW11" s="725"/>
      <c r="PX11" s="726"/>
      <c r="PY11" s="726"/>
      <c r="PZ11" s="726"/>
      <c r="QA11" s="725"/>
      <c r="QB11" s="726"/>
      <c r="QC11" s="726"/>
      <c r="QD11" s="726"/>
      <c r="QE11" s="725"/>
      <c r="QF11" s="726"/>
      <c r="QG11" s="726"/>
      <c r="QH11" s="726"/>
      <c r="QI11" s="725"/>
      <c r="QJ11" s="726"/>
      <c r="QK11" s="726"/>
      <c r="QL11" s="726"/>
      <c r="QM11" s="725"/>
      <c r="QN11" s="726"/>
      <c r="QO11" s="726"/>
      <c r="QP11" s="726"/>
      <c r="QQ11" s="725"/>
      <c r="QR11" s="726"/>
      <c r="QS11" s="726"/>
      <c r="QT11" s="726"/>
      <c r="QU11" s="725"/>
      <c r="QV11" s="726"/>
      <c r="QW11" s="726"/>
      <c r="QX11" s="726"/>
      <c r="QY11" s="725"/>
      <c r="QZ11" s="726"/>
      <c r="RA11" s="726"/>
      <c r="RB11" s="726"/>
      <c r="RC11" s="725"/>
      <c r="RD11" s="726"/>
      <c r="RE11" s="726"/>
      <c r="RF11" s="726"/>
      <c r="RG11" s="725"/>
      <c r="RH11" s="726"/>
      <c r="RI11" s="726"/>
      <c r="RJ11" s="726"/>
      <c r="RK11" s="725"/>
      <c r="RL11" s="726"/>
      <c r="RM11" s="726"/>
      <c r="RN11" s="726"/>
      <c r="RO11" s="725"/>
      <c r="RP11" s="726"/>
      <c r="RQ11" s="726"/>
      <c r="RR11" s="726"/>
      <c r="RS11" s="725"/>
      <c r="RT11" s="726"/>
      <c r="RU11" s="726"/>
      <c r="RV11" s="726"/>
      <c r="RW11" s="725"/>
      <c r="RX11" s="726"/>
      <c r="RY11" s="726"/>
      <c r="RZ11" s="726"/>
      <c r="SA11" s="725"/>
      <c r="SB11" s="726"/>
      <c r="SC11" s="726"/>
      <c r="SD11" s="726"/>
      <c r="SE11" s="725"/>
      <c r="SF11" s="726"/>
      <c r="SG11" s="726"/>
      <c r="SH11" s="726"/>
      <c r="SI11" s="725"/>
      <c r="SJ11" s="726"/>
      <c r="SK11" s="726"/>
      <c r="SL11" s="726"/>
      <c r="SM11" s="725"/>
      <c r="SN11" s="726"/>
      <c r="SO11" s="726"/>
      <c r="SP11" s="726"/>
      <c r="SQ11" s="725"/>
      <c r="SR11" s="726"/>
      <c r="SS11" s="726"/>
      <c r="ST11" s="726"/>
      <c r="SU11" s="725"/>
      <c r="SV11" s="726"/>
      <c r="SW11" s="726"/>
      <c r="SX11" s="726"/>
      <c r="SY11" s="725"/>
      <c r="SZ11" s="726"/>
      <c r="TA11" s="726"/>
      <c r="TB11" s="726"/>
      <c r="TC11" s="725"/>
      <c r="TD11" s="726"/>
      <c r="TE11" s="726"/>
      <c r="TF11" s="726"/>
      <c r="TG11" s="725"/>
      <c r="TH11" s="726"/>
      <c r="TI11" s="726"/>
      <c r="TJ11" s="726"/>
      <c r="TK11" s="725"/>
      <c r="TL11" s="726"/>
      <c r="TM11" s="726"/>
      <c r="TN11" s="726"/>
      <c r="TO11" s="725"/>
      <c r="TP11" s="726"/>
      <c r="TQ11" s="726"/>
      <c r="TR11" s="726"/>
      <c r="TS11" s="725"/>
      <c r="TT11" s="726"/>
      <c r="TU11" s="726"/>
      <c r="TV11" s="726"/>
      <c r="TW11" s="725"/>
      <c r="TX11" s="726"/>
      <c r="TY11" s="726"/>
      <c r="TZ11" s="726"/>
      <c r="UA11" s="725"/>
      <c r="UB11" s="726"/>
      <c r="UC11" s="726"/>
      <c r="UD11" s="726"/>
      <c r="UE11" s="725"/>
      <c r="UF11" s="726"/>
      <c r="UG11" s="726"/>
      <c r="UH11" s="726"/>
      <c r="UI11" s="725"/>
      <c r="UJ11" s="726"/>
      <c r="UK11" s="726"/>
      <c r="UL11" s="726"/>
      <c r="UM11" s="725"/>
      <c r="UN11" s="726"/>
      <c r="UO11" s="726"/>
      <c r="UP11" s="726"/>
      <c r="UQ11" s="725"/>
      <c r="UR11" s="726"/>
      <c r="US11" s="726"/>
      <c r="UT11" s="726"/>
      <c r="UU11" s="725"/>
      <c r="UV11" s="726"/>
      <c r="UW11" s="726"/>
      <c r="UX11" s="726"/>
      <c r="UY11" s="725"/>
      <c r="UZ11" s="726"/>
      <c r="VA11" s="726"/>
      <c r="VB11" s="726"/>
      <c r="VC11" s="725"/>
      <c r="VD11" s="726"/>
      <c r="VE11" s="726"/>
      <c r="VF11" s="726"/>
      <c r="VG11" s="725"/>
      <c r="VH11" s="726"/>
      <c r="VI11" s="726"/>
      <c r="VJ11" s="726"/>
      <c r="VK11" s="725"/>
      <c r="VL11" s="726"/>
      <c r="VM11" s="726"/>
      <c r="VN11" s="726"/>
      <c r="VO11" s="725"/>
      <c r="VP11" s="726"/>
      <c r="VQ11" s="726"/>
      <c r="VR11" s="726"/>
      <c r="VS11" s="725"/>
      <c r="VT11" s="726"/>
      <c r="VU11" s="726"/>
      <c r="VV11" s="726"/>
      <c r="VW11" s="725"/>
      <c r="VX11" s="726"/>
      <c r="VY11" s="726"/>
      <c r="VZ11" s="726"/>
      <c r="WA11" s="725"/>
      <c r="WB11" s="726"/>
      <c r="WC11" s="726"/>
      <c r="WD11" s="726"/>
      <c r="WE11" s="725"/>
      <c r="WF11" s="726"/>
      <c r="WG11" s="726"/>
      <c r="WH11" s="726"/>
      <c r="WI11" s="725"/>
      <c r="WJ11" s="726"/>
      <c r="WK11" s="726"/>
      <c r="WL11" s="726"/>
      <c r="WM11" s="725"/>
      <c r="WN11" s="726"/>
      <c r="WO11" s="726"/>
      <c r="WP11" s="726"/>
      <c r="WQ11" s="725"/>
      <c r="WR11" s="726"/>
      <c r="WS11" s="726"/>
      <c r="WT11" s="726"/>
      <c r="WU11" s="725"/>
      <c r="WV11" s="726"/>
      <c r="WW11" s="726"/>
      <c r="WX11" s="726"/>
      <c r="WY11" s="725"/>
      <c r="WZ11" s="726"/>
      <c r="XA11" s="726"/>
      <c r="XB11" s="726"/>
    </row>
    <row r="12" spans="1:627" ht="30" customHeight="1" thickBot="1">
      <c r="A12" s="693"/>
      <c r="B12" s="693"/>
      <c r="C12" s="1919"/>
      <c r="D12" s="695"/>
      <c r="E12" s="695"/>
      <c r="F12" s="695"/>
      <c r="G12" s="693"/>
      <c r="H12" s="693"/>
      <c r="I12" s="693"/>
      <c r="J12" s="1921" t="s">
        <v>2366</v>
      </c>
      <c r="K12" s="1922"/>
      <c r="L12" s="1922"/>
      <c r="M12" s="1923"/>
      <c r="N12" s="1924" t="s">
        <v>2367</v>
      </c>
      <c r="O12" s="1925"/>
      <c r="P12" s="1925"/>
      <c r="Q12" s="1926"/>
      <c r="R12" s="1925" t="s">
        <v>2368</v>
      </c>
      <c r="S12" s="1925"/>
      <c r="T12" s="1926"/>
      <c r="U12" s="1927"/>
      <c r="V12" s="1924" t="s">
        <v>2368</v>
      </c>
      <c r="W12" s="1925"/>
      <c r="X12" s="1926"/>
      <c r="Y12" s="1926"/>
      <c r="Z12" s="1924" t="s">
        <v>2368</v>
      </c>
      <c r="AA12" s="1925"/>
      <c r="AB12" s="1926"/>
      <c r="AC12" s="1926"/>
      <c r="AD12" s="1924" t="s">
        <v>2368</v>
      </c>
      <c r="AE12" s="1925"/>
      <c r="AF12" s="1926"/>
      <c r="AG12" s="1926"/>
      <c r="AH12" s="1924" t="s">
        <v>2368</v>
      </c>
      <c r="AI12" s="1925"/>
      <c r="AJ12" s="1926"/>
      <c r="AK12" s="1926"/>
      <c r="AL12" s="1924" t="s">
        <v>2369</v>
      </c>
      <c r="AM12" s="1925"/>
      <c r="AN12" s="1926"/>
      <c r="AO12" s="1926"/>
      <c r="AP12" s="1924" t="s">
        <v>2369</v>
      </c>
      <c r="AQ12" s="1925"/>
      <c r="AR12" s="1926"/>
      <c r="AS12" s="1926"/>
      <c r="AT12" s="1924" t="s">
        <v>2369</v>
      </c>
      <c r="AU12" s="1925"/>
      <c r="AV12" s="1926"/>
      <c r="AW12" s="1926"/>
      <c r="AX12" s="1924" t="s">
        <v>2369</v>
      </c>
      <c r="AY12" s="1925"/>
      <c r="AZ12" s="1926"/>
      <c r="BA12" s="1926"/>
      <c r="BB12" s="1924" t="s">
        <v>2369</v>
      </c>
      <c r="BC12" s="1925"/>
      <c r="BD12" s="1926"/>
      <c r="BE12" s="1926"/>
      <c r="BF12" s="1924" t="s">
        <v>2369</v>
      </c>
      <c r="BG12" s="1925"/>
      <c r="BH12" s="1926"/>
      <c r="BI12" s="1926"/>
      <c r="BJ12" s="1924" t="s">
        <v>2369</v>
      </c>
      <c r="BK12" s="1925"/>
      <c r="BL12" s="1926"/>
      <c r="BM12" s="1926"/>
      <c r="BN12" s="1924" t="s">
        <v>2369</v>
      </c>
      <c r="BO12" s="1925"/>
      <c r="BP12" s="1926"/>
      <c r="BQ12" s="1926"/>
      <c r="BR12" s="1924" t="s">
        <v>2369</v>
      </c>
      <c r="BS12" s="1925"/>
      <c r="BT12" s="1926"/>
      <c r="BU12" s="1926"/>
      <c r="BV12" s="1924" t="s">
        <v>2369</v>
      </c>
      <c r="BW12" s="1925"/>
      <c r="BX12" s="1926"/>
      <c r="BY12" s="1926"/>
      <c r="BZ12" s="1924" t="s">
        <v>2369</v>
      </c>
      <c r="CA12" s="1925"/>
      <c r="CB12" s="1926"/>
      <c r="CC12" s="1926"/>
      <c r="CD12" s="1924" t="s">
        <v>2370</v>
      </c>
      <c r="CE12" s="1925"/>
      <c r="CF12" s="1926"/>
      <c r="CG12" s="1926"/>
      <c r="CH12" s="1924" t="s">
        <v>2370</v>
      </c>
      <c r="CI12" s="1925"/>
      <c r="CJ12" s="1926"/>
      <c r="CK12" s="1926"/>
      <c r="CL12" s="1924" t="s">
        <v>2370</v>
      </c>
      <c r="CM12" s="1925"/>
      <c r="CN12" s="1926"/>
      <c r="CO12" s="1926"/>
      <c r="CP12" s="1924" t="s">
        <v>2370</v>
      </c>
      <c r="CQ12" s="1925"/>
      <c r="CR12" s="1926"/>
      <c r="CS12" s="1926"/>
      <c r="CT12" s="1924" t="s">
        <v>2370</v>
      </c>
      <c r="CU12" s="1925"/>
      <c r="CV12" s="1926"/>
      <c r="CW12" s="1926"/>
      <c r="CX12" s="1924" t="s">
        <v>2370</v>
      </c>
      <c r="CY12" s="1925"/>
      <c r="CZ12" s="1926"/>
      <c r="DA12" s="1926"/>
      <c r="DB12" s="1924" t="s">
        <v>2370</v>
      </c>
      <c r="DC12" s="1925"/>
      <c r="DD12" s="1926"/>
      <c r="DE12" s="1926"/>
      <c r="DF12" s="1924" t="s">
        <v>2371</v>
      </c>
      <c r="DG12" s="1925"/>
      <c r="DH12" s="1926"/>
      <c r="DI12" s="1926"/>
      <c r="DJ12" s="1924" t="s">
        <v>2371</v>
      </c>
      <c r="DK12" s="1925"/>
      <c r="DL12" s="1926"/>
      <c r="DM12" s="1926"/>
      <c r="DN12" s="1924" t="s">
        <v>2371</v>
      </c>
      <c r="DO12" s="1925"/>
      <c r="DP12" s="1926"/>
      <c r="DQ12" s="1926"/>
      <c r="DR12" s="1924" t="s">
        <v>2371</v>
      </c>
      <c r="DS12" s="1925"/>
      <c r="DT12" s="1926"/>
      <c r="DU12" s="1926"/>
      <c r="DV12" s="1924" t="s">
        <v>2371</v>
      </c>
      <c r="DW12" s="1925"/>
      <c r="DX12" s="1926"/>
      <c r="DY12" s="1926"/>
      <c r="DZ12" s="1924" t="s">
        <v>2371</v>
      </c>
      <c r="EA12" s="1925"/>
      <c r="EB12" s="1926"/>
      <c r="EC12" s="1926"/>
      <c r="ED12" s="1924" t="s">
        <v>2371</v>
      </c>
      <c r="EE12" s="1925"/>
      <c r="EF12" s="1926"/>
      <c r="EG12" s="1926"/>
      <c r="EH12" s="1924" t="s">
        <v>2371</v>
      </c>
      <c r="EI12" s="1925"/>
      <c r="EJ12" s="1926"/>
      <c r="EK12" s="1926"/>
      <c r="EL12" s="1924" t="s">
        <v>2372</v>
      </c>
      <c r="EM12" s="1925"/>
      <c r="EN12" s="1926"/>
      <c r="EO12" s="1926"/>
      <c r="EP12" s="1924" t="s">
        <v>2372</v>
      </c>
      <c r="EQ12" s="1925"/>
      <c r="ER12" s="1926"/>
      <c r="ES12" s="1926"/>
      <c r="ET12" s="1924" t="s">
        <v>2372</v>
      </c>
      <c r="EU12" s="1925"/>
      <c r="EV12" s="1926"/>
      <c r="EW12" s="1926"/>
      <c r="EX12" s="1924" t="s">
        <v>2373</v>
      </c>
      <c r="EY12" s="1925"/>
      <c r="EZ12" s="1926"/>
      <c r="FA12" s="1926"/>
      <c r="FB12" s="1924" t="s">
        <v>2373</v>
      </c>
      <c r="FC12" s="1925"/>
      <c r="FD12" s="1926"/>
      <c r="FE12" s="1926"/>
      <c r="FF12" s="1928" t="s">
        <v>2374</v>
      </c>
      <c r="FG12" s="1925"/>
      <c r="FH12" s="1926"/>
      <c r="FI12" s="1926"/>
      <c r="FJ12" s="1928" t="s">
        <v>2374</v>
      </c>
      <c r="FK12" s="1925"/>
      <c r="FL12" s="1926"/>
      <c r="FM12" s="1926"/>
      <c r="FN12" s="1928" t="s">
        <v>2374</v>
      </c>
      <c r="FO12" s="1925"/>
      <c r="FP12" s="1926"/>
      <c r="FQ12" s="1926"/>
      <c r="FR12" s="1928" t="s">
        <v>2375</v>
      </c>
      <c r="FS12" s="1925"/>
      <c r="FT12" s="1926"/>
      <c r="FU12" s="1926"/>
      <c r="FV12" s="1928" t="s">
        <v>2375</v>
      </c>
      <c r="FW12" s="1925"/>
      <c r="FX12" s="1926"/>
      <c r="FY12" s="1926"/>
      <c r="FZ12" s="1928" t="s">
        <v>2375</v>
      </c>
      <c r="GA12" s="1925"/>
      <c r="GB12" s="1926"/>
      <c r="GC12" s="1926"/>
      <c r="GD12" s="1924" t="s">
        <v>2376</v>
      </c>
      <c r="GE12" s="1925"/>
      <c r="GF12" s="1926"/>
      <c r="GG12" s="1926"/>
      <c r="GH12" s="1924" t="s">
        <v>2376</v>
      </c>
      <c r="GI12" s="1925"/>
      <c r="GJ12" s="1926"/>
      <c r="GK12" s="1926"/>
      <c r="GL12" s="1924" t="s">
        <v>2376</v>
      </c>
      <c r="GM12" s="1925"/>
      <c r="GN12" s="1926"/>
      <c r="GO12" s="1926"/>
      <c r="GP12" s="1924" t="s">
        <v>2376</v>
      </c>
      <c r="GQ12" s="1925"/>
      <c r="GR12" s="1926"/>
      <c r="GS12" s="1926"/>
      <c r="GT12" s="1924" t="s">
        <v>2376</v>
      </c>
      <c r="GU12" s="1925"/>
      <c r="GV12" s="1926"/>
      <c r="GW12" s="1926"/>
      <c r="GX12" s="1924" t="s">
        <v>2376</v>
      </c>
      <c r="GY12" s="1925"/>
      <c r="GZ12" s="1926"/>
      <c r="HA12" s="1926"/>
      <c r="HB12" s="1924" t="s">
        <v>2377</v>
      </c>
      <c r="HC12" s="1925"/>
      <c r="HD12" s="1926"/>
      <c r="HE12" s="1926"/>
      <c r="HF12" s="1924" t="s">
        <v>2377</v>
      </c>
      <c r="HG12" s="1925"/>
      <c r="HH12" s="1926"/>
      <c r="HI12" s="1926"/>
      <c r="HJ12" s="1924" t="s">
        <v>2377</v>
      </c>
      <c r="HK12" s="1925"/>
      <c r="HL12" s="1926"/>
      <c r="HM12" s="1926"/>
      <c r="HN12" s="1924" t="s">
        <v>2377</v>
      </c>
      <c r="HO12" s="1925"/>
      <c r="HP12" s="1926"/>
      <c r="HQ12" s="1926"/>
      <c r="HR12" s="1924" t="s">
        <v>2377</v>
      </c>
      <c r="HS12" s="1925"/>
      <c r="HT12" s="1926"/>
      <c r="HU12" s="1926"/>
      <c r="HV12" s="1924" t="s">
        <v>2378</v>
      </c>
      <c r="HW12" s="1925"/>
      <c r="HX12" s="1926"/>
      <c r="HY12" s="1926"/>
      <c r="HZ12" s="1924" t="s">
        <v>2378</v>
      </c>
      <c r="IA12" s="1925"/>
      <c r="IB12" s="1926"/>
      <c r="IC12" s="1926"/>
      <c r="ID12" s="1924" t="s">
        <v>2378</v>
      </c>
      <c r="IE12" s="1925"/>
      <c r="IF12" s="1926"/>
      <c r="IG12" s="1926"/>
      <c r="IH12" s="1924" t="s">
        <v>2378</v>
      </c>
      <c r="II12" s="1925"/>
      <c r="IJ12" s="1926"/>
      <c r="IK12" s="1926"/>
      <c r="IL12" s="1924" t="s">
        <v>2378</v>
      </c>
      <c r="IM12" s="1925"/>
      <c r="IN12" s="1926"/>
      <c r="IO12" s="1926"/>
      <c r="IP12" s="1924" t="s">
        <v>2378</v>
      </c>
      <c r="IQ12" s="1925"/>
      <c r="IR12" s="1926"/>
      <c r="IS12" s="1926"/>
      <c r="IT12" s="1924" t="s">
        <v>2378</v>
      </c>
      <c r="IU12" s="1925"/>
      <c r="IV12" s="1926"/>
      <c r="IW12" s="1926"/>
      <c r="IX12" s="1924" t="s">
        <v>2378</v>
      </c>
      <c r="IY12" s="1925"/>
      <c r="IZ12" s="1926"/>
      <c r="JA12" s="1926"/>
      <c r="JB12" s="1924" t="s">
        <v>2378</v>
      </c>
      <c r="JC12" s="1925"/>
      <c r="JD12" s="1926"/>
      <c r="JE12" s="1926"/>
      <c r="JF12" s="1924" t="s">
        <v>2378</v>
      </c>
      <c r="JG12" s="1925"/>
      <c r="JH12" s="1926"/>
      <c r="JI12" s="1926"/>
      <c r="JJ12" s="1924" t="s">
        <v>2379</v>
      </c>
      <c r="JK12" s="1925"/>
      <c r="JL12" s="1926"/>
      <c r="JM12" s="1926"/>
      <c r="JN12" s="1924" t="s">
        <v>2379</v>
      </c>
      <c r="JO12" s="1925"/>
      <c r="JP12" s="1926"/>
      <c r="JQ12" s="1926"/>
      <c r="JR12" s="1924" t="s">
        <v>2379</v>
      </c>
      <c r="JS12" s="1925"/>
      <c r="JT12" s="1926"/>
      <c r="JU12" s="1926"/>
      <c r="JV12" s="1924" t="s">
        <v>2380</v>
      </c>
      <c r="JW12" s="1925"/>
      <c r="JX12" s="1926"/>
      <c r="JY12" s="1926"/>
      <c r="JZ12" s="1924" t="s">
        <v>2380</v>
      </c>
      <c r="KA12" s="1925"/>
      <c r="KB12" s="1926"/>
      <c r="KC12" s="1926"/>
      <c r="KD12" s="1924" t="s">
        <v>2380</v>
      </c>
      <c r="KE12" s="1925"/>
      <c r="KF12" s="1926"/>
      <c r="KG12" s="1926"/>
      <c r="KH12" s="1924" t="s">
        <v>2381</v>
      </c>
      <c r="KI12" s="1925"/>
      <c r="KJ12" s="1926"/>
      <c r="KK12" s="1926"/>
      <c r="KL12" s="1924" t="s">
        <v>2381</v>
      </c>
      <c r="KM12" s="1925"/>
      <c r="KN12" s="1926"/>
      <c r="KO12" s="1926"/>
      <c r="KP12" s="1924" t="s">
        <v>2381</v>
      </c>
      <c r="KQ12" s="1925"/>
      <c r="KR12" s="1926"/>
      <c r="KS12" s="1926"/>
      <c r="KT12" s="1924" t="s">
        <v>2381</v>
      </c>
      <c r="KU12" s="1925"/>
      <c r="KV12" s="1926"/>
      <c r="KW12" s="1926"/>
      <c r="KX12" s="1924" t="s">
        <v>2381</v>
      </c>
      <c r="KY12" s="1925"/>
      <c r="KZ12" s="1926"/>
      <c r="LA12" s="1926"/>
      <c r="LG12" s="695"/>
      <c r="LH12" s="693"/>
      <c r="LI12" s="693"/>
      <c r="LJ12" s="693"/>
      <c r="LK12" s="1921" t="s">
        <v>2366</v>
      </c>
      <c r="LL12" s="1922"/>
      <c r="LM12" s="1922"/>
      <c r="LN12" s="1923"/>
      <c r="LO12" s="1924" t="s">
        <v>2367</v>
      </c>
      <c r="LP12" s="1925"/>
      <c r="LQ12" s="1925"/>
      <c r="LR12" s="1926"/>
      <c r="LS12" s="1925" t="s">
        <v>2368</v>
      </c>
      <c r="LT12" s="1925"/>
      <c r="LU12" s="1926"/>
      <c r="LV12" s="1927"/>
      <c r="LW12" s="1924" t="s">
        <v>2368</v>
      </c>
      <c r="LX12" s="1925"/>
      <c r="LY12" s="1926"/>
      <c r="LZ12" s="1926"/>
      <c r="MA12" s="1924" t="s">
        <v>2368</v>
      </c>
      <c r="MB12" s="1925"/>
      <c r="MC12" s="1926"/>
      <c r="MD12" s="1926"/>
      <c r="ME12" s="1924" t="s">
        <v>2368</v>
      </c>
      <c r="MF12" s="1925"/>
      <c r="MG12" s="1926"/>
      <c r="MH12" s="1926"/>
      <c r="MI12" s="1924" t="s">
        <v>2368</v>
      </c>
      <c r="MJ12" s="1925"/>
      <c r="MK12" s="1926"/>
      <c r="ML12" s="1926"/>
      <c r="MM12" s="1924" t="s">
        <v>2369</v>
      </c>
      <c r="MN12" s="1925"/>
      <c r="MO12" s="1926"/>
      <c r="MP12" s="1926"/>
      <c r="MQ12" s="1924" t="s">
        <v>2369</v>
      </c>
      <c r="MR12" s="1925"/>
      <c r="MS12" s="1926"/>
      <c r="MT12" s="1926"/>
      <c r="MU12" s="1924" t="s">
        <v>2369</v>
      </c>
      <c r="MV12" s="1925"/>
      <c r="MW12" s="1926"/>
      <c r="MX12" s="1926"/>
      <c r="MY12" s="1924" t="s">
        <v>2369</v>
      </c>
      <c r="MZ12" s="1925"/>
      <c r="NA12" s="1926"/>
      <c r="NB12" s="1926"/>
      <c r="NC12" s="1924" t="s">
        <v>2369</v>
      </c>
      <c r="ND12" s="1925"/>
      <c r="NE12" s="1926"/>
      <c r="NF12" s="1926"/>
      <c r="NG12" s="1924" t="s">
        <v>2369</v>
      </c>
      <c r="NH12" s="1925"/>
      <c r="NI12" s="1926"/>
      <c r="NJ12" s="1926"/>
      <c r="NK12" s="1924" t="s">
        <v>2369</v>
      </c>
      <c r="NL12" s="1925"/>
      <c r="NM12" s="1926"/>
      <c r="NN12" s="1926"/>
      <c r="NO12" s="1924" t="s">
        <v>2369</v>
      </c>
      <c r="NP12" s="1925"/>
      <c r="NQ12" s="1926"/>
      <c r="NR12" s="1926"/>
      <c r="NS12" s="1924" t="s">
        <v>2369</v>
      </c>
      <c r="NT12" s="1925"/>
      <c r="NU12" s="1926"/>
      <c r="NV12" s="1926"/>
      <c r="NW12" s="1924" t="s">
        <v>2369</v>
      </c>
      <c r="NX12" s="1925"/>
      <c r="NY12" s="1926"/>
      <c r="NZ12" s="1926"/>
      <c r="OA12" s="1924" t="s">
        <v>2369</v>
      </c>
      <c r="OB12" s="1925"/>
      <c r="OC12" s="1926"/>
      <c r="OD12" s="1926"/>
      <c r="OE12" s="1924" t="s">
        <v>2370</v>
      </c>
      <c r="OF12" s="1925"/>
      <c r="OG12" s="1926"/>
      <c r="OH12" s="1926"/>
      <c r="OI12" s="1924" t="s">
        <v>2370</v>
      </c>
      <c r="OJ12" s="1925"/>
      <c r="OK12" s="1926"/>
      <c r="OL12" s="1926"/>
      <c r="OM12" s="1924" t="s">
        <v>2370</v>
      </c>
      <c r="ON12" s="1925"/>
      <c r="OO12" s="1926"/>
      <c r="OP12" s="1926"/>
      <c r="OQ12" s="1924" t="s">
        <v>2370</v>
      </c>
      <c r="OR12" s="1925"/>
      <c r="OS12" s="1926"/>
      <c r="OT12" s="1926"/>
      <c r="OU12" s="1924" t="s">
        <v>2370</v>
      </c>
      <c r="OV12" s="1925"/>
      <c r="OW12" s="1926"/>
      <c r="OX12" s="1926"/>
      <c r="OY12" s="1924" t="s">
        <v>2370</v>
      </c>
      <c r="OZ12" s="1925"/>
      <c r="PA12" s="1926"/>
      <c r="PB12" s="1926"/>
      <c r="PC12" s="1924" t="s">
        <v>2370</v>
      </c>
      <c r="PD12" s="1925"/>
      <c r="PE12" s="1926"/>
      <c r="PF12" s="1926"/>
      <c r="PG12" s="1924" t="s">
        <v>2371</v>
      </c>
      <c r="PH12" s="1925"/>
      <c r="PI12" s="1926"/>
      <c r="PJ12" s="1926"/>
      <c r="PK12" s="1924" t="s">
        <v>2371</v>
      </c>
      <c r="PL12" s="1925"/>
      <c r="PM12" s="1926"/>
      <c r="PN12" s="1926"/>
      <c r="PO12" s="1924" t="s">
        <v>2371</v>
      </c>
      <c r="PP12" s="1925"/>
      <c r="PQ12" s="1926"/>
      <c r="PR12" s="1926"/>
      <c r="PS12" s="1924" t="s">
        <v>2371</v>
      </c>
      <c r="PT12" s="1925"/>
      <c r="PU12" s="1926"/>
      <c r="PV12" s="1926"/>
      <c r="PW12" s="1924" t="s">
        <v>2371</v>
      </c>
      <c r="PX12" s="1925"/>
      <c r="PY12" s="1926"/>
      <c r="PZ12" s="1926"/>
      <c r="QA12" s="1924" t="s">
        <v>2371</v>
      </c>
      <c r="QB12" s="1925"/>
      <c r="QC12" s="1926"/>
      <c r="QD12" s="1926"/>
      <c r="QE12" s="1924" t="s">
        <v>2371</v>
      </c>
      <c r="QF12" s="1925"/>
      <c r="QG12" s="1926"/>
      <c r="QH12" s="1926"/>
      <c r="QI12" s="1924" t="s">
        <v>2371</v>
      </c>
      <c r="QJ12" s="1925"/>
      <c r="QK12" s="1926"/>
      <c r="QL12" s="1926"/>
      <c r="QM12" s="1924" t="s">
        <v>2372</v>
      </c>
      <c r="QN12" s="1925"/>
      <c r="QO12" s="1926"/>
      <c r="QP12" s="1926"/>
      <c r="QQ12" s="1924" t="s">
        <v>2372</v>
      </c>
      <c r="QR12" s="1925"/>
      <c r="QS12" s="1926"/>
      <c r="QT12" s="1926"/>
      <c r="QU12" s="1924" t="s">
        <v>2372</v>
      </c>
      <c r="QV12" s="1925"/>
      <c r="QW12" s="1926"/>
      <c r="QX12" s="1926"/>
      <c r="QY12" s="1924" t="s">
        <v>2373</v>
      </c>
      <c r="QZ12" s="1925"/>
      <c r="RA12" s="1926"/>
      <c r="RB12" s="1926"/>
      <c r="RC12" s="1924" t="s">
        <v>2373</v>
      </c>
      <c r="RD12" s="1925"/>
      <c r="RE12" s="1926"/>
      <c r="RF12" s="1926"/>
      <c r="RG12" s="1928" t="s">
        <v>2374</v>
      </c>
      <c r="RH12" s="1925"/>
      <c r="RI12" s="1926"/>
      <c r="RJ12" s="1926"/>
      <c r="RK12" s="1928" t="s">
        <v>2374</v>
      </c>
      <c r="RL12" s="1925"/>
      <c r="RM12" s="1926"/>
      <c r="RN12" s="1926"/>
      <c r="RO12" s="1928" t="s">
        <v>2374</v>
      </c>
      <c r="RP12" s="1925"/>
      <c r="RQ12" s="1926"/>
      <c r="RR12" s="1926"/>
      <c r="RS12" s="1928" t="s">
        <v>2375</v>
      </c>
      <c r="RT12" s="1925"/>
      <c r="RU12" s="1926"/>
      <c r="RV12" s="1926"/>
      <c r="RW12" s="1928" t="s">
        <v>2375</v>
      </c>
      <c r="RX12" s="1925"/>
      <c r="RY12" s="1926"/>
      <c r="RZ12" s="1926"/>
      <c r="SA12" s="1928" t="s">
        <v>2375</v>
      </c>
      <c r="SB12" s="1925"/>
      <c r="SC12" s="1926"/>
      <c r="SD12" s="1926"/>
      <c r="SE12" s="1924" t="s">
        <v>2376</v>
      </c>
      <c r="SF12" s="1925"/>
      <c r="SG12" s="1926"/>
      <c r="SH12" s="1926"/>
      <c r="SI12" s="1924" t="s">
        <v>2376</v>
      </c>
      <c r="SJ12" s="1925"/>
      <c r="SK12" s="1926"/>
      <c r="SL12" s="1926"/>
      <c r="SM12" s="1924" t="s">
        <v>2376</v>
      </c>
      <c r="SN12" s="1925"/>
      <c r="SO12" s="1926"/>
      <c r="SP12" s="1926"/>
      <c r="SQ12" s="1924" t="s">
        <v>2376</v>
      </c>
      <c r="SR12" s="1925"/>
      <c r="SS12" s="1926"/>
      <c r="ST12" s="1926"/>
      <c r="SU12" s="1924" t="s">
        <v>2376</v>
      </c>
      <c r="SV12" s="1925"/>
      <c r="SW12" s="1926"/>
      <c r="SX12" s="1926"/>
      <c r="SY12" s="1924" t="s">
        <v>2376</v>
      </c>
      <c r="SZ12" s="1925"/>
      <c r="TA12" s="1926"/>
      <c r="TB12" s="1926"/>
      <c r="TC12" s="1924" t="s">
        <v>2377</v>
      </c>
      <c r="TD12" s="1925"/>
      <c r="TE12" s="1926"/>
      <c r="TF12" s="1926"/>
      <c r="TG12" s="1924" t="s">
        <v>2377</v>
      </c>
      <c r="TH12" s="1925"/>
      <c r="TI12" s="1926"/>
      <c r="TJ12" s="1926"/>
      <c r="TK12" s="1924" t="s">
        <v>2377</v>
      </c>
      <c r="TL12" s="1925"/>
      <c r="TM12" s="1926"/>
      <c r="TN12" s="1926"/>
      <c r="TO12" s="1924" t="s">
        <v>2377</v>
      </c>
      <c r="TP12" s="1925"/>
      <c r="TQ12" s="1926"/>
      <c r="TR12" s="1926"/>
      <c r="TS12" s="1924" t="s">
        <v>2377</v>
      </c>
      <c r="TT12" s="1925"/>
      <c r="TU12" s="1926"/>
      <c r="TV12" s="1926"/>
      <c r="TW12" s="1924" t="s">
        <v>2378</v>
      </c>
      <c r="TX12" s="1925"/>
      <c r="TY12" s="1926"/>
      <c r="TZ12" s="1926"/>
      <c r="UA12" s="1924" t="s">
        <v>2378</v>
      </c>
      <c r="UB12" s="1925"/>
      <c r="UC12" s="1926"/>
      <c r="UD12" s="1926"/>
      <c r="UE12" s="1924" t="s">
        <v>2378</v>
      </c>
      <c r="UF12" s="1925"/>
      <c r="UG12" s="1926"/>
      <c r="UH12" s="1926"/>
      <c r="UI12" s="1924" t="s">
        <v>2378</v>
      </c>
      <c r="UJ12" s="1925"/>
      <c r="UK12" s="1926"/>
      <c r="UL12" s="1926"/>
      <c r="UM12" s="1924" t="s">
        <v>2378</v>
      </c>
      <c r="UN12" s="1925"/>
      <c r="UO12" s="1926"/>
      <c r="UP12" s="1926"/>
      <c r="UQ12" s="1924" t="s">
        <v>2378</v>
      </c>
      <c r="UR12" s="1925"/>
      <c r="US12" s="1926"/>
      <c r="UT12" s="1926"/>
      <c r="UU12" s="1924" t="s">
        <v>2378</v>
      </c>
      <c r="UV12" s="1925"/>
      <c r="UW12" s="1926"/>
      <c r="UX12" s="1926"/>
      <c r="UY12" s="1924" t="s">
        <v>2378</v>
      </c>
      <c r="UZ12" s="1925"/>
      <c r="VA12" s="1926"/>
      <c r="VB12" s="1926"/>
      <c r="VC12" s="1924" t="s">
        <v>2378</v>
      </c>
      <c r="VD12" s="1925"/>
      <c r="VE12" s="1926"/>
      <c r="VF12" s="1926"/>
      <c r="VG12" s="1924" t="s">
        <v>2378</v>
      </c>
      <c r="VH12" s="1925"/>
      <c r="VI12" s="1926"/>
      <c r="VJ12" s="1926"/>
      <c r="VK12" s="1924" t="s">
        <v>2379</v>
      </c>
      <c r="VL12" s="1925"/>
      <c r="VM12" s="1926"/>
      <c r="VN12" s="1926"/>
      <c r="VO12" s="1924" t="s">
        <v>2379</v>
      </c>
      <c r="VP12" s="1925"/>
      <c r="VQ12" s="1926"/>
      <c r="VR12" s="1926"/>
      <c r="VS12" s="1924" t="s">
        <v>2379</v>
      </c>
      <c r="VT12" s="1925"/>
      <c r="VU12" s="1926"/>
      <c r="VV12" s="1926"/>
      <c r="VW12" s="1924" t="s">
        <v>2380</v>
      </c>
      <c r="VX12" s="1925"/>
      <c r="VY12" s="1926"/>
      <c r="VZ12" s="1926"/>
      <c r="WA12" s="1924" t="s">
        <v>2380</v>
      </c>
      <c r="WB12" s="1925"/>
      <c r="WC12" s="1926"/>
      <c r="WD12" s="1926"/>
      <c r="WE12" s="1924" t="s">
        <v>2380</v>
      </c>
      <c r="WF12" s="1925"/>
      <c r="WG12" s="1926"/>
      <c r="WH12" s="1926"/>
      <c r="WI12" s="1924" t="s">
        <v>2381</v>
      </c>
      <c r="WJ12" s="1925"/>
      <c r="WK12" s="1926"/>
      <c r="WL12" s="1926"/>
      <c r="WM12" s="1924" t="s">
        <v>2381</v>
      </c>
      <c r="WN12" s="1925"/>
      <c r="WO12" s="1926"/>
      <c r="WP12" s="1926"/>
      <c r="WQ12" s="1924" t="s">
        <v>2381</v>
      </c>
      <c r="WR12" s="1925"/>
      <c r="WS12" s="1926"/>
      <c r="WT12" s="1926"/>
      <c r="WU12" s="1924" t="s">
        <v>2381</v>
      </c>
      <c r="WV12" s="1925"/>
      <c r="WW12" s="1926"/>
      <c r="WX12" s="1926"/>
      <c r="WY12" s="1924" t="s">
        <v>2381</v>
      </c>
      <c r="WZ12" s="1925"/>
      <c r="XA12" s="1926"/>
      <c r="XB12" s="1926"/>
    </row>
    <row r="13" spans="1:627" ht="15.75" customHeight="1">
      <c r="A13" s="708"/>
      <c r="B13" s="708"/>
      <c r="C13" s="709"/>
      <c r="D13" s="696"/>
      <c r="E13" s="696"/>
      <c r="F13" s="696"/>
      <c r="G13" s="708"/>
      <c r="H13" s="708"/>
      <c r="I13" s="708"/>
      <c r="J13" s="1921" t="s">
        <v>2382</v>
      </c>
      <c r="K13" s="1922"/>
      <c r="L13" s="1922"/>
      <c r="M13" s="1923"/>
      <c r="N13" s="1921" t="s">
        <v>2383</v>
      </c>
      <c r="O13" s="1922"/>
      <c r="P13" s="1922"/>
      <c r="Q13" s="1923"/>
      <c r="R13" s="1921" t="s">
        <v>2384</v>
      </c>
      <c r="S13" s="1922"/>
      <c r="T13" s="1922"/>
      <c r="U13" s="1923"/>
      <c r="V13" s="1921" t="s">
        <v>2385</v>
      </c>
      <c r="W13" s="1922"/>
      <c r="X13" s="1922"/>
      <c r="Y13" s="1923"/>
      <c r="Z13" s="1921" t="s">
        <v>2386</v>
      </c>
      <c r="AA13" s="1922"/>
      <c r="AB13" s="1922"/>
      <c r="AC13" s="1923"/>
      <c r="AD13" s="1921" t="s">
        <v>2387</v>
      </c>
      <c r="AE13" s="1922"/>
      <c r="AF13" s="1922"/>
      <c r="AG13" s="1923"/>
      <c r="AH13" s="1921" t="s">
        <v>2388</v>
      </c>
      <c r="AI13" s="1922"/>
      <c r="AJ13" s="1922"/>
      <c r="AK13" s="1923"/>
      <c r="AL13" s="1921" t="s">
        <v>2389</v>
      </c>
      <c r="AM13" s="1922"/>
      <c r="AN13" s="1922"/>
      <c r="AO13" s="1923"/>
      <c r="AP13" s="1921" t="s">
        <v>2390</v>
      </c>
      <c r="AQ13" s="1922"/>
      <c r="AR13" s="1922"/>
      <c r="AS13" s="1923"/>
      <c r="AT13" s="1921" t="s">
        <v>2391</v>
      </c>
      <c r="AU13" s="1922"/>
      <c r="AV13" s="1922"/>
      <c r="AW13" s="1923"/>
      <c r="AX13" s="1921" t="s">
        <v>2392</v>
      </c>
      <c r="AY13" s="1922"/>
      <c r="AZ13" s="1922"/>
      <c r="BA13" s="1923"/>
      <c r="BB13" s="1921" t="s">
        <v>2393</v>
      </c>
      <c r="BC13" s="1922"/>
      <c r="BD13" s="1922"/>
      <c r="BE13" s="1923"/>
      <c r="BF13" s="1921" t="s">
        <v>2394</v>
      </c>
      <c r="BG13" s="1922"/>
      <c r="BH13" s="1922"/>
      <c r="BI13" s="1923"/>
      <c r="BJ13" s="1921" t="s">
        <v>2395</v>
      </c>
      <c r="BK13" s="1922"/>
      <c r="BL13" s="1922"/>
      <c r="BM13" s="1923"/>
      <c r="BN13" s="1921" t="s">
        <v>2396</v>
      </c>
      <c r="BO13" s="1922"/>
      <c r="BP13" s="1922"/>
      <c r="BQ13" s="1923"/>
      <c r="BR13" s="1921" t="s">
        <v>2397</v>
      </c>
      <c r="BS13" s="1922"/>
      <c r="BT13" s="1922"/>
      <c r="BU13" s="1923"/>
      <c r="BV13" s="1921" t="s">
        <v>2398</v>
      </c>
      <c r="BW13" s="1922"/>
      <c r="BX13" s="1922"/>
      <c r="BY13" s="1923"/>
      <c r="BZ13" s="1921" t="s">
        <v>2399</v>
      </c>
      <c r="CA13" s="1922"/>
      <c r="CB13" s="1922"/>
      <c r="CC13" s="1923"/>
      <c r="CD13" s="1921" t="s">
        <v>2400</v>
      </c>
      <c r="CE13" s="1922"/>
      <c r="CF13" s="1922"/>
      <c r="CG13" s="1923"/>
      <c r="CH13" s="1921" t="s">
        <v>2401</v>
      </c>
      <c r="CI13" s="1922"/>
      <c r="CJ13" s="1922"/>
      <c r="CK13" s="1923"/>
      <c r="CL13" s="1921" t="s">
        <v>2402</v>
      </c>
      <c r="CM13" s="1922"/>
      <c r="CN13" s="1922"/>
      <c r="CO13" s="1923"/>
      <c r="CP13" s="1921" t="s">
        <v>2403</v>
      </c>
      <c r="CQ13" s="1922"/>
      <c r="CR13" s="1922"/>
      <c r="CS13" s="1923"/>
      <c r="CT13" s="1921" t="s">
        <v>2404</v>
      </c>
      <c r="CU13" s="1922"/>
      <c r="CV13" s="1922"/>
      <c r="CW13" s="1923"/>
      <c r="CX13" s="1921" t="s">
        <v>2405</v>
      </c>
      <c r="CY13" s="1922"/>
      <c r="CZ13" s="1922"/>
      <c r="DA13" s="1923"/>
      <c r="DB13" s="1921" t="s">
        <v>2406</v>
      </c>
      <c r="DC13" s="1922"/>
      <c r="DD13" s="1922"/>
      <c r="DE13" s="1923"/>
      <c r="DF13" s="1921" t="s">
        <v>2407</v>
      </c>
      <c r="DG13" s="1922"/>
      <c r="DH13" s="1922"/>
      <c r="DI13" s="1923"/>
      <c r="DJ13" s="1921" t="s">
        <v>2408</v>
      </c>
      <c r="DK13" s="1922"/>
      <c r="DL13" s="1922"/>
      <c r="DM13" s="1923"/>
      <c r="DN13" s="1921" t="s">
        <v>2409</v>
      </c>
      <c r="DO13" s="1922"/>
      <c r="DP13" s="1922"/>
      <c r="DQ13" s="1923"/>
      <c r="DR13" s="1921" t="s">
        <v>2410</v>
      </c>
      <c r="DS13" s="1922"/>
      <c r="DT13" s="1922"/>
      <c r="DU13" s="1923"/>
      <c r="DV13" s="1921" t="s">
        <v>2411</v>
      </c>
      <c r="DW13" s="1922"/>
      <c r="DX13" s="1922"/>
      <c r="DY13" s="1923"/>
      <c r="DZ13" s="1921" t="s">
        <v>2412</v>
      </c>
      <c r="EA13" s="1922"/>
      <c r="EB13" s="1922"/>
      <c r="EC13" s="1923"/>
      <c r="ED13" s="1921" t="s">
        <v>2413</v>
      </c>
      <c r="EE13" s="1922"/>
      <c r="EF13" s="1922"/>
      <c r="EG13" s="1923"/>
      <c r="EH13" s="1921" t="s">
        <v>2414</v>
      </c>
      <c r="EI13" s="1922"/>
      <c r="EJ13" s="1922"/>
      <c r="EK13" s="1923"/>
      <c r="EL13" s="1921" t="s">
        <v>2415</v>
      </c>
      <c r="EM13" s="1922"/>
      <c r="EN13" s="1922"/>
      <c r="EO13" s="1923"/>
      <c r="EP13" s="1921" t="s">
        <v>2416</v>
      </c>
      <c r="EQ13" s="1922"/>
      <c r="ER13" s="1922"/>
      <c r="ES13" s="1923"/>
      <c r="ET13" s="1921" t="s">
        <v>2417</v>
      </c>
      <c r="EU13" s="1922"/>
      <c r="EV13" s="1922"/>
      <c r="EW13" s="1923"/>
      <c r="EX13" s="1921" t="s">
        <v>2418</v>
      </c>
      <c r="EY13" s="1922"/>
      <c r="EZ13" s="1922"/>
      <c r="FA13" s="1923"/>
      <c r="FB13" s="1921" t="s">
        <v>2419</v>
      </c>
      <c r="FC13" s="1922"/>
      <c r="FD13" s="1922"/>
      <c r="FE13" s="1923"/>
      <c r="FF13" s="1921" t="s">
        <v>2420</v>
      </c>
      <c r="FG13" s="1922"/>
      <c r="FH13" s="1922"/>
      <c r="FI13" s="1923"/>
      <c r="FJ13" s="1921" t="s">
        <v>2421</v>
      </c>
      <c r="FK13" s="1922"/>
      <c r="FL13" s="1922"/>
      <c r="FM13" s="1923"/>
      <c r="FN13" s="1921" t="s">
        <v>2422</v>
      </c>
      <c r="FO13" s="1922"/>
      <c r="FP13" s="1922"/>
      <c r="FQ13" s="1923"/>
      <c r="FR13" s="1921" t="s">
        <v>2423</v>
      </c>
      <c r="FS13" s="1922"/>
      <c r="FT13" s="1922"/>
      <c r="FU13" s="1923"/>
      <c r="FV13" s="1921" t="s">
        <v>2424</v>
      </c>
      <c r="FW13" s="1922"/>
      <c r="FX13" s="1922"/>
      <c r="FY13" s="1923"/>
      <c r="FZ13" s="1921" t="s">
        <v>2425</v>
      </c>
      <c r="GA13" s="1922"/>
      <c r="GB13" s="1922"/>
      <c r="GC13" s="1923"/>
      <c r="GD13" s="1921" t="s">
        <v>2426</v>
      </c>
      <c r="GE13" s="1922"/>
      <c r="GF13" s="1922"/>
      <c r="GG13" s="1923"/>
      <c r="GH13" s="1921" t="s">
        <v>2427</v>
      </c>
      <c r="GI13" s="1922"/>
      <c r="GJ13" s="1922"/>
      <c r="GK13" s="1923"/>
      <c r="GL13" s="1921" t="s">
        <v>2428</v>
      </c>
      <c r="GM13" s="1922"/>
      <c r="GN13" s="1922"/>
      <c r="GO13" s="1923"/>
      <c r="GP13" s="1921" t="s">
        <v>2429</v>
      </c>
      <c r="GQ13" s="1922"/>
      <c r="GR13" s="1922"/>
      <c r="GS13" s="1923"/>
      <c r="GT13" s="1921" t="s">
        <v>2430</v>
      </c>
      <c r="GU13" s="1922"/>
      <c r="GV13" s="1922"/>
      <c r="GW13" s="1923"/>
      <c r="GX13" s="1921" t="s">
        <v>2431</v>
      </c>
      <c r="GY13" s="1922"/>
      <c r="GZ13" s="1922"/>
      <c r="HA13" s="1923"/>
      <c r="HB13" s="1921" t="s">
        <v>2432</v>
      </c>
      <c r="HC13" s="1922"/>
      <c r="HD13" s="1922"/>
      <c r="HE13" s="1923"/>
      <c r="HF13" s="1921" t="s">
        <v>2433</v>
      </c>
      <c r="HG13" s="1922"/>
      <c r="HH13" s="1922"/>
      <c r="HI13" s="1923"/>
      <c r="HJ13" s="1921" t="s">
        <v>2434</v>
      </c>
      <c r="HK13" s="1922"/>
      <c r="HL13" s="1922"/>
      <c r="HM13" s="1923"/>
      <c r="HN13" s="1921" t="s">
        <v>2435</v>
      </c>
      <c r="HO13" s="1922"/>
      <c r="HP13" s="1922"/>
      <c r="HQ13" s="1923"/>
      <c r="HR13" s="1921" t="s">
        <v>2436</v>
      </c>
      <c r="HS13" s="1922"/>
      <c r="HT13" s="1922"/>
      <c r="HU13" s="1923"/>
      <c r="HV13" s="1921" t="s">
        <v>2437</v>
      </c>
      <c r="HW13" s="1922"/>
      <c r="HX13" s="1922"/>
      <c r="HY13" s="1923"/>
      <c r="HZ13" s="1921" t="s">
        <v>2438</v>
      </c>
      <c r="IA13" s="1922"/>
      <c r="IB13" s="1922"/>
      <c r="IC13" s="1923"/>
      <c r="ID13" s="1921" t="s">
        <v>2439</v>
      </c>
      <c r="IE13" s="1922"/>
      <c r="IF13" s="1922"/>
      <c r="IG13" s="1923"/>
      <c r="IH13" s="1921" t="s">
        <v>2440</v>
      </c>
      <c r="II13" s="1922"/>
      <c r="IJ13" s="1922"/>
      <c r="IK13" s="1923"/>
      <c r="IL13" s="1921" t="s">
        <v>2441</v>
      </c>
      <c r="IM13" s="1922"/>
      <c r="IN13" s="1922"/>
      <c r="IO13" s="1923"/>
      <c r="IP13" s="1921" t="s">
        <v>2442</v>
      </c>
      <c r="IQ13" s="1922"/>
      <c r="IR13" s="1922"/>
      <c r="IS13" s="1923"/>
      <c r="IT13" s="1921" t="s">
        <v>2443</v>
      </c>
      <c r="IU13" s="1922"/>
      <c r="IV13" s="1922"/>
      <c r="IW13" s="1923"/>
      <c r="IX13" s="1921" t="s">
        <v>2444</v>
      </c>
      <c r="IY13" s="1922"/>
      <c r="IZ13" s="1922"/>
      <c r="JA13" s="1923"/>
      <c r="JB13" s="1921" t="s">
        <v>2445</v>
      </c>
      <c r="JC13" s="1922"/>
      <c r="JD13" s="1922"/>
      <c r="JE13" s="1923"/>
      <c r="JF13" s="1921" t="s">
        <v>2446</v>
      </c>
      <c r="JG13" s="1922"/>
      <c r="JH13" s="1922"/>
      <c r="JI13" s="1923"/>
      <c r="JJ13" s="1921" t="s">
        <v>2447</v>
      </c>
      <c r="JK13" s="1922"/>
      <c r="JL13" s="1922"/>
      <c r="JM13" s="1923"/>
      <c r="JN13" s="1921" t="s">
        <v>2448</v>
      </c>
      <c r="JO13" s="1922"/>
      <c r="JP13" s="1922"/>
      <c r="JQ13" s="1923"/>
      <c r="JR13" s="1921" t="s">
        <v>2449</v>
      </c>
      <c r="JS13" s="1922"/>
      <c r="JT13" s="1922"/>
      <c r="JU13" s="1923"/>
      <c r="JV13" s="1921" t="s">
        <v>2450</v>
      </c>
      <c r="JW13" s="1922"/>
      <c r="JX13" s="1922"/>
      <c r="JY13" s="1923"/>
      <c r="JZ13" s="1921" t="s">
        <v>2451</v>
      </c>
      <c r="KA13" s="1922"/>
      <c r="KB13" s="1922"/>
      <c r="KC13" s="1923"/>
      <c r="KD13" s="1921" t="s">
        <v>2452</v>
      </c>
      <c r="KE13" s="1922"/>
      <c r="KF13" s="1922"/>
      <c r="KG13" s="1923"/>
      <c r="KH13" s="1921" t="s">
        <v>2453</v>
      </c>
      <c r="KI13" s="1922"/>
      <c r="KJ13" s="1922"/>
      <c r="KK13" s="1923"/>
      <c r="KL13" s="1921" t="s">
        <v>2454</v>
      </c>
      <c r="KM13" s="1922"/>
      <c r="KN13" s="1922"/>
      <c r="KO13" s="1923"/>
      <c r="KP13" s="1921" t="s">
        <v>2455</v>
      </c>
      <c r="KQ13" s="1922"/>
      <c r="KR13" s="1922"/>
      <c r="KS13" s="1923"/>
      <c r="KT13" s="1921" t="s">
        <v>2456</v>
      </c>
      <c r="KU13" s="1922"/>
      <c r="KV13" s="1922"/>
      <c r="KW13" s="1923"/>
      <c r="KX13" s="1921" t="s">
        <v>2457</v>
      </c>
      <c r="KY13" s="1922"/>
      <c r="KZ13" s="1922"/>
      <c r="LA13" s="1923"/>
      <c r="LG13" s="696"/>
      <c r="LH13" s="708"/>
      <c r="LI13" s="708"/>
      <c r="LJ13" s="708"/>
      <c r="LK13" s="1921" t="s">
        <v>2382</v>
      </c>
      <c r="LL13" s="1922"/>
      <c r="LM13" s="1922"/>
      <c r="LN13" s="1923"/>
      <c r="LO13" s="1921" t="s">
        <v>2383</v>
      </c>
      <c r="LP13" s="1922"/>
      <c r="LQ13" s="1922"/>
      <c r="LR13" s="1923"/>
      <c r="LS13" s="1921" t="s">
        <v>2384</v>
      </c>
      <c r="LT13" s="1922"/>
      <c r="LU13" s="1922"/>
      <c r="LV13" s="1923"/>
      <c r="LW13" s="1921" t="s">
        <v>2385</v>
      </c>
      <c r="LX13" s="1922"/>
      <c r="LY13" s="1922"/>
      <c r="LZ13" s="1923"/>
      <c r="MA13" s="1921" t="s">
        <v>2386</v>
      </c>
      <c r="MB13" s="1922"/>
      <c r="MC13" s="1922"/>
      <c r="MD13" s="1923"/>
      <c r="ME13" s="1921" t="s">
        <v>2387</v>
      </c>
      <c r="MF13" s="1922"/>
      <c r="MG13" s="1922"/>
      <c r="MH13" s="1923"/>
      <c r="MI13" s="1921" t="s">
        <v>2388</v>
      </c>
      <c r="MJ13" s="1922"/>
      <c r="MK13" s="1922"/>
      <c r="ML13" s="1923"/>
      <c r="MM13" s="1921" t="s">
        <v>2389</v>
      </c>
      <c r="MN13" s="1922"/>
      <c r="MO13" s="1922"/>
      <c r="MP13" s="1923"/>
      <c r="MQ13" s="1921" t="s">
        <v>2390</v>
      </c>
      <c r="MR13" s="1922"/>
      <c r="MS13" s="1922"/>
      <c r="MT13" s="1923"/>
      <c r="MU13" s="1921" t="s">
        <v>2391</v>
      </c>
      <c r="MV13" s="1922"/>
      <c r="MW13" s="1922"/>
      <c r="MX13" s="1923"/>
      <c r="MY13" s="1921" t="s">
        <v>2392</v>
      </c>
      <c r="MZ13" s="1922"/>
      <c r="NA13" s="1922"/>
      <c r="NB13" s="1923"/>
      <c r="NC13" s="1921" t="s">
        <v>2393</v>
      </c>
      <c r="ND13" s="1922"/>
      <c r="NE13" s="1922"/>
      <c r="NF13" s="1923"/>
      <c r="NG13" s="1921" t="s">
        <v>2394</v>
      </c>
      <c r="NH13" s="1922"/>
      <c r="NI13" s="1922"/>
      <c r="NJ13" s="1923"/>
      <c r="NK13" s="1921" t="s">
        <v>2395</v>
      </c>
      <c r="NL13" s="1922"/>
      <c r="NM13" s="1922"/>
      <c r="NN13" s="1923"/>
      <c r="NO13" s="1921" t="s">
        <v>2396</v>
      </c>
      <c r="NP13" s="1922"/>
      <c r="NQ13" s="1922"/>
      <c r="NR13" s="1923"/>
      <c r="NS13" s="1921" t="s">
        <v>2397</v>
      </c>
      <c r="NT13" s="1922"/>
      <c r="NU13" s="1922"/>
      <c r="NV13" s="1923"/>
      <c r="NW13" s="1921" t="s">
        <v>2398</v>
      </c>
      <c r="NX13" s="1922"/>
      <c r="NY13" s="1922"/>
      <c r="NZ13" s="1923"/>
      <c r="OA13" s="1921" t="s">
        <v>2399</v>
      </c>
      <c r="OB13" s="1922"/>
      <c r="OC13" s="1922"/>
      <c r="OD13" s="1923"/>
      <c r="OE13" s="1921" t="s">
        <v>2400</v>
      </c>
      <c r="OF13" s="1922"/>
      <c r="OG13" s="1922"/>
      <c r="OH13" s="1923"/>
      <c r="OI13" s="1921" t="s">
        <v>2401</v>
      </c>
      <c r="OJ13" s="1922"/>
      <c r="OK13" s="1922"/>
      <c r="OL13" s="1923"/>
      <c r="OM13" s="1921" t="s">
        <v>2402</v>
      </c>
      <c r="ON13" s="1922"/>
      <c r="OO13" s="1922"/>
      <c r="OP13" s="1923"/>
      <c r="OQ13" s="1921" t="s">
        <v>2403</v>
      </c>
      <c r="OR13" s="1922"/>
      <c r="OS13" s="1922"/>
      <c r="OT13" s="1923"/>
      <c r="OU13" s="1921" t="s">
        <v>2404</v>
      </c>
      <c r="OV13" s="1922"/>
      <c r="OW13" s="1922"/>
      <c r="OX13" s="1923"/>
      <c r="OY13" s="1921" t="s">
        <v>2405</v>
      </c>
      <c r="OZ13" s="1922"/>
      <c r="PA13" s="1922"/>
      <c r="PB13" s="1923"/>
      <c r="PC13" s="1921" t="s">
        <v>2406</v>
      </c>
      <c r="PD13" s="1922"/>
      <c r="PE13" s="1922"/>
      <c r="PF13" s="1923"/>
      <c r="PG13" s="1921" t="s">
        <v>2407</v>
      </c>
      <c r="PH13" s="1922"/>
      <c r="PI13" s="1922"/>
      <c r="PJ13" s="1923"/>
      <c r="PK13" s="1921" t="s">
        <v>2408</v>
      </c>
      <c r="PL13" s="1922"/>
      <c r="PM13" s="1922"/>
      <c r="PN13" s="1923"/>
      <c r="PO13" s="1921" t="s">
        <v>2409</v>
      </c>
      <c r="PP13" s="1922"/>
      <c r="PQ13" s="1922"/>
      <c r="PR13" s="1923"/>
      <c r="PS13" s="1921" t="s">
        <v>2410</v>
      </c>
      <c r="PT13" s="1922"/>
      <c r="PU13" s="1922"/>
      <c r="PV13" s="1923"/>
      <c r="PW13" s="1921" t="s">
        <v>2411</v>
      </c>
      <c r="PX13" s="1922"/>
      <c r="PY13" s="1922"/>
      <c r="PZ13" s="1923"/>
      <c r="QA13" s="1921" t="s">
        <v>2412</v>
      </c>
      <c r="QB13" s="1922"/>
      <c r="QC13" s="1922"/>
      <c r="QD13" s="1923"/>
      <c r="QE13" s="1921" t="s">
        <v>2413</v>
      </c>
      <c r="QF13" s="1922"/>
      <c r="QG13" s="1922"/>
      <c r="QH13" s="1923"/>
      <c r="QI13" s="1921" t="s">
        <v>2414</v>
      </c>
      <c r="QJ13" s="1922"/>
      <c r="QK13" s="1922"/>
      <c r="QL13" s="1923"/>
      <c r="QM13" s="1921" t="s">
        <v>2415</v>
      </c>
      <c r="QN13" s="1922"/>
      <c r="QO13" s="1922"/>
      <c r="QP13" s="1923"/>
      <c r="QQ13" s="1921" t="s">
        <v>2416</v>
      </c>
      <c r="QR13" s="1922"/>
      <c r="QS13" s="1922"/>
      <c r="QT13" s="1923"/>
      <c r="QU13" s="1921" t="s">
        <v>2417</v>
      </c>
      <c r="QV13" s="1922"/>
      <c r="QW13" s="1922"/>
      <c r="QX13" s="1923"/>
      <c r="QY13" s="1921" t="s">
        <v>2418</v>
      </c>
      <c r="QZ13" s="1922"/>
      <c r="RA13" s="1922"/>
      <c r="RB13" s="1923"/>
      <c r="RC13" s="1921" t="s">
        <v>2419</v>
      </c>
      <c r="RD13" s="1922"/>
      <c r="RE13" s="1922"/>
      <c r="RF13" s="1923"/>
      <c r="RG13" s="1921" t="s">
        <v>2420</v>
      </c>
      <c r="RH13" s="1922"/>
      <c r="RI13" s="1922"/>
      <c r="RJ13" s="1923"/>
      <c r="RK13" s="1921" t="s">
        <v>2421</v>
      </c>
      <c r="RL13" s="1922"/>
      <c r="RM13" s="1922"/>
      <c r="RN13" s="1923"/>
      <c r="RO13" s="1921" t="s">
        <v>2422</v>
      </c>
      <c r="RP13" s="1922"/>
      <c r="RQ13" s="1922"/>
      <c r="RR13" s="1923"/>
      <c r="RS13" s="1921" t="s">
        <v>2423</v>
      </c>
      <c r="RT13" s="1922"/>
      <c r="RU13" s="1922"/>
      <c r="RV13" s="1923"/>
      <c r="RW13" s="1921" t="s">
        <v>2424</v>
      </c>
      <c r="RX13" s="1922"/>
      <c r="RY13" s="1922"/>
      <c r="RZ13" s="1923"/>
      <c r="SA13" s="1921" t="s">
        <v>2425</v>
      </c>
      <c r="SB13" s="1922"/>
      <c r="SC13" s="1922"/>
      <c r="SD13" s="1923"/>
      <c r="SE13" s="1921" t="s">
        <v>2426</v>
      </c>
      <c r="SF13" s="1922"/>
      <c r="SG13" s="1922"/>
      <c r="SH13" s="1923"/>
      <c r="SI13" s="1921" t="s">
        <v>2427</v>
      </c>
      <c r="SJ13" s="1922"/>
      <c r="SK13" s="1922"/>
      <c r="SL13" s="1923"/>
      <c r="SM13" s="1921" t="s">
        <v>2428</v>
      </c>
      <c r="SN13" s="1922"/>
      <c r="SO13" s="1922"/>
      <c r="SP13" s="1923"/>
      <c r="SQ13" s="1921" t="s">
        <v>2429</v>
      </c>
      <c r="SR13" s="1922"/>
      <c r="SS13" s="1922"/>
      <c r="ST13" s="1923"/>
      <c r="SU13" s="1921" t="s">
        <v>2430</v>
      </c>
      <c r="SV13" s="1922"/>
      <c r="SW13" s="1922"/>
      <c r="SX13" s="1923"/>
      <c r="SY13" s="1921" t="s">
        <v>2431</v>
      </c>
      <c r="SZ13" s="1922"/>
      <c r="TA13" s="1922"/>
      <c r="TB13" s="1923"/>
      <c r="TC13" s="1921" t="s">
        <v>2432</v>
      </c>
      <c r="TD13" s="1922"/>
      <c r="TE13" s="1922"/>
      <c r="TF13" s="1923"/>
      <c r="TG13" s="1921" t="s">
        <v>2433</v>
      </c>
      <c r="TH13" s="1922"/>
      <c r="TI13" s="1922"/>
      <c r="TJ13" s="1923"/>
      <c r="TK13" s="1921" t="s">
        <v>2434</v>
      </c>
      <c r="TL13" s="1922"/>
      <c r="TM13" s="1922"/>
      <c r="TN13" s="1923"/>
      <c r="TO13" s="1921" t="s">
        <v>2435</v>
      </c>
      <c r="TP13" s="1922"/>
      <c r="TQ13" s="1922"/>
      <c r="TR13" s="1923"/>
      <c r="TS13" s="1921" t="s">
        <v>2436</v>
      </c>
      <c r="TT13" s="1922"/>
      <c r="TU13" s="1922"/>
      <c r="TV13" s="1923"/>
      <c r="TW13" s="1921" t="s">
        <v>2437</v>
      </c>
      <c r="TX13" s="1922"/>
      <c r="TY13" s="1922"/>
      <c r="TZ13" s="1923"/>
      <c r="UA13" s="1921" t="s">
        <v>2438</v>
      </c>
      <c r="UB13" s="1922"/>
      <c r="UC13" s="1922"/>
      <c r="UD13" s="1923"/>
      <c r="UE13" s="1921" t="s">
        <v>2439</v>
      </c>
      <c r="UF13" s="1922"/>
      <c r="UG13" s="1922"/>
      <c r="UH13" s="1923"/>
      <c r="UI13" s="1921" t="s">
        <v>2440</v>
      </c>
      <c r="UJ13" s="1922"/>
      <c r="UK13" s="1922"/>
      <c r="UL13" s="1923"/>
      <c r="UM13" s="1921" t="s">
        <v>2441</v>
      </c>
      <c r="UN13" s="1922"/>
      <c r="UO13" s="1922"/>
      <c r="UP13" s="1923"/>
      <c r="UQ13" s="1921" t="s">
        <v>2442</v>
      </c>
      <c r="UR13" s="1922"/>
      <c r="US13" s="1922"/>
      <c r="UT13" s="1923"/>
      <c r="UU13" s="1921" t="s">
        <v>2443</v>
      </c>
      <c r="UV13" s="1922"/>
      <c r="UW13" s="1922"/>
      <c r="UX13" s="1923"/>
      <c r="UY13" s="1921" t="s">
        <v>2444</v>
      </c>
      <c r="UZ13" s="1922"/>
      <c r="VA13" s="1922"/>
      <c r="VB13" s="1923"/>
      <c r="VC13" s="1921" t="s">
        <v>2445</v>
      </c>
      <c r="VD13" s="1922"/>
      <c r="VE13" s="1922"/>
      <c r="VF13" s="1923"/>
      <c r="VG13" s="1921" t="s">
        <v>2446</v>
      </c>
      <c r="VH13" s="1922"/>
      <c r="VI13" s="1922"/>
      <c r="VJ13" s="1923"/>
      <c r="VK13" s="1921" t="s">
        <v>2447</v>
      </c>
      <c r="VL13" s="1922"/>
      <c r="VM13" s="1922"/>
      <c r="VN13" s="1923"/>
      <c r="VO13" s="1921" t="s">
        <v>2448</v>
      </c>
      <c r="VP13" s="1922"/>
      <c r="VQ13" s="1922"/>
      <c r="VR13" s="1923"/>
      <c r="VS13" s="1921" t="s">
        <v>2449</v>
      </c>
      <c r="VT13" s="1922"/>
      <c r="VU13" s="1922"/>
      <c r="VV13" s="1923"/>
      <c r="VW13" s="1921" t="s">
        <v>2450</v>
      </c>
      <c r="VX13" s="1922"/>
      <c r="VY13" s="1922"/>
      <c r="VZ13" s="1923"/>
      <c r="WA13" s="1921" t="s">
        <v>2451</v>
      </c>
      <c r="WB13" s="1922"/>
      <c r="WC13" s="1922"/>
      <c r="WD13" s="1923"/>
      <c r="WE13" s="1921" t="s">
        <v>2452</v>
      </c>
      <c r="WF13" s="1922"/>
      <c r="WG13" s="1922"/>
      <c r="WH13" s="1923"/>
      <c r="WI13" s="1921" t="s">
        <v>2453</v>
      </c>
      <c r="WJ13" s="1922"/>
      <c r="WK13" s="1922"/>
      <c r="WL13" s="1923"/>
      <c r="WM13" s="1921" t="s">
        <v>2454</v>
      </c>
      <c r="WN13" s="1922"/>
      <c r="WO13" s="1922"/>
      <c r="WP13" s="1923"/>
      <c r="WQ13" s="1921" t="s">
        <v>2455</v>
      </c>
      <c r="WR13" s="1922"/>
      <c r="WS13" s="1922"/>
      <c r="WT13" s="1923"/>
      <c r="WU13" s="1921" t="s">
        <v>2456</v>
      </c>
      <c r="WV13" s="1922"/>
      <c r="WW13" s="1922"/>
      <c r="WX13" s="1923"/>
      <c r="WY13" s="1921" t="s">
        <v>2457</v>
      </c>
      <c r="WZ13" s="1922"/>
      <c r="XA13" s="1922"/>
      <c r="XB13" s="1923"/>
    </row>
    <row r="14" spans="1:627" s="470" customFormat="1" ht="150" customHeight="1" thickBot="1">
      <c r="A14" s="1929"/>
      <c r="B14" s="1929"/>
      <c r="C14" s="1930"/>
      <c r="D14" s="1930"/>
      <c r="E14" s="1930"/>
      <c r="F14" s="1930"/>
      <c r="G14" s="1929"/>
      <c r="H14" s="1929"/>
      <c r="I14" s="1929"/>
      <c r="J14" s="1931" t="s">
        <v>2458</v>
      </c>
      <c r="K14" s="1932"/>
      <c r="L14" s="1932"/>
      <c r="M14" s="1933"/>
      <c r="N14" s="1931" t="s">
        <v>2459</v>
      </c>
      <c r="O14" s="1932"/>
      <c r="P14" s="1932"/>
      <c r="Q14" s="1933"/>
      <c r="R14" s="1931" t="s">
        <v>2460</v>
      </c>
      <c r="S14" s="1932"/>
      <c r="T14" s="1932"/>
      <c r="U14" s="1933"/>
      <c r="V14" s="1931" t="s">
        <v>2461</v>
      </c>
      <c r="W14" s="1932"/>
      <c r="X14" s="1932"/>
      <c r="Y14" s="1933"/>
      <c r="Z14" s="1931" t="s">
        <v>2462</v>
      </c>
      <c r="AA14" s="1932"/>
      <c r="AB14" s="1932"/>
      <c r="AC14" s="1933"/>
      <c r="AD14" s="1931" t="s">
        <v>2463</v>
      </c>
      <c r="AE14" s="1932"/>
      <c r="AF14" s="1932"/>
      <c r="AG14" s="1933"/>
      <c r="AH14" s="1931" t="s">
        <v>2464</v>
      </c>
      <c r="AI14" s="1932"/>
      <c r="AJ14" s="1932"/>
      <c r="AK14" s="1933"/>
      <c r="AL14" s="1931" t="s">
        <v>2465</v>
      </c>
      <c r="AM14" s="1932"/>
      <c r="AN14" s="1932"/>
      <c r="AO14" s="1933"/>
      <c r="AP14" s="1931" t="s">
        <v>2466</v>
      </c>
      <c r="AQ14" s="1932"/>
      <c r="AR14" s="1932"/>
      <c r="AS14" s="1933"/>
      <c r="AT14" s="1931" t="s">
        <v>2467</v>
      </c>
      <c r="AU14" s="1932"/>
      <c r="AV14" s="1932"/>
      <c r="AW14" s="1933"/>
      <c r="AX14" s="1931" t="s">
        <v>2463</v>
      </c>
      <c r="AY14" s="1932"/>
      <c r="AZ14" s="1932"/>
      <c r="BA14" s="1933"/>
      <c r="BB14" s="1931" t="s">
        <v>2468</v>
      </c>
      <c r="BC14" s="1932"/>
      <c r="BD14" s="1932"/>
      <c r="BE14" s="1933"/>
      <c r="BF14" s="1931" t="s">
        <v>2469</v>
      </c>
      <c r="BG14" s="1932"/>
      <c r="BH14" s="1932"/>
      <c r="BI14" s="1933"/>
      <c r="BJ14" s="1931" t="s">
        <v>2470</v>
      </c>
      <c r="BK14" s="1932"/>
      <c r="BL14" s="1932"/>
      <c r="BM14" s="1933"/>
      <c r="BN14" s="1931" t="s">
        <v>2471</v>
      </c>
      <c r="BO14" s="1932"/>
      <c r="BP14" s="1932"/>
      <c r="BQ14" s="1933"/>
      <c r="BR14" s="1931" t="s">
        <v>2472</v>
      </c>
      <c r="BS14" s="1932"/>
      <c r="BT14" s="1932"/>
      <c r="BU14" s="1933"/>
      <c r="BV14" s="1931" t="s">
        <v>2473</v>
      </c>
      <c r="BW14" s="1932"/>
      <c r="BX14" s="1932"/>
      <c r="BY14" s="1933"/>
      <c r="BZ14" s="1931" t="s">
        <v>2474</v>
      </c>
      <c r="CA14" s="1932"/>
      <c r="CB14" s="1932"/>
      <c r="CC14" s="1933"/>
      <c r="CD14" s="1931" t="s">
        <v>2475</v>
      </c>
      <c r="CE14" s="1932"/>
      <c r="CF14" s="1932"/>
      <c r="CG14" s="1933"/>
      <c r="CH14" s="1931" t="s">
        <v>2476</v>
      </c>
      <c r="CI14" s="1932"/>
      <c r="CJ14" s="1932"/>
      <c r="CK14" s="1933"/>
      <c r="CL14" s="1931" t="s">
        <v>2477</v>
      </c>
      <c r="CM14" s="1932"/>
      <c r="CN14" s="1932"/>
      <c r="CO14" s="1933"/>
      <c r="CP14" s="1931" t="s">
        <v>2478</v>
      </c>
      <c r="CQ14" s="1932"/>
      <c r="CR14" s="1932"/>
      <c r="CS14" s="1933"/>
      <c r="CT14" s="1931" t="s">
        <v>2479</v>
      </c>
      <c r="CU14" s="1932"/>
      <c r="CV14" s="1932"/>
      <c r="CW14" s="1933"/>
      <c r="CX14" s="1931" t="s">
        <v>2480</v>
      </c>
      <c r="CY14" s="1932"/>
      <c r="CZ14" s="1932"/>
      <c r="DA14" s="1933"/>
      <c r="DB14" s="1931" t="s">
        <v>2481</v>
      </c>
      <c r="DC14" s="1932"/>
      <c r="DD14" s="1932"/>
      <c r="DE14" s="1933"/>
      <c r="DF14" s="1931" t="s">
        <v>2482</v>
      </c>
      <c r="DG14" s="1932"/>
      <c r="DH14" s="1932"/>
      <c r="DI14" s="1933"/>
      <c r="DJ14" s="1931" t="s">
        <v>2483</v>
      </c>
      <c r="DK14" s="1932"/>
      <c r="DL14" s="1932"/>
      <c r="DM14" s="1933"/>
      <c r="DN14" s="1931" t="s">
        <v>2484</v>
      </c>
      <c r="DO14" s="1932"/>
      <c r="DP14" s="1932"/>
      <c r="DQ14" s="1933"/>
      <c r="DR14" s="1931" t="s">
        <v>2485</v>
      </c>
      <c r="DS14" s="1932"/>
      <c r="DT14" s="1932"/>
      <c r="DU14" s="1933"/>
      <c r="DV14" s="1931" t="s">
        <v>2486</v>
      </c>
      <c r="DW14" s="1932"/>
      <c r="DX14" s="1932"/>
      <c r="DY14" s="1933"/>
      <c r="DZ14" s="1931" t="s">
        <v>2487</v>
      </c>
      <c r="EA14" s="1932"/>
      <c r="EB14" s="1932"/>
      <c r="EC14" s="1933"/>
      <c r="ED14" s="1931" t="s">
        <v>2488</v>
      </c>
      <c r="EE14" s="1932"/>
      <c r="EF14" s="1932"/>
      <c r="EG14" s="1933"/>
      <c r="EH14" s="1931" t="s">
        <v>2489</v>
      </c>
      <c r="EI14" s="1932"/>
      <c r="EJ14" s="1932"/>
      <c r="EK14" s="1933"/>
      <c r="EL14" s="1931" t="s">
        <v>2490</v>
      </c>
      <c r="EM14" s="1932"/>
      <c r="EN14" s="1932"/>
      <c r="EO14" s="1933"/>
      <c r="EP14" s="1931" t="s">
        <v>2491</v>
      </c>
      <c r="EQ14" s="1932"/>
      <c r="ER14" s="1932"/>
      <c r="ES14" s="1933"/>
      <c r="ET14" s="1931" t="s">
        <v>2492</v>
      </c>
      <c r="EU14" s="1932"/>
      <c r="EV14" s="1932"/>
      <c r="EW14" s="1933"/>
      <c r="EX14" s="1931" t="s">
        <v>2493</v>
      </c>
      <c r="EY14" s="1932"/>
      <c r="EZ14" s="1932"/>
      <c r="FA14" s="1933"/>
      <c r="FB14" s="1931" t="s">
        <v>2494</v>
      </c>
      <c r="FC14" s="1932"/>
      <c r="FD14" s="1932"/>
      <c r="FE14" s="1933"/>
      <c r="FF14" s="1931" t="s">
        <v>2495</v>
      </c>
      <c r="FG14" s="1932"/>
      <c r="FH14" s="1932"/>
      <c r="FI14" s="1933"/>
      <c r="FJ14" s="1931" t="s">
        <v>2496</v>
      </c>
      <c r="FK14" s="1932"/>
      <c r="FL14" s="1932"/>
      <c r="FM14" s="1933"/>
      <c r="FN14" s="1931" t="s">
        <v>2497</v>
      </c>
      <c r="FO14" s="1932"/>
      <c r="FP14" s="1932"/>
      <c r="FQ14" s="1933"/>
      <c r="FR14" s="1931" t="s">
        <v>2498</v>
      </c>
      <c r="FS14" s="1932"/>
      <c r="FT14" s="1932"/>
      <c r="FU14" s="1933"/>
      <c r="FV14" s="1931" t="s">
        <v>2499</v>
      </c>
      <c r="FW14" s="1932"/>
      <c r="FX14" s="1932"/>
      <c r="FY14" s="1933"/>
      <c r="FZ14" s="1931" t="s">
        <v>2500</v>
      </c>
      <c r="GA14" s="1932"/>
      <c r="GB14" s="1932"/>
      <c r="GC14" s="1933"/>
      <c r="GD14" s="1931" t="s">
        <v>2501</v>
      </c>
      <c r="GE14" s="1932"/>
      <c r="GF14" s="1932"/>
      <c r="GG14" s="1933"/>
      <c r="GH14" s="1931" t="s">
        <v>2502</v>
      </c>
      <c r="GI14" s="1932"/>
      <c r="GJ14" s="1932"/>
      <c r="GK14" s="1933"/>
      <c r="GL14" s="1931" t="s">
        <v>2503</v>
      </c>
      <c r="GM14" s="1932"/>
      <c r="GN14" s="1932"/>
      <c r="GO14" s="1933"/>
      <c r="GP14" s="1931" t="s">
        <v>2504</v>
      </c>
      <c r="GQ14" s="1932"/>
      <c r="GR14" s="1932"/>
      <c r="GS14" s="1933"/>
      <c r="GT14" s="1931" t="s">
        <v>2505</v>
      </c>
      <c r="GU14" s="1932"/>
      <c r="GV14" s="1932"/>
      <c r="GW14" s="1933"/>
      <c r="GX14" s="1931" t="s">
        <v>2506</v>
      </c>
      <c r="GY14" s="1932"/>
      <c r="GZ14" s="1932"/>
      <c r="HA14" s="1933"/>
      <c r="HB14" s="1931" t="s">
        <v>2507</v>
      </c>
      <c r="HC14" s="1932"/>
      <c r="HD14" s="1932"/>
      <c r="HE14" s="1933"/>
      <c r="HF14" s="1931" t="s">
        <v>2508</v>
      </c>
      <c r="HG14" s="1932"/>
      <c r="HH14" s="1932"/>
      <c r="HI14" s="1933"/>
      <c r="HJ14" s="1931" t="s">
        <v>2509</v>
      </c>
      <c r="HK14" s="1932"/>
      <c r="HL14" s="1932"/>
      <c r="HM14" s="1933"/>
      <c r="HN14" s="1931" t="s">
        <v>2510</v>
      </c>
      <c r="HO14" s="1932"/>
      <c r="HP14" s="1932"/>
      <c r="HQ14" s="1933"/>
      <c r="HR14" s="1931" t="s">
        <v>2511</v>
      </c>
      <c r="HS14" s="1932"/>
      <c r="HT14" s="1932"/>
      <c r="HU14" s="1933"/>
      <c r="HV14" s="1931" t="s">
        <v>2512</v>
      </c>
      <c r="HW14" s="1932"/>
      <c r="HX14" s="1932"/>
      <c r="HY14" s="1933"/>
      <c r="HZ14" s="1931" t="s">
        <v>2513</v>
      </c>
      <c r="IA14" s="1932"/>
      <c r="IB14" s="1932"/>
      <c r="IC14" s="1933"/>
      <c r="ID14" s="1931" t="s">
        <v>2514</v>
      </c>
      <c r="IE14" s="1932"/>
      <c r="IF14" s="1932"/>
      <c r="IG14" s="1933"/>
      <c r="IH14" s="1931" t="s">
        <v>2515</v>
      </c>
      <c r="II14" s="1932"/>
      <c r="IJ14" s="1932"/>
      <c r="IK14" s="1933"/>
      <c r="IL14" s="1931" t="s">
        <v>2516</v>
      </c>
      <c r="IM14" s="1932"/>
      <c r="IN14" s="1932"/>
      <c r="IO14" s="1933"/>
      <c r="IP14" s="1931" t="s">
        <v>2517</v>
      </c>
      <c r="IQ14" s="1932"/>
      <c r="IR14" s="1932"/>
      <c r="IS14" s="1933"/>
      <c r="IT14" s="1931" t="s">
        <v>2518</v>
      </c>
      <c r="IU14" s="1932"/>
      <c r="IV14" s="1932"/>
      <c r="IW14" s="1933"/>
      <c r="IX14" s="1931" t="s">
        <v>2519</v>
      </c>
      <c r="IY14" s="1932"/>
      <c r="IZ14" s="1932"/>
      <c r="JA14" s="1933"/>
      <c r="JB14" s="1931" t="s">
        <v>2520</v>
      </c>
      <c r="JC14" s="1932"/>
      <c r="JD14" s="1932"/>
      <c r="JE14" s="1933"/>
      <c r="JF14" s="1931" t="s">
        <v>2521</v>
      </c>
      <c r="JG14" s="1932"/>
      <c r="JH14" s="1932"/>
      <c r="JI14" s="1933"/>
      <c r="JJ14" s="1931" t="s">
        <v>2522</v>
      </c>
      <c r="JK14" s="1932"/>
      <c r="JL14" s="1932"/>
      <c r="JM14" s="1933"/>
      <c r="JN14" s="1931" t="s">
        <v>2523</v>
      </c>
      <c r="JO14" s="1932"/>
      <c r="JP14" s="1932"/>
      <c r="JQ14" s="1933"/>
      <c r="JR14" s="1931" t="s">
        <v>2524</v>
      </c>
      <c r="JS14" s="1932"/>
      <c r="JT14" s="1932"/>
      <c r="JU14" s="1933"/>
      <c r="JV14" s="1931" t="s">
        <v>2525</v>
      </c>
      <c r="JW14" s="1932"/>
      <c r="JX14" s="1932"/>
      <c r="JY14" s="1933"/>
      <c r="JZ14" s="1931" t="s">
        <v>2526</v>
      </c>
      <c r="KA14" s="1932"/>
      <c r="KB14" s="1932"/>
      <c r="KC14" s="1933"/>
      <c r="KD14" s="1931" t="s">
        <v>2527</v>
      </c>
      <c r="KE14" s="1932"/>
      <c r="KF14" s="1932"/>
      <c r="KG14" s="1933"/>
      <c r="KH14" s="1931" t="s">
        <v>2528</v>
      </c>
      <c r="KI14" s="1932"/>
      <c r="KJ14" s="1932"/>
      <c r="KK14" s="1933"/>
      <c r="KL14" s="1931" t="s">
        <v>2529</v>
      </c>
      <c r="KM14" s="1932"/>
      <c r="KN14" s="1932"/>
      <c r="KO14" s="1933"/>
      <c r="KP14" s="1931" t="s">
        <v>2530</v>
      </c>
      <c r="KQ14" s="1932"/>
      <c r="KR14" s="1932"/>
      <c r="KS14" s="1933"/>
      <c r="KT14" s="1931" t="s">
        <v>2531</v>
      </c>
      <c r="KU14" s="1932"/>
      <c r="KV14" s="1932"/>
      <c r="KW14" s="1933"/>
      <c r="KX14" s="1931" t="s">
        <v>2532</v>
      </c>
      <c r="KY14" s="1932"/>
      <c r="KZ14" s="1932"/>
      <c r="LA14" s="1933"/>
      <c r="LE14" s="442"/>
      <c r="LG14" s="1930"/>
      <c r="LH14" s="1929"/>
      <c r="LI14" s="1929"/>
      <c r="LJ14" s="1929"/>
      <c r="LK14" s="1931" t="s">
        <v>2458</v>
      </c>
      <c r="LL14" s="1932"/>
      <c r="LM14" s="1932"/>
      <c r="LN14" s="1933"/>
      <c r="LO14" s="1931" t="s">
        <v>2459</v>
      </c>
      <c r="LP14" s="1932"/>
      <c r="LQ14" s="1932"/>
      <c r="LR14" s="1933"/>
      <c r="LS14" s="1931" t="s">
        <v>2460</v>
      </c>
      <c r="LT14" s="1932"/>
      <c r="LU14" s="1932"/>
      <c r="LV14" s="1933"/>
      <c r="LW14" s="1931" t="s">
        <v>2461</v>
      </c>
      <c r="LX14" s="1932"/>
      <c r="LY14" s="1932"/>
      <c r="LZ14" s="1933"/>
      <c r="MA14" s="1931" t="s">
        <v>2462</v>
      </c>
      <c r="MB14" s="1932"/>
      <c r="MC14" s="1932"/>
      <c r="MD14" s="1933"/>
      <c r="ME14" s="1931" t="s">
        <v>2463</v>
      </c>
      <c r="MF14" s="1932"/>
      <c r="MG14" s="1932"/>
      <c r="MH14" s="1933"/>
      <c r="MI14" s="1931" t="s">
        <v>2464</v>
      </c>
      <c r="MJ14" s="1932"/>
      <c r="MK14" s="1932"/>
      <c r="ML14" s="1933"/>
      <c r="MM14" s="1931" t="s">
        <v>2465</v>
      </c>
      <c r="MN14" s="1932"/>
      <c r="MO14" s="1932"/>
      <c r="MP14" s="1933"/>
      <c r="MQ14" s="1931" t="s">
        <v>2466</v>
      </c>
      <c r="MR14" s="1932"/>
      <c r="MS14" s="1932"/>
      <c r="MT14" s="1933"/>
      <c r="MU14" s="1931" t="s">
        <v>2467</v>
      </c>
      <c r="MV14" s="1932"/>
      <c r="MW14" s="1932"/>
      <c r="MX14" s="1933"/>
      <c r="MY14" s="1931" t="s">
        <v>2463</v>
      </c>
      <c r="MZ14" s="1932"/>
      <c r="NA14" s="1932"/>
      <c r="NB14" s="1933"/>
      <c r="NC14" s="1931" t="s">
        <v>2468</v>
      </c>
      <c r="ND14" s="1932"/>
      <c r="NE14" s="1932"/>
      <c r="NF14" s="1933"/>
      <c r="NG14" s="1931" t="s">
        <v>2469</v>
      </c>
      <c r="NH14" s="1932"/>
      <c r="NI14" s="1932"/>
      <c r="NJ14" s="1933"/>
      <c r="NK14" s="1931" t="s">
        <v>2470</v>
      </c>
      <c r="NL14" s="1932"/>
      <c r="NM14" s="1932"/>
      <c r="NN14" s="1933"/>
      <c r="NO14" s="1931" t="s">
        <v>2471</v>
      </c>
      <c r="NP14" s="1932"/>
      <c r="NQ14" s="1932"/>
      <c r="NR14" s="1933"/>
      <c r="NS14" s="1931" t="s">
        <v>2472</v>
      </c>
      <c r="NT14" s="1932"/>
      <c r="NU14" s="1932"/>
      <c r="NV14" s="1933"/>
      <c r="NW14" s="1931" t="s">
        <v>2473</v>
      </c>
      <c r="NX14" s="1932"/>
      <c r="NY14" s="1932"/>
      <c r="NZ14" s="1933"/>
      <c r="OA14" s="1931" t="s">
        <v>2474</v>
      </c>
      <c r="OB14" s="1932"/>
      <c r="OC14" s="1932"/>
      <c r="OD14" s="1933"/>
      <c r="OE14" s="1931" t="s">
        <v>2475</v>
      </c>
      <c r="OF14" s="1932"/>
      <c r="OG14" s="1932"/>
      <c r="OH14" s="1933"/>
      <c r="OI14" s="1931" t="s">
        <v>2476</v>
      </c>
      <c r="OJ14" s="1932"/>
      <c r="OK14" s="1932"/>
      <c r="OL14" s="1933"/>
      <c r="OM14" s="1931" t="s">
        <v>2477</v>
      </c>
      <c r="ON14" s="1932"/>
      <c r="OO14" s="1932"/>
      <c r="OP14" s="1933"/>
      <c r="OQ14" s="1931" t="s">
        <v>2478</v>
      </c>
      <c r="OR14" s="1932"/>
      <c r="OS14" s="1932"/>
      <c r="OT14" s="1933"/>
      <c r="OU14" s="1931" t="s">
        <v>2479</v>
      </c>
      <c r="OV14" s="1932"/>
      <c r="OW14" s="1932"/>
      <c r="OX14" s="1933"/>
      <c r="OY14" s="1931" t="s">
        <v>2533</v>
      </c>
      <c r="OZ14" s="1932"/>
      <c r="PA14" s="1932"/>
      <c r="PB14" s="1933"/>
      <c r="PC14" s="1931" t="s">
        <v>2481</v>
      </c>
      <c r="PD14" s="1932"/>
      <c r="PE14" s="1932"/>
      <c r="PF14" s="1933"/>
      <c r="PG14" s="1931" t="s">
        <v>2482</v>
      </c>
      <c r="PH14" s="1932"/>
      <c r="PI14" s="1932"/>
      <c r="PJ14" s="1933"/>
      <c r="PK14" s="1931" t="s">
        <v>2483</v>
      </c>
      <c r="PL14" s="1932"/>
      <c r="PM14" s="1932"/>
      <c r="PN14" s="1933"/>
      <c r="PO14" s="1931" t="s">
        <v>2484</v>
      </c>
      <c r="PP14" s="1932"/>
      <c r="PQ14" s="1932"/>
      <c r="PR14" s="1933"/>
      <c r="PS14" s="1931" t="s">
        <v>2485</v>
      </c>
      <c r="PT14" s="1932"/>
      <c r="PU14" s="1932"/>
      <c r="PV14" s="1933"/>
      <c r="PW14" s="1931" t="s">
        <v>2486</v>
      </c>
      <c r="PX14" s="1932"/>
      <c r="PY14" s="1932"/>
      <c r="PZ14" s="1933"/>
      <c r="QA14" s="1931" t="s">
        <v>2487</v>
      </c>
      <c r="QB14" s="1932"/>
      <c r="QC14" s="1932"/>
      <c r="QD14" s="1933"/>
      <c r="QE14" s="1931" t="s">
        <v>2488</v>
      </c>
      <c r="QF14" s="1932"/>
      <c r="QG14" s="1932"/>
      <c r="QH14" s="1933"/>
      <c r="QI14" s="1931" t="s">
        <v>2489</v>
      </c>
      <c r="QJ14" s="1932"/>
      <c r="QK14" s="1932"/>
      <c r="QL14" s="1933"/>
      <c r="QM14" s="1931" t="s">
        <v>2490</v>
      </c>
      <c r="QN14" s="1932"/>
      <c r="QO14" s="1932"/>
      <c r="QP14" s="1933"/>
      <c r="QQ14" s="1931" t="s">
        <v>2491</v>
      </c>
      <c r="QR14" s="1932"/>
      <c r="QS14" s="1932"/>
      <c r="QT14" s="1933"/>
      <c r="QU14" s="1931" t="s">
        <v>2492</v>
      </c>
      <c r="QV14" s="1932"/>
      <c r="QW14" s="1932"/>
      <c r="QX14" s="1933"/>
      <c r="QY14" s="1931" t="s">
        <v>2493</v>
      </c>
      <c r="QZ14" s="1932"/>
      <c r="RA14" s="1932"/>
      <c r="RB14" s="1933"/>
      <c r="RC14" s="1931" t="s">
        <v>2494</v>
      </c>
      <c r="RD14" s="1932"/>
      <c r="RE14" s="1932"/>
      <c r="RF14" s="1933"/>
      <c r="RG14" s="1931" t="s">
        <v>2495</v>
      </c>
      <c r="RH14" s="1932"/>
      <c r="RI14" s="1932"/>
      <c r="RJ14" s="1933"/>
      <c r="RK14" s="1931" t="s">
        <v>2496</v>
      </c>
      <c r="RL14" s="1932"/>
      <c r="RM14" s="1932"/>
      <c r="RN14" s="1933"/>
      <c r="RO14" s="1931" t="s">
        <v>2497</v>
      </c>
      <c r="RP14" s="1932"/>
      <c r="RQ14" s="1932"/>
      <c r="RR14" s="1933"/>
      <c r="RS14" s="1931" t="s">
        <v>2498</v>
      </c>
      <c r="RT14" s="1932"/>
      <c r="RU14" s="1932"/>
      <c r="RV14" s="1933"/>
      <c r="RW14" s="1931" t="s">
        <v>2499</v>
      </c>
      <c r="RX14" s="1932"/>
      <c r="RY14" s="1932"/>
      <c r="RZ14" s="1933"/>
      <c r="SA14" s="1931" t="s">
        <v>2500</v>
      </c>
      <c r="SB14" s="1932"/>
      <c r="SC14" s="1932"/>
      <c r="SD14" s="1933"/>
      <c r="SE14" s="1931" t="s">
        <v>2501</v>
      </c>
      <c r="SF14" s="1932"/>
      <c r="SG14" s="1932"/>
      <c r="SH14" s="1933"/>
      <c r="SI14" s="1931" t="s">
        <v>2502</v>
      </c>
      <c r="SJ14" s="1932"/>
      <c r="SK14" s="1932"/>
      <c r="SL14" s="1933"/>
      <c r="SM14" s="1931" t="s">
        <v>2503</v>
      </c>
      <c r="SN14" s="1932"/>
      <c r="SO14" s="1932"/>
      <c r="SP14" s="1933"/>
      <c r="SQ14" s="1931" t="s">
        <v>2504</v>
      </c>
      <c r="SR14" s="1932"/>
      <c r="SS14" s="1932"/>
      <c r="ST14" s="1933"/>
      <c r="SU14" s="1931" t="s">
        <v>2505</v>
      </c>
      <c r="SV14" s="1932"/>
      <c r="SW14" s="1932"/>
      <c r="SX14" s="1933"/>
      <c r="SY14" s="1931" t="s">
        <v>2506</v>
      </c>
      <c r="SZ14" s="1932"/>
      <c r="TA14" s="1932"/>
      <c r="TB14" s="1933"/>
      <c r="TC14" s="1931" t="s">
        <v>2507</v>
      </c>
      <c r="TD14" s="1932"/>
      <c r="TE14" s="1932"/>
      <c r="TF14" s="1933"/>
      <c r="TG14" s="1931" t="s">
        <v>2508</v>
      </c>
      <c r="TH14" s="1932"/>
      <c r="TI14" s="1932"/>
      <c r="TJ14" s="1933"/>
      <c r="TK14" s="1931" t="s">
        <v>2509</v>
      </c>
      <c r="TL14" s="1932"/>
      <c r="TM14" s="1932"/>
      <c r="TN14" s="1933"/>
      <c r="TO14" s="1931" t="s">
        <v>2510</v>
      </c>
      <c r="TP14" s="1932"/>
      <c r="TQ14" s="1932"/>
      <c r="TR14" s="1933"/>
      <c r="TS14" s="1931" t="s">
        <v>2511</v>
      </c>
      <c r="TT14" s="1932"/>
      <c r="TU14" s="1932"/>
      <c r="TV14" s="1933"/>
      <c r="TW14" s="1931" t="s">
        <v>2512</v>
      </c>
      <c r="TX14" s="1932"/>
      <c r="TY14" s="1932"/>
      <c r="TZ14" s="1933"/>
      <c r="UA14" s="1931" t="s">
        <v>2513</v>
      </c>
      <c r="UB14" s="1932"/>
      <c r="UC14" s="1932"/>
      <c r="UD14" s="1933"/>
      <c r="UE14" s="1931" t="s">
        <v>2514</v>
      </c>
      <c r="UF14" s="1932"/>
      <c r="UG14" s="1932"/>
      <c r="UH14" s="1933"/>
      <c r="UI14" s="1931" t="s">
        <v>2515</v>
      </c>
      <c r="UJ14" s="1932"/>
      <c r="UK14" s="1932"/>
      <c r="UL14" s="1933"/>
      <c r="UM14" s="1931" t="s">
        <v>2516</v>
      </c>
      <c r="UN14" s="1932"/>
      <c r="UO14" s="1932"/>
      <c r="UP14" s="1933"/>
      <c r="UQ14" s="1931" t="s">
        <v>2517</v>
      </c>
      <c r="UR14" s="1932"/>
      <c r="US14" s="1932"/>
      <c r="UT14" s="1933"/>
      <c r="UU14" s="1931" t="s">
        <v>2518</v>
      </c>
      <c r="UV14" s="1932"/>
      <c r="UW14" s="1932"/>
      <c r="UX14" s="1933"/>
      <c r="UY14" s="1931" t="s">
        <v>2519</v>
      </c>
      <c r="UZ14" s="1932"/>
      <c r="VA14" s="1932"/>
      <c r="VB14" s="1933"/>
      <c r="VC14" s="1931" t="s">
        <v>2520</v>
      </c>
      <c r="VD14" s="1932"/>
      <c r="VE14" s="1932"/>
      <c r="VF14" s="1933"/>
      <c r="VG14" s="1931" t="s">
        <v>2521</v>
      </c>
      <c r="VH14" s="1932"/>
      <c r="VI14" s="1932"/>
      <c r="VJ14" s="1933"/>
      <c r="VK14" s="1931" t="s">
        <v>2522</v>
      </c>
      <c r="VL14" s="1932"/>
      <c r="VM14" s="1932"/>
      <c r="VN14" s="1933"/>
      <c r="VO14" s="1931" t="s">
        <v>2523</v>
      </c>
      <c r="VP14" s="1932"/>
      <c r="VQ14" s="1932"/>
      <c r="VR14" s="1933"/>
      <c r="VS14" s="1931" t="s">
        <v>2524</v>
      </c>
      <c r="VT14" s="1932"/>
      <c r="VU14" s="1932"/>
      <c r="VV14" s="1933"/>
      <c r="VW14" s="1931" t="s">
        <v>2525</v>
      </c>
      <c r="VX14" s="1932"/>
      <c r="VY14" s="1932"/>
      <c r="VZ14" s="1933"/>
      <c r="WA14" s="1931" t="s">
        <v>2526</v>
      </c>
      <c r="WB14" s="1932"/>
      <c r="WC14" s="1932"/>
      <c r="WD14" s="1933"/>
      <c r="WE14" s="1931" t="s">
        <v>2527</v>
      </c>
      <c r="WF14" s="1932"/>
      <c r="WG14" s="1932"/>
      <c r="WH14" s="1933"/>
      <c r="WI14" s="1931" t="s">
        <v>2528</v>
      </c>
      <c r="WJ14" s="1932"/>
      <c r="WK14" s="1932"/>
      <c r="WL14" s="1933"/>
      <c r="WM14" s="1931" t="s">
        <v>2529</v>
      </c>
      <c r="WN14" s="1932"/>
      <c r="WO14" s="1932"/>
      <c r="WP14" s="1933"/>
      <c r="WQ14" s="1931" t="s">
        <v>2530</v>
      </c>
      <c r="WR14" s="1932"/>
      <c r="WS14" s="1932"/>
      <c r="WT14" s="1933"/>
      <c r="WU14" s="1931" t="s">
        <v>2531</v>
      </c>
      <c r="WV14" s="1932"/>
      <c r="WW14" s="1932"/>
      <c r="WX14" s="1933"/>
      <c r="WY14" s="1931" t="s">
        <v>2532</v>
      </c>
      <c r="WZ14" s="1932"/>
      <c r="XA14" s="1932"/>
      <c r="XB14" s="1933"/>
      <c r="XC14" s="442"/>
    </row>
    <row r="15" spans="1:627" ht="15" customHeight="1">
      <c r="A15" s="1912"/>
      <c r="B15" s="710" t="s">
        <v>214</v>
      </c>
      <c r="C15" s="1934" t="s">
        <v>2534</v>
      </c>
      <c r="D15" s="697" t="s">
        <v>98</v>
      </c>
      <c r="E15" s="697" t="s">
        <v>99</v>
      </c>
      <c r="F15" s="705" t="s">
        <v>2535</v>
      </c>
      <c r="G15" s="705" t="s">
        <v>6</v>
      </c>
      <c r="H15" s="705" t="s">
        <v>2536</v>
      </c>
      <c r="I15" s="706" t="s">
        <v>2537</v>
      </c>
      <c r="J15" s="494" t="s">
        <v>2535</v>
      </c>
      <c r="K15" s="705" t="s">
        <v>6</v>
      </c>
      <c r="L15" s="705" t="s">
        <v>2536</v>
      </c>
      <c r="M15" s="707" t="s">
        <v>2537</v>
      </c>
      <c r="N15" s="494" t="str">
        <f>$J$15</f>
        <v>2016-17</v>
      </c>
      <c r="O15" s="705" t="str">
        <f>$K$15</f>
        <v>2017-18</v>
      </c>
      <c r="P15" s="705" t="str">
        <f>$L$15</f>
        <v>2018-19</v>
      </c>
      <c r="Q15" s="707" t="str">
        <f>$M$15</f>
        <v>2019-20</v>
      </c>
      <c r="R15" s="494" t="str">
        <f>$J$15</f>
        <v>2016-17</v>
      </c>
      <c r="S15" s="705" t="str">
        <f>$K$15</f>
        <v>2017-18</v>
      </c>
      <c r="T15" s="705" t="str">
        <f>$L$15</f>
        <v>2018-19</v>
      </c>
      <c r="U15" s="707" t="str">
        <f>$M$15</f>
        <v>2019-20</v>
      </c>
      <c r="V15" s="494" t="str">
        <f>$J$15</f>
        <v>2016-17</v>
      </c>
      <c r="W15" s="705" t="str">
        <f>$K$15</f>
        <v>2017-18</v>
      </c>
      <c r="X15" s="705" t="str">
        <f>$L$15</f>
        <v>2018-19</v>
      </c>
      <c r="Y15" s="707" t="str">
        <f>$M$15</f>
        <v>2019-20</v>
      </c>
      <c r="Z15" s="494" t="str">
        <f>$J$15</f>
        <v>2016-17</v>
      </c>
      <c r="AA15" s="705" t="str">
        <f>$K$15</f>
        <v>2017-18</v>
      </c>
      <c r="AB15" s="705" t="str">
        <f>$L$15</f>
        <v>2018-19</v>
      </c>
      <c r="AC15" s="707" t="str">
        <f>$M$15</f>
        <v>2019-20</v>
      </c>
      <c r="AD15" s="494" t="str">
        <f>$J$15</f>
        <v>2016-17</v>
      </c>
      <c r="AE15" s="705" t="str">
        <f>$K$15</f>
        <v>2017-18</v>
      </c>
      <c r="AF15" s="705" t="str">
        <f>$L$15</f>
        <v>2018-19</v>
      </c>
      <c r="AG15" s="707" t="str">
        <f>$M$15</f>
        <v>2019-20</v>
      </c>
      <c r="AH15" s="494" t="str">
        <f>$J$15</f>
        <v>2016-17</v>
      </c>
      <c r="AI15" s="705" t="str">
        <f>$K$15</f>
        <v>2017-18</v>
      </c>
      <c r="AJ15" s="705" t="str">
        <f>$L$15</f>
        <v>2018-19</v>
      </c>
      <c r="AK15" s="707" t="str">
        <f>$M$15</f>
        <v>2019-20</v>
      </c>
      <c r="AL15" s="494" t="str">
        <f>$J$15</f>
        <v>2016-17</v>
      </c>
      <c r="AM15" s="705" t="str">
        <f>$K$15</f>
        <v>2017-18</v>
      </c>
      <c r="AN15" s="705" t="str">
        <f>$L$15</f>
        <v>2018-19</v>
      </c>
      <c r="AO15" s="707" t="str">
        <f>$M$15</f>
        <v>2019-20</v>
      </c>
      <c r="AP15" s="494" t="str">
        <f>$J$15</f>
        <v>2016-17</v>
      </c>
      <c r="AQ15" s="705" t="str">
        <f>$K$15</f>
        <v>2017-18</v>
      </c>
      <c r="AR15" s="705" t="str">
        <f>$L$15</f>
        <v>2018-19</v>
      </c>
      <c r="AS15" s="707" t="str">
        <f>$M$15</f>
        <v>2019-20</v>
      </c>
      <c r="AT15" s="494" t="str">
        <f>$J$15</f>
        <v>2016-17</v>
      </c>
      <c r="AU15" s="705" t="str">
        <f>$K$15</f>
        <v>2017-18</v>
      </c>
      <c r="AV15" s="705" t="str">
        <f>$L$15</f>
        <v>2018-19</v>
      </c>
      <c r="AW15" s="707" t="str">
        <f>$M$15</f>
        <v>2019-20</v>
      </c>
      <c r="AX15" s="494" t="str">
        <f>$J$15</f>
        <v>2016-17</v>
      </c>
      <c r="AY15" s="705" t="str">
        <f>$K$15</f>
        <v>2017-18</v>
      </c>
      <c r="AZ15" s="705" t="str">
        <f>$L$15</f>
        <v>2018-19</v>
      </c>
      <c r="BA15" s="707" t="str">
        <f>$M$15</f>
        <v>2019-20</v>
      </c>
      <c r="BB15" s="494" t="str">
        <f>$J$15</f>
        <v>2016-17</v>
      </c>
      <c r="BC15" s="705" t="str">
        <f>$K$15</f>
        <v>2017-18</v>
      </c>
      <c r="BD15" s="705" t="str">
        <f>$L$15</f>
        <v>2018-19</v>
      </c>
      <c r="BE15" s="707" t="str">
        <f>$M$15</f>
        <v>2019-20</v>
      </c>
      <c r="BF15" s="494" t="str">
        <f>$J$15</f>
        <v>2016-17</v>
      </c>
      <c r="BG15" s="705" t="str">
        <f>$K$15</f>
        <v>2017-18</v>
      </c>
      <c r="BH15" s="705" t="str">
        <f>$L$15</f>
        <v>2018-19</v>
      </c>
      <c r="BI15" s="707" t="str">
        <f>$M$15</f>
        <v>2019-20</v>
      </c>
      <c r="BJ15" s="494" t="str">
        <f>$J$15</f>
        <v>2016-17</v>
      </c>
      <c r="BK15" s="705" t="str">
        <f>$K$15</f>
        <v>2017-18</v>
      </c>
      <c r="BL15" s="705" t="str">
        <f>$L$15</f>
        <v>2018-19</v>
      </c>
      <c r="BM15" s="707" t="str">
        <f>$M$15</f>
        <v>2019-20</v>
      </c>
      <c r="BN15" s="494" t="str">
        <f>$J$15</f>
        <v>2016-17</v>
      </c>
      <c r="BO15" s="705" t="str">
        <f>$K$15</f>
        <v>2017-18</v>
      </c>
      <c r="BP15" s="705" t="str">
        <f>$L$15</f>
        <v>2018-19</v>
      </c>
      <c r="BQ15" s="707" t="str">
        <f>$M$15</f>
        <v>2019-20</v>
      </c>
      <c r="BR15" s="494" t="str">
        <f>$J$15</f>
        <v>2016-17</v>
      </c>
      <c r="BS15" s="705" t="str">
        <f>$K$15</f>
        <v>2017-18</v>
      </c>
      <c r="BT15" s="705" t="str">
        <f>$L$15</f>
        <v>2018-19</v>
      </c>
      <c r="BU15" s="707" t="str">
        <f>$M$15</f>
        <v>2019-20</v>
      </c>
      <c r="BV15" s="494" t="str">
        <f>$J$15</f>
        <v>2016-17</v>
      </c>
      <c r="BW15" s="705" t="str">
        <f>$K$15</f>
        <v>2017-18</v>
      </c>
      <c r="BX15" s="705" t="str">
        <f>$L$15</f>
        <v>2018-19</v>
      </c>
      <c r="BY15" s="707" t="str">
        <f>$M$15</f>
        <v>2019-20</v>
      </c>
      <c r="BZ15" s="494" t="str">
        <f>$J$15</f>
        <v>2016-17</v>
      </c>
      <c r="CA15" s="705" t="str">
        <f>$K$15</f>
        <v>2017-18</v>
      </c>
      <c r="CB15" s="705" t="str">
        <f>$L$15</f>
        <v>2018-19</v>
      </c>
      <c r="CC15" s="707" t="str">
        <f>$M$15</f>
        <v>2019-20</v>
      </c>
      <c r="CD15" s="494" t="str">
        <f>$J$15</f>
        <v>2016-17</v>
      </c>
      <c r="CE15" s="705" t="str">
        <f>$K$15</f>
        <v>2017-18</v>
      </c>
      <c r="CF15" s="705" t="str">
        <f>$L$15</f>
        <v>2018-19</v>
      </c>
      <c r="CG15" s="707" t="str">
        <f>$M$15</f>
        <v>2019-20</v>
      </c>
      <c r="CH15" s="494" t="str">
        <f>$J$15</f>
        <v>2016-17</v>
      </c>
      <c r="CI15" s="705" t="str">
        <f>$K$15</f>
        <v>2017-18</v>
      </c>
      <c r="CJ15" s="705" t="str">
        <f>$L$15</f>
        <v>2018-19</v>
      </c>
      <c r="CK15" s="707" t="str">
        <f>$M$15</f>
        <v>2019-20</v>
      </c>
      <c r="CL15" s="494" t="str">
        <f>$J$15</f>
        <v>2016-17</v>
      </c>
      <c r="CM15" s="705" t="str">
        <f>$K$15</f>
        <v>2017-18</v>
      </c>
      <c r="CN15" s="705" t="str">
        <f>$L$15</f>
        <v>2018-19</v>
      </c>
      <c r="CO15" s="707" t="str">
        <f>$M$15</f>
        <v>2019-20</v>
      </c>
      <c r="CP15" s="494" t="str">
        <f>$J$15</f>
        <v>2016-17</v>
      </c>
      <c r="CQ15" s="705" t="str">
        <f>$K$15</f>
        <v>2017-18</v>
      </c>
      <c r="CR15" s="705" t="str">
        <f>$L$15</f>
        <v>2018-19</v>
      </c>
      <c r="CS15" s="707" t="str">
        <f>$M$15</f>
        <v>2019-20</v>
      </c>
      <c r="CT15" s="494" t="str">
        <f>$J$15</f>
        <v>2016-17</v>
      </c>
      <c r="CU15" s="705" t="str">
        <f>$K$15</f>
        <v>2017-18</v>
      </c>
      <c r="CV15" s="705" t="str">
        <f>$L$15</f>
        <v>2018-19</v>
      </c>
      <c r="CW15" s="707" t="str">
        <f>$M$15</f>
        <v>2019-20</v>
      </c>
      <c r="CX15" s="494" t="str">
        <f>$J$15</f>
        <v>2016-17</v>
      </c>
      <c r="CY15" s="705" t="str">
        <f>$K$15</f>
        <v>2017-18</v>
      </c>
      <c r="CZ15" s="705" t="str">
        <f>$L$15</f>
        <v>2018-19</v>
      </c>
      <c r="DA15" s="707" t="str">
        <f>$M$15</f>
        <v>2019-20</v>
      </c>
      <c r="DB15" s="494" t="str">
        <f>$J$15</f>
        <v>2016-17</v>
      </c>
      <c r="DC15" s="705" t="str">
        <f>$K$15</f>
        <v>2017-18</v>
      </c>
      <c r="DD15" s="705" t="str">
        <f>$L$15</f>
        <v>2018-19</v>
      </c>
      <c r="DE15" s="707" t="str">
        <f>$M$15</f>
        <v>2019-20</v>
      </c>
      <c r="DF15" s="494" t="str">
        <f>$J$15</f>
        <v>2016-17</v>
      </c>
      <c r="DG15" s="705" t="str">
        <f>$K$15</f>
        <v>2017-18</v>
      </c>
      <c r="DH15" s="705" t="str">
        <f>$L$15</f>
        <v>2018-19</v>
      </c>
      <c r="DI15" s="707" t="str">
        <f>$M$15</f>
        <v>2019-20</v>
      </c>
      <c r="DJ15" s="494" t="str">
        <f>$J$15</f>
        <v>2016-17</v>
      </c>
      <c r="DK15" s="705" t="str">
        <f>$K$15</f>
        <v>2017-18</v>
      </c>
      <c r="DL15" s="705" t="str">
        <f>$L$15</f>
        <v>2018-19</v>
      </c>
      <c r="DM15" s="707" t="str">
        <f>$M$15</f>
        <v>2019-20</v>
      </c>
      <c r="DN15" s="494" t="str">
        <f>$J$15</f>
        <v>2016-17</v>
      </c>
      <c r="DO15" s="705" t="str">
        <f>$K$15</f>
        <v>2017-18</v>
      </c>
      <c r="DP15" s="705" t="str">
        <f>$L$15</f>
        <v>2018-19</v>
      </c>
      <c r="DQ15" s="707" t="str">
        <f>$M$15</f>
        <v>2019-20</v>
      </c>
      <c r="DR15" s="494" t="str">
        <f>$J$15</f>
        <v>2016-17</v>
      </c>
      <c r="DS15" s="705" t="str">
        <f>$K$15</f>
        <v>2017-18</v>
      </c>
      <c r="DT15" s="705" t="str">
        <f>$L$15</f>
        <v>2018-19</v>
      </c>
      <c r="DU15" s="707" t="str">
        <f>$M$15</f>
        <v>2019-20</v>
      </c>
      <c r="DV15" s="494" t="str">
        <f>$J$15</f>
        <v>2016-17</v>
      </c>
      <c r="DW15" s="705" t="str">
        <f>$K$15</f>
        <v>2017-18</v>
      </c>
      <c r="DX15" s="705" t="str">
        <f>$L$15</f>
        <v>2018-19</v>
      </c>
      <c r="DY15" s="707" t="str">
        <f>$M$15</f>
        <v>2019-20</v>
      </c>
      <c r="DZ15" s="494" t="str">
        <f>$J$15</f>
        <v>2016-17</v>
      </c>
      <c r="EA15" s="705" t="str">
        <f>$K$15</f>
        <v>2017-18</v>
      </c>
      <c r="EB15" s="705" t="str">
        <f>$L$15</f>
        <v>2018-19</v>
      </c>
      <c r="EC15" s="707" t="str">
        <f>$M$15</f>
        <v>2019-20</v>
      </c>
      <c r="ED15" s="494" t="str">
        <f>$J$15</f>
        <v>2016-17</v>
      </c>
      <c r="EE15" s="705" t="str">
        <f>$K$15</f>
        <v>2017-18</v>
      </c>
      <c r="EF15" s="705" t="str">
        <f>$L$15</f>
        <v>2018-19</v>
      </c>
      <c r="EG15" s="707" t="str">
        <f>$M$15</f>
        <v>2019-20</v>
      </c>
      <c r="EH15" s="494" t="str">
        <f>$J$15</f>
        <v>2016-17</v>
      </c>
      <c r="EI15" s="705" t="str">
        <f>$K$15</f>
        <v>2017-18</v>
      </c>
      <c r="EJ15" s="705" t="str">
        <f>$L$15</f>
        <v>2018-19</v>
      </c>
      <c r="EK15" s="707" t="str">
        <f>$M$15</f>
        <v>2019-20</v>
      </c>
      <c r="EL15" s="494" t="str">
        <f>$J$15</f>
        <v>2016-17</v>
      </c>
      <c r="EM15" s="705" t="str">
        <f>$K$15</f>
        <v>2017-18</v>
      </c>
      <c r="EN15" s="705" t="str">
        <f>$L$15</f>
        <v>2018-19</v>
      </c>
      <c r="EO15" s="707" t="str">
        <f>$M$15</f>
        <v>2019-20</v>
      </c>
      <c r="EP15" s="494" t="str">
        <f>$J$15</f>
        <v>2016-17</v>
      </c>
      <c r="EQ15" s="705" t="str">
        <f>$K$15</f>
        <v>2017-18</v>
      </c>
      <c r="ER15" s="705" t="str">
        <f>$L$15</f>
        <v>2018-19</v>
      </c>
      <c r="ES15" s="707" t="str">
        <f>$M$15</f>
        <v>2019-20</v>
      </c>
      <c r="ET15" s="494" t="str">
        <f>$J$15</f>
        <v>2016-17</v>
      </c>
      <c r="EU15" s="705" t="str">
        <f>$K$15</f>
        <v>2017-18</v>
      </c>
      <c r="EV15" s="705" t="str">
        <f>$L$15</f>
        <v>2018-19</v>
      </c>
      <c r="EW15" s="707" t="str">
        <f>$M$15</f>
        <v>2019-20</v>
      </c>
      <c r="EX15" s="494" t="str">
        <f>$J$15</f>
        <v>2016-17</v>
      </c>
      <c r="EY15" s="705" t="str">
        <f>$K$15</f>
        <v>2017-18</v>
      </c>
      <c r="EZ15" s="705" t="str">
        <f>$L$15</f>
        <v>2018-19</v>
      </c>
      <c r="FA15" s="707" t="str">
        <f>$M$15</f>
        <v>2019-20</v>
      </c>
      <c r="FB15" s="494" t="str">
        <f>$J$15</f>
        <v>2016-17</v>
      </c>
      <c r="FC15" s="705" t="str">
        <f>$K$15</f>
        <v>2017-18</v>
      </c>
      <c r="FD15" s="705" t="str">
        <f>$L$15</f>
        <v>2018-19</v>
      </c>
      <c r="FE15" s="707" t="str">
        <f>$M$15</f>
        <v>2019-20</v>
      </c>
      <c r="FF15" s="494" t="str">
        <f>$J$15</f>
        <v>2016-17</v>
      </c>
      <c r="FG15" s="705" t="str">
        <f>$K$15</f>
        <v>2017-18</v>
      </c>
      <c r="FH15" s="705" t="str">
        <f>$L$15</f>
        <v>2018-19</v>
      </c>
      <c r="FI15" s="707" t="str">
        <f>$M$15</f>
        <v>2019-20</v>
      </c>
      <c r="FJ15" s="494" t="str">
        <f>$J$15</f>
        <v>2016-17</v>
      </c>
      <c r="FK15" s="705" t="str">
        <f>$K$15</f>
        <v>2017-18</v>
      </c>
      <c r="FL15" s="705" t="str">
        <f>$L$15</f>
        <v>2018-19</v>
      </c>
      <c r="FM15" s="707" t="str">
        <f>$M$15</f>
        <v>2019-20</v>
      </c>
      <c r="FN15" s="494" t="str">
        <f>$J$15</f>
        <v>2016-17</v>
      </c>
      <c r="FO15" s="705" t="str">
        <f>$K$15</f>
        <v>2017-18</v>
      </c>
      <c r="FP15" s="705" t="str">
        <f>$L$15</f>
        <v>2018-19</v>
      </c>
      <c r="FQ15" s="707" t="str">
        <f>$M$15</f>
        <v>2019-20</v>
      </c>
      <c r="FR15" s="494" t="str">
        <f>$J$15</f>
        <v>2016-17</v>
      </c>
      <c r="FS15" s="705" t="str">
        <f>$K$15</f>
        <v>2017-18</v>
      </c>
      <c r="FT15" s="705" t="str">
        <f>$L$15</f>
        <v>2018-19</v>
      </c>
      <c r="FU15" s="707" t="str">
        <f>$M$15</f>
        <v>2019-20</v>
      </c>
      <c r="FV15" s="494" t="str">
        <f>$J$15</f>
        <v>2016-17</v>
      </c>
      <c r="FW15" s="705" t="str">
        <f>$K$15</f>
        <v>2017-18</v>
      </c>
      <c r="FX15" s="705" t="str">
        <f>$L$15</f>
        <v>2018-19</v>
      </c>
      <c r="FY15" s="707" t="str">
        <f>$M$15</f>
        <v>2019-20</v>
      </c>
      <c r="FZ15" s="494" t="str">
        <f>$J$15</f>
        <v>2016-17</v>
      </c>
      <c r="GA15" s="705" t="str">
        <f>$K$15</f>
        <v>2017-18</v>
      </c>
      <c r="GB15" s="705" t="str">
        <f>$L$15</f>
        <v>2018-19</v>
      </c>
      <c r="GC15" s="707" t="str">
        <f>$M$15</f>
        <v>2019-20</v>
      </c>
      <c r="GD15" s="494" t="str">
        <f>$J$15</f>
        <v>2016-17</v>
      </c>
      <c r="GE15" s="705" t="str">
        <f>$K$15</f>
        <v>2017-18</v>
      </c>
      <c r="GF15" s="705" t="str">
        <f>$L$15</f>
        <v>2018-19</v>
      </c>
      <c r="GG15" s="707" t="str">
        <f>$M$15</f>
        <v>2019-20</v>
      </c>
      <c r="GH15" s="494" t="str">
        <f>$J$15</f>
        <v>2016-17</v>
      </c>
      <c r="GI15" s="705" t="str">
        <f>$K$15</f>
        <v>2017-18</v>
      </c>
      <c r="GJ15" s="705" t="str">
        <f>$L$15</f>
        <v>2018-19</v>
      </c>
      <c r="GK15" s="707" t="str">
        <f>$M$15</f>
        <v>2019-20</v>
      </c>
      <c r="GL15" s="494" t="str">
        <f>$J$15</f>
        <v>2016-17</v>
      </c>
      <c r="GM15" s="705" t="str">
        <f>$K$15</f>
        <v>2017-18</v>
      </c>
      <c r="GN15" s="705" t="str">
        <f>$L$15</f>
        <v>2018-19</v>
      </c>
      <c r="GO15" s="707" t="str">
        <f>$M$15</f>
        <v>2019-20</v>
      </c>
      <c r="GP15" s="494" t="str">
        <f>$J$15</f>
        <v>2016-17</v>
      </c>
      <c r="GQ15" s="705" t="str">
        <f>$K$15</f>
        <v>2017-18</v>
      </c>
      <c r="GR15" s="705" t="str">
        <f>$L$15</f>
        <v>2018-19</v>
      </c>
      <c r="GS15" s="707" t="str">
        <f>$M$15</f>
        <v>2019-20</v>
      </c>
      <c r="GT15" s="494" t="str">
        <f>$J$15</f>
        <v>2016-17</v>
      </c>
      <c r="GU15" s="705" t="str">
        <f>$K$15</f>
        <v>2017-18</v>
      </c>
      <c r="GV15" s="705" t="str">
        <f>$L$15</f>
        <v>2018-19</v>
      </c>
      <c r="GW15" s="707" t="str">
        <f>$M$15</f>
        <v>2019-20</v>
      </c>
      <c r="GX15" s="494" t="str">
        <f>$J$15</f>
        <v>2016-17</v>
      </c>
      <c r="GY15" s="705" t="str">
        <f>$K$15</f>
        <v>2017-18</v>
      </c>
      <c r="GZ15" s="705" t="str">
        <f>$L$15</f>
        <v>2018-19</v>
      </c>
      <c r="HA15" s="707" t="str">
        <f>$M$15</f>
        <v>2019-20</v>
      </c>
      <c r="HB15" s="494" t="str">
        <f>$J$15</f>
        <v>2016-17</v>
      </c>
      <c r="HC15" s="705" t="str">
        <f>$K$15</f>
        <v>2017-18</v>
      </c>
      <c r="HD15" s="705" t="str">
        <f>$L$15</f>
        <v>2018-19</v>
      </c>
      <c r="HE15" s="707" t="str">
        <f>$M$15</f>
        <v>2019-20</v>
      </c>
      <c r="HF15" s="494" t="str">
        <f>$J$15</f>
        <v>2016-17</v>
      </c>
      <c r="HG15" s="705" t="str">
        <f>$K$15</f>
        <v>2017-18</v>
      </c>
      <c r="HH15" s="705" t="str">
        <f>$L$15</f>
        <v>2018-19</v>
      </c>
      <c r="HI15" s="707" t="str">
        <f>$M$15</f>
        <v>2019-20</v>
      </c>
      <c r="HJ15" s="494" t="str">
        <f>$J$15</f>
        <v>2016-17</v>
      </c>
      <c r="HK15" s="705" t="str">
        <f>$K$15</f>
        <v>2017-18</v>
      </c>
      <c r="HL15" s="705" t="str">
        <f>$L$15</f>
        <v>2018-19</v>
      </c>
      <c r="HM15" s="707" t="str">
        <f>$M$15</f>
        <v>2019-20</v>
      </c>
      <c r="HN15" s="494" t="str">
        <f>$J$15</f>
        <v>2016-17</v>
      </c>
      <c r="HO15" s="705" t="str">
        <f>$K$15</f>
        <v>2017-18</v>
      </c>
      <c r="HP15" s="705" t="str">
        <f>$L$15</f>
        <v>2018-19</v>
      </c>
      <c r="HQ15" s="707" t="str">
        <f>$M$15</f>
        <v>2019-20</v>
      </c>
      <c r="HR15" s="494" t="str">
        <f>$J$15</f>
        <v>2016-17</v>
      </c>
      <c r="HS15" s="705" t="str">
        <f>$K$15</f>
        <v>2017-18</v>
      </c>
      <c r="HT15" s="705" t="str">
        <f>$L$15</f>
        <v>2018-19</v>
      </c>
      <c r="HU15" s="707" t="str">
        <f>$M$15</f>
        <v>2019-20</v>
      </c>
      <c r="HV15" s="494" t="str">
        <f>$J$15</f>
        <v>2016-17</v>
      </c>
      <c r="HW15" s="705" t="str">
        <f>$K$15</f>
        <v>2017-18</v>
      </c>
      <c r="HX15" s="705" t="str">
        <f>$L$15</f>
        <v>2018-19</v>
      </c>
      <c r="HY15" s="707" t="str">
        <f>$M$15</f>
        <v>2019-20</v>
      </c>
      <c r="HZ15" s="494" t="str">
        <f>$J$15</f>
        <v>2016-17</v>
      </c>
      <c r="IA15" s="705" t="str">
        <f>$K$15</f>
        <v>2017-18</v>
      </c>
      <c r="IB15" s="705" t="str">
        <f>$L$15</f>
        <v>2018-19</v>
      </c>
      <c r="IC15" s="707" t="str">
        <f>$M$15</f>
        <v>2019-20</v>
      </c>
      <c r="ID15" s="494" t="str">
        <f>$J$15</f>
        <v>2016-17</v>
      </c>
      <c r="IE15" s="705" t="str">
        <f>$K$15</f>
        <v>2017-18</v>
      </c>
      <c r="IF15" s="705" t="str">
        <f>$L$15</f>
        <v>2018-19</v>
      </c>
      <c r="IG15" s="707" t="str">
        <f>$M$15</f>
        <v>2019-20</v>
      </c>
      <c r="IH15" s="494" t="str">
        <f>$J$15</f>
        <v>2016-17</v>
      </c>
      <c r="II15" s="705" t="str">
        <f>$K$15</f>
        <v>2017-18</v>
      </c>
      <c r="IJ15" s="705" t="str">
        <f>$L$15</f>
        <v>2018-19</v>
      </c>
      <c r="IK15" s="707" t="str">
        <f>$M$15</f>
        <v>2019-20</v>
      </c>
      <c r="IL15" s="494" t="str">
        <f>$J$15</f>
        <v>2016-17</v>
      </c>
      <c r="IM15" s="705" t="str">
        <f>$K$15</f>
        <v>2017-18</v>
      </c>
      <c r="IN15" s="705" t="str">
        <f>$L$15</f>
        <v>2018-19</v>
      </c>
      <c r="IO15" s="707" t="str">
        <f>$M$15</f>
        <v>2019-20</v>
      </c>
      <c r="IP15" s="494" t="str">
        <f>$J$15</f>
        <v>2016-17</v>
      </c>
      <c r="IQ15" s="705" t="str">
        <f>$K$15</f>
        <v>2017-18</v>
      </c>
      <c r="IR15" s="705" t="str">
        <f>$L$15</f>
        <v>2018-19</v>
      </c>
      <c r="IS15" s="707" t="str">
        <f>$M$15</f>
        <v>2019-20</v>
      </c>
      <c r="IT15" s="494" t="str">
        <f>$J$15</f>
        <v>2016-17</v>
      </c>
      <c r="IU15" s="705" t="str">
        <f>$K$15</f>
        <v>2017-18</v>
      </c>
      <c r="IV15" s="705" t="str">
        <f>$L$15</f>
        <v>2018-19</v>
      </c>
      <c r="IW15" s="707" t="str">
        <f>$M$15</f>
        <v>2019-20</v>
      </c>
      <c r="IX15" s="494" t="str">
        <f>$J$15</f>
        <v>2016-17</v>
      </c>
      <c r="IY15" s="705" t="str">
        <f>$K$15</f>
        <v>2017-18</v>
      </c>
      <c r="IZ15" s="705" t="str">
        <f>$L$15</f>
        <v>2018-19</v>
      </c>
      <c r="JA15" s="707" t="str">
        <f>$M$15</f>
        <v>2019-20</v>
      </c>
      <c r="JB15" s="494" t="str">
        <f>$J$15</f>
        <v>2016-17</v>
      </c>
      <c r="JC15" s="705" t="str">
        <f>$K$15</f>
        <v>2017-18</v>
      </c>
      <c r="JD15" s="705" t="str">
        <f>$L$15</f>
        <v>2018-19</v>
      </c>
      <c r="JE15" s="707" t="str">
        <f>$M$15</f>
        <v>2019-20</v>
      </c>
      <c r="JF15" s="494" t="str">
        <f>$J$15</f>
        <v>2016-17</v>
      </c>
      <c r="JG15" s="705" t="str">
        <f>$K$15</f>
        <v>2017-18</v>
      </c>
      <c r="JH15" s="705" t="str">
        <f>$L$15</f>
        <v>2018-19</v>
      </c>
      <c r="JI15" s="707" t="str">
        <f>$M$15</f>
        <v>2019-20</v>
      </c>
      <c r="JJ15" s="494" t="str">
        <f>$J$15</f>
        <v>2016-17</v>
      </c>
      <c r="JK15" s="705" t="str">
        <f>$K$15</f>
        <v>2017-18</v>
      </c>
      <c r="JL15" s="705" t="str">
        <f>$L$15</f>
        <v>2018-19</v>
      </c>
      <c r="JM15" s="707" t="str">
        <f>$M$15</f>
        <v>2019-20</v>
      </c>
      <c r="JN15" s="494" t="str">
        <f>$J$15</f>
        <v>2016-17</v>
      </c>
      <c r="JO15" s="705" t="str">
        <f>$K$15</f>
        <v>2017-18</v>
      </c>
      <c r="JP15" s="705" t="str">
        <f>$L$15</f>
        <v>2018-19</v>
      </c>
      <c r="JQ15" s="707" t="str">
        <f>$M$15</f>
        <v>2019-20</v>
      </c>
      <c r="JR15" s="494" t="str">
        <f>$J$15</f>
        <v>2016-17</v>
      </c>
      <c r="JS15" s="705" t="str">
        <f>$K$15</f>
        <v>2017-18</v>
      </c>
      <c r="JT15" s="705" t="str">
        <f>$L$15</f>
        <v>2018-19</v>
      </c>
      <c r="JU15" s="707" t="str">
        <f>$M$15</f>
        <v>2019-20</v>
      </c>
      <c r="JV15" s="494" t="str">
        <f>$J$15</f>
        <v>2016-17</v>
      </c>
      <c r="JW15" s="705" t="str">
        <f>$K$15</f>
        <v>2017-18</v>
      </c>
      <c r="JX15" s="705" t="str">
        <f>$L$15</f>
        <v>2018-19</v>
      </c>
      <c r="JY15" s="707" t="str">
        <f>$M$15</f>
        <v>2019-20</v>
      </c>
      <c r="JZ15" s="494" t="str">
        <f>$J$15</f>
        <v>2016-17</v>
      </c>
      <c r="KA15" s="705" t="str">
        <f>$K$15</f>
        <v>2017-18</v>
      </c>
      <c r="KB15" s="705" t="str">
        <f>$L$15</f>
        <v>2018-19</v>
      </c>
      <c r="KC15" s="707" t="str">
        <f>$M$15</f>
        <v>2019-20</v>
      </c>
      <c r="KD15" s="494" t="str">
        <f>$J$15</f>
        <v>2016-17</v>
      </c>
      <c r="KE15" s="705" t="str">
        <f>$K$15</f>
        <v>2017-18</v>
      </c>
      <c r="KF15" s="705" t="str">
        <f>$L$15</f>
        <v>2018-19</v>
      </c>
      <c r="KG15" s="707" t="str">
        <f>$M$15</f>
        <v>2019-20</v>
      </c>
      <c r="KH15" s="494" t="str">
        <f>$J$15</f>
        <v>2016-17</v>
      </c>
      <c r="KI15" s="705" t="str">
        <f>$K$15</f>
        <v>2017-18</v>
      </c>
      <c r="KJ15" s="705" t="str">
        <f>$L$15</f>
        <v>2018-19</v>
      </c>
      <c r="KK15" s="707" t="str">
        <f>$M$15</f>
        <v>2019-20</v>
      </c>
      <c r="KL15" s="494" t="str">
        <f>$J$15</f>
        <v>2016-17</v>
      </c>
      <c r="KM15" s="705" t="str">
        <f>$K$15</f>
        <v>2017-18</v>
      </c>
      <c r="KN15" s="705" t="str">
        <f>$L$15</f>
        <v>2018-19</v>
      </c>
      <c r="KO15" s="707" t="str">
        <f>$M$15</f>
        <v>2019-20</v>
      </c>
      <c r="KP15" s="494" t="str">
        <f>$J$15</f>
        <v>2016-17</v>
      </c>
      <c r="KQ15" s="705" t="str">
        <f>$K$15</f>
        <v>2017-18</v>
      </c>
      <c r="KR15" s="705" t="str">
        <f>$L$15</f>
        <v>2018-19</v>
      </c>
      <c r="KS15" s="707" t="str">
        <f>$M$15</f>
        <v>2019-20</v>
      </c>
      <c r="KT15" s="494" t="str">
        <f>$J$15</f>
        <v>2016-17</v>
      </c>
      <c r="KU15" s="705" t="str">
        <f>$K$15</f>
        <v>2017-18</v>
      </c>
      <c r="KV15" s="705" t="str">
        <f>$L$15</f>
        <v>2018-19</v>
      </c>
      <c r="KW15" s="707" t="str">
        <f>$M$15</f>
        <v>2019-20</v>
      </c>
      <c r="KX15" s="494" t="str">
        <f>$J$15</f>
        <v>2016-17</v>
      </c>
      <c r="KY15" s="705" t="str">
        <f>$K$15</f>
        <v>2017-18</v>
      </c>
      <c r="KZ15" s="705" t="str">
        <f>$L$15</f>
        <v>2018-19</v>
      </c>
      <c r="LA15" s="707" t="str">
        <f>$M$15</f>
        <v>2019-20</v>
      </c>
      <c r="LF15" s="1934" t="s">
        <v>2534</v>
      </c>
      <c r="LG15" s="705" t="s">
        <v>2535</v>
      </c>
      <c r="LH15" s="705" t="s">
        <v>6</v>
      </c>
      <c r="LI15" s="705" t="s">
        <v>2536</v>
      </c>
      <c r="LJ15" s="706" t="s">
        <v>2537</v>
      </c>
      <c r="LK15" s="494" t="s">
        <v>2535</v>
      </c>
      <c r="LL15" s="705" t="s">
        <v>6</v>
      </c>
      <c r="LM15" s="705" t="s">
        <v>2536</v>
      </c>
      <c r="LN15" s="707" t="s">
        <v>2537</v>
      </c>
      <c r="LO15" s="494" t="str">
        <f>$J$15</f>
        <v>2016-17</v>
      </c>
      <c r="LP15" s="705" t="str">
        <f>$K$15</f>
        <v>2017-18</v>
      </c>
      <c r="LQ15" s="705" t="str">
        <f>$L$15</f>
        <v>2018-19</v>
      </c>
      <c r="LR15" s="707" t="str">
        <f>$M$15</f>
        <v>2019-20</v>
      </c>
      <c r="LS15" s="494" t="str">
        <f>$J$15</f>
        <v>2016-17</v>
      </c>
      <c r="LT15" s="705" t="str">
        <f>$K$15</f>
        <v>2017-18</v>
      </c>
      <c r="LU15" s="705" t="str">
        <f>$L$15</f>
        <v>2018-19</v>
      </c>
      <c r="LV15" s="707" t="str">
        <f>$M$15</f>
        <v>2019-20</v>
      </c>
      <c r="LW15" s="494" t="str">
        <f>$J$15</f>
        <v>2016-17</v>
      </c>
      <c r="LX15" s="705" t="str">
        <f>$K$15</f>
        <v>2017-18</v>
      </c>
      <c r="LY15" s="705" t="str">
        <f>$L$15</f>
        <v>2018-19</v>
      </c>
      <c r="LZ15" s="707" t="str">
        <f>$M$15</f>
        <v>2019-20</v>
      </c>
      <c r="MA15" s="494" t="str">
        <f>$J$15</f>
        <v>2016-17</v>
      </c>
      <c r="MB15" s="705" t="str">
        <f>$K$15</f>
        <v>2017-18</v>
      </c>
      <c r="MC15" s="705" t="str">
        <f>$L$15</f>
        <v>2018-19</v>
      </c>
      <c r="MD15" s="707" t="str">
        <f>$M$15</f>
        <v>2019-20</v>
      </c>
      <c r="ME15" s="494" t="str">
        <f>$J$15</f>
        <v>2016-17</v>
      </c>
      <c r="MF15" s="705" t="str">
        <f>$K$15</f>
        <v>2017-18</v>
      </c>
      <c r="MG15" s="705" t="str">
        <f>$L$15</f>
        <v>2018-19</v>
      </c>
      <c r="MH15" s="707" t="str">
        <f>$M$15</f>
        <v>2019-20</v>
      </c>
      <c r="MI15" s="494" t="str">
        <f>$J$15</f>
        <v>2016-17</v>
      </c>
      <c r="MJ15" s="705" t="str">
        <f>$K$15</f>
        <v>2017-18</v>
      </c>
      <c r="MK15" s="705" t="str">
        <f>$L$15</f>
        <v>2018-19</v>
      </c>
      <c r="ML15" s="707" t="str">
        <f>$M$15</f>
        <v>2019-20</v>
      </c>
      <c r="MM15" s="494" t="str">
        <f>$J$15</f>
        <v>2016-17</v>
      </c>
      <c r="MN15" s="705" t="str">
        <f>$K$15</f>
        <v>2017-18</v>
      </c>
      <c r="MO15" s="705" t="str">
        <f>$L$15</f>
        <v>2018-19</v>
      </c>
      <c r="MP15" s="707" t="str">
        <f>$M$15</f>
        <v>2019-20</v>
      </c>
      <c r="MQ15" s="494" t="str">
        <f>$J$15</f>
        <v>2016-17</v>
      </c>
      <c r="MR15" s="705" t="str">
        <f>$K$15</f>
        <v>2017-18</v>
      </c>
      <c r="MS15" s="705" t="str">
        <f>$L$15</f>
        <v>2018-19</v>
      </c>
      <c r="MT15" s="707" t="str">
        <f>$M$15</f>
        <v>2019-20</v>
      </c>
      <c r="MU15" s="494" t="str">
        <f>$J$15</f>
        <v>2016-17</v>
      </c>
      <c r="MV15" s="705" t="str">
        <f>$K$15</f>
        <v>2017-18</v>
      </c>
      <c r="MW15" s="705" t="str">
        <f>$L$15</f>
        <v>2018-19</v>
      </c>
      <c r="MX15" s="707" t="str">
        <f>$M$15</f>
        <v>2019-20</v>
      </c>
      <c r="MY15" s="494" t="str">
        <f>$J$15</f>
        <v>2016-17</v>
      </c>
      <c r="MZ15" s="705" t="str">
        <f>$K$15</f>
        <v>2017-18</v>
      </c>
      <c r="NA15" s="705" t="str">
        <f>$L$15</f>
        <v>2018-19</v>
      </c>
      <c r="NB15" s="707" t="str">
        <f>$M$15</f>
        <v>2019-20</v>
      </c>
      <c r="NC15" s="494" t="str">
        <f>$J$15</f>
        <v>2016-17</v>
      </c>
      <c r="ND15" s="705" t="str">
        <f>$K$15</f>
        <v>2017-18</v>
      </c>
      <c r="NE15" s="705" t="str">
        <f>$L$15</f>
        <v>2018-19</v>
      </c>
      <c r="NF15" s="707" t="str">
        <f>$M$15</f>
        <v>2019-20</v>
      </c>
      <c r="NG15" s="494" t="str">
        <f>$J$15</f>
        <v>2016-17</v>
      </c>
      <c r="NH15" s="705" t="str">
        <f>$K$15</f>
        <v>2017-18</v>
      </c>
      <c r="NI15" s="705" t="str">
        <f>$L$15</f>
        <v>2018-19</v>
      </c>
      <c r="NJ15" s="707" t="str">
        <f>$M$15</f>
        <v>2019-20</v>
      </c>
      <c r="NK15" s="494" t="str">
        <f>$J$15</f>
        <v>2016-17</v>
      </c>
      <c r="NL15" s="705" t="str">
        <f>$K$15</f>
        <v>2017-18</v>
      </c>
      <c r="NM15" s="705" t="str">
        <f>$L$15</f>
        <v>2018-19</v>
      </c>
      <c r="NN15" s="707" t="str">
        <f>$M$15</f>
        <v>2019-20</v>
      </c>
      <c r="NO15" s="494" t="str">
        <f>$J$15</f>
        <v>2016-17</v>
      </c>
      <c r="NP15" s="705" t="str">
        <f>$K$15</f>
        <v>2017-18</v>
      </c>
      <c r="NQ15" s="705" t="str">
        <f>$L$15</f>
        <v>2018-19</v>
      </c>
      <c r="NR15" s="707" t="str">
        <f>$M$15</f>
        <v>2019-20</v>
      </c>
      <c r="NS15" s="494" t="str">
        <f>$J$15</f>
        <v>2016-17</v>
      </c>
      <c r="NT15" s="705" t="str">
        <f>$K$15</f>
        <v>2017-18</v>
      </c>
      <c r="NU15" s="705" t="str">
        <f>$L$15</f>
        <v>2018-19</v>
      </c>
      <c r="NV15" s="707" t="str">
        <f>$M$15</f>
        <v>2019-20</v>
      </c>
      <c r="NW15" s="494" t="str">
        <f>$J$15</f>
        <v>2016-17</v>
      </c>
      <c r="NX15" s="705" t="str">
        <f>$K$15</f>
        <v>2017-18</v>
      </c>
      <c r="NY15" s="705" t="str">
        <f>$L$15</f>
        <v>2018-19</v>
      </c>
      <c r="NZ15" s="707" t="str">
        <f>$M$15</f>
        <v>2019-20</v>
      </c>
      <c r="OA15" s="494" t="str">
        <f>$J$15</f>
        <v>2016-17</v>
      </c>
      <c r="OB15" s="705" t="str">
        <f>$K$15</f>
        <v>2017-18</v>
      </c>
      <c r="OC15" s="705" t="str">
        <f>$L$15</f>
        <v>2018-19</v>
      </c>
      <c r="OD15" s="707" t="str">
        <f>$M$15</f>
        <v>2019-20</v>
      </c>
      <c r="OE15" s="494" t="str">
        <f>$J$15</f>
        <v>2016-17</v>
      </c>
      <c r="OF15" s="705" t="str">
        <f>$K$15</f>
        <v>2017-18</v>
      </c>
      <c r="OG15" s="705" t="str">
        <f>$L$15</f>
        <v>2018-19</v>
      </c>
      <c r="OH15" s="707" t="str">
        <f>$M$15</f>
        <v>2019-20</v>
      </c>
      <c r="OI15" s="494" t="str">
        <f>$J$15</f>
        <v>2016-17</v>
      </c>
      <c r="OJ15" s="705" t="str">
        <f>$K$15</f>
        <v>2017-18</v>
      </c>
      <c r="OK15" s="705" t="str">
        <f>$L$15</f>
        <v>2018-19</v>
      </c>
      <c r="OL15" s="707" t="str">
        <f>$M$15</f>
        <v>2019-20</v>
      </c>
      <c r="OM15" s="494" t="str">
        <f>$J$15</f>
        <v>2016-17</v>
      </c>
      <c r="ON15" s="705" t="str">
        <f>$K$15</f>
        <v>2017-18</v>
      </c>
      <c r="OO15" s="705" t="str">
        <f>$L$15</f>
        <v>2018-19</v>
      </c>
      <c r="OP15" s="707" t="str">
        <f>$M$15</f>
        <v>2019-20</v>
      </c>
      <c r="OQ15" s="494" t="str">
        <f>$J$15</f>
        <v>2016-17</v>
      </c>
      <c r="OR15" s="705" t="str">
        <f>$K$15</f>
        <v>2017-18</v>
      </c>
      <c r="OS15" s="705" t="str">
        <f>$L$15</f>
        <v>2018-19</v>
      </c>
      <c r="OT15" s="707" t="str">
        <f>$M$15</f>
        <v>2019-20</v>
      </c>
      <c r="OU15" s="494" t="str">
        <f>$J$15</f>
        <v>2016-17</v>
      </c>
      <c r="OV15" s="705" t="str">
        <f>$K$15</f>
        <v>2017-18</v>
      </c>
      <c r="OW15" s="705" t="str">
        <f>$L$15</f>
        <v>2018-19</v>
      </c>
      <c r="OX15" s="707" t="str">
        <f>$M$15</f>
        <v>2019-20</v>
      </c>
      <c r="OY15" s="494" t="str">
        <f>$J$15</f>
        <v>2016-17</v>
      </c>
      <c r="OZ15" s="705" t="str">
        <f>$K$15</f>
        <v>2017-18</v>
      </c>
      <c r="PA15" s="705" t="str">
        <f>$L$15</f>
        <v>2018-19</v>
      </c>
      <c r="PB15" s="707" t="str">
        <f>$M$15</f>
        <v>2019-20</v>
      </c>
      <c r="PC15" s="494" t="str">
        <f>$J$15</f>
        <v>2016-17</v>
      </c>
      <c r="PD15" s="705" t="str">
        <f>$K$15</f>
        <v>2017-18</v>
      </c>
      <c r="PE15" s="705" t="str">
        <f>$L$15</f>
        <v>2018-19</v>
      </c>
      <c r="PF15" s="707" t="str">
        <f>$M$15</f>
        <v>2019-20</v>
      </c>
      <c r="PG15" s="494" t="str">
        <f>$J$15</f>
        <v>2016-17</v>
      </c>
      <c r="PH15" s="705" t="str">
        <f>$K$15</f>
        <v>2017-18</v>
      </c>
      <c r="PI15" s="705" t="str">
        <f>$L$15</f>
        <v>2018-19</v>
      </c>
      <c r="PJ15" s="707" t="str">
        <f>$M$15</f>
        <v>2019-20</v>
      </c>
      <c r="PK15" s="494" t="str">
        <f>$J$15</f>
        <v>2016-17</v>
      </c>
      <c r="PL15" s="705" t="str">
        <f>$K$15</f>
        <v>2017-18</v>
      </c>
      <c r="PM15" s="705" t="str">
        <f>$L$15</f>
        <v>2018-19</v>
      </c>
      <c r="PN15" s="707" t="str">
        <f>$M$15</f>
        <v>2019-20</v>
      </c>
      <c r="PO15" s="494" t="str">
        <f>$J$15</f>
        <v>2016-17</v>
      </c>
      <c r="PP15" s="705" t="str">
        <f>$K$15</f>
        <v>2017-18</v>
      </c>
      <c r="PQ15" s="705" t="str">
        <f>$L$15</f>
        <v>2018-19</v>
      </c>
      <c r="PR15" s="707" t="str">
        <f>$M$15</f>
        <v>2019-20</v>
      </c>
      <c r="PS15" s="494" t="str">
        <f>$J$15</f>
        <v>2016-17</v>
      </c>
      <c r="PT15" s="705" t="str">
        <f>$K$15</f>
        <v>2017-18</v>
      </c>
      <c r="PU15" s="705" t="str">
        <f>$L$15</f>
        <v>2018-19</v>
      </c>
      <c r="PV15" s="707" t="str">
        <f>$M$15</f>
        <v>2019-20</v>
      </c>
      <c r="PW15" s="494" t="str">
        <f>$J$15</f>
        <v>2016-17</v>
      </c>
      <c r="PX15" s="705" t="str">
        <f>$K$15</f>
        <v>2017-18</v>
      </c>
      <c r="PY15" s="705" t="str">
        <f>$L$15</f>
        <v>2018-19</v>
      </c>
      <c r="PZ15" s="707" t="str">
        <f>$M$15</f>
        <v>2019-20</v>
      </c>
      <c r="QA15" s="494" t="str">
        <f>$J$15</f>
        <v>2016-17</v>
      </c>
      <c r="QB15" s="705" t="str">
        <f>$K$15</f>
        <v>2017-18</v>
      </c>
      <c r="QC15" s="705" t="str">
        <f>$L$15</f>
        <v>2018-19</v>
      </c>
      <c r="QD15" s="707" t="str">
        <f>$M$15</f>
        <v>2019-20</v>
      </c>
      <c r="QE15" s="494" t="str">
        <f>$J$15</f>
        <v>2016-17</v>
      </c>
      <c r="QF15" s="705" t="str">
        <f>$K$15</f>
        <v>2017-18</v>
      </c>
      <c r="QG15" s="705" t="str">
        <f>$L$15</f>
        <v>2018-19</v>
      </c>
      <c r="QH15" s="707" t="str">
        <f>$M$15</f>
        <v>2019-20</v>
      </c>
      <c r="QI15" s="494" t="str">
        <f>$J$15</f>
        <v>2016-17</v>
      </c>
      <c r="QJ15" s="705" t="str">
        <f>$K$15</f>
        <v>2017-18</v>
      </c>
      <c r="QK15" s="705" t="str">
        <f>$L$15</f>
        <v>2018-19</v>
      </c>
      <c r="QL15" s="707" t="str">
        <f>$M$15</f>
        <v>2019-20</v>
      </c>
      <c r="QM15" s="494" t="str">
        <f>$J$15</f>
        <v>2016-17</v>
      </c>
      <c r="QN15" s="705" t="str">
        <f>$K$15</f>
        <v>2017-18</v>
      </c>
      <c r="QO15" s="705" t="str">
        <f>$L$15</f>
        <v>2018-19</v>
      </c>
      <c r="QP15" s="707" t="str">
        <f>$M$15</f>
        <v>2019-20</v>
      </c>
      <c r="QQ15" s="494" t="str">
        <f>$J$15</f>
        <v>2016-17</v>
      </c>
      <c r="QR15" s="705" t="str">
        <f>$K$15</f>
        <v>2017-18</v>
      </c>
      <c r="QS15" s="705" t="str">
        <f>$L$15</f>
        <v>2018-19</v>
      </c>
      <c r="QT15" s="707" t="str">
        <f>$M$15</f>
        <v>2019-20</v>
      </c>
      <c r="QU15" s="494" t="str">
        <f>$J$15</f>
        <v>2016-17</v>
      </c>
      <c r="QV15" s="705" t="str">
        <f>$K$15</f>
        <v>2017-18</v>
      </c>
      <c r="QW15" s="705" t="str">
        <f>$L$15</f>
        <v>2018-19</v>
      </c>
      <c r="QX15" s="707" t="str">
        <f>$M$15</f>
        <v>2019-20</v>
      </c>
      <c r="QY15" s="494" t="str">
        <f>$J$15</f>
        <v>2016-17</v>
      </c>
      <c r="QZ15" s="705" t="str">
        <f>$K$15</f>
        <v>2017-18</v>
      </c>
      <c r="RA15" s="705" t="str">
        <f>$L$15</f>
        <v>2018-19</v>
      </c>
      <c r="RB15" s="707" t="str">
        <f>$M$15</f>
        <v>2019-20</v>
      </c>
      <c r="RC15" s="494" t="str">
        <f>$J$15</f>
        <v>2016-17</v>
      </c>
      <c r="RD15" s="705" t="str">
        <f>$K$15</f>
        <v>2017-18</v>
      </c>
      <c r="RE15" s="705" t="str">
        <f>$L$15</f>
        <v>2018-19</v>
      </c>
      <c r="RF15" s="707" t="str">
        <f>$M$15</f>
        <v>2019-20</v>
      </c>
      <c r="RG15" s="494" t="str">
        <f>$J$15</f>
        <v>2016-17</v>
      </c>
      <c r="RH15" s="705" t="str">
        <f>$K$15</f>
        <v>2017-18</v>
      </c>
      <c r="RI15" s="705" t="str">
        <f>$L$15</f>
        <v>2018-19</v>
      </c>
      <c r="RJ15" s="707" t="str">
        <f>$M$15</f>
        <v>2019-20</v>
      </c>
      <c r="RK15" s="494" t="str">
        <f>$J$15</f>
        <v>2016-17</v>
      </c>
      <c r="RL15" s="705" t="str">
        <f>$K$15</f>
        <v>2017-18</v>
      </c>
      <c r="RM15" s="705" t="str">
        <f>$L$15</f>
        <v>2018-19</v>
      </c>
      <c r="RN15" s="707" t="str">
        <f>$M$15</f>
        <v>2019-20</v>
      </c>
      <c r="RO15" s="494" t="str">
        <f>$J$15</f>
        <v>2016-17</v>
      </c>
      <c r="RP15" s="705" t="str">
        <f>$K$15</f>
        <v>2017-18</v>
      </c>
      <c r="RQ15" s="705" t="str">
        <f>$L$15</f>
        <v>2018-19</v>
      </c>
      <c r="RR15" s="707" t="str">
        <f>$M$15</f>
        <v>2019-20</v>
      </c>
      <c r="RS15" s="494" t="str">
        <f>$J$15</f>
        <v>2016-17</v>
      </c>
      <c r="RT15" s="705" t="str">
        <f>$K$15</f>
        <v>2017-18</v>
      </c>
      <c r="RU15" s="705" t="str">
        <f>$L$15</f>
        <v>2018-19</v>
      </c>
      <c r="RV15" s="707" t="str">
        <f>$M$15</f>
        <v>2019-20</v>
      </c>
      <c r="RW15" s="494" t="str">
        <f>$J$15</f>
        <v>2016-17</v>
      </c>
      <c r="RX15" s="705" t="str">
        <f>$K$15</f>
        <v>2017-18</v>
      </c>
      <c r="RY15" s="705" t="str">
        <f>$L$15</f>
        <v>2018-19</v>
      </c>
      <c r="RZ15" s="707" t="str">
        <f>$M$15</f>
        <v>2019-20</v>
      </c>
      <c r="SA15" s="494" t="str">
        <f>$J$15</f>
        <v>2016-17</v>
      </c>
      <c r="SB15" s="705" t="str">
        <f>$K$15</f>
        <v>2017-18</v>
      </c>
      <c r="SC15" s="705" t="str">
        <f>$L$15</f>
        <v>2018-19</v>
      </c>
      <c r="SD15" s="707" t="str">
        <f>$M$15</f>
        <v>2019-20</v>
      </c>
      <c r="SE15" s="494" t="str">
        <f>$J$15</f>
        <v>2016-17</v>
      </c>
      <c r="SF15" s="705" t="str">
        <f>$K$15</f>
        <v>2017-18</v>
      </c>
      <c r="SG15" s="705" t="str">
        <f>$L$15</f>
        <v>2018-19</v>
      </c>
      <c r="SH15" s="707" t="str">
        <f>$M$15</f>
        <v>2019-20</v>
      </c>
      <c r="SI15" s="494" t="str">
        <f>$J$15</f>
        <v>2016-17</v>
      </c>
      <c r="SJ15" s="705" t="str">
        <f>$K$15</f>
        <v>2017-18</v>
      </c>
      <c r="SK15" s="705" t="str">
        <f>$L$15</f>
        <v>2018-19</v>
      </c>
      <c r="SL15" s="707" t="str">
        <f>$M$15</f>
        <v>2019-20</v>
      </c>
      <c r="SM15" s="494" t="str">
        <f>$J$15</f>
        <v>2016-17</v>
      </c>
      <c r="SN15" s="705" t="str">
        <f>$K$15</f>
        <v>2017-18</v>
      </c>
      <c r="SO15" s="705" t="str">
        <f>$L$15</f>
        <v>2018-19</v>
      </c>
      <c r="SP15" s="707" t="str">
        <f>$M$15</f>
        <v>2019-20</v>
      </c>
      <c r="SQ15" s="494" t="str">
        <f>$J$15</f>
        <v>2016-17</v>
      </c>
      <c r="SR15" s="705" t="str">
        <f>$K$15</f>
        <v>2017-18</v>
      </c>
      <c r="SS15" s="705" t="str">
        <f>$L$15</f>
        <v>2018-19</v>
      </c>
      <c r="ST15" s="707" t="str">
        <f>$M$15</f>
        <v>2019-20</v>
      </c>
      <c r="SU15" s="494" t="str">
        <f>$J$15</f>
        <v>2016-17</v>
      </c>
      <c r="SV15" s="705" t="str">
        <f>$K$15</f>
        <v>2017-18</v>
      </c>
      <c r="SW15" s="705" t="str">
        <f>$L$15</f>
        <v>2018-19</v>
      </c>
      <c r="SX15" s="707" t="str">
        <f>$M$15</f>
        <v>2019-20</v>
      </c>
      <c r="SY15" s="494" t="str">
        <f>$J$15</f>
        <v>2016-17</v>
      </c>
      <c r="SZ15" s="705" t="str">
        <f>$K$15</f>
        <v>2017-18</v>
      </c>
      <c r="TA15" s="705" t="str">
        <f>$L$15</f>
        <v>2018-19</v>
      </c>
      <c r="TB15" s="707" t="str">
        <f>$M$15</f>
        <v>2019-20</v>
      </c>
      <c r="TC15" s="494" t="str">
        <f>$J$15</f>
        <v>2016-17</v>
      </c>
      <c r="TD15" s="705" t="str">
        <f>$K$15</f>
        <v>2017-18</v>
      </c>
      <c r="TE15" s="705" t="str">
        <f>$L$15</f>
        <v>2018-19</v>
      </c>
      <c r="TF15" s="707" t="str">
        <f>$M$15</f>
        <v>2019-20</v>
      </c>
      <c r="TG15" s="494" t="str">
        <f>$J$15</f>
        <v>2016-17</v>
      </c>
      <c r="TH15" s="705" t="str">
        <f>$K$15</f>
        <v>2017-18</v>
      </c>
      <c r="TI15" s="705" t="str">
        <f>$L$15</f>
        <v>2018-19</v>
      </c>
      <c r="TJ15" s="707" t="str">
        <f>$M$15</f>
        <v>2019-20</v>
      </c>
      <c r="TK15" s="494" t="str">
        <f>$J$15</f>
        <v>2016-17</v>
      </c>
      <c r="TL15" s="705" t="str">
        <f>$K$15</f>
        <v>2017-18</v>
      </c>
      <c r="TM15" s="705" t="str">
        <f>$L$15</f>
        <v>2018-19</v>
      </c>
      <c r="TN15" s="707" t="str">
        <f>$M$15</f>
        <v>2019-20</v>
      </c>
      <c r="TO15" s="494" t="str">
        <f>$J$15</f>
        <v>2016-17</v>
      </c>
      <c r="TP15" s="705" t="str">
        <f>$K$15</f>
        <v>2017-18</v>
      </c>
      <c r="TQ15" s="705" t="str">
        <f>$L$15</f>
        <v>2018-19</v>
      </c>
      <c r="TR15" s="707" t="str">
        <f>$M$15</f>
        <v>2019-20</v>
      </c>
      <c r="TS15" s="494" t="str">
        <f>$J$15</f>
        <v>2016-17</v>
      </c>
      <c r="TT15" s="705" t="str">
        <f>$K$15</f>
        <v>2017-18</v>
      </c>
      <c r="TU15" s="705" t="str">
        <f>$L$15</f>
        <v>2018-19</v>
      </c>
      <c r="TV15" s="707" t="str">
        <f>$M$15</f>
        <v>2019-20</v>
      </c>
      <c r="TW15" s="494" t="str">
        <f>$J$15</f>
        <v>2016-17</v>
      </c>
      <c r="TX15" s="705" t="str">
        <f>$K$15</f>
        <v>2017-18</v>
      </c>
      <c r="TY15" s="705" t="str">
        <f>$L$15</f>
        <v>2018-19</v>
      </c>
      <c r="TZ15" s="707" t="str">
        <f>$M$15</f>
        <v>2019-20</v>
      </c>
      <c r="UA15" s="494" t="str">
        <f>$J$15</f>
        <v>2016-17</v>
      </c>
      <c r="UB15" s="705" t="str">
        <f>$K$15</f>
        <v>2017-18</v>
      </c>
      <c r="UC15" s="705" t="str">
        <f>$L$15</f>
        <v>2018-19</v>
      </c>
      <c r="UD15" s="707" t="str">
        <f>$M$15</f>
        <v>2019-20</v>
      </c>
      <c r="UE15" s="494" t="str">
        <f>$J$15</f>
        <v>2016-17</v>
      </c>
      <c r="UF15" s="705" t="str">
        <f>$K$15</f>
        <v>2017-18</v>
      </c>
      <c r="UG15" s="705" t="str">
        <f>$L$15</f>
        <v>2018-19</v>
      </c>
      <c r="UH15" s="707" t="str">
        <f>$M$15</f>
        <v>2019-20</v>
      </c>
      <c r="UI15" s="494" t="str">
        <f>$J$15</f>
        <v>2016-17</v>
      </c>
      <c r="UJ15" s="705" t="str">
        <f>$K$15</f>
        <v>2017-18</v>
      </c>
      <c r="UK15" s="705" t="str">
        <f>$L$15</f>
        <v>2018-19</v>
      </c>
      <c r="UL15" s="707" t="str">
        <f>$M$15</f>
        <v>2019-20</v>
      </c>
      <c r="UM15" s="494" t="str">
        <f>$J$15</f>
        <v>2016-17</v>
      </c>
      <c r="UN15" s="705" t="str">
        <f>$K$15</f>
        <v>2017-18</v>
      </c>
      <c r="UO15" s="705" t="str">
        <f>$L$15</f>
        <v>2018-19</v>
      </c>
      <c r="UP15" s="707" t="str">
        <f>$M$15</f>
        <v>2019-20</v>
      </c>
      <c r="UQ15" s="494" t="str">
        <f>$J$15</f>
        <v>2016-17</v>
      </c>
      <c r="UR15" s="705" t="str">
        <f>$K$15</f>
        <v>2017-18</v>
      </c>
      <c r="US15" s="705" t="str">
        <f>$L$15</f>
        <v>2018-19</v>
      </c>
      <c r="UT15" s="707" t="str">
        <f>$M$15</f>
        <v>2019-20</v>
      </c>
      <c r="UU15" s="494" t="str">
        <f>$J$15</f>
        <v>2016-17</v>
      </c>
      <c r="UV15" s="705" t="str">
        <f>$K$15</f>
        <v>2017-18</v>
      </c>
      <c r="UW15" s="705" t="str">
        <f>$L$15</f>
        <v>2018-19</v>
      </c>
      <c r="UX15" s="707" t="str">
        <f>$M$15</f>
        <v>2019-20</v>
      </c>
      <c r="UY15" s="494" t="str">
        <f>$J$15</f>
        <v>2016-17</v>
      </c>
      <c r="UZ15" s="705" t="str">
        <f>$K$15</f>
        <v>2017-18</v>
      </c>
      <c r="VA15" s="705" t="str">
        <f>$L$15</f>
        <v>2018-19</v>
      </c>
      <c r="VB15" s="707" t="str">
        <f>$M$15</f>
        <v>2019-20</v>
      </c>
      <c r="VC15" s="494" t="str">
        <f>$J$15</f>
        <v>2016-17</v>
      </c>
      <c r="VD15" s="705" t="str">
        <f>$K$15</f>
        <v>2017-18</v>
      </c>
      <c r="VE15" s="705" t="str">
        <f>$L$15</f>
        <v>2018-19</v>
      </c>
      <c r="VF15" s="707" t="str">
        <f>$M$15</f>
        <v>2019-20</v>
      </c>
      <c r="VG15" s="494" t="str">
        <f>$J$15</f>
        <v>2016-17</v>
      </c>
      <c r="VH15" s="705" t="str">
        <f>$K$15</f>
        <v>2017-18</v>
      </c>
      <c r="VI15" s="705" t="str">
        <f>$L$15</f>
        <v>2018-19</v>
      </c>
      <c r="VJ15" s="707" t="str">
        <f>$M$15</f>
        <v>2019-20</v>
      </c>
      <c r="VK15" s="494" t="str">
        <f>$J$15</f>
        <v>2016-17</v>
      </c>
      <c r="VL15" s="705" t="str">
        <f>$K$15</f>
        <v>2017-18</v>
      </c>
      <c r="VM15" s="705" t="str">
        <f>$L$15</f>
        <v>2018-19</v>
      </c>
      <c r="VN15" s="707" t="str">
        <f>$M$15</f>
        <v>2019-20</v>
      </c>
      <c r="VO15" s="494" t="str">
        <f>$J$15</f>
        <v>2016-17</v>
      </c>
      <c r="VP15" s="705" t="str">
        <f>$K$15</f>
        <v>2017-18</v>
      </c>
      <c r="VQ15" s="705" t="str">
        <f>$L$15</f>
        <v>2018-19</v>
      </c>
      <c r="VR15" s="707" t="str">
        <f>$M$15</f>
        <v>2019-20</v>
      </c>
      <c r="VS15" s="494" t="str">
        <f>$J$15</f>
        <v>2016-17</v>
      </c>
      <c r="VT15" s="705" t="str">
        <f>$K$15</f>
        <v>2017-18</v>
      </c>
      <c r="VU15" s="705" t="str">
        <f>$L$15</f>
        <v>2018-19</v>
      </c>
      <c r="VV15" s="707" t="str">
        <f>$M$15</f>
        <v>2019-20</v>
      </c>
      <c r="VW15" s="494" t="str">
        <f>$J$15</f>
        <v>2016-17</v>
      </c>
      <c r="VX15" s="705" t="str">
        <f>$K$15</f>
        <v>2017-18</v>
      </c>
      <c r="VY15" s="705" t="str">
        <f>$L$15</f>
        <v>2018-19</v>
      </c>
      <c r="VZ15" s="707" t="str">
        <f>$M$15</f>
        <v>2019-20</v>
      </c>
      <c r="WA15" s="494" t="str">
        <f>$J$15</f>
        <v>2016-17</v>
      </c>
      <c r="WB15" s="705" t="str">
        <f>$K$15</f>
        <v>2017-18</v>
      </c>
      <c r="WC15" s="705" t="str">
        <f>$L$15</f>
        <v>2018-19</v>
      </c>
      <c r="WD15" s="707" t="str">
        <f>$M$15</f>
        <v>2019-20</v>
      </c>
      <c r="WE15" s="494" t="str">
        <f>$J$15</f>
        <v>2016-17</v>
      </c>
      <c r="WF15" s="705" t="str">
        <f>$K$15</f>
        <v>2017-18</v>
      </c>
      <c r="WG15" s="705" t="str">
        <f>$L$15</f>
        <v>2018-19</v>
      </c>
      <c r="WH15" s="707" t="str">
        <f>$M$15</f>
        <v>2019-20</v>
      </c>
      <c r="WI15" s="494" t="str">
        <f>$J$15</f>
        <v>2016-17</v>
      </c>
      <c r="WJ15" s="705" t="str">
        <f>$K$15</f>
        <v>2017-18</v>
      </c>
      <c r="WK15" s="705" t="str">
        <f>$L$15</f>
        <v>2018-19</v>
      </c>
      <c r="WL15" s="707" t="str">
        <f>$M$15</f>
        <v>2019-20</v>
      </c>
      <c r="WM15" s="494" t="str">
        <f>$J$15</f>
        <v>2016-17</v>
      </c>
      <c r="WN15" s="705" t="str">
        <f>$K$15</f>
        <v>2017-18</v>
      </c>
      <c r="WO15" s="705" t="str">
        <f>$L$15</f>
        <v>2018-19</v>
      </c>
      <c r="WP15" s="707" t="str">
        <f>$M$15</f>
        <v>2019-20</v>
      </c>
      <c r="WQ15" s="494" t="str">
        <f>$J$15</f>
        <v>2016-17</v>
      </c>
      <c r="WR15" s="705" t="str">
        <f>$K$15</f>
        <v>2017-18</v>
      </c>
      <c r="WS15" s="705" t="str">
        <f>$L$15</f>
        <v>2018-19</v>
      </c>
      <c r="WT15" s="707" t="str">
        <f>$M$15</f>
        <v>2019-20</v>
      </c>
      <c r="WU15" s="494" t="str">
        <f>$J$15</f>
        <v>2016-17</v>
      </c>
      <c r="WV15" s="705" t="str">
        <f>$K$15</f>
        <v>2017-18</v>
      </c>
      <c r="WW15" s="705" t="str">
        <f>$L$15</f>
        <v>2018-19</v>
      </c>
      <c r="WX15" s="707" t="str">
        <f>$M$15</f>
        <v>2019-20</v>
      </c>
      <c r="WY15" s="494" t="str">
        <f>$J$15</f>
        <v>2016-17</v>
      </c>
      <c r="WZ15" s="705" t="str">
        <f>$K$15</f>
        <v>2017-18</v>
      </c>
      <c r="XA15" s="705" t="str">
        <f>$L$15</f>
        <v>2018-19</v>
      </c>
      <c r="XB15" s="707" t="str">
        <f>$M$15</f>
        <v>2019-20</v>
      </c>
    </row>
    <row r="16" spans="1:627" ht="16.5" customHeight="1">
      <c r="B16" s="717">
        <v>1</v>
      </c>
      <c r="C16" s="1163" t="s">
        <v>2538</v>
      </c>
      <c r="D16" s="701" t="s">
        <v>15</v>
      </c>
      <c r="E16" s="703">
        <v>1</v>
      </c>
      <c r="F16" s="1935"/>
      <c r="G16" s="1936">
        <v>720.8</v>
      </c>
      <c r="H16" s="1937"/>
      <c r="I16" s="1938"/>
      <c r="J16" s="1939"/>
      <c r="K16" s="1940" t="s">
        <v>2539</v>
      </c>
      <c r="L16" s="462"/>
      <c r="M16" s="1941"/>
      <c r="N16" s="1939"/>
      <c r="O16" s="1940" t="s">
        <v>2540</v>
      </c>
      <c r="P16" s="462"/>
      <c r="Q16" s="1941"/>
      <c r="R16" s="1939"/>
      <c r="S16" s="1940" t="s">
        <v>2539</v>
      </c>
      <c r="T16" s="462"/>
      <c r="U16" s="1941"/>
      <c r="V16" s="1939"/>
      <c r="W16" s="1940" t="s">
        <v>2539</v>
      </c>
      <c r="X16" s="462"/>
      <c r="Y16" s="1941"/>
      <c r="Z16" s="1939"/>
      <c r="AA16" s="1940" t="s">
        <v>2539</v>
      </c>
      <c r="AB16" s="462"/>
      <c r="AC16" s="1941"/>
      <c r="AD16" s="1939"/>
      <c r="AE16" s="1940" t="s">
        <v>2539</v>
      </c>
      <c r="AF16" s="462"/>
      <c r="AG16" s="1941"/>
      <c r="AH16" s="1939"/>
      <c r="AI16" s="1940" t="s">
        <v>2539</v>
      </c>
      <c r="AJ16" s="462"/>
      <c r="AK16" s="1941"/>
      <c r="AL16" s="1939"/>
      <c r="AM16" s="1940" t="s">
        <v>2539</v>
      </c>
      <c r="AN16" s="462"/>
      <c r="AO16" s="1941"/>
      <c r="AP16" s="1939"/>
      <c r="AQ16" s="1940" t="s">
        <v>2539</v>
      </c>
      <c r="AR16" s="462"/>
      <c r="AS16" s="1941"/>
      <c r="AT16" s="1939"/>
      <c r="AU16" s="1940" t="s">
        <v>2539</v>
      </c>
      <c r="AV16" s="462"/>
      <c r="AW16" s="1941"/>
      <c r="AX16" s="1939"/>
      <c r="AY16" s="1940" t="s">
        <v>2539</v>
      </c>
      <c r="AZ16" s="462"/>
      <c r="BA16" s="1941"/>
      <c r="BB16" s="1939"/>
      <c r="BC16" s="1940" t="s">
        <v>2539</v>
      </c>
      <c r="BD16" s="462"/>
      <c r="BE16" s="1941"/>
      <c r="BF16" s="1939"/>
      <c r="BG16" s="1940" t="s">
        <v>2539</v>
      </c>
      <c r="BH16" s="462"/>
      <c r="BI16" s="1941"/>
      <c r="BJ16" s="1939"/>
      <c r="BK16" s="1940" t="s">
        <v>2539</v>
      </c>
      <c r="BL16" s="462"/>
      <c r="BM16" s="1941"/>
      <c r="BN16" s="1939"/>
      <c r="BO16" s="1940" t="s">
        <v>2540</v>
      </c>
      <c r="BP16" s="462"/>
      <c r="BQ16" s="1941"/>
      <c r="BR16" s="1939"/>
      <c r="BS16" s="1940" t="s">
        <v>2539</v>
      </c>
      <c r="BT16" s="462"/>
      <c r="BU16" s="1941"/>
      <c r="BV16" s="1939"/>
      <c r="BW16" s="1940" t="s">
        <v>2539</v>
      </c>
      <c r="BX16" s="462"/>
      <c r="BY16" s="1941"/>
      <c r="BZ16" s="1939"/>
      <c r="CA16" s="1940" t="s">
        <v>2539</v>
      </c>
      <c r="CB16" s="462"/>
      <c r="CC16" s="1941"/>
      <c r="CD16" s="1939"/>
      <c r="CE16" s="1940" t="s">
        <v>2540</v>
      </c>
      <c r="CF16" s="462"/>
      <c r="CG16" s="1941"/>
      <c r="CH16" s="1939"/>
      <c r="CI16" s="1940" t="s">
        <v>2539</v>
      </c>
      <c r="CJ16" s="462"/>
      <c r="CK16" s="1941"/>
      <c r="CL16" s="1939"/>
      <c r="CM16" s="1940" t="s">
        <v>2539</v>
      </c>
      <c r="CN16" s="462"/>
      <c r="CO16" s="1941"/>
      <c r="CP16" s="1939"/>
      <c r="CQ16" s="1940" t="s">
        <v>2539</v>
      </c>
      <c r="CR16" s="462"/>
      <c r="CS16" s="1941"/>
      <c r="CT16" s="1939"/>
      <c r="CU16" s="1940" t="s">
        <v>2540</v>
      </c>
      <c r="CV16" s="462"/>
      <c r="CW16" s="1941"/>
      <c r="CX16" s="1939"/>
      <c r="CY16" s="1940" t="s">
        <v>2539</v>
      </c>
      <c r="CZ16" s="462"/>
      <c r="DA16" s="1941"/>
      <c r="DB16" s="1939"/>
      <c r="DC16" s="1940" t="s">
        <v>2539</v>
      </c>
      <c r="DD16" s="462"/>
      <c r="DE16" s="1941"/>
      <c r="DF16" s="1939"/>
      <c r="DG16" s="1940" t="s">
        <v>2539</v>
      </c>
      <c r="DH16" s="462"/>
      <c r="DI16" s="1941"/>
      <c r="DJ16" s="1939"/>
      <c r="DK16" s="1940" t="s">
        <v>2539</v>
      </c>
      <c r="DL16" s="462"/>
      <c r="DM16" s="1941"/>
      <c r="DN16" s="1939"/>
      <c r="DO16" s="1940" t="s">
        <v>2539</v>
      </c>
      <c r="DP16" s="462"/>
      <c r="DQ16" s="1941"/>
      <c r="DR16" s="1939"/>
      <c r="DS16" s="1940" t="s">
        <v>2539</v>
      </c>
      <c r="DT16" s="462"/>
      <c r="DU16" s="1941"/>
      <c r="DV16" s="1939"/>
      <c r="DW16" s="1940" t="s">
        <v>2539</v>
      </c>
      <c r="DX16" s="462"/>
      <c r="DY16" s="1941"/>
      <c r="DZ16" s="1939"/>
      <c r="EA16" s="1940" t="s">
        <v>2539</v>
      </c>
      <c r="EB16" s="462"/>
      <c r="EC16" s="1941"/>
      <c r="ED16" s="1939"/>
      <c r="EE16" s="1940" t="s">
        <v>2539</v>
      </c>
      <c r="EF16" s="462"/>
      <c r="EG16" s="1941"/>
      <c r="EH16" s="1939"/>
      <c r="EI16" s="1940" t="s">
        <v>2540</v>
      </c>
      <c r="EJ16" s="462"/>
      <c r="EK16" s="1941"/>
      <c r="EL16" s="1939"/>
      <c r="EM16" s="1940" t="s">
        <v>2540</v>
      </c>
      <c r="EN16" s="462"/>
      <c r="EO16" s="1941"/>
      <c r="EP16" s="1939"/>
      <c r="EQ16" s="1940" t="s">
        <v>2540</v>
      </c>
      <c r="ER16" s="462"/>
      <c r="ES16" s="1941"/>
      <c r="ET16" s="1939"/>
      <c r="EU16" s="1940" t="s">
        <v>2539</v>
      </c>
      <c r="EV16" s="462"/>
      <c r="EW16" s="1941"/>
      <c r="EX16" s="1939"/>
      <c r="EY16" s="1940" t="s">
        <v>2539</v>
      </c>
      <c r="EZ16" s="462"/>
      <c r="FA16" s="1941"/>
      <c r="FB16" s="1939"/>
      <c r="FC16" s="1940" t="s">
        <v>2539</v>
      </c>
      <c r="FD16" s="462"/>
      <c r="FE16" s="1941"/>
      <c r="FF16" s="1939"/>
      <c r="FG16" s="1940" t="s">
        <v>2539</v>
      </c>
      <c r="FH16" s="462"/>
      <c r="FI16" s="1941"/>
      <c r="FJ16" s="1939"/>
      <c r="FK16" s="1940" t="s">
        <v>2539</v>
      </c>
      <c r="FL16" s="462"/>
      <c r="FM16" s="1941"/>
      <c r="FN16" s="1939"/>
      <c r="FO16" s="1940" t="s">
        <v>2539</v>
      </c>
      <c r="FP16" s="462"/>
      <c r="FQ16" s="1941"/>
      <c r="FR16" s="1939"/>
      <c r="FS16" s="1940" t="s">
        <v>2539</v>
      </c>
      <c r="FT16" s="462"/>
      <c r="FU16" s="1941"/>
      <c r="FV16" s="1939"/>
      <c r="FW16" s="1940" t="s">
        <v>2539</v>
      </c>
      <c r="FX16" s="462"/>
      <c r="FY16" s="1941"/>
      <c r="FZ16" s="1939"/>
      <c r="GA16" s="1940" t="s">
        <v>2539</v>
      </c>
      <c r="GB16" s="462"/>
      <c r="GC16" s="1941"/>
      <c r="GD16" s="1939"/>
      <c r="GE16" s="1940" t="s">
        <v>2539</v>
      </c>
      <c r="GF16" s="462"/>
      <c r="GG16" s="1941"/>
      <c r="GH16" s="1939"/>
      <c r="GI16" s="1940" t="s">
        <v>2539</v>
      </c>
      <c r="GJ16" s="462"/>
      <c r="GK16" s="1941"/>
      <c r="GL16" s="1939"/>
      <c r="GM16" s="1940" t="s">
        <v>2539</v>
      </c>
      <c r="GN16" s="462"/>
      <c r="GO16" s="1941"/>
      <c r="GP16" s="1939"/>
      <c r="GQ16" s="1940" t="s">
        <v>2539</v>
      </c>
      <c r="GR16" s="462"/>
      <c r="GS16" s="1941"/>
      <c r="GT16" s="1939"/>
      <c r="GU16" s="1940" t="s">
        <v>2539</v>
      </c>
      <c r="GV16" s="462"/>
      <c r="GW16" s="1941"/>
      <c r="GX16" s="1939"/>
      <c r="GY16" s="1940" t="s">
        <v>2539</v>
      </c>
      <c r="GZ16" s="462"/>
      <c r="HA16" s="1941"/>
      <c r="HB16" s="1939"/>
      <c r="HC16" s="1940" t="s">
        <v>2539</v>
      </c>
      <c r="HD16" s="462"/>
      <c r="HE16" s="1941"/>
      <c r="HF16" s="1939"/>
      <c r="HG16" s="1940" t="s">
        <v>2539</v>
      </c>
      <c r="HH16" s="462"/>
      <c r="HI16" s="1941"/>
      <c r="HJ16" s="1939"/>
      <c r="HK16" s="1940" t="s">
        <v>2539</v>
      </c>
      <c r="HL16" s="462"/>
      <c r="HM16" s="1941"/>
      <c r="HN16" s="1939"/>
      <c r="HO16" s="1940" t="s">
        <v>2539</v>
      </c>
      <c r="HP16" s="462"/>
      <c r="HQ16" s="1941"/>
      <c r="HR16" s="1939"/>
      <c r="HS16" s="1940" t="s">
        <v>2540</v>
      </c>
      <c r="HT16" s="462"/>
      <c r="HU16" s="1941"/>
      <c r="HV16" s="1939"/>
      <c r="HW16" s="1940" t="s">
        <v>2539</v>
      </c>
      <c r="HX16" s="462"/>
      <c r="HY16" s="1941"/>
      <c r="HZ16" s="1939"/>
      <c r="IA16" s="1940" t="s">
        <v>2539</v>
      </c>
      <c r="IB16" s="462"/>
      <c r="IC16" s="1941"/>
      <c r="ID16" s="1939"/>
      <c r="IE16" s="1940" t="s">
        <v>2539</v>
      </c>
      <c r="IF16" s="462"/>
      <c r="IG16" s="1941"/>
      <c r="IH16" s="1939"/>
      <c r="II16" s="1940" t="s">
        <v>2539</v>
      </c>
      <c r="IJ16" s="462"/>
      <c r="IK16" s="1941"/>
      <c r="IL16" s="1939"/>
      <c r="IM16" s="1940" t="s">
        <v>2540</v>
      </c>
      <c r="IN16" s="462"/>
      <c r="IO16" s="1941"/>
      <c r="IP16" s="1939"/>
      <c r="IQ16" s="1940" t="s">
        <v>2539</v>
      </c>
      <c r="IR16" s="462"/>
      <c r="IS16" s="1941"/>
      <c r="IT16" s="1939"/>
      <c r="IU16" s="1940" t="s">
        <v>2539</v>
      </c>
      <c r="IV16" s="462"/>
      <c r="IW16" s="1941"/>
      <c r="IX16" s="1939"/>
      <c r="IY16" s="1940" t="s">
        <v>2539</v>
      </c>
      <c r="IZ16" s="462"/>
      <c r="JA16" s="1941"/>
      <c r="JB16" s="1939"/>
      <c r="JC16" s="1940" t="s">
        <v>2539</v>
      </c>
      <c r="JD16" s="462"/>
      <c r="JE16" s="1941"/>
      <c r="JF16" s="1939"/>
      <c r="JG16" s="1940" t="s">
        <v>2539</v>
      </c>
      <c r="JH16" s="462"/>
      <c r="JI16" s="1941"/>
      <c r="JJ16" s="1939"/>
      <c r="JK16" s="1940" t="s">
        <v>2540</v>
      </c>
      <c r="JL16" s="462"/>
      <c r="JM16" s="1941"/>
      <c r="JN16" s="1939"/>
      <c r="JO16" s="1940" t="s">
        <v>2539</v>
      </c>
      <c r="JP16" s="462"/>
      <c r="JQ16" s="1941"/>
      <c r="JR16" s="1939"/>
      <c r="JS16" s="1940" t="s">
        <v>2540</v>
      </c>
      <c r="JT16" s="462"/>
      <c r="JU16" s="1941"/>
      <c r="JV16" s="1939"/>
      <c r="JW16" s="1940" t="s">
        <v>2539</v>
      </c>
      <c r="JX16" s="462"/>
      <c r="JY16" s="1941"/>
      <c r="JZ16" s="1939"/>
      <c r="KA16" s="1940" t="s">
        <v>2540</v>
      </c>
      <c r="KB16" s="462"/>
      <c r="KC16" s="1941"/>
      <c r="KD16" s="1939"/>
      <c r="KE16" s="1940" t="s">
        <v>2539</v>
      </c>
      <c r="KF16" s="462"/>
      <c r="KG16" s="1941"/>
      <c r="KH16" s="1939"/>
      <c r="KI16" s="1940" t="s">
        <v>2539</v>
      </c>
      <c r="KJ16" s="462"/>
      <c r="KK16" s="1941"/>
      <c r="KL16" s="1939"/>
      <c r="KM16" s="1940" t="s">
        <v>2539</v>
      </c>
      <c r="KN16" s="462"/>
      <c r="KO16" s="1941"/>
      <c r="KP16" s="1939"/>
      <c r="KQ16" s="1940" t="s">
        <v>2540</v>
      </c>
      <c r="KR16" s="462"/>
      <c r="KS16" s="1941"/>
      <c r="KT16" s="1939"/>
      <c r="KU16" s="1940" t="s">
        <v>2539</v>
      </c>
      <c r="KV16" s="462"/>
      <c r="KW16" s="1941"/>
      <c r="KX16" s="1939"/>
      <c r="KY16" s="1940" t="s">
        <v>2539</v>
      </c>
      <c r="KZ16" s="462"/>
      <c r="LA16" s="1941"/>
      <c r="LC16" s="436">
        <f xml:space="preserve"> IF( SUM( LE16:XC16 ) = 0, 0, $LG$3 )</f>
        <v>0</v>
      </c>
      <c r="LH16" s="86">
        <f>IF(ISBLANK($C16), 0, IF(ISNUMBER(G16), 0, 1))</f>
        <v>0</v>
      </c>
      <c r="LL16" s="86">
        <f>IF(ISBLANK($C16), 0, IF(ISBLANK(K16), 1, 0))</f>
        <v>0</v>
      </c>
      <c r="LP16" s="86">
        <f>IF(ISBLANK($C16), 0, IF(ISBLANK(O16), 1, 0))</f>
        <v>0</v>
      </c>
      <c r="LT16" s="86">
        <f>IF(ISBLANK($C16), 0, IF(ISBLANK(S16), 1, 0))</f>
        <v>0</v>
      </c>
      <c r="LX16" s="86">
        <f>IF(ISBLANK($C16), 0, IF(ISBLANK(W16), 1, 0))</f>
        <v>0</v>
      </c>
      <c r="MB16" s="86">
        <f>IF(ISBLANK($C16), 0, IF(ISBLANK(AA16), 1, 0))</f>
        <v>0</v>
      </c>
      <c r="MF16" s="86">
        <f>IF(ISBLANK($C16), 0, IF(ISBLANK(AE16), 1, 0))</f>
        <v>0</v>
      </c>
      <c r="MJ16" s="86">
        <f>IF(ISBLANK($C16), 0, IF(ISBLANK(AI16), 1, 0))</f>
        <v>0</v>
      </c>
      <c r="MN16" s="86">
        <f>IF(ISBLANK($C16), 0, IF(ISBLANK(AM16), 1, 0))</f>
        <v>0</v>
      </c>
      <c r="MR16" s="86">
        <f>IF(ISBLANK($C16), 0, IF(ISBLANK(AQ16), 1, 0))</f>
        <v>0</v>
      </c>
      <c r="MV16" s="86">
        <f>IF(ISBLANK($C16), 0, IF(ISBLANK(AU16), 1, 0))</f>
        <v>0</v>
      </c>
      <c r="MZ16" s="86">
        <f>IF(ISBLANK($C16), 0, IF(ISBLANK(AY16), 1, 0))</f>
        <v>0</v>
      </c>
      <c r="ND16" s="86">
        <f>IF(ISBLANK($C16), 0, IF(ISBLANK(BC16), 1, 0))</f>
        <v>0</v>
      </c>
      <c r="NH16" s="86">
        <f>IF(ISBLANK($C16), 0, IF(ISBLANK(BG16), 1, 0))</f>
        <v>0</v>
      </c>
      <c r="NL16" s="86">
        <f>IF(ISBLANK($C16), 0, IF(ISBLANK(BK16), 1, 0))</f>
        <v>0</v>
      </c>
      <c r="NP16" s="86">
        <f>IF(ISBLANK($C16), 0, IF(ISBLANK(BO16), 1, 0))</f>
        <v>0</v>
      </c>
      <c r="NT16" s="86">
        <f>IF(ISBLANK($C16), 0, IF(ISBLANK(BS16), 1, 0))</f>
        <v>0</v>
      </c>
      <c r="NX16" s="86">
        <f>IF(ISBLANK($C16), 0, IF(ISBLANK(BW16), 1, 0))</f>
        <v>0</v>
      </c>
      <c r="OB16" s="86">
        <f>IF(ISBLANK($C16), 0, IF(ISBLANK(CA16), 1, 0))</f>
        <v>0</v>
      </c>
      <c r="OF16" s="86">
        <f>IF(ISBLANK($C16), 0, IF(ISBLANK(CE16), 1, 0))</f>
        <v>0</v>
      </c>
      <c r="OJ16" s="86">
        <f>IF(ISBLANK($C16), 0, IF(ISBLANK(CI16), 1, 0))</f>
        <v>0</v>
      </c>
      <c r="ON16" s="86">
        <f>IF(ISBLANK($C16), 0, IF(ISBLANK(CM16), 1, 0))</f>
        <v>0</v>
      </c>
      <c r="OR16" s="86">
        <f>IF(ISBLANK($C16), 0, IF(ISBLANK(CQ16), 1, 0))</f>
        <v>0</v>
      </c>
      <c r="OV16" s="86">
        <f>IF(ISBLANK($C16), 0, IF(ISBLANK(CU16), 1, 0))</f>
        <v>0</v>
      </c>
      <c r="OZ16" s="86">
        <f>IF(ISBLANK($C16), 0, IF(ISBLANK(CY16), 1, 0))</f>
        <v>0</v>
      </c>
      <c r="PD16" s="86">
        <f>IF(ISBLANK($C16), 0, IF(ISBLANK(DC16), 1, 0))</f>
        <v>0</v>
      </c>
      <c r="PH16" s="86">
        <f>IF(ISBLANK($C16), 0, IF(ISBLANK(DG16), 1, 0))</f>
        <v>0</v>
      </c>
      <c r="PL16" s="86">
        <f>IF(ISBLANK($C16), 0, IF(ISBLANK(DK16), 1, 0))</f>
        <v>0</v>
      </c>
      <c r="PP16" s="86">
        <f>IF(ISBLANK($C16), 0, IF(ISBLANK(DO16), 1, 0))</f>
        <v>0</v>
      </c>
      <c r="PT16" s="86">
        <f>IF(ISBLANK($C16), 0, IF(ISBLANK(DS16), 1, 0))</f>
        <v>0</v>
      </c>
      <c r="PX16" s="86">
        <f>IF(ISBLANK($C16), 0, IF(ISBLANK(DW16), 1, 0))</f>
        <v>0</v>
      </c>
      <c r="QB16" s="86">
        <f>IF(ISBLANK($C16), 0, IF(ISBLANK(EA16), 1, 0))</f>
        <v>0</v>
      </c>
      <c r="QF16" s="86">
        <f>IF(ISBLANK($C16), 0, IF(ISBLANK(EE16), 1, 0))</f>
        <v>0</v>
      </c>
      <c r="QJ16" s="86">
        <f>IF(ISBLANK($C16), 0, IF(ISBLANK(EI16), 1, 0))</f>
        <v>0</v>
      </c>
      <c r="QN16" s="86">
        <f>IF(ISBLANK($C16), 0, IF(ISBLANK(EM16), 1, 0))</f>
        <v>0</v>
      </c>
      <c r="QR16" s="86">
        <f>IF(ISBLANK($C16), 0, IF(ISBLANK(EQ16), 1, 0))</f>
        <v>0</v>
      </c>
      <c r="QV16" s="86">
        <f>IF(ISBLANK($C16), 0, IF(ISBLANK(EU16), 1, 0))</f>
        <v>0</v>
      </c>
      <c r="QZ16" s="86">
        <f>IF(ISBLANK($C16), 0, IF(ISBLANK(EY16), 1, 0))</f>
        <v>0</v>
      </c>
      <c r="RD16" s="86">
        <f>IF(ISBLANK($C16), 0, IF(ISBLANK(FC16), 1, 0))</f>
        <v>0</v>
      </c>
      <c r="RH16" s="86">
        <f>IF(ISBLANK($C16), 0, IF(ISBLANK(FG16), 1, 0))</f>
        <v>0</v>
      </c>
      <c r="RL16" s="86">
        <f>IF(ISBLANK($C16), 0, IF(ISBLANK(FK16), 1, 0))</f>
        <v>0</v>
      </c>
      <c r="RP16" s="86">
        <f>IF(ISBLANK($C16), 0, IF(ISBLANK(FO16), 1, 0))</f>
        <v>0</v>
      </c>
      <c r="RT16" s="86">
        <f>IF(ISBLANK($C16), 0, IF(ISBLANK(FS16), 1, 0))</f>
        <v>0</v>
      </c>
      <c r="RX16" s="86">
        <f>IF(ISBLANK($C16), 0, IF(ISBLANK(FW16), 1, 0))</f>
        <v>0</v>
      </c>
      <c r="SB16" s="86">
        <f>IF(ISBLANK($C16), 0, IF(ISBLANK(GA16), 1, 0))</f>
        <v>0</v>
      </c>
      <c r="SF16" s="86">
        <f>IF(ISBLANK($C16), 0, IF(ISBLANK(GE16), 1, 0))</f>
        <v>0</v>
      </c>
      <c r="SJ16" s="86">
        <f>IF(ISBLANK($C16), 0, IF(ISBLANK(GI16), 1, 0))</f>
        <v>0</v>
      </c>
      <c r="SN16" s="86">
        <f>IF(ISBLANK($C16), 0, IF(ISBLANK(GM16), 1, 0))</f>
        <v>0</v>
      </c>
      <c r="SR16" s="86">
        <f>IF(ISBLANK($C16), 0, IF(ISBLANK(GQ16), 1, 0))</f>
        <v>0</v>
      </c>
      <c r="SV16" s="86">
        <f>IF(ISBLANK($C16), 0, IF(ISBLANK(GU16), 1, 0))</f>
        <v>0</v>
      </c>
      <c r="SZ16" s="86">
        <f>IF(ISBLANK($C16), 0, IF(ISBLANK(GY16), 1, 0))</f>
        <v>0</v>
      </c>
      <c r="TD16" s="86">
        <f>IF(ISBLANK($C16), 0, IF(ISBLANK(HC16), 1, 0))</f>
        <v>0</v>
      </c>
      <c r="TH16" s="86">
        <f>IF(ISBLANK($C16), 0, IF(ISBLANK(HG16), 1, 0))</f>
        <v>0</v>
      </c>
      <c r="TL16" s="86">
        <f>IF(ISBLANK($C16), 0, IF(ISBLANK(HK16), 1, 0))</f>
        <v>0</v>
      </c>
      <c r="TP16" s="86">
        <f>IF(ISBLANK($C16), 0, IF(ISBLANK(HO16), 1, 0))</f>
        <v>0</v>
      </c>
      <c r="TT16" s="86">
        <f>IF(ISBLANK($C16), 0, IF(ISBLANK(HS16), 1, 0))</f>
        <v>0</v>
      </c>
      <c r="TX16" s="86">
        <f>IF(ISBLANK($C16), 0, IF(ISBLANK(HW16), 1, 0))</f>
        <v>0</v>
      </c>
      <c r="UB16" s="86">
        <f>IF(ISBLANK($C16), 0, IF(ISBLANK(IA16), 1, 0))</f>
        <v>0</v>
      </c>
      <c r="UF16" s="86">
        <f>IF(ISBLANK($C16), 0, IF(ISBLANK(IE16), 1, 0))</f>
        <v>0</v>
      </c>
      <c r="UJ16" s="86">
        <f>IF(ISBLANK($C16), 0, IF(ISBLANK(II16), 1, 0))</f>
        <v>0</v>
      </c>
      <c r="UN16" s="86">
        <f>IF(ISBLANK($C16), 0, IF(ISBLANK(IM16), 1, 0))</f>
        <v>0</v>
      </c>
      <c r="UR16" s="86">
        <f>IF(ISBLANK($C16), 0, IF(ISBLANK(IQ16), 1, 0))</f>
        <v>0</v>
      </c>
      <c r="UV16" s="86">
        <f>IF(ISBLANK($C16), 0, IF(ISBLANK(IU16), 1, 0))</f>
        <v>0</v>
      </c>
      <c r="UZ16" s="86">
        <f>IF(ISBLANK($C16), 0, IF(ISBLANK(IY16), 1, 0))</f>
        <v>0</v>
      </c>
      <c r="VD16" s="86">
        <f>IF(ISBLANK($C16), 0, IF(ISBLANK(JC16), 1, 0))</f>
        <v>0</v>
      </c>
      <c r="VH16" s="86">
        <f>IF(ISBLANK($C16), 0, IF(ISBLANK(JG16), 1, 0))</f>
        <v>0</v>
      </c>
      <c r="VL16" s="86">
        <f>IF(ISBLANK($C16), 0, IF(ISBLANK(JK16), 1, 0))</f>
        <v>0</v>
      </c>
      <c r="VP16" s="86">
        <f>IF(ISBLANK($C16), 0, IF(ISBLANK(JO16), 1, 0))</f>
        <v>0</v>
      </c>
      <c r="VT16" s="86">
        <f>IF(ISBLANK($C16), 0, IF(ISBLANK(JS16), 1, 0))</f>
        <v>0</v>
      </c>
      <c r="VX16" s="86">
        <f>IF(ISBLANK($C16), 0, IF(ISBLANK(JW16), 1, 0))</f>
        <v>0</v>
      </c>
      <c r="WB16" s="86">
        <f>IF(ISBLANK($C16), 0, IF(ISBLANK(KA16), 1, 0))</f>
        <v>0</v>
      </c>
      <c r="WF16" s="86">
        <f>IF(ISBLANK($C16), 0, IF(ISBLANK(KE16), 1, 0))</f>
        <v>0</v>
      </c>
      <c r="WJ16" s="86">
        <f>IF(ISBLANK($C16), 0, IF(ISBLANK(KI16), 1, 0))</f>
        <v>0</v>
      </c>
      <c r="WN16" s="86">
        <f>IF(ISBLANK($C16), 0, IF(ISBLANK(KM16), 1, 0))</f>
        <v>0</v>
      </c>
      <c r="WR16" s="86">
        <f>IF(ISBLANK($C16), 0, IF(ISBLANK(KQ16), 1, 0))</f>
        <v>0</v>
      </c>
      <c r="WV16" s="86">
        <f>IF(ISBLANK($C16), 0, IF(ISBLANK(KU16), 1, 0))</f>
        <v>0</v>
      </c>
      <c r="WZ16" s="86">
        <f>IF(ISBLANK($C16), 0, IF(ISBLANK(KY16), 1, 0))</f>
        <v>0</v>
      </c>
    </row>
    <row r="17" spans="2:624" ht="15" customHeight="1">
      <c r="B17" s="717">
        <v>2</v>
      </c>
      <c r="C17" s="1163"/>
      <c r="D17" s="701" t="s">
        <v>15</v>
      </c>
      <c r="E17" s="703">
        <v>1</v>
      </c>
      <c r="F17" s="1935"/>
      <c r="G17" s="1936"/>
      <c r="H17" s="1937"/>
      <c r="I17" s="1938"/>
      <c r="J17" s="1939"/>
      <c r="K17" s="1940"/>
      <c r="L17" s="462"/>
      <c r="M17" s="1941"/>
      <c r="N17" s="1939"/>
      <c r="O17" s="1940"/>
      <c r="P17" s="462"/>
      <c r="Q17" s="1941"/>
      <c r="R17" s="1939"/>
      <c r="S17" s="1940"/>
      <c r="T17" s="462"/>
      <c r="U17" s="1941"/>
      <c r="V17" s="1939"/>
      <c r="W17" s="1940"/>
      <c r="X17" s="462"/>
      <c r="Y17" s="1941"/>
      <c r="Z17" s="1939"/>
      <c r="AA17" s="1940"/>
      <c r="AB17" s="462"/>
      <c r="AC17" s="1941"/>
      <c r="AD17" s="1939"/>
      <c r="AE17" s="1940"/>
      <c r="AF17" s="462"/>
      <c r="AG17" s="1941"/>
      <c r="AH17" s="1939"/>
      <c r="AI17" s="1940"/>
      <c r="AJ17" s="462"/>
      <c r="AK17" s="1941"/>
      <c r="AL17" s="1939"/>
      <c r="AM17" s="1940"/>
      <c r="AN17" s="462"/>
      <c r="AO17" s="1941"/>
      <c r="AP17" s="1939"/>
      <c r="AQ17" s="1940"/>
      <c r="AR17" s="462"/>
      <c r="AS17" s="1941"/>
      <c r="AT17" s="1939"/>
      <c r="AU17" s="1940"/>
      <c r="AV17" s="462"/>
      <c r="AW17" s="1941"/>
      <c r="AX17" s="1939"/>
      <c r="AY17" s="1940"/>
      <c r="AZ17" s="462"/>
      <c r="BA17" s="1941"/>
      <c r="BB17" s="1939"/>
      <c r="BC17" s="1940"/>
      <c r="BD17" s="462"/>
      <c r="BE17" s="1941"/>
      <c r="BF17" s="1939"/>
      <c r="BG17" s="1940"/>
      <c r="BH17" s="462"/>
      <c r="BI17" s="1941"/>
      <c r="BJ17" s="1939"/>
      <c r="BK17" s="1940"/>
      <c r="BL17" s="462"/>
      <c r="BM17" s="1941"/>
      <c r="BN17" s="1939"/>
      <c r="BO17" s="1940"/>
      <c r="BP17" s="462"/>
      <c r="BQ17" s="1941"/>
      <c r="BR17" s="1939"/>
      <c r="BS17" s="1940"/>
      <c r="BT17" s="462"/>
      <c r="BU17" s="1941"/>
      <c r="BV17" s="1939"/>
      <c r="BW17" s="1940"/>
      <c r="BX17" s="462"/>
      <c r="BY17" s="1941"/>
      <c r="BZ17" s="1939"/>
      <c r="CA17" s="1940"/>
      <c r="CB17" s="462"/>
      <c r="CC17" s="1941"/>
      <c r="CD17" s="1939"/>
      <c r="CE17" s="1940"/>
      <c r="CF17" s="462"/>
      <c r="CG17" s="1941"/>
      <c r="CH17" s="1939"/>
      <c r="CI17" s="1940"/>
      <c r="CJ17" s="462"/>
      <c r="CK17" s="1941"/>
      <c r="CL17" s="1939"/>
      <c r="CM17" s="1940"/>
      <c r="CN17" s="462"/>
      <c r="CO17" s="1941"/>
      <c r="CP17" s="1939"/>
      <c r="CQ17" s="1940"/>
      <c r="CR17" s="462"/>
      <c r="CS17" s="1941"/>
      <c r="CT17" s="1939"/>
      <c r="CU17" s="1940"/>
      <c r="CV17" s="462"/>
      <c r="CW17" s="1941"/>
      <c r="CX17" s="1939"/>
      <c r="CY17" s="1940"/>
      <c r="CZ17" s="462"/>
      <c r="DA17" s="1941"/>
      <c r="DB17" s="1939"/>
      <c r="DC17" s="1940"/>
      <c r="DD17" s="462"/>
      <c r="DE17" s="1941"/>
      <c r="DF17" s="1939"/>
      <c r="DG17" s="1940"/>
      <c r="DH17" s="462"/>
      <c r="DI17" s="1941"/>
      <c r="DJ17" s="1939"/>
      <c r="DK17" s="1940"/>
      <c r="DL17" s="462"/>
      <c r="DM17" s="1941"/>
      <c r="DN17" s="1939"/>
      <c r="DO17" s="1940"/>
      <c r="DP17" s="462"/>
      <c r="DQ17" s="1941"/>
      <c r="DR17" s="1939"/>
      <c r="DS17" s="1940"/>
      <c r="DT17" s="462"/>
      <c r="DU17" s="1941"/>
      <c r="DV17" s="1939"/>
      <c r="DW17" s="1940"/>
      <c r="DX17" s="462"/>
      <c r="DY17" s="1941"/>
      <c r="DZ17" s="1939"/>
      <c r="EA17" s="1940"/>
      <c r="EB17" s="462"/>
      <c r="EC17" s="1941"/>
      <c r="ED17" s="1939"/>
      <c r="EE17" s="1940"/>
      <c r="EF17" s="462"/>
      <c r="EG17" s="1941"/>
      <c r="EH17" s="1939"/>
      <c r="EI17" s="1940"/>
      <c r="EJ17" s="462"/>
      <c r="EK17" s="1941"/>
      <c r="EL17" s="1939"/>
      <c r="EM17" s="1940"/>
      <c r="EN17" s="462"/>
      <c r="EO17" s="1941"/>
      <c r="EP17" s="1939"/>
      <c r="EQ17" s="1940"/>
      <c r="ER17" s="462"/>
      <c r="ES17" s="1941"/>
      <c r="ET17" s="1939"/>
      <c r="EU17" s="1940"/>
      <c r="EV17" s="462"/>
      <c r="EW17" s="1941"/>
      <c r="EX17" s="1939"/>
      <c r="EY17" s="1940"/>
      <c r="EZ17" s="462"/>
      <c r="FA17" s="1941"/>
      <c r="FB17" s="1939"/>
      <c r="FC17" s="1940"/>
      <c r="FD17" s="462"/>
      <c r="FE17" s="1941"/>
      <c r="FF17" s="1939"/>
      <c r="FG17" s="1940"/>
      <c r="FH17" s="462"/>
      <c r="FI17" s="1941"/>
      <c r="FJ17" s="1939"/>
      <c r="FK17" s="1940"/>
      <c r="FL17" s="462"/>
      <c r="FM17" s="1941"/>
      <c r="FN17" s="1939"/>
      <c r="FO17" s="1940"/>
      <c r="FP17" s="462"/>
      <c r="FQ17" s="1941"/>
      <c r="FR17" s="1939"/>
      <c r="FS17" s="1940"/>
      <c r="FT17" s="462"/>
      <c r="FU17" s="1941"/>
      <c r="FV17" s="1939"/>
      <c r="FW17" s="1940"/>
      <c r="FX17" s="462"/>
      <c r="FY17" s="1941"/>
      <c r="FZ17" s="1939"/>
      <c r="GA17" s="1940"/>
      <c r="GB17" s="462"/>
      <c r="GC17" s="1941"/>
      <c r="GD17" s="1939"/>
      <c r="GE17" s="1940"/>
      <c r="GF17" s="462"/>
      <c r="GG17" s="1941"/>
      <c r="GH17" s="1939"/>
      <c r="GI17" s="1940"/>
      <c r="GJ17" s="462"/>
      <c r="GK17" s="1941"/>
      <c r="GL17" s="1939"/>
      <c r="GM17" s="1940"/>
      <c r="GN17" s="462"/>
      <c r="GO17" s="1941"/>
      <c r="GP17" s="1939"/>
      <c r="GQ17" s="1940"/>
      <c r="GR17" s="462"/>
      <c r="GS17" s="1941"/>
      <c r="GT17" s="1939"/>
      <c r="GU17" s="1940"/>
      <c r="GV17" s="462"/>
      <c r="GW17" s="1941"/>
      <c r="GX17" s="1939"/>
      <c r="GY17" s="1940"/>
      <c r="GZ17" s="462"/>
      <c r="HA17" s="1941"/>
      <c r="HB17" s="1939"/>
      <c r="HC17" s="1940"/>
      <c r="HD17" s="462"/>
      <c r="HE17" s="1941"/>
      <c r="HF17" s="1939"/>
      <c r="HG17" s="1940"/>
      <c r="HH17" s="462"/>
      <c r="HI17" s="1941"/>
      <c r="HJ17" s="1939"/>
      <c r="HK17" s="1940"/>
      <c r="HL17" s="462"/>
      <c r="HM17" s="1941"/>
      <c r="HN17" s="1939"/>
      <c r="HO17" s="1940"/>
      <c r="HP17" s="462"/>
      <c r="HQ17" s="1941"/>
      <c r="HR17" s="1939"/>
      <c r="HS17" s="1940"/>
      <c r="HT17" s="462"/>
      <c r="HU17" s="1941"/>
      <c r="HV17" s="1939"/>
      <c r="HW17" s="1940"/>
      <c r="HX17" s="462"/>
      <c r="HY17" s="1941"/>
      <c r="HZ17" s="1939"/>
      <c r="IA17" s="1940"/>
      <c r="IB17" s="462"/>
      <c r="IC17" s="1941"/>
      <c r="ID17" s="1939"/>
      <c r="IE17" s="1940"/>
      <c r="IF17" s="462"/>
      <c r="IG17" s="1941"/>
      <c r="IH17" s="1939"/>
      <c r="II17" s="1940"/>
      <c r="IJ17" s="462"/>
      <c r="IK17" s="1941"/>
      <c r="IL17" s="1939"/>
      <c r="IM17" s="1940"/>
      <c r="IN17" s="462"/>
      <c r="IO17" s="1941"/>
      <c r="IP17" s="1939"/>
      <c r="IQ17" s="1940"/>
      <c r="IR17" s="462"/>
      <c r="IS17" s="1941"/>
      <c r="IT17" s="1939"/>
      <c r="IU17" s="1940"/>
      <c r="IV17" s="462"/>
      <c r="IW17" s="1941"/>
      <c r="IX17" s="1939"/>
      <c r="IY17" s="1940"/>
      <c r="IZ17" s="462"/>
      <c r="JA17" s="1941"/>
      <c r="JB17" s="1939"/>
      <c r="JC17" s="1940"/>
      <c r="JD17" s="462"/>
      <c r="JE17" s="1941"/>
      <c r="JF17" s="1939"/>
      <c r="JG17" s="1940"/>
      <c r="JH17" s="462"/>
      <c r="JI17" s="1941"/>
      <c r="JJ17" s="1939"/>
      <c r="JK17" s="1940"/>
      <c r="JL17" s="462"/>
      <c r="JM17" s="1941"/>
      <c r="JN17" s="1939"/>
      <c r="JO17" s="1940"/>
      <c r="JP17" s="462"/>
      <c r="JQ17" s="1941"/>
      <c r="JR17" s="1939"/>
      <c r="JS17" s="1940"/>
      <c r="JT17" s="462"/>
      <c r="JU17" s="1941"/>
      <c r="JV17" s="1939"/>
      <c r="JW17" s="1940"/>
      <c r="JX17" s="462"/>
      <c r="JY17" s="1941"/>
      <c r="JZ17" s="1939"/>
      <c r="KA17" s="1940"/>
      <c r="KB17" s="462"/>
      <c r="KC17" s="1941"/>
      <c r="KD17" s="1939"/>
      <c r="KE17" s="1940"/>
      <c r="KF17" s="462"/>
      <c r="KG17" s="1941"/>
      <c r="KH17" s="1939"/>
      <c r="KI17" s="1940"/>
      <c r="KJ17" s="462"/>
      <c r="KK17" s="1941"/>
      <c r="KL17" s="1939"/>
      <c r="KM17" s="1940"/>
      <c r="KN17" s="462"/>
      <c r="KO17" s="1941"/>
      <c r="KP17" s="1939"/>
      <c r="KQ17" s="1940"/>
      <c r="KR17" s="462"/>
      <c r="KS17" s="1941"/>
      <c r="KT17" s="1939"/>
      <c r="KU17" s="1940"/>
      <c r="KV17" s="462"/>
      <c r="KW17" s="1941"/>
      <c r="KX17" s="1939"/>
      <c r="KY17" s="1940"/>
      <c r="KZ17" s="462"/>
      <c r="LA17" s="1941"/>
      <c r="LC17" s="436">
        <f xml:space="preserve"> IF( SUM( LE17:XC17 ) = 0, 0, $LG$3 )</f>
        <v>0</v>
      </c>
      <c r="LH17" s="86">
        <f t="shared" ref="LH17:LH19" si="0">IF(ISBLANK($C17), 0, IF(ISNUMBER(G17), 0, 1))</f>
        <v>0</v>
      </c>
      <c r="LL17" s="86">
        <f t="shared" ref="LL17:LL19" si="1">IF(ISBLANK($C17), 0, IF(ISBLANK(K17), 1, 0))</f>
        <v>0</v>
      </c>
      <c r="LP17" s="86">
        <f t="shared" ref="LP17:LP19" si="2">IF(ISBLANK($C17), 0, IF(ISBLANK(O17), 1, 0))</f>
        <v>0</v>
      </c>
      <c r="LT17" s="86">
        <f t="shared" ref="LT17:LT19" si="3">IF(ISBLANK($C17), 0, IF(ISBLANK(S17), 1, 0))</f>
        <v>0</v>
      </c>
      <c r="LX17" s="86">
        <f t="shared" ref="LX17:LX19" si="4">IF(ISBLANK($C17), 0, IF(ISBLANK(W17), 1, 0))</f>
        <v>0</v>
      </c>
      <c r="MB17" s="86">
        <f t="shared" ref="MB17:MB19" si="5">IF(ISBLANK($C17), 0, IF(ISBLANK(AA17), 1, 0))</f>
        <v>0</v>
      </c>
      <c r="MF17" s="86">
        <f t="shared" ref="MF17:MF19" si="6">IF(ISBLANK($C17), 0, IF(ISBLANK(AE17), 1, 0))</f>
        <v>0</v>
      </c>
      <c r="MJ17" s="86">
        <f t="shared" ref="MJ17:MJ19" si="7">IF(ISBLANK($C17), 0, IF(ISBLANK(AI17), 1, 0))</f>
        <v>0</v>
      </c>
      <c r="MN17" s="86">
        <f t="shared" ref="MN17:MN19" si="8">IF(ISBLANK($C17), 0, IF(ISBLANK(AM17), 1, 0))</f>
        <v>0</v>
      </c>
      <c r="MR17" s="86">
        <f t="shared" ref="MR17:MR19" si="9">IF(ISBLANK($C17), 0, IF(ISBLANK(AQ17), 1, 0))</f>
        <v>0</v>
      </c>
      <c r="MV17" s="86">
        <f t="shared" ref="MV17:MV19" si="10">IF(ISBLANK($C17), 0, IF(ISBLANK(AU17), 1, 0))</f>
        <v>0</v>
      </c>
      <c r="MZ17" s="86">
        <f t="shared" ref="MZ17:MZ19" si="11">IF(ISBLANK($C17), 0, IF(ISBLANK(AY17), 1, 0))</f>
        <v>0</v>
      </c>
      <c r="ND17" s="86">
        <f t="shared" ref="ND17:ND19" si="12">IF(ISBLANK($C17), 0, IF(ISBLANK(BC17), 1, 0))</f>
        <v>0</v>
      </c>
      <c r="NH17" s="86">
        <f t="shared" ref="NH17:NH19" si="13">IF(ISBLANK($C17), 0, IF(ISBLANK(BG17), 1, 0))</f>
        <v>0</v>
      </c>
      <c r="NL17" s="86">
        <f t="shared" ref="NL17:NL19" si="14">IF(ISBLANK($C17), 0, IF(ISBLANK(BK17), 1, 0))</f>
        <v>0</v>
      </c>
      <c r="NP17" s="86">
        <f t="shared" ref="NP17:NP19" si="15">IF(ISBLANK($C17), 0, IF(ISBLANK(BO17), 1, 0))</f>
        <v>0</v>
      </c>
      <c r="NT17" s="86">
        <f t="shared" ref="NT17:NT19" si="16">IF(ISBLANK($C17), 0, IF(ISBLANK(BS17), 1, 0))</f>
        <v>0</v>
      </c>
      <c r="NX17" s="86">
        <f t="shared" ref="NX17:NX19" si="17">IF(ISBLANK($C17), 0, IF(ISBLANK(BW17), 1, 0))</f>
        <v>0</v>
      </c>
      <c r="OB17" s="86">
        <f t="shared" ref="OB17:OB19" si="18">IF(ISBLANK($C17), 0, IF(ISBLANK(CA17), 1, 0))</f>
        <v>0</v>
      </c>
      <c r="OF17" s="86">
        <f t="shared" ref="OF17:OF19" si="19">IF(ISBLANK($C17), 0, IF(ISBLANK(CE17), 1, 0))</f>
        <v>0</v>
      </c>
      <c r="OJ17" s="86">
        <f t="shared" ref="OJ17:OJ19" si="20">IF(ISBLANK($C17), 0, IF(ISBLANK(CI17), 1, 0))</f>
        <v>0</v>
      </c>
      <c r="ON17" s="86">
        <f t="shared" ref="ON17:ON19" si="21">IF(ISBLANK($C17), 0, IF(ISBLANK(CM17), 1, 0))</f>
        <v>0</v>
      </c>
      <c r="OR17" s="86">
        <f t="shared" ref="OR17:OR19" si="22">IF(ISBLANK($C17), 0, IF(ISBLANK(CQ17), 1, 0))</f>
        <v>0</v>
      </c>
      <c r="OV17" s="86">
        <f t="shared" ref="OV17:OV19" si="23">IF(ISBLANK($C17), 0, IF(ISBLANK(CU17), 1, 0))</f>
        <v>0</v>
      </c>
      <c r="OZ17" s="86">
        <f t="shared" ref="OZ17:OZ19" si="24">IF(ISBLANK($C17), 0, IF(ISBLANK(CY17), 1, 0))</f>
        <v>0</v>
      </c>
      <c r="PD17" s="86">
        <f t="shared" ref="PD17:PD19" si="25">IF(ISBLANK($C17), 0, IF(ISBLANK(DC17), 1, 0))</f>
        <v>0</v>
      </c>
      <c r="PH17" s="86">
        <f t="shared" ref="PH17:PH19" si="26">IF(ISBLANK($C17), 0, IF(ISBLANK(DG17), 1, 0))</f>
        <v>0</v>
      </c>
      <c r="PL17" s="86">
        <f t="shared" ref="PL17:PL19" si="27">IF(ISBLANK($C17), 0, IF(ISBLANK(DK17), 1, 0))</f>
        <v>0</v>
      </c>
      <c r="PP17" s="86">
        <f t="shared" ref="PP17:PP19" si="28">IF(ISBLANK($C17), 0, IF(ISBLANK(DO17), 1, 0))</f>
        <v>0</v>
      </c>
      <c r="PT17" s="86">
        <f t="shared" ref="PT17:PT19" si="29">IF(ISBLANK($C17), 0, IF(ISBLANK(DS17), 1, 0))</f>
        <v>0</v>
      </c>
      <c r="PX17" s="86">
        <f t="shared" ref="PX17:PX19" si="30">IF(ISBLANK($C17), 0, IF(ISBLANK(DW17), 1, 0))</f>
        <v>0</v>
      </c>
      <c r="QB17" s="86">
        <f t="shared" ref="QB17:QB19" si="31">IF(ISBLANK($C17), 0, IF(ISBLANK(EA17), 1, 0))</f>
        <v>0</v>
      </c>
      <c r="QF17" s="86">
        <f t="shared" ref="QF17:QF19" si="32">IF(ISBLANK($C17), 0, IF(ISBLANK(EE17), 1, 0))</f>
        <v>0</v>
      </c>
      <c r="QJ17" s="86">
        <f t="shared" ref="QJ17:QJ19" si="33">IF(ISBLANK($C17), 0, IF(ISBLANK(EI17), 1, 0))</f>
        <v>0</v>
      </c>
      <c r="QN17" s="86">
        <f t="shared" ref="QN17:QN19" si="34">IF(ISBLANK($C17), 0, IF(ISBLANK(EM17), 1, 0))</f>
        <v>0</v>
      </c>
      <c r="QR17" s="86">
        <f t="shared" ref="QR17:QR19" si="35">IF(ISBLANK($C17), 0, IF(ISBLANK(EQ17), 1, 0))</f>
        <v>0</v>
      </c>
      <c r="QV17" s="86">
        <f t="shared" ref="QV17:QV19" si="36">IF(ISBLANK($C17), 0, IF(ISBLANK(EU17), 1, 0))</f>
        <v>0</v>
      </c>
      <c r="QZ17" s="86">
        <f t="shared" ref="QZ17:QZ19" si="37">IF(ISBLANK($C17), 0, IF(ISBLANK(EY17), 1, 0))</f>
        <v>0</v>
      </c>
      <c r="RD17" s="86">
        <f t="shared" ref="RD17:RD19" si="38">IF(ISBLANK($C17), 0, IF(ISBLANK(FC17), 1, 0))</f>
        <v>0</v>
      </c>
      <c r="RH17" s="86">
        <f t="shared" ref="RH17:RH19" si="39">IF(ISBLANK($C17), 0, IF(ISBLANK(FG17), 1, 0))</f>
        <v>0</v>
      </c>
      <c r="RL17" s="86">
        <f t="shared" ref="RL17:RL19" si="40">IF(ISBLANK($C17), 0, IF(ISBLANK(FK17), 1, 0))</f>
        <v>0</v>
      </c>
      <c r="RP17" s="86">
        <f t="shared" ref="RP17:RP19" si="41">IF(ISBLANK($C17), 0, IF(ISBLANK(FO17), 1, 0))</f>
        <v>0</v>
      </c>
      <c r="RT17" s="86">
        <f t="shared" ref="RT17:RT19" si="42">IF(ISBLANK($C17), 0, IF(ISBLANK(FS17), 1, 0))</f>
        <v>0</v>
      </c>
      <c r="RX17" s="86">
        <f t="shared" ref="RX17:RX19" si="43">IF(ISBLANK($C17), 0, IF(ISBLANK(FW17), 1, 0))</f>
        <v>0</v>
      </c>
      <c r="SB17" s="86">
        <f t="shared" ref="SB17:SB19" si="44">IF(ISBLANK($C17), 0, IF(ISBLANK(GA17), 1, 0))</f>
        <v>0</v>
      </c>
      <c r="SF17" s="86">
        <f t="shared" ref="SF17:SF19" si="45">IF(ISBLANK($C17), 0, IF(ISBLANK(GE17), 1, 0))</f>
        <v>0</v>
      </c>
      <c r="SJ17" s="86">
        <f t="shared" ref="SJ17:SJ19" si="46">IF(ISBLANK($C17), 0, IF(ISBLANK(GI17), 1, 0))</f>
        <v>0</v>
      </c>
      <c r="SN17" s="86">
        <f t="shared" ref="SN17:SN19" si="47">IF(ISBLANK($C17), 0, IF(ISBLANK(GM17), 1, 0))</f>
        <v>0</v>
      </c>
      <c r="SR17" s="86">
        <f t="shared" ref="SR17:SR19" si="48">IF(ISBLANK($C17), 0, IF(ISBLANK(GQ17), 1, 0))</f>
        <v>0</v>
      </c>
      <c r="SV17" s="86">
        <f t="shared" ref="SV17:SV19" si="49">IF(ISBLANK($C17), 0, IF(ISBLANK(GU17), 1, 0))</f>
        <v>0</v>
      </c>
      <c r="SZ17" s="86">
        <f t="shared" ref="SZ17:SZ19" si="50">IF(ISBLANK($C17), 0, IF(ISBLANK(GY17), 1, 0))</f>
        <v>0</v>
      </c>
      <c r="TD17" s="86">
        <f t="shared" ref="TD17:TD19" si="51">IF(ISBLANK($C17), 0, IF(ISBLANK(HC17), 1, 0))</f>
        <v>0</v>
      </c>
      <c r="TH17" s="86">
        <f t="shared" ref="TH17:TH19" si="52">IF(ISBLANK($C17), 0, IF(ISBLANK(HG17), 1, 0))</f>
        <v>0</v>
      </c>
      <c r="TL17" s="86">
        <f t="shared" ref="TL17:TL19" si="53">IF(ISBLANK($C17), 0, IF(ISBLANK(HK17), 1, 0))</f>
        <v>0</v>
      </c>
      <c r="TP17" s="86">
        <f t="shared" ref="TP17:TP19" si="54">IF(ISBLANK($C17), 0, IF(ISBLANK(HO17), 1, 0))</f>
        <v>0</v>
      </c>
      <c r="TT17" s="86">
        <f t="shared" ref="TT17:TT19" si="55">IF(ISBLANK($C17), 0, IF(ISBLANK(HS17), 1, 0))</f>
        <v>0</v>
      </c>
      <c r="TX17" s="86">
        <f t="shared" ref="TX17:TX19" si="56">IF(ISBLANK($C17), 0, IF(ISBLANK(HW17), 1, 0))</f>
        <v>0</v>
      </c>
      <c r="UB17" s="86">
        <f t="shared" ref="UB17:UB19" si="57">IF(ISBLANK($C17), 0, IF(ISBLANK(IA17), 1, 0))</f>
        <v>0</v>
      </c>
      <c r="UF17" s="86">
        <f t="shared" ref="UF17:UF19" si="58">IF(ISBLANK($C17), 0, IF(ISBLANK(IE17), 1, 0))</f>
        <v>0</v>
      </c>
      <c r="UJ17" s="86">
        <f t="shared" ref="UJ17:UJ19" si="59">IF(ISBLANK($C17), 0, IF(ISBLANK(II17), 1, 0))</f>
        <v>0</v>
      </c>
      <c r="UN17" s="86">
        <f t="shared" ref="UN17:UN19" si="60">IF(ISBLANK($C17), 0, IF(ISBLANK(IM17), 1, 0))</f>
        <v>0</v>
      </c>
      <c r="UR17" s="86">
        <f t="shared" ref="UR17:UR19" si="61">IF(ISBLANK($C17), 0, IF(ISBLANK(IQ17), 1, 0))</f>
        <v>0</v>
      </c>
      <c r="UV17" s="86">
        <f t="shared" ref="UV17:UV19" si="62">IF(ISBLANK($C17), 0, IF(ISBLANK(IU17), 1, 0))</f>
        <v>0</v>
      </c>
      <c r="UZ17" s="86">
        <f t="shared" ref="UZ17:UZ19" si="63">IF(ISBLANK($C17), 0, IF(ISBLANK(IY17), 1, 0))</f>
        <v>0</v>
      </c>
      <c r="VD17" s="86">
        <f t="shared" ref="VD17:VD19" si="64">IF(ISBLANK($C17), 0, IF(ISBLANK(JC17), 1, 0))</f>
        <v>0</v>
      </c>
      <c r="VH17" s="86">
        <f t="shared" ref="VH17:VH19" si="65">IF(ISBLANK($C17), 0, IF(ISBLANK(JG17), 1, 0))</f>
        <v>0</v>
      </c>
      <c r="VL17" s="86">
        <f t="shared" ref="VL17:VL19" si="66">IF(ISBLANK($C17), 0, IF(ISBLANK(JK17), 1, 0))</f>
        <v>0</v>
      </c>
      <c r="VP17" s="86">
        <f t="shared" ref="VP17:VP19" si="67">IF(ISBLANK($C17), 0, IF(ISBLANK(JO17), 1, 0))</f>
        <v>0</v>
      </c>
      <c r="VT17" s="86">
        <f t="shared" ref="VT17:VT19" si="68">IF(ISBLANK($C17), 0, IF(ISBLANK(JS17), 1, 0))</f>
        <v>0</v>
      </c>
      <c r="VX17" s="86">
        <f t="shared" ref="VX17:VX19" si="69">IF(ISBLANK($C17), 0, IF(ISBLANK(JW17), 1, 0))</f>
        <v>0</v>
      </c>
      <c r="WB17" s="86">
        <f t="shared" ref="WB17:WB19" si="70">IF(ISBLANK($C17), 0, IF(ISBLANK(KA17), 1, 0))</f>
        <v>0</v>
      </c>
      <c r="WF17" s="86">
        <f t="shared" ref="WF17:WF19" si="71">IF(ISBLANK($C17), 0, IF(ISBLANK(KE17), 1, 0))</f>
        <v>0</v>
      </c>
      <c r="WJ17" s="86">
        <f t="shared" ref="WJ17:WJ19" si="72">IF(ISBLANK($C17), 0, IF(ISBLANK(KI17), 1, 0))</f>
        <v>0</v>
      </c>
      <c r="WN17" s="86">
        <f t="shared" ref="WN17:WN19" si="73">IF(ISBLANK($C17), 0, IF(ISBLANK(KM17), 1, 0))</f>
        <v>0</v>
      </c>
      <c r="WR17" s="86">
        <f t="shared" ref="WR17:WR19" si="74">IF(ISBLANK($C17), 0, IF(ISBLANK(KQ17), 1, 0))</f>
        <v>0</v>
      </c>
      <c r="WV17" s="86">
        <f t="shared" ref="WV17:WV19" si="75">IF(ISBLANK($C17), 0, IF(ISBLANK(KU17), 1, 0))</f>
        <v>0</v>
      </c>
      <c r="WZ17" s="86">
        <f t="shared" ref="WZ17:WZ19" si="76">IF(ISBLANK($C17), 0, IF(ISBLANK(KY17), 1, 0))</f>
        <v>0</v>
      </c>
    </row>
    <row r="18" spans="2:624" ht="15" customHeight="1">
      <c r="B18" s="717">
        <v>3</v>
      </c>
      <c r="C18" s="1163"/>
      <c r="D18" s="701" t="s">
        <v>15</v>
      </c>
      <c r="E18" s="703">
        <v>1</v>
      </c>
      <c r="F18" s="1935"/>
      <c r="G18" s="1936"/>
      <c r="H18" s="1937"/>
      <c r="I18" s="1938"/>
      <c r="J18" s="1939"/>
      <c r="K18" s="1940"/>
      <c r="L18" s="462"/>
      <c r="M18" s="1941"/>
      <c r="N18" s="1939"/>
      <c r="O18" s="1940"/>
      <c r="P18" s="462"/>
      <c r="Q18" s="1941"/>
      <c r="R18" s="1939"/>
      <c r="S18" s="1940"/>
      <c r="T18" s="462"/>
      <c r="U18" s="1941"/>
      <c r="V18" s="1939"/>
      <c r="W18" s="1940"/>
      <c r="X18" s="462"/>
      <c r="Y18" s="1941"/>
      <c r="Z18" s="1939"/>
      <c r="AA18" s="1940"/>
      <c r="AB18" s="462"/>
      <c r="AC18" s="1941"/>
      <c r="AD18" s="1939"/>
      <c r="AE18" s="1940"/>
      <c r="AF18" s="462"/>
      <c r="AG18" s="1941"/>
      <c r="AH18" s="1939"/>
      <c r="AI18" s="1940"/>
      <c r="AJ18" s="462"/>
      <c r="AK18" s="1941"/>
      <c r="AL18" s="1939"/>
      <c r="AM18" s="1940"/>
      <c r="AN18" s="462"/>
      <c r="AO18" s="1941"/>
      <c r="AP18" s="1939"/>
      <c r="AQ18" s="1940"/>
      <c r="AR18" s="462"/>
      <c r="AS18" s="1941"/>
      <c r="AT18" s="1939"/>
      <c r="AU18" s="1940"/>
      <c r="AV18" s="462"/>
      <c r="AW18" s="1941"/>
      <c r="AX18" s="1939"/>
      <c r="AY18" s="1940"/>
      <c r="AZ18" s="462"/>
      <c r="BA18" s="1941"/>
      <c r="BB18" s="1939"/>
      <c r="BC18" s="1940"/>
      <c r="BD18" s="462"/>
      <c r="BE18" s="1941"/>
      <c r="BF18" s="1939"/>
      <c r="BG18" s="1940"/>
      <c r="BH18" s="462"/>
      <c r="BI18" s="1941"/>
      <c r="BJ18" s="1939"/>
      <c r="BK18" s="1940"/>
      <c r="BL18" s="462"/>
      <c r="BM18" s="1941"/>
      <c r="BN18" s="1939"/>
      <c r="BO18" s="1940"/>
      <c r="BP18" s="462"/>
      <c r="BQ18" s="1941"/>
      <c r="BR18" s="1939"/>
      <c r="BS18" s="1940"/>
      <c r="BT18" s="462"/>
      <c r="BU18" s="1941"/>
      <c r="BV18" s="1939"/>
      <c r="BW18" s="1940"/>
      <c r="BX18" s="462"/>
      <c r="BY18" s="1941"/>
      <c r="BZ18" s="1939"/>
      <c r="CA18" s="1940"/>
      <c r="CB18" s="462"/>
      <c r="CC18" s="1941"/>
      <c r="CD18" s="1939"/>
      <c r="CE18" s="1940"/>
      <c r="CF18" s="462"/>
      <c r="CG18" s="1941"/>
      <c r="CH18" s="1939"/>
      <c r="CI18" s="1940"/>
      <c r="CJ18" s="462"/>
      <c r="CK18" s="1941"/>
      <c r="CL18" s="1939"/>
      <c r="CM18" s="1940"/>
      <c r="CN18" s="462"/>
      <c r="CO18" s="1941"/>
      <c r="CP18" s="1939"/>
      <c r="CQ18" s="1940"/>
      <c r="CR18" s="462"/>
      <c r="CS18" s="1941"/>
      <c r="CT18" s="1939"/>
      <c r="CU18" s="1940"/>
      <c r="CV18" s="462"/>
      <c r="CW18" s="1941"/>
      <c r="CX18" s="1939"/>
      <c r="CY18" s="1940"/>
      <c r="CZ18" s="462"/>
      <c r="DA18" s="1941"/>
      <c r="DB18" s="1939"/>
      <c r="DC18" s="1940"/>
      <c r="DD18" s="462"/>
      <c r="DE18" s="1941"/>
      <c r="DF18" s="1939"/>
      <c r="DG18" s="1940"/>
      <c r="DH18" s="462"/>
      <c r="DI18" s="1941"/>
      <c r="DJ18" s="1939"/>
      <c r="DK18" s="1940"/>
      <c r="DL18" s="462"/>
      <c r="DM18" s="1941"/>
      <c r="DN18" s="1939"/>
      <c r="DO18" s="1940"/>
      <c r="DP18" s="462"/>
      <c r="DQ18" s="1941"/>
      <c r="DR18" s="1939"/>
      <c r="DS18" s="1940"/>
      <c r="DT18" s="462"/>
      <c r="DU18" s="1941"/>
      <c r="DV18" s="1939"/>
      <c r="DW18" s="1940"/>
      <c r="DX18" s="462"/>
      <c r="DY18" s="1941"/>
      <c r="DZ18" s="1939"/>
      <c r="EA18" s="1940"/>
      <c r="EB18" s="462"/>
      <c r="EC18" s="1941"/>
      <c r="ED18" s="1939"/>
      <c r="EE18" s="1940"/>
      <c r="EF18" s="462"/>
      <c r="EG18" s="1941"/>
      <c r="EH18" s="1939"/>
      <c r="EI18" s="1940"/>
      <c r="EJ18" s="462"/>
      <c r="EK18" s="1941"/>
      <c r="EL18" s="1939"/>
      <c r="EM18" s="1940"/>
      <c r="EN18" s="462"/>
      <c r="EO18" s="1941"/>
      <c r="EP18" s="1939"/>
      <c r="EQ18" s="1940"/>
      <c r="ER18" s="462"/>
      <c r="ES18" s="1941"/>
      <c r="ET18" s="1939"/>
      <c r="EU18" s="1940"/>
      <c r="EV18" s="462"/>
      <c r="EW18" s="1941"/>
      <c r="EX18" s="1939"/>
      <c r="EY18" s="1940"/>
      <c r="EZ18" s="462"/>
      <c r="FA18" s="1941"/>
      <c r="FB18" s="1939"/>
      <c r="FC18" s="1940"/>
      <c r="FD18" s="462"/>
      <c r="FE18" s="1941"/>
      <c r="FF18" s="1939"/>
      <c r="FG18" s="1940"/>
      <c r="FH18" s="462"/>
      <c r="FI18" s="1941"/>
      <c r="FJ18" s="1939"/>
      <c r="FK18" s="1940"/>
      <c r="FL18" s="462"/>
      <c r="FM18" s="1941"/>
      <c r="FN18" s="1939"/>
      <c r="FO18" s="1940"/>
      <c r="FP18" s="462"/>
      <c r="FQ18" s="1941"/>
      <c r="FR18" s="1939"/>
      <c r="FS18" s="1940"/>
      <c r="FT18" s="462"/>
      <c r="FU18" s="1941"/>
      <c r="FV18" s="1939"/>
      <c r="FW18" s="1940"/>
      <c r="FX18" s="462"/>
      <c r="FY18" s="1941"/>
      <c r="FZ18" s="1939"/>
      <c r="GA18" s="1940"/>
      <c r="GB18" s="462"/>
      <c r="GC18" s="1941"/>
      <c r="GD18" s="1939"/>
      <c r="GE18" s="1940"/>
      <c r="GF18" s="462"/>
      <c r="GG18" s="1941"/>
      <c r="GH18" s="1939"/>
      <c r="GI18" s="1940"/>
      <c r="GJ18" s="462"/>
      <c r="GK18" s="1941"/>
      <c r="GL18" s="1939"/>
      <c r="GM18" s="1940"/>
      <c r="GN18" s="462"/>
      <c r="GO18" s="1941"/>
      <c r="GP18" s="1939"/>
      <c r="GQ18" s="1940"/>
      <c r="GR18" s="462"/>
      <c r="GS18" s="1941"/>
      <c r="GT18" s="1939"/>
      <c r="GU18" s="1940"/>
      <c r="GV18" s="462"/>
      <c r="GW18" s="1941"/>
      <c r="GX18" s="1939"/>
      <c r="GY18" s="1940"/>
      <c r="GZ18" s="462"/>
      <c r="HA18" s="1941"/>
      <c r="HB18" s="1939"/>
      <c r="HC18" s="1940"/>
      <c r="HD18" s="462"/>
      <c r="HE18" s="1941"/>
      <c r="HF18" s="1939"/>
      <c r="HG18" s="1940"/>
      <c r="HH18" s="462"/>
      <c r="HI18" s="1941"/>
      <c r="HJ18" s="1939"/>
      <c r="HK18" s="1940"/>
      <c r="HL18" s="462"/>
      <c r="HM18" s="1941"/>
      <c r="HN18" s="1939"/>
      <c r="HO18" s="1940"/>
      <c r="HP18" s="462"/>
      <c r="HQ18" s="1941"/>
      <c r="HR18" s="1939"/>
      <c r="HS18" s="1940"/>
      <c r="HT18" s="462"/>
      <c r="HU18" s="1941"/>
      <c r="HV18" s="1939"/>
      <c r="HW18" s="1940"/>
      <c r="HX18" s="462"/>
      <c r="HY18" s="1941"/>
      <c r="HZ18" s="1939"/>
      <c r="IA18" s="1940"/>
      <c r="IB18" s="462"/>
      <c r="IC18" s="1941"/>
      <c r="ID18" s="1939"/>
      <c r="IE18" s="1940"/>
      <c r="IF18" s="462"/>
      <c r="IG18" s="1941"/>
      <c r="IH18" s="1939"/>
      <c r="II18" s="1940"/>
      <c r="IJ18" s="462"/>
      <c r="IK18" s="1941"/>
      <c r="IL18" s="1939"/>
      <c r="IM18" s="1940"/>
      <c r="IN18" s="462"/>
      <c r="IO18" s="1941"/>
      <c r="IP18" s="1939"/>
      <c r="IQ18" s="1940"/>
      <c r="IR18" s="462"/>
      <c r="IS18" s="1941"/>
      <c r="IT18" s="1939"/>
      <c r="IU18" s="1940"/>
      <c r="IV18" s="462"/>
      <c r="IW18" s="1941"/>
      <c r="IX18" s="1939"/>
      <c r="IY18" s="1940"/>
      <c r="IZ18" s="462"/>
      <c r="JA18" s="1941"/>
      <c r="JB18" s="1939"/>
      <c r="JC18" s="1940"/>
      <c r="JD18" s="462"/>
      <c r="JE18" s="1941"/>
      <c r="JF18" s="1939"/>
      <c r="JG18" s="1940"/>
      <c r="JH18" s="462"/>
      <c r="JI18" s="1941"/>
      <c r="JJ18" s="1939"/>
      <c r="JK18" s="1940"/>
      <c r="JL18" s="462"/>
      <c r="JM18" s="1941"/>
      <c r="JN18" s="1939"/>
      <c r="JO18" s="1940"/>
      <c r="JP18" s="462"/>
      <c r="JQ18" s="1941"/>
      <c r="JR18" s="1939"/>
      <c r="JS18" s="1940"/>
      <c r="JT18" s="462"/>
      <c r="JU18" s="1941"/>
      <c r="JV18" s="1939"/>
      <c r="JW18" s="1940"/>
      <c r="JX18" s="462"/>
      <c r="JY18" s="1941"/>
      <c r="JZ18" s="1939"/>
      <c r="KA18" s="1940"/>
      <c r="KB18" s="462"/>
      <c r="KC18" s="1941"/>
      <c r="KD18" s="1939"/>
      <c r="KE18" s="1940"/>
      <c r="KF18" s="462"/>
      <c r="KG18" s="1941"/>
      <c r="KH18" s="1939"/>
      <c r="KI18" s="1940"/>
      <c r="KJ18" s="462"/>
      <c r="KK18" s="1941"/>
      <c r="KL18" s="1939"/>
      <c r="KM18" s="1940"/>
      <c r="KN18" s="462"/>
      <c r="KO18" s="1941"/>
      <c r="KP18" s="1939"/>
      <c r="KQ18" s="1940"/>
      <c r="KR18" s="462"/>
      <c r="KS18" s="1941"/>
      <c r="KT18" s="1939"/>
      <c r="KU18" s="1940"/>
      <c r="KV18" s="462"/>
      <c r="KW18" s="1941"/>
      <c r="KX18" s="1939"/>
      <c r="KY18" s="1940"/>
      <c r="KZ18" s="462"/>
      <c r="LA18" s="1941"/>
      <c r="LC18" s="436">
        <f xml:space="preserve"> IF( SUM( LE18:XC18 ) = 0, 0, $LG$3 )</f>
        <v>0</v>
      </c>
      <c r="LH18" s="86">
        <f t="shared" si="0"/>
        <v>0</v>
      </c>
      <c r="LL18" s="86">
        <f t="shared" si="1"/>
        <v>0</v>
      </c>
      <c r="LP18" s="86">
        <f t="shared" si="2"/>
        <v>0</v>
      </c>
      <c r="LT18" s="86">
        <f t="shared" si="3"/>
        <v>0</v>
      </c>
      <c r="LX18" s="86">
        <f t="shared" si="4"/>
        <v>0</v>
      </c>
      <c r="MB18" s="86">
        <f t="shared" si="5"/>
        <v>0</v>
      </c>
      <c r="MF18" s="86">
        <f t="shared" si="6"/>
        <v>0</v>
      </c>
      <c r="MJ18" s="86">
        <f t="shared" si="7"/>
        <v>0</v>
      </c>
      <c r="MN18" s="86">
        <f t="shared" si="8"/>
        <v>0</v>
      </c>
      <c r="MR18" s="86">
        <f t="shared" si="9"/>
        <v>0</v>
      </c>
      <c r="MV18" s="86">
        <f t="shared" si="10"/>
        <v>0</v>
      </c>
      <c r="MZ18" s="86">
        <f t="shared" si="11"/>
        <v>0</v>
      </c>
      <c r="ND18" s="86">
        <f t="shared" si="12"/>
        <v>0</v>
      </c>
      <c r="NH18" s="86">
        <f t="shared" si="13"/>
        <v>0</v>
      </c>
      <c r="NL18" s="86">
        <f t="shared" si="14"/>
        <v>0</v>
      </c>
      <c r="NP18" s="86">
        <f t="shared" si="15"/>
        <v>0</v>
      </c>
      <c r="NT18" s="86">
        <f t="shared" si="16"/>
        <v>0</v>
      </c>
      <c r="NX18" s="86">
        <f t="shared" si="17"/>
        <v>0</v>
      </c>
      <c r="OB18" s="86">
        <f t="shared" si="18"/>
        <v>0</v>
      </c>
      <c r="OF18" s="86">
        <f t="shared" si="19"/>
        <v>0</v>
      </c>
      <c r="OJ18" s="86">
        <f t="shared" si="20"/>
        <v>0</v>
      </c>
      <c r="ON18" s="86">
        <f t="shared" si="21"/>
        <v>0</v>
      </c>
      <c r="OR18" s="86">
        <f t="shared" si="22"/>
        <v>0</v>
      </c>
      <c r="OV18" s="86">
        <f t="shared" si="23"/>
        <v>0</v>
      </c>
      <c r="OZ18" s="86">
        <f t="shared" si="24"/>
        <v>0</v>
      </c>
      <c r="PD18" s="86">
        <f t="shared" si="25"/>
        <v>0</v>
      </c>
      <c r="PH18" s="86">
        <f t="shared" si="26"/>
        <v>0</v>
      </c>
      <c r="PL18" s="86">
        <f t="shared" si="27"/>
        <v>0</v>
      </c>
      <c r="PP18" s="86">
        <f t="shared" si="28"/>
        <v>0</v>
      </c>
      <c r="PT18" s="86">
        <f t="shared" si="29"/>
        <v>0</v>
      </c>
      <c r="PX18" s="86">
        <f t="shared" si="30"/>
        <v>0</v>
      </c>
      <c r="QB18" s="86">
        <f t="shared" si="31"/>
        <v>0</v>
      </c>
      <c r="QF18" s="86">
        <f t="shared" si="32"/>
        <v>0</v>
      </c>
      <c r="QJ18" s="86">
        <f t="shared" si="33"/>
        <v>0</v>
      </c>
      <c r="QN18" s="86">
        <f t="shared" si="34"/>
        <v>0</v>
      </c>
      <c r="QR18" s="86">
        <f t="shared" si="35"/>
        <v>0</v>
      </c>
      <c r="QV18" s="86">
        <f t="shared" si="36"/>
        <v>0</v>
      </c>
      <c r="QZ18" s="86">
        <f t="shared" si="37"/>
        <v>0</v>
      </c>
      <c r="RD18" s="86">
        <f t="shared" si="38"/>
        <v>0</v>
      </c>
      <c r="RH18" s="86">
        <f t="shared" si="39"/>
        <v>0</v>
      </c>
      <c r="RL18" s="86">
        <f t="shared" si="40"/>
        <v>0</v>
      </c>
      <c r="RP18" s="86">
        <f t="shared" si="41"/>
        <v>0</v>
      </c>
      <c r="RT18" s="86">
        <f t="shared" si="42"/>
        <v>0</v>
      </c>
      <c r="RX18" s="86">
        <f t="shared" si="43"/>
        <v>0</v>
      </c>
      <c r="SB18" s="86">
        <f t="shared" si="44"/>
        <v>0</v>
      </c>
      <c r="SF18" s="86">
        <f t="shared" si="45"/>
        <v>0</v>
      </c>
      <c r="SJ18" s="86">
        <f t="shared" si="46"/>
        <v>0</v>
      </c>
      <c r="SN18" s="86">
        <f t="shared" si="47"/>
        <v>0</v>
      </c>
      <c r="SR18" s="86">
        <f t="shared" si="48"/>
        <v>0</v>
      </c>
      <c r="SV18" s="86">
        <f t="shared" si="49"/>
        <v>0</v>
      </c>
      <c r="SZ18" s="86">
        <f t="shared" si="50"/>
        <v>0</v>
      </c>
      <c r="TD18" s="86">
        <f t="shared" si="51"/>
        <v>0</v>
      </c>
      <c r="TH18" s="86">
        <f t="shared" si="52"/>
        <v>0</v>
      </c>
      <c r="TL18" s="86">
        <f t="shared" si="53"/>
        <v>0</v>
      </c>
      <c r="TP18" s="86">
        <f t="shared" si="54"/>
        <v>0</v>
      </c>
      <c r="TT18" s="86">
        <f t="shared" si="55"/>
        <v>0</v>
      </c>
      <c r="TX18" s="86">
        <f t="shared" si="56"/>
        <v>0</v>
      </c>
      <c r="UB18" s="86">
        <f t="shared" si="57"/>
        <v>0</v>
      </c>
      <c r="UF18" s="86">
        <f t="shared" si="58"/>
        <v>0</v>
      </c>
      <c r="UJ18" s="86">
        <f t="shared" si="59"/>
        <v>0</v>
      </c>
      <c r="UN18" s="86">
        <f t="shared" si="60"/>
        <v>0</v>
      </c>
      <c r="UR18" s="86">
        <f t="shared" si="61"/>
        <v>0</v>
      </c>
      <c r="UV18" s="86">
        <f t="shared" si="62"/>
        <v>0</v>
      </c>
      <c r="UZ18" s="86">
        <f t="shared" si="63"/>
        <v>0</v>
      </c>
      <c r="VD18" s="86">
        <f t="shared" si="64"/>
        <v>0</v>
      </c>
      <c r="VH18" s="86">
        <f t="shared" si="65"/>
        <v>0</v>
      </c>
      <c r="VL18" s="86">
        <f t="shared" si="66"/>
        <v>0</v>
      </c>
      <c r="VP18" s="86">
        <f t="shared" si="67"/>
        <v>0</v>
      </c>
      <c r="VT18" s="86">
        <f t="shared" si="68"/>
        <v>0</v>
      </c>
      <c r="VX18" s="86">
        <f t="shared" si="69"/>
        <v>0</v>
      </c>
      <c r="WB18" s="86">
        <f t="shared" si="70"/>
        <v>0</v>
      </c>
      <c r="WF18" s="86">
        <f t="shared" si="71"/>
        <v>0</v>
      </c>
      <c r="WJ18" s="86">
        <f t="shared" si="72"/>
        <v>0</v>
      </c>
      <c r="WN18" s="86">
        <f t="shared" si="73"/>
        <v>0</v>
      </c>
      <c r="WR18" s="86">
        <f t="shared" si="74"/>
        <v>0</v>
      </c>
      <c r="WV18" s="86">
        <f t="shared" si="75"/>
        <v>0</v>
      </c>
      <c r="WZ18" s="86">
        <f t="shared" si="76"/>
        <v>0</v>
      </c>
    </row>
    <row r="19" spans="2:624" ht="15" thickBot="1">
      <c r="B19" s="712">
        <v>4</v>
      </c>
      <c r="C19" s="1162"/>
      <c r="D19" s="702" t="s">
        <v>15</v>
      </c>
      <c r="E19" s="704">
        <v>1</v>
      </c>
      <c r="F19" s="1942"/>
      <c r="G19" s="1943"/>
      <c r="H19" s="1944"/>
      <c r="I19" s="1945"/>
      <c r="J19" s="1946"/>
      <c r="K19" s="1947"/>
      <c r="L19" s="463"/>
      <c r="M19" s="1948"/>
      <c r="N19" s="1946"/>
      <c r="O19" s="1947"/>
      <c r="P19" s="463"/>
      <c r="Q19" s="1948"/>
      <c r="R19" s="1946"/>
      <c r="S19" s="1947"/>
      <c r="T19" s="463"/>
      <c r="U19" s="1948"/>
      <c r="V19" s="1946"/>
      <c r="W19" s="1947"/>
      <c r="X19" s="463"/>
      <c r="Y19" s="1948"/>
      <c r="Z19" s="1946"/>
      <c r="AA19" s="1947"/>
      <c r="AB19" s="463"/>
      <c r="AC19" s="1948"/>
      <c r="AD19" s="1946"/>
      <c r="AE19" s="1947"/>
      <c r="AF19" s="463"/>
      <c r="AG19" s="1948"/>
      <c r="AH19" s="1946"/>
      <c r="AI19" s="1947"/>
      <c r="AJ19" s="463"/>
      <c r="AK19" s="1948"/>
      <c r="AL19" s="1946"/>
      <c r="AM19" s="1947"/>
      <c r="AN19" s="463"/>
      <c r="AO19" s="1948"/>
      <c r="AP19" s="1946"/>
      <c r="AQ19" s="1947"/>
      <c r="AR19" s="463"/>
      <c r="AS19" s="1948"/>
      <c r="AT19" s="1946"/>
      <c r="AU19" s="1947"/>
      <c r="AV19" s="463"/>
      <c r="AW19" s="1948"/>
      <c r="AX19" s="1946"/>
      <c r="AY19" s="1947"/>
      <c r="AZ19" s="463"/>
      <c r="BA19" s="1948"/>
      <c r="BB19" s="1946"/>
      <c r="BC19" s="1947"/>
      <c r="BD19" s="463"/>
      <c r="BE19" s="1948"/>
      <c r="BF19" s="1946"/>
      <c r="BG19" s="1947"/>
      <c r="BH19" s="463"/>
      <c r="BI19" s="1948"/>
      <c r="BJ19" s="1946"/>
      <c r="BK19" s="1947"/>
      <c r="BL19" s="463"/>
      <c r="BM19" s="1948"/>
      <c r="BN19" s="1946"/>
      <c r="BO19" s="1947"/>
      <c r="BP19" s="463"/>
      <c r="BQ19" s="1948"/>
      <c r="BR19" s="1946"/>
      <c r="BS19" s="1947"/>
      <c r="BT19" s="463"/>
      <c r="BU19" s="1948"/>
      <c r="BV19" s="1946"/>
      <c r="BW19" s="1947"/>
      <c r="BX19" s="463"/>
      <c r="BY19" s="1948"/>
      <c r="BZ19" s="1946"/>
      <c r="CA19" s="1947"/>
      <c r="CB19" s="463"/>
      <c r="CC19" s="1948"/>
      <c r="CD19" s="1946"/>
      <c r="CE19" s="1947"/>
      <c r="CF19" s="463"/>
      <c r="CG19" s="1948"/>
      <c r="CH19" s="1946"/>
      <c r="CI19" s="1947"/>
      <c r="CJ19" s="463"/>
      <c r="CK19" s="1948"/>
      <c r="CL19" s="1946"/>
      <c r="CM19" s="1947"/>
      <c r="CN19" s="463"/>
      <c r="CO19" s="1948"/>
      <c r="CP19" s="1946"/>
      <c r="CQ19" s="1947"/>
      <c r="CR19" s="463"/>
      <c r="CS19" s="1948"/>
      <c r="CT19" s="1946"/>
      <c r="CU19" s="1947"/>
      <c r="CV19" s="463"/>
      <c r="CW19" s="1948"/>
      <c r="CX19" s="1946"/>
      <c r="CY19" s="1947"/>
      <c r="CZ19" s="463"/>
      <c r="DA19" s="1948"/>
      <c r="DB19" s="1946"/>
      <c r="DC19" s="1947"/>
      <c r="DD19" s="463"/>
      <c r="DE19" s="1948"/>
      <c r="DF19" s="1946"/>
      <c r="DG19" s="1947"/>
      <c r="DH19" s="463"/>
      <c r="DI19" s="1948"/>
      <c r="DJ19" s="1946"/>
      <c r="DK19" s="1947"/>
      <c r="DL19" s="463"/>
      <c r="DM19" s="1948"/>
      <c r="DN19" s="1946"/>
      <c r="DO19" s="1947"/>
      <c r="DP19" s="463"/>
      <c r="DQ19" s="1948"/>
      <c r="DR19" s="1946"/>
      <c r="DS19" s="1947"/>
      <c r="DT19" s="463"/>
      <c r="DU19" s="1948"/>
      <c r="DV19" s="1946"/>
      <c r="DW19" s="1947"/>
      <c r="DX19" s="463"/>
      <c r="DY19" s="1948"/>
      <c r="DZ19" s="1946"/>
      <c r="EA19" s="1947"/>
      <c r="EB19" s="463"/>
      <c r="EC19" s="1948"/>
      <c r="ED19" s="1946"/>
      <c r="EE19" s="1947"/>
      <c r="EF19" s="463"/>
      <c r="EG19" s="1948"/>
      <c r="EH19" s="1946"/>
      <c r="EI19" s="1947"/>
      <c r="EJ19" s="463"/>
      <c r="EK19" s="1948"/>
      <c r="EL19" s="1946"/>
      <c r="EM19" s="1947"/>
      <c r="EN19" s="463"/>
      <c r="EO19" s="1948"/>
      <c r="EP19" s="1946"/>
      <c r="EQ19" s="1947"/>
      <c r="ER19" s="463"/>
      <c r="ES19" s="1948"/>
      <c r="ET19" s="1946"/>
      <c r="EU19" s="1947"/>
      <c r="EV19" s="463"/>
      <c r="EW19" s="1948"/>
      <c r="EX19" s="1946"/>
      <c r="EY19" s="1947"/>
      <c r="EZ19" s="463"/>
      <c r="FA19" s="1948"/>
      <c r="FB19" s="1946"/>
      <c r="FC19" s="1947"/>
      <c r="FD19" s="463"/>
      <c r="FE19" s="1948"/>
      <c r="FF19" s="1946"/>
      <c r="FG19" s="1947"/>
      <c r="FH19" s="463"/>
      <c r="FI19" s="1948"/>
      <c r="FJ19" s="1946"/>
      <c r="FK19" s="1947"/>
      <c r="FL19" s="463"/>
      <c r="FM19" s="1948"/>
      <c r="FN19" s="1946"/>
      <c r="FO19" s="1947"/>
      <c r="FP19" s="463"/>
      <c r="FQ19" s="1948"/>
      <c r="FR19" s="1946"/>
      <c r="FS19" s="1947"/>
      <c r="FT19" s="463"/>
      <c r="FU19" s="1948"/>
      <c r="FV19" s="1946"/>
      <c r="FW19" s="1947"/>
      <c r="FX19" s="463"/>
      <c r="FY19" s="1948"/>
      <c r="FZ19" s="1946"/>
      <c r="GA19" s="1947"/>
      <c r="GB19" s="463"/>
      <c r="GC19" s="1948"/>
      <c r="GD19" s="1946"/>
      <c r="GE19" s="1947"/>
      <c r="GF19" s="463"/>
      <c r="GG19" s="1948"/>
      <c r="GH19" s="1946"/>
      <c r="GI19" s="1947"/>
      <c r="GJ19" s="463"/>
      <c r="GK19" s="1948"/>
      <c r="GL19" s="1946"/>
      <c r="GM19" s="1947"/>
      <c r="GN19" s="463"/>
      <c r="GO19" s="1948"/>
      <c r="GP19" s="1946"/>
      <c r="GQ19" s="1947"/>
      <c r="GR19" s="463"/>
      <c r="GS19" s="1948"/>
      <c r="GT19" s="1946"/>
      <c r="GU19" s="1947"/>
      <c r="GV19" s="463"/>
      <c r="GW19" s="1948"/>
      <c r="GX19" s="1946"/>
      <c r="GY19" s="1947"/>
      <c r="GZ19" s="463"/>
      <c r="HA19" s="1948"/>
      <c r="HB19" s="1946"/>
      <c r="HC19" s="1947"/>
      <c r="HD19" s="463"/>
      <c r="HE19" s="1948"/>
      <c r="HF19" s="1946"/>
      <c r="HG19" s="1947"/>
      <c r="HH19" s="463"/>
      <c r="HI19" s="1948"/>
      <c r="HJ19" s="1946"/>
      <c r="HK19" s="1947"/>
      <c r="HL19" s="463"/>
      <c r="HM19" s="1948"/>
      <c r="HN19" s="1946"/>
      <c r="HO19" s="1947"/>
      <c r="HP19" s="463"/>
      <c r="HQ19" s="1948"/>
      <c r="HR19" s="1946"/>
      <c r="HS19" s="1947"/>
      <c r="HT19" s="463"/>
      <c r="HU19" s="1948"/>
      <c r="HV19" s="1946"/>
      <c r="HW19" s="1947"/>
      <c r="HX19" s="463"/>
      <c r="HY19" s="1948"/>
      <c r="HZ19" s="1946"/>
      <c r="IA19" s="1947"/>
      <c r="IB19" s="463"/>
      <c r="IC19" s="1948"/>
      <c r="ID19" s="1946"/>
      <c r="IE19" s="1947"/>
      <c r="IF19" s="463"/>
      <c r="IG19" s="1948"/>
      <c r="IH19" s="1946"/>
      <c r="II19" s="1947"/>
      <c r="IJ19" s="463"/>
      <c r="IK19" s="1948"/>
      <c r="IL19" s="1946"/>
      <c r="IM19" s="1947"/>
      <c r="IN19" s="463"/>
      <c r="IO19" s="1948"/>
      <c r="IP19" s="1946"/>
      <c r="IQ19" s="1947"/>
      <c r="IR19" s="463"/>
      <c r="IS19" s="1948"/>
      <c r="IT19" s="1946"/>
      <c r="IU19" s="1947"/>
      <c r="IV19" s="463"/>
      <c r="IW19" s="1948"/>
      <c r="IX19" s="1946"/>
      <c r="IY19" s="1947"/>
      <c r="IZ19" s="463"/>
      <c r="JA19" s="1948"/>
      <c r="JB19" s="1946"/>
      <c r="JC19" s="1947"/>
      <c r="JD19" s="463"/>
      <c r="JE19" s="1948"/>
      <c r="JF19" s="1946"/>
      <c r="JG19" s="1947"/>
      <c r="JH19" s="463"/>
      <c r="JI19" s="1948"/>
      <c r="JJ19" s="1946"/>
      <c r="JK19" s="1947"/>
      <c r="JL19" s="463"/>
      <c r="JM19" s="1948"/>
      <c r="JN19" s="1946"/>
      <c r="JO19" s="1947"/>
      <c r="JP19" s="463"/>
      <c r="JQ19" s="1948"/>
      <c r="JR19" s="1946"/>
      <c r="JS19" s="1947"/>
      <c r="JT19" s="463"/>
      <c r="JU19" s="1948"/>
      <c r="JV19" s="1946"/>
      <c r="JW19" s="1947"/>
      <c r="JX19" s="463"/>
      <c r="JY19" s="1948"/>
      <c r="JZ19" s="1946"/>
      <c r="KA19" s="1947"/>
      <c r="KB19" s="463"/>
      <c r="KC19" s="1948"/>
      <c r="KD19" s="1946"/>
      <c r="KE19" s="1947"/>
      <c r="KF19" s="463"/>
      <c r="KG19" s="1948"/>
      <c r="KH19" s="1946"/>
      <c r="KI19" s="1947"/>
      <c r="KJ19" s="463"/>
      <c r="KK19" s="1948"/>
      <c r="KL19" s="1946"/>
      <c r="KM19" s="1947"/>
      <c r="KN19" s="463"/>
      <c r="KO19" s="1948"/>
      <c r="KP19" s="1946"/>
      <c r="KQ19" s="1947"/>
      <c r="KR19" s="463"/>
      <c r="KS19" s="1948"/>
      <c r="KT19" s="1946"/>
      <c r="KU19" s="1947"/>
      <c r="KV19" s="463"/>
      <c r="KW19" s="1948"/>
      <c r="KX19" s="1946"/>
      <c r="KY19" s="1947"/>
      <c r="KZ19" s="463"/>
      <c r="LA19" s="1948"/>
      <c r="LC19" s="436">
        <f xml:space="preserve"> IF( SUM( LE19:XC19 ) = 0, 0, $LG$3 )</f>
        <v>0</v>
      </c>
      <c r="LH19" s="86">
        <f t="shared" si="0"/>
        <v>0</v>
      </c>
      <c r="LL19" s="86">
        <f t="shared" si="1"/>
        <v>0</v>
      </c>
      <c r="LP19" s="86">
        <f t="shared" si="2"/>
        <v>0</v>
      </c>
      <c r="LT19" s="86">
        <f t="shared" si="3"/>
        <v>0</v>
      </c>
      <c r="LX19" s="86">
        <f t="shared" si="4"/>
        <v>0</v>
      </c>
      <c r="MB19" s="86">
        <f t="shared" si="5"/>
        <v>0</v>
      </c>
      <c r="MF19" s="86">
        <f t="shared" si="6"/>
        <v>0</v>
      </c>
      <c r="MJ19" s="86">
        <f t="shared" si="7"/>
        <v>0</v>
      </c>
      <c r="MN19" s="86">
        <f t="shared" si="8"/>
        <v>0</v>
      </c>
      <c r="MR19" s="86">
        <f t="shared" si="9"/>
        <v>0</v>
      </c>
      <c r="MV19" s="86">
        <f t="shared" si="10"/>
        <v>0</v>
      </c>
      <c r="MZ19" s="86">
        <f t="shared" si="11"/>
        <v>0</v>
      </c>
      <c r="ND19" s="86">
        <f t="shared" si="12"/>
        <v>0</v>
      </c>
      <c r="NH19" s="86">
        <f t="shared" si="13"/>
        <v>0</v>
      </c>
      <c r="NL19" s="86">
        <f t="shared" si="14"/>
        <v>0</v>
      </c>
      <c r="NP19" s="86">
        <f t="shared" si="15"/>
        <v>0</v>
      </c>
      <c r="NT19" s="86">
        <f t="shared" si="16"/>
        <v>0</v>
      </c>
      <c r="NX19" s="86">
        <f t="shared" si="17"/>
        <v>0</v>
      </c>
      <c r="OB19" s="86">
        <f t="shared" si="18"/>
        <v>0</v>
      </c>
      <c r="OF19" s="86">
        <f t="shared" si="19"/>
        <v>0</v>
      </c>
      <c r="OJ19" s="86">
        <f t="shared" si="20"/>
        <v>0</v>
      </c>
      <c r="ON19" s="86">
        <f t="shared" si="21"/>
        <v>0</v>
      </c>
      <c r="OR19" s="86">
        <f t="shared" si="22"/>
        <v>0</v>
      </c>
      <c r="OV19" s="86">
        <f t="shared" si="23"/>
        <v>0</v>
      </c>
      <c r="OZ19" s="86">
        <f t="shared" si="24"/>
        <v>0</v>
      </c>
      <c r="PD19" s="86">
        <f t="shared" si="25"/>
        <v>0</v>
      </c>
      <c r="PH19" s="86">
        <f t="shared" si="26"/>
        <v>0</v>
      </c>
      <c r="PL19" s="86">
        <f t="shared" si="27"/>
        <v>0</v>
      </c>
      <c r="PP19" s="86">
        <f t="shared" si="28"/>
        <v>0</v>
      </c>
      <c r="PT19" s="86">
        <f t="shared" si="29"/>
        <v>0</v>
      </c>
      <c r="PX19" s="86">
        <f t="shared" si="30"/>
        <v>0</v>
      </c>
      <c r="QB19" s="86">
        <f t="shared" si="31"/>
        <v>0</v>
      </c>
      <c r="QF19" s="86">
        <f t="shared" si="32"/>
        <v>0</v>
      </c>
      <c r="QJ19" s="86">
        <f t="shared" si="33"/>
        <v>0</v>
      </c>
      <c r="QN19" s="86">
        <f t="shared" si="34"/>
        <v>0</v>
      </c>
      <c r="QR19" s="86">
        <f t="shared" si="35"/>
        <v>0</v>
      </c>
      <c r="QV19" s="86">
        <f t="shared" si="36"/>
        <v>0</v>
      </c>
      <c r="QZ19" s="86">
        <f t="shared" si="37"/>
        <v>0</v>
      </c>
      <c r="RD19" s="86">
        <f t="shared" si="38"/>
        <v>0</v>
      </c>
      <c r="RH19" s="86">
        <f t="shared" si="39"/>
        <v>0</v>
      </c>
      <c r="RL19" s="86">
        <f t="shared" si="40"/>
        <v>0</v>
      </c>
      <c r="RP19" s="86">
        <f t="shared" si="41"/>
        <v>0</v>
      </c>
      <c r="RT19" s="86">
        <f t="shared" si="42"/>
        <v>0</v>
      </c>
      <c r="RX19" s="86">
        <f t="shared" si="43"/>
        <v>0</v>
      </c>
      <c r="SB19" s="86">
        <f t="shared" si="44"/>
        <v>0</v>
      </c>
      <c r="SF19" s="86">
        <f t="shared" si="45"/>
        <v>0</v>
      </c>
      <c r="SJ19" s="86">
        <f t="shared" si="46"/>
        <v>0</v>
      </c>
      <c r="SN19" s="86">
        <f t="shared" si="47"/>
        <v>0</v>
      </c>
      <c r="SR19" s="86">
        <f t="shared" si="48"/>
        <v>0</v>
      </c>
      <c r="SV19" s="86">
        <f t="shared" si="49"/>
        <v>0</v>
      </c>
      <c r="SZ19" s="86">
        <f t="shared" si="50"/>
        <v>0</v>
      </c>
      <c r="TD19" s="86">
        <f t="shared" si="51"/>
        <v>0</v>
      </c>
      <c r="TH19" s="86">
        <f t="shared" si="52"/>
        <v>0</v>
      </c>
      <c r="TL19" s="86">
        <f t="shared" si="53"/>
        <v>0</v>
      </c>
      <c r="TP19" s="86">
        <f t="shared" si="54"/>
        <v>0</v>
      </c>
      <c r="TT19" s="86">
        <f t="shared" si="55"/>
        <v>0</v>
      </c>
      <c r="TX19" s="86">
        <f t="shared" si="56"/>
        <v>0</v>
      </c>
      <c r="UB19" s="86">
        <f t="shared" si="57"/>
        <v>0</v>
      </c>
      <c r="UF19" s="86">
        <f t="shared" si="58"/>
        <v>0</v>
      </c>
      <c r="UJ19" s="86">
        <f t="shared" si="59"/>
        <v>0</v>
      </c>
      <c r="UN19" s="86">
        <f t="shared" si="60"/>
        <v>0</v>
      </c>
      <c r="UR19" s="86">
        <f t="shared" si="61"/>
        <v>0</v>
      </c>
      <c r="UV19" s="86">
        <f t="shared" si="62"/>
        <v>0</v>
      </c>
      <c r="UZ19" s="86">
        <f t="shared" si="63"/>
        <v>0</v>
      </c>
      <c r="VD19" s="86">
        <f t="shared" si="64"/>
        <v>0</v>
      </c>
      <c r="VH19" s="86">
        <f t="shared" si="65"/>
        <v>0</v>
      </c>
      <c r="VL19" s="86">
        <f t="shared" si="66"/>
        <v>0</v>
      </c>
      <c r="VP19" s="86">
        <f t="shared" si="67"/>
        <v>0</v>
      </c>
      <c r="VT19" s="86">
        <f t="shared" si="68"/>
        <v>0</v>
      </c>
      <c r="VX19" s="86">
        <f t="shared" si="69"/>
        <v>0</v>
      </c>
      <c r="WB19" s="86">
        <f t="shared" si="70"/>
        <v>0</v>
      </c>
      <c r="WF19" s="86">
        <f t="shared" si="71"/>
        <v>0</v>
      </c>
      <c r="WJ19" s="86">
        <f t="shared" si="72"/>
        <v>0</v>
      </c>
      <c r="WN19" s="86">
        <f t="shared" si="73"/>
        <v>0</v>
      </c>
      <c r="WR19" s="86">
        <f t="shared" si="74"/>
        <v>0</v>
      </c>
      <c r="WV19" s="86">
        <f t="shared" si="75"/>
        <v>0</v>
      </c>
      <c r="WZ19" s="86">
        <f t="shared" si="76"/>
        <v>0</v>
      </c>
    </row>
    <row r="20" spans="2:624" ht="15" thickBot="1"/>
    <row r="21" spans="2:624" ht="18.75" customHeight="1">
      <c r="J21" s="1924" t="s">
        <v>2541</v>
      </c>
      <c r="K21" s="1925"/>
      <c r="L21" s="1925"/>
      <c r="M21" s="1926"/>
      <c r="N21" s="1924" t="s">
        <v>2542</v>
      </c>
      <c r="O21" s="1925"/>
      <c r="P21" s="1925"/>
      <c r="Q21" s="1926"/>
      <c r="R21" s="1924" t="s">
        <v>2542</v>
      </c>
      <c r="S21" s="1925"/>
      <c r="T21" s="1925"/>
      <c r="U21" s="1926"/>
      <c r="V21" s="1924" t="s">
        <v>2542</v>
      </c>
      <c r="W21" s="1925"/>
      <c r="X21" s="1925"/>
      <c r="Y21" s="1926"/>
      <c r="Z21" s="1924" t="s">
        <v>2543</v>
      </c>
      <c r="AA21" s="1925"/>
      <c r="AB21" s="1925"/>
      <c r="AC21" s="1926"/>
      <c r="AD21" s="1924" t="s">
        <v>2543</v>
      </c>
      <c r="AE21" s="1925"/>
      <c r="AF21" s="1925"/>
      <c r="AG21" s="1926"/>
      <c r="AH21" s="1924" t="s">
        <v>2543</v>
      </c>
      <c r="AI21" s="1925"/>
      <c r="AJ21" s="1925"/>
      <c r="AK21" s="1926"/>
      <c r="AL21" s="1924" t="s">
        <v>2544</v>
      </c>
      <c r="AM21" s="1925"/>
      <c r="AN21" s="1925"/>
      <c r="AO21" s="1926"/>
      <c r="AP21" s="1924" t="s">
        <v>2545</v>
      </c>
      <c r="AQ21" s="1925"/>
      <c r="AR21" s="1925"/>
      <c r="AS21" s="1926"/>
      <c r="AT21" s="1924" t="s">
        <v>2546</v>
      </c>
      <c r="AU21" s="1925"/>
      <c r="AV21" s="1925"/>
      <c r="AW21" s="1926"/>
      <c r="AX21" s="1924" t="s">
        <v>2547</v>
      </c>
      <c r="AY21" s="1925"/>
      <c r="AZ21" s="1925"/>
      <c r="BA21" s="1926"/>
      <c r="BB21" s="1924" t="s">
        <v>2548</v>
      </c>
      <c r="BC21" s="1925"/>
      <c r="BD21" s="1925"/>
      <c r="BE21" s="1926"/>
      <c r="BF21" s="1924" t="s">
        <v>2549</v>
      </c>
      <c r="BG21" s="1925"/>
      <c r="BH21" s="1925"/>
      <c r="BI21" s="1926"/>
      <c r="LK21" s="1924" t="s">
        <v>2541</v>
      </c>
      <c r="LL21" s="1925"/>
      <c r="LM21" s="1925"/>
      <c r="LN21" s="1926"/>
      <c r="LO21" s="1924" t="s">
        <v>2542</v>
      </c>
      <c r="LP21" s="1925"/>
      <c r="LQ21" s="1925"/>
      <c r="LR21" s="1926"/>
      <c r="LS21" s="1924" t="s">
        <v>2542</v>
      </c>
      <c r="LT21" s="1925"/>
      <c r="LU21" s="1925"/>
      <c r="LV21" s="1926"/>
      <c r="LW21" s="1924" t="s">
        <v>2542</v>
      </c>
      <c r="LX21" s="1925"/>
      <c r="LY21" s="1925"/>
      <c r="LZ21" s="1926"/>
      <c r="MA21" s="1924" t="s">
        <v>2543</v>
      </c>
      <c r="MB21" s="1925"/>
      <c r="MC21" s="1925"/>
      <c r="MD21" s="1926"/>
      <c r="ME21" s="1924" t="s">
        <v>2543</v>
      </c>
      <c r="MF21" s="1925"/>
      <c r="MG21" s="1925"/>
      <c r="MH21" s="1926"/>
      <c r="MI21" s="1924" t="s">
        <v>2543</v>
      </c>
      <c r="MJ21" s="1925"/>
      <c r="MK21" s="1925"/>
      <c r="ML21" s="1926"/>
      <c r="MM21" s="1924" t="s">
        <v>2544</v>
      </c>
      <c r="MN21" s="1925"/>
      <c r="MO21" s="1925"/>
      <c r="MP21" s="1926"/>
      <c r="MQ21" s="1924" t="s">
        <v>2545</v>
      </c>
      <c r="MR21" s="1925"/>
      <c r="MS21" s="1925"/>
      <c r="MT21" s="1926"/>
      <c r="MU21" s="1924" t="s">
        <v>2546</v>
      </c>
      <c r="MV21" s="1925"/>
      <c r="MW21" s="1925"/>
      <c r="MX21" s="1926"/>
      <c r="MY21" s="1924" t="s">
        <v>2547</v>
      </c>
      <c r="MZ21" s="1925"/>
      <c r="NA21" s="1925"/>
      <c r="NB21" s="1926"/>
      <c r="NC21" s="1924" t="s">
        <v>2548</v>
      </c>
      <c r="ND21" s="1925"/>
      <c r="NE21" s="1925"/>
      <c r="NF21" s="1926"/>
      <c r="NG21" s="1924" t="s">
        <v>2549</v>
      </c>
      <c r="NH21" s="1925"/>
      <c r="NI21" s="1925"/>
      <c r="NJ21" s="1926"/>
    </row>
    <row r="22" spans="2:624" ht="18.75" customHeight="1" thickBot="1">
      <c r="B22" s="708"/>
      <c r="C22" s="709"/>
      <c r="D22" s="696"/>
      <c r="E22" s="696"/>
      <c r="F22" s="696"/>
      <c r="G22" s="715"/>
      <c r="H22" s="715"/>
      <c r="I22" s="715"/>
      <c r="J22" s="1949" t="s">
        <v>2382</v>
      </c>
      <c r="K22" s="1950"/>
      <c r="L22" s="1950"/>
      <c r="M22" s="1951"/>
      <c r="N22" s="1949" t="s">
        <v>2550</v>
      </c>
      <c r="O22" s="1950"/>
      <c r="P22" s="1950"/>
      <c r="Q22" s="1951"/>
      <c r="R22" s="1949" t="s">
        <v>2551</v>
      </c>
      <c r="S22" s="1950"/>
      <c r="T22" s="1950"/>
      <c r="U22" s="1951"/>
      <c r="V22" s="1949" t="s">
        <v>2552</v>
      </c>
      <c r="W22" s="1950"/>
      <c r="X22" s="1950"/>
      <c r="Y22" s="1951"/>
      <c r="Z22" s="1949" t="s">
        <v>2553</v>
      </c>
      <c r="AA22" s="1950"/>
      <c r="AB22" s="1950"/>
      <c r="AC22" s="1951"/>
      <c r="AD22" s="1949" t="s">
        <v>2554</v>
      </c>
      <c r="AE22" s="1950"/>
      <c r="AF22" s="1950"/>
      <c r="AG22" s="1951"/>
      <c r="AH22" s="1949" t="s">
        <v>2555</v>
      </c>
      <c r="AI22" s="1950"/>
      <c r="AJ22" s="1950"/>
      <c r="AK22" s="1951"/>
      <c r="AL22" s="1949" t="s">
        <v>2389</v>
      </c>
      <c r="AM22" s="1950"/>
      <c r="AN22" s="1950"/>
      <c r="AO22" s="1951"/>
      <c r="AP22" s="1949" t="s">
        <v>2400</v>
      </c>
      <c r="AQ22" s="1950"/>
      <c r="AR22" s="1950"/>
      <c r="AS22" s="1951"/>
      <c r="AT22" s="1949" t="s">
        <v>2407</v>
      </c>
      <c r="AU22" s="1950"/>
      <c r="AV22" s="1950"/>
      <c r="AW22" s="1951"/>
      <c r="AX22" s="1949" t="s">
        <v>2415</v>
      </c>
      <c r="AY22" s="1950"/>
      <c r="AZ22" s="1950"/>
      <c r="BA22" s="1951"/>
      <c r="BB22" s="1949" t="s">
        <v>2418</v>
      </c>
      <c r="BC22" s="1950"/>
      <c r="BD22" s="1950"/>
      <c r="BE22" s="1951"/>
      <c r="BF22" s="1949" t="s">
        <v>2420</v>
      </c>
      <c r="BG22" s="1950"/>
      <c r="BH22" s="1950"/>
      <c r="BI22" s="1951"/>
      <c r="LG22" s="696"/>
      <c r="LH22" s="715"/>
      <c r="LI22" s="715"/>
      <c r="LJ22" s="715"/>
      <c r="LK22" s="1949" t="s">
        <v>2382</v>
      </c>
      <c r="LL22" s="1950"/>
      <c r="LM22" s="1950"/>
      <c r="LN22" s="1951"/>
      <c r="LO22" s="1949" t="s">
        <v>2550</v>
      </c>
      <c r="LP22" s="1950"/>
      <c r="LQ22" s="1950"/>
      <c r="LR22" s="1951"/>
      <c r="LS22" s="1949" t="s">
        <v>2551</v>
      </c>
      <c r="LT22" s="1950"/>
      <c r="LU22" s="1950"/>
      <c r="LV22" s="1951"/>
      <c r="LW22" s="1949" t="s">
        <v>2552</v>
      </c>
      <c r="LX22" s="1950"/>
      <c r="LY22" s="1950"/>
      <c r="LZ22" s="1951"/>
      <c r="MA22" s="1949" t="s">
        <v>2553</v>
      </c>
      <c r="MB22" s="1950"/>
      <c r="MC22" s="1950"/>
      <c r="MD22" s="1951"/>
      <c r="ME22" s="1949" t="s">
        <v>2554</v>
      </c>
      <c r="MF22" s="1950"/>
      <c r="MG22" s="1950"/>
      <c r="MH22" s="1951"/>
      <c r="MI22" s="1949" t="s">
        <v>2555</v>
      </c>
      <c r="MJ22" s="1950"/>
      <c r="MK22" s="1950"/>
      <c r="ML22" s="1951"/>
      <c r="MM22" s="1949" t="s">
        <v>2389</v>
      </c>
      <c r="MN22" s="1950"/>
      <c r="MO22" s="1950"/>
      <c r="MP22" s="1951"/>
      <c r="MQ22" s="1949" t="s">
        <v>2400</v>
      </c>
      <c r="MR22" s="1950"/>
      <c r="MS22" s="1950"/>
      <c r="MT22" s="1951"/>
      <c r="MU22" s="1949" t="s">
        <v>2407</v>
      </c>
      <c r="MV22" s="1950"/>
      <c r="MW22" s="1950"/>
      <c r="MX22" s="1951"/>
      <c r="MY22" s="1949" t="s">
        <v>2415</v>
      </c>
      <c r="MZ22" s="1950"/>
      <c r="NA22" s="1950"/>
      <c r="NB22" s="1951"/>
      <c r="NC22" s="1949" t="s">
        <v>2418</v>
      </c>
      <c r="ND22" s="1950"/>
      <c r="NE22" s="1950"/>
      <c r="NF22" s="1951"/>
      <c r="NG22" s="1949" t="s">
        <v>2420</v>
      </c>
      <c r="NH22" s="1950"/>
      <c r="NI22" s="1950"/>
      <c r="NJ22" s="1951"/>
    </row>
    <row r="23" spans="2:624" ht="15" customHeight="1">
      <c r="B23" s="710" t="s">
        <v>236</v>
      </c>
      <c r="C23" s="711" t="s">
        <v>2556</v>
      </c>
      <c r="D23" s="697" t="str">
        <f t="shared" ref="D23:I23" si="77">D15</f>
        <v>Units</v>
      </c>
      <c r="E23" s="697" t="str">
        <f t="shared" si="77"/>
        <v>DPs</v>
      </c>
      <c r="F23" s="697" t="str">
        <f t="shared" si="77"/>
        <v>2016-17</v>
      </c>
      <c r="G23" s="697" t="str">
        <f t="shared" si="77"/>
        <v>2017-18</v>
      </c>
      <c r="H23" s="697" t="str">
        <f t="shared" si="77"/>
        <v>2018-19</v>
      </c>
      <c r="I23" s="698" t="str">
        <f t="shared" si="77"/>
        <v>2019-20</v>
      </c>
      <c r="J23" s="1811" t="str">
        <f>$J$15</f>
        <v>2016-17</v>
      </c>
      <c r="K23" s="697" t="str">
        <f>$K$15</f>
        <v>2017-18</v>
      </c>
      <c r="L23" s="697" t="str">
        <f>$L$15</f>
        <v>2018-19</v>
      </c>
      <c r="M23" s="699" t="str">
        <f>$M$15</f>
        <v>2019-20</v>
      </c>
      <c r="N23" s="1811" t="str">
        <f>$J$15</f>
        <v>2016-17</v>
      </c>
      <c r="O23" s="697" t="str">
        <f>$K$15</f>
        <v>2017-18</v>
      </c>
      <c r="P23" s="697" t="str">
        <f>$L$15</f>
        <v>2018-19</v>
      </c>
      <c r="Q23" s="699" t="str">
        <f>$M$15</f>
        <v>2019-20</v>
      </c>
      <c r="R23" s="1811" t="str">
        <f>$J$15</f>
        <v>2016-17</v>
      </c>
      <c r="S23" s="697" t="str">
        <f>$K$15</f>
        <v>2017-18</v>
      </c>
      <c r="T23" s="697" t="str">
        <f>$L$15</f>
        <v>2018-19</v>
      </c>
      <c r="U23" s="699" t="str">
        <f>$M$15</f>
        <v>2019-20</v>
      </c>
      <c r="V23" s="1811" t="str">
        <f>$J$15</f>
        <v>2016-17</v>
      </c>
      <c r="W23" s="697" t="str">
        <f>$K$15</f>
        <v>2017-18</v>
      </c>
      <c r="X23" s="697" t="str">
        <f>$L$15</f>
        <v>2018-19</v>
      </c>
      <c r="Y23" s="699" t="str">
        <f>$M$15</f>
        <v>2019-20</v>
      </c>
      <c r="Z23" s="1811" t="str">
        <f>$J$15</f>
        <v>2016-17</v>
      </c>
      <c r="AA23" s="697" t="str">
        <f>$K$15</f>
        <v>2017-18</v>
      </c>
      <c r="AB23" s="697" t="str">
        <f>$L$15</f>
        <v>2018-19</v>
      </c>
      <c r="AC23" s="699" t="str">
        <f>$M$15</f>
        <v>2019-20</v>
      </c>
      <c r="AD23" s="1811" t="str">
        <f>$J$15</f>
        <v>2016-17</v>
      </c>
      <c r="AE23" s="697" t="str">
        <f>$K$15</f>
        <v>2017-18</v>
      </c>
      <c r="AF23" s="697" t="str">
        <f>$L$15</f>
        <v>2018-19</v>
      </c>
      <c r="AG23" s="699" t="str">
        <f>$M$15</f>
        <v>2019-20</v>
      </c>
      <c r="AH23" s="1811" t="str">
        <f>$J$15</f>
        <v>2016-17</v>
      </c>
      <c r="AI23" s="697" t="str">
        <f>$K$15</f>
        <v>2017-18</v>
      </c>
      <c r="AJ23" s="697" t="str">
        <f>$L$15</f>
        <v>2018-19</v>
      </c>
      <c r="AK23" s="699" t="str">
        <f>$M$15</f>
        <v>2019-20</v>
      </c>
      <c r="AL23" s="1811" t="str">
        <f>$J$15</f>
        <v>2016-17</v>
      </c>
      <c r="AM23" s="697" t="str">
        <f>$K$15</f>
        <v>2017-18</v>
      </c>
      <c r="AN23" s="697" t="str">
        <f>$L$15</f>
        <v>2018-19</v>
      </c>
      <c r="AO23" s="699" t="str">
        <f>$M$15</f>
        <v>2019-20</v>
      </c>
      <c r="AP23" s="1811" t="str">
        <f>$J$15</f>
        <v>2016-17</v>
      </c>
      <c r="AQ23" s="697" t="str">
        <f>$K$15</f>
        <v>2017-18</v>
      </c>
      <c r="AR23" s="697" t="str">
        <f>$L$15</f>
        <v>2018-19</v>
      </c>
      <c r="AS23" s="699" t="str">
        <f>$M$15</f>
        <v>2019-20</v>
      </c>
      <c r="AT23" s="1811" t="str">
        <f>$J$15</f>
        <v>2016-17</v>
      </c>
      <c r="AU23" s="697" t="str">
        <f>$K$15</f>
        <v>2017-18</v>
      </c>
      <c r="AV23" s="697" t="str">
        <f>$L$15</f>
        <v>2018-19</v>
      </c>
      <c r="AW23" s="699" t="str">
        <f>$M$15</f>
        <v>2019-20</v>
      </c>
      <c r="AX23" s="1811" t="str">
        <f>$J$15</f>
        <v>2016-17</v>
      </c>
      <c r="AY23" s="697" t="str">
        <f>$K$15</f>
        <v>2017-18</v>
      </c>
      <c r="AZ23" s="697" t="str">
        <f>$L$15</f>
        <v>2018-19</v>
      </c>
      <c r="BA23" s="699" t="str">
        <f>$M$15</f>
        <v>2019-20</v>
      </c>
      <c r="BB23" s="1811" t="str">
        <f>$J$15</f>
        <v>2016-17</v>
      </c>
      <c r="BC23" s="697" t="str">
        <f>$K$15</f>
        <v>2017-18</v>
      </c>
      <c r="BD23" s="697" t="str">
        <f>$L$15</f>
        <v>2018-19</v>
      </c>
      <c r="BE23" s="699" t="str">
        <f>$M$15</f>
        <v>2019-20</v>
      </c>
      <c r="BF23" s="1811" t="str">
        <f>$J$15</f>
        <v>2016-17</v>
      </c>
      <c r="BG23" s="697" t="str">
        <f>$K$15</f>
        <v>2017-18</v>
      </c>
      <c r="BH23" s="697" t="str">
        <f>$L$15</f>
        <v>2018-19</v>
      </c>
      <c r="BI23" s="699" t="str">
        <f>$M$15</f>
        <v>2019-20</v>
      </c>
      <c r="LF23" s="711" t="s">
        <v>2556</v>
      </c>
      <c r="LG23" s="697" t="str">
        <f t="shared" ref="LG23:LJ23" si="78">LG15</f>
        <v>2016-17</v>
      </c>
      <c r="LH23" s="697" t="str">
        <f t="shared" si="78"/>
        <v>2017-18</v>
      </c>
      <c r="LI23" s="697" t="str">
        <f t="shared" si="78"/>
        <v>2018-19</v>
      </c>
      <c r="LJ23" s="698" t="str">
        <f t="shared" si="78"/>
        <v>2019-20</v>
      </c>
      <c r="LK23" s="1811" t="str">
        <f>$J$15</f>
        <v>2016-17</v>
      </c>
      <c r="LL23" s="697" t="str">
        <f>$K$15</f>
        <v>2017-18</v>
      </c>
      <c r="LM23" s="697" t="str">
        <f>$L$15</f>
        <v>2018-19</v>
      </c>
      <c r="LN23" s="699" t="str">
        <f>$M$15</f>
        <v>2019-20</v>
      </c>
      <c r="LO23" s="1811" t="str">
        <f>$J$15</f>
        <v>2016-17</v>
      </c>
      <c r="LP23" s="697" t="str">
        <f>$K$15</f>
        <v>2017-18</v>
      </c>
      <c r="LQ23" s="697" t="str">
        <f>$L$15</f>
        <v>2018-19</v>
      </c>
      <c r="LR23" s="699" t="str">
        <f>$M$15</f>
        <v>2019-20</v>
      </c>
      <c r="LS23" s="1811" t="str">
        <f>$J$15</f>
        <v>2016-17</v>
      </c>
      <c r="LT23" s="697" t="str">
        <f>$K$15</f>
        <v>2017-18</v>
      </c>
      <c r="LU23" s="697" t="str">
        <f>$L$15</f>
        <v>2018-19</v>
      </c>
      <c r="LV23" s="699" t="str">
        <f>$M$15</f>
        <v>2019-20</v>
      </c>
      <c r="LW23" s="1811" t="str">
        <f>$J$15</f>
        <v>2016-17</v>
      </c>
      <c r="LX23" s="697" t="str">
        <f>$K$15</f>
        <v>2017-18</v>
      </c>
      <c r="LY23" s="697" t="str">
        <f>$L$15</f>
        <v>2018-19</v>
      </c>
      <c r="LZ23" s="699" t="str">
        <f>$M$15</f>
        <v>2019-20</v>
      </c>
      <c r="MA23" s="1811" t="str">
        <f>$J$15</f>
        <v>2016-17</v>
      </c>
      <c r="MB23" s="697" t="str">
        <f>$K$15</f>
        <v>2017-18</v>
      </c>
      <c r="MC23" s="697" t="str">
        <f>$L$15</f>
        <v>2018-19</v>
      </c>
      <c r="MD23" s="699" t="str">
        <f>$M$15</f>
        <v>2019-20</v>
      </c>
      <c r="ME23" s="1811" t="str">
        <f>$J$15</f>
        <v>2016-17</v>
      </c>
      <c r="MF23" s="697" t="str">
        <f>$K$15</f>
        <v>2017-18</v>
      </c>
      <c r="MG23" s="697" t="str">
        <f>$L$15</f>
        <v>2018-19</v>
      </c>
      <c r="MH23" s="699" t="str">
        <f>$M$15</f>
        <v>2019-20</v>
      </c>
      <c r="MI23" s="1811" t="str">
        <f>$J$15</f>
        <v>2016-17</v>
      </c>
      <c r="MJ23" s="697" t="str">
        <f>$K$15</f>
        <v>2017-18</v>
      </c>
      <c r="MK23" s="697" t="str">
        <f>$L$15</f>
        <v>2018-19</v>
      </c>
      <c r="ML23" s="699" t="str">
        <f>$M$15</f>
        <v>2019-20</v>
      </c>
      <c r="MM23" s="1811" t="str">
        <f>$J$15</f>
        <v>2016-17</v>
      </c>
      <c r="MN23" s="697" t="str">
        <f>$K$15</f>
        <v>2017-18</v>
      </c>
      <c r="MO23" s="697" t="str">
        <f>$L$15</f>
        <v>2018-19</v>
      </c>
      <c r="MP23" s="699" t="str">
        <f>$M$15</f>
        <v>2019-20</v>
      </c>
      <c r="MQ23" s="1811" t="str">
        <f>$J$15</f>
        <v>2016-17</v>
      </c>
      <c r="MR23" s="697" t="str">
        <f>$K$15</f>
        <v>2017-18</v>
      </c>
      <c r="MS23" s="697" t="str">
        <f>$L$15</f>
        <v>2018-19</v>
      </c>
      <c r="MT23" s="699" t="str">
        <f>$M$15</f>
        <v>2019-20</v>
      </c>
      <c r="MU23" s="1811" t="str">
        <f>$J$15</f>
        <v>2016-17</v>
      </c>
      <c r="MV23" s="697" t="str">
        <f>$K$15</f>
        <v>2017-18</v>
      </c>
      <c r="MW23" s="697" t="str">
        <f>$L$15</f>
        <v>2018-19</v>
      </c>
      <c r="MX23" s="699" t="str">
        <f>$M$15</f>
        <v>2019-20</v>
      </c>
      <c r="MY23" s="1811" t="str">
        <f>$J$15</f>
        <v>2016-17</v>
      </c>
      <c r="MZ23" s="697" t="str">
        <f>$K$15</f>
        <v>2017-18</v>
      </c>
      <c r="NA23" s="697" t="str">
        <f>$L$15</f>
        <v>2018-19</v>
      </c>
      <c r="NB23" s="699" t="str">
        <f>$M$15</f>
        <v>2019-20</v>
      </c>
      <c r="NC23" s="1811" t="str">
        <f>$J$15</f>
        <v>2016-17</v>
      </c>
      <c r="ND23" s="697" t="str">
        <f>$K$15</f>
        <v>2017-18</v>
      </c>
      <c r="NE23" s="697" t="str">
        <f>$L$15</f>
        <v>2018-19</v>
      </c>
      <c r="NF23" s="699" t="str">
        <f>$M$15</f>
        <v>2019-20</v>
      </c>
      <c r="NG23" s="1811" t="str">
        <f>$J$15</f>
        <v>2016-17</v>
      </c>
      <c r="NH23" s="697" t="str">
        <f>$K$15</f>
        <v>2017-18</v>
      </c>
      <c r="NI23" s="697" t="str">
        <f>$L$15</f>
        <v>2018-19</v>
      </c>
      <c r="NJ23" s="699" t="str">
        <f>$M$15</f>
        <v>2019-20</v>
      </c>
    </row>
    <row r="24" spans="2:624" ht="30" customHeight="1" thickBot="1">
      <c r="B24" s="712">
        <v>5</v>
      </c>
      <c r="C24" s="713" t="s">
        <v>2557</v>
      </c>
      <c r="D24" s="700" t="s">
        <v>2558</v>
      </c>
      <c r="E24" s="714" t="s">
        <v>1981</v>
      </c>
      <c r="F24" s="1952"/>
      <c r="G24" s="1953">
        <v>1.6932870370370369E-2</v>
      </c>
      <c r="H24" s="1954"/>
      <c r="I24" s="1955"/>
      <c r="J24" s="1946"/>
      <c r="K24" s="1947" t="s">
        <v>2540</v>
      </c>
      <c r="L24" s="463"/>
      <c r="M24" s="1948"/>
      <c r="N24" s="1946"/>
      <c r="O24" s="1947" t="s">
        <v>2539</v>
      </c>
      <c r="P24" s="463"/>
      <c r="Q24" s="1948"/>
      <c r="R24" s="1946"/>
      <c r="S24" s="1947" t="s">
        <v>2539</v>
      </c>
      <c r="T24" s="463"/>
      <c r="U24" s="1948"/>
      <c r="V24" s="1946"/>
      <c r="W24" s="1947" t="s">
        <v>2540</v>
      </c>
      <c r="X24" s="463"/>
      <c r="Y24" s="1948"/>
      <c r="Z24" s="1946"/>
      <c r="AA24" s="1947" t="s">
        <v>2539</v>
      </c>
      <c r="AB24" s="463"/>
      <c r="AC24" s="1948"/>
      <c r="AD24" s="1946"/>
      <c r="AE24" s="1947" t="s">
        <v>2539</v>
      </c>
      <c r="AF24" s="463"/>
      <c r="AG24" s="1948"/>
      <c r="AH24" s="1946"/>
      <c r="AI24" s="1947" t="s">
        <v>2540</v>
      </c>
      <c r="AJ24" s="463"/>
      <c r="AK24" s="1948"/>
      <c r="AL24" s="1946"/>
      <c r="AM24" s="1947" t="s">
        <v>2539</v>
      </c>
      <c r="AN24" s="463"/>
      <c r="AO24" s="1948"/>
      <c r="AP24" s="1946"/>
      <c r="AQ24" s="1947" t="s">
        <v>2539</v>
      </c>
      <c r="AR24" s="463"/>
      <c r="AS24" s="1948"/>
      <c r="AT24" s="1946"/>
      <c r="AU24" s="1947" t="s">
        <v>2539</v>
      </c>
      <c r="AV24" s="463"/>
      <c r="AW24" s="1948"/>
      <c r="AX24" s="1946"/>
      <c r="AY24" s="1947" t="s">
        <v>2539</v>
      </c>
      <c r="AZ24" s="463"/>
      <c r="BA24" s="1948"/>
      <c r="BB24" s="1946"/>
      <c r="BC24" s="1947" t="s">
        <v>2539</v>
      </c>
      <c r="BD24" s="463"/>
      <c r="BE24" s="1948"/>
      <c r="BF24" s="1946"/>
      <c r="BG24" s="1947" t="s">
        <v>2539</v>
      </c>
      <c r="BH24" s="463"/>
      <c r="BI24" s="1948"/>
      <c r="LC24" s="436">
        <f xml:space="preserve"> IF( SUM( LE24:XC24 ) = 0, 0, $LG$3 )</f>
        <v>0</v>
      </c>
      <c r="LH24" s="86">
        <f>IF(ISNUMBER(G24),0,1)</f>
        <v>0</v>
      </c>
      <c r="LL24" s="86">
        <f>IF(ISBLANK(K24),1,0)</f>
        <v>0</v>
      </c>
      <c r="LP24" s="86">
        <f>IF(ISBLANK(O24),1,0)</f>
        <v>0</v>
      </c>
      <c r="LT24" s="86">
        <f>IF(ISBLANK(S24),1,0)</f>
        <v>0</v>
      </c>
      <c r="LX24" s="86">
        <f>IF(ISBLANK(W24),1,0)</f>
        <v>0</v>
      </c>
      <c r="MB24" s="86">
        <f>IF(ISBLANK(AA24),1,0)</f>
        <v>0</v>
      </c>
      <c r="MF24" s="86">
        <f>IF(ISBLANK(AE24),1,0)</f>
        <v>0</v>
      </c>
      <c r="MJ24" s="86">
        <f>IF(ISBLANK(AI24),1,0)</f>
        <v>0</v>
      </c>
      <c r="MN24" s="86">
        <f>IF(ISBLANK(AM24),1,0)</f>
        <v>0</v>
      </c>
      <c r="MR24" s="86">
        <f>IF(ISBLANK(AQ24),1,0)</f>
        <v>0</v>
      </c>
      <c r="MV24" s="86">
        <f>IF(ISBLANK(AU24),1,0)</f>
        <v>0</v>
      </c>
      <c r="MZ24" s="86">
        <f>IF(ISBLANK(AY24),1,0)</f>
        <v>0</v>
      </c>
      <c r="ND24" s="86">
        <f>IF(ISBLANK(BC24),1,0)</f>
        <v>0</v>
      </c>
      <c r="NH24" s="86">
        <f>IF(ISBLANK(BG24),1,0)</f>
        <v>0</v>
      </c>
    </row>
    <row r="25" spans="2:624" ht="15.75" customHeight="1" thickBot="1"/>
    <row r="26" spans="2:624" ht="18.75" customHeight="1">
      <c r="J26" s="1924" t="s">
        <v>2559</v>
      </c>
      <c r="K26" s="1925"/>
      <c r="L26" s="1925"/>
      <c r="M26" s="1926"/>
      <c r="N26" s="1924" t="s">
        <v>2560</v>
      </c>
      <c r="O26" s="1925"/>
      <c r="P26" s="1925"/>
      <c r="Q26" s="1926"/>
      <c r="R26" s="1924" t="s">
        <v>2561</v>
      </c>
      <c r="S26" s="1925"/>
      <c r="T26" s="1925"/>
      <c r="U26" s="1926"/>
      <c r="V26" s="1924" t="s">
        <v>2562</v>
      </c>
      <c r="W26" s="1925"/>
      <c r="X26" s="1925"/>
      <c r="Y26" s="1926"/>
      <c r="LK26" s="1924" t="s">
        <v>2559</v>
      </c>
      <c r="LL26" s="1925"/>
      <c r="LM26" s="1925"/>
      <c r="LN26" s="1926"/>
      <c r="LO26" s="1924" t="s">
        <v>2560</v>
      </c>
      <c r="LP26" s="1925"/>
      <c r="LQ26" s="1925"/>
      <c r="LR26" s="1926"/>
      <c r="LS26" s="1924" t="s">
        <v>2561</v>
      </c>
      <c r="LT26" s="1925"/>
      <c r="LU26" s="1925"/>
      <c r="LV26" s="1926"/>
      <c r="LW26" s="1924" t="s">
        <v>2562</v>
      </c>
      <c r="LX26" s="1925"/>
      <c r="LY26" s="1925"/>
      <c r="LZ26" s="1926"/>
    </row>
    <row r="27" spans="2:624" ht="18.75" customHeight="1" thickBot="1">
      <c r="B27" s="708"/>
      <c r="C27" s="709"/>
      <c r="D27" s="696"/>
      <c r="E27" s="696"/>
      <c r="F27" s="696"/>
      <c r="G27" s="715"/>
      <c r="H27" s="715"/>
      <c r="I27" s="715"/>
      <c r="J27" s="1949" t="s">
        <v>2382</v>
      </c>
      <c r="K27" s="1950"/>
      <c r="L27" s="1950"/>
      <c r="M27" s="1951"/>
      <c r="N27" s="1949" t="s">
        <v>2383</v>
      </c>
      <c r="O27" s="1950"/>
      <c r="P27" s="1950"/>
      <c r="Q27" s="1951"/>
      <c r="R27" s="1949" t="s">
        <v>2384</v>
      </c>
      <c r="S27" s="1950"/>
      <c r="T27" s="1950"/>
      <c r="U27" s="1951"/>
      <c r="V27" s="1949" t="s">
        <v>2389</v>
      </c>
      <c r="W27" s="1950"/>
      <c r="X27" s="1950"/>
      <c r="Y27" s="1951"/>
      <c r="LG27" s="696"/>
      <c r="LH27" s="715"/>
      <c r="LI27" s="715"/>
      <c r="LJ27" s="715"/>
      <c r="LK27" s="1949" t="s">
        <v>2382</v>
      </c>
      <c r="LL27" s="1950"/>
      <c r="LM27" s="1950"/>
      <c r="LN27" s="1951"/>
      <c r="LO27" s="1949" t="s">
        <v>2383</v>
      </c>
      <c r="LP27" s="1950"/>
      <c r="LQ27" s="1950"/>
      <c r="LR27" s="1951"/>
      <c r="LS27" s="1949" t="s">
        <v>2384</v>
      </c>
      <c r="LT27" s="1950"/>
      <c r="LU27" s="1950"/>
      <c r="LV27" s="1951"/>
      <c r="LW27" s="1949" t="s">
        <v>2389</v>
      </c>
      <c r="LX27" s="1950"/>
      <c r="LY27" s="1950"/>
      <c r="LZ27" s="1951"/>
    </row>
    <row r="28" spans="2:624" ht="15" customHeight="1">
      <c r="B28" s="710" t="s">
        <v>362</v>
      </c>
      <c r="C28" s="711" t="s">
        <v>2563</v>
      </c>
      <c r="D28" s="697" t="s">
        <v>98</v>
      </c>
      <c r="E28" s="697" t="s">
        <v>99</v>
      </c>
      <c r="F28" s="697" t="str">
        <f>F15</f>
        <v>2016-17</v>
      </c>
      <c r="G28" s="697" t="str">
        <f t="shared" ref="G28:Y28" si="79">G15</f>
        <v>2017-18</v>
      </c>
      <c r="H28" s="697" t="str">
        <f t="shared" si="79"/>
        <v>2018-19</v>
      </c>
      <c r="I28" s="698" t="str">
        <f t="shared" si="79"/>
        <v>2019-20</v>
      </c>
      <c r="J28" s="1811" t="str">
        <f>$J$15</f>
        <v>2016-17</v>
      </c>
      <c r="K28" s="697" t="str">
        <f>$K$15</f>
        <v>2017-18</v>
      </c>
      <c r="L28" s="697" t="str">
        <f>$L$15</f>
        <v>2018-19</v>
      </c>
      <c r="M28" s="699" t="str">
        <f>$M$15</f>
        <v>2019-20</v>
      </c>
      <c r="N28" s="1811" t="str">
        <f t="shared" si="79"/>
        <v>2016-17</v>
      </c>
      <c r="O28" s="697" t="str">
        <f t="shared" si="79"/>
        <v>2017-18</v>
      </c>
      <c r="P28" s="697" t="str">
        <f t="shared" si="79"/>
        <v>2018-19</v>
      </c>
      <c r="Q28" s="699" t="str">
        <f t="shared" si="79"/>
        <v>2019-20</v>
      </c>
      <c r="R28" s="1811" t="str">
        <f t="shared" si="79"/>
        <v>2016-17</v>
      </c>
      <c r="S28" s="697" t="str">
        <f t="shared" si="79"/>
        <v>2017-18</v>
      </c>
      <c r="T28" s="697" t="str">
        <f t="shared" si="79"/>
        <v>2018-19</v>
      </c>
      <c r="U28" s="699" t="str">
        <f t="shared" si="79"/>
        <v>2019-20</v>
      </c>
      <c r="V28" s="1811" t="str">
        <f t="shared" si="79"/>
        <v>2016-17</v>
      </c>
      <c r="W28" s="697" t="str">
        <f t="shared" si="79"/>
        <v>2017-18</v>
      </c>
      <c r="X28" s="697" t="str">
        <f t="shared" si="79"/>
        <v>2018-19</v>
      </c>
      <c r="Y28" s="699" t="str">
        <f t="shared" si="79"/>
        <v>2019-20</v>
      </c>
      <c r="LF28" s="711" t="s">
        <v>2563</v>
      </c>
      <c r="LG28" s="697" t="str">
        <f>LG15</f>
        <v>2016-17</v>
      </c>
      <c r="LH28" s="697" t="str">
        <f t="shared" ref="LH28:LJ28" si="80">LH15</f>
        <v>2017-18</v>
      </c>
      <c r="LI28" s="697" t="str">
        <f t="shared" si="80"/>
        <v>2018-19</v>
      </c>
      <c r="LJ28" s="698" t="str">
        <f t="shared" si="80"/>
        <v>2019-20</v>
      </c>
      <c r="LK28" s="1811" t="str">
        <f>$J$15</f>
        <v>2016-17</v>
      </c>
      <c r="LL28" s="697" t="str">
        <f>$K$15</f>
        <v>2017-18</v>
      </c>
      <c r="LM28" s="697" t="str">
        <f>$L$15</f>
        <v>2018-19</v>
      </c>
      <c r="LN28" s="699" t="str">
        <f>$M$15</f>
        <v>2019-20</v>
      </c>
      <c r="LO28" s="1811" t="str">
        <f t="shared" ref="LO28:LZ28" si="81">LO15</f>
        <v>2016-17</v>
      </c>
      <c r="LP28" s="697" t="str">
        <f t="shared" si="81"/>
        <v>2017-18</v>
      </c>
      <c r="LQ28" s="697" t="str">
        <f t="shared" si="81"/>
        <v>2018-19</v>
      </c>
      <c r="LR28" s="699" t="str">
        <f t="shared" si="81"/>
        <v>2019-20</v>
      </c>
      <c r="LS28" s="1811" t="str">
        <f t="shared" si="81"/>
        <v>2016-17</v>
      </c>
      <c r="LT28" s="697" t="str">
        <f t="shared" si="81"/>
        <v>2017-18</v>
      </c>
      <c r="LU28" s="697" t="str">
        <f t="shared" si="81"/>
        <v>2018-19</v>
      </c>
      <c r="LV28" s="699" t="str">
        <f t="shared" si="81"/>
        <v>2019-20</v>
      </c>
      <c r="LW28" s="1811" t="str">
        <f t="shared" si="81"/>
        <v>2016-17</v>
      </c>
      <c r="LX28" s="697" t="str">
        <f t="shared" si="81"/>
        <v>2017-18</v>
      </c>
      <c r="LY28" s="697" t="str">
        <f t="shared" si="81"/>
        <v>2018-19</v>
      </c>
      <c r="LZ28" s="699" t="str">
        <f t="shared" si="81"/>
        <v>2019-20</v>
      </c>
    </row>
    <row r="29" spans="2:624" ht="15" thickBot="1">
      <c r="B29" s="712">
        <v>6</v>
      </c>
      <c r="C29" s="713" t="s">
        <v>2564</v>
      </c>
      <c r="D29" s="700" t="s">
        <v>11</v>
      </c>
      <c r="E29" s="714" t="s">
        <v>2565</v>
      </c>
      <c r="F29" s="1956"/>
      <c r="G29" s="1957">
        <f>8546/31.4606</f>
        <v>271.64135458319294</v>
      </c>
      <c r="H29" s="1958"/>
      <c r="I29" s="1959"/>
      <c r="J29" s="1946"/>
      <c r="K29" s="1947" t="s">
        <v>2539</v>
      </c>
      <c r="L29" s="463"/>
      <c r="M29" s="1948"/>
      <c r="N29" s="1946"/>
      <c r="O29" s="1947" t="s">
        <v>2539</v>
      </c>
      <c r="P29" s="463"/>
      <c r="Q29" s="1948"/>
      <c r="R29" s="1946"/>
      <c r="S29" s="1947" t="s">
        <v>2539</v>
      </c>
      <c r="T29" s="463"/>
      <c r="U29" s="1948"/>
      <c r="V29" s="1946"/>
      <c r="W29" s="1947" t="s">
        <v>2539</v>
      </c>
      <c r="X29" s="463"/>
      <c r="Y29" s="1948"/>
      <c r="LC29" s="436">
        <f xml:space="preserve"> IF( SUM( LE29:XC29 ) = 0, 0, $LG$3 )</f>
        <v>0</v>
      </c>
      <c r="LH29" s="86">
        <f>IF(ISNUMBER(G29),0,1)</f>
        <v>0</v>
      </c>
      <c r="LL29" s="86">
        <f>IF(ISBLANK(K29),1,0)</f>
        <v>0</v>
      </c>
      <c r="LP29" s="86">
        <f>IF(ISBLANK(O29),1,0)</f>
        <v>0</v>
      </c>
      <c r="LT29" s="86">
        <f>IF(ISBLANK(S29),1,0)</f>
        <v>0</v>
      </c>
      <c r="LX29" s="86">
        <f>IF(ISBLANK(W29),1,0)</f>
        <v>0</v>
      </c>
    </row>
    <row r="30" spans="2:624" ht="15.75" customHeight="1" thickBot="1"/>
    <row r="31" spans="2:624" ht="18.75" customHeight="1">
      <c r="J31" s="1924" t="s">
        <v>2566</v>
      </c>
      <c r="K31" s="1925"/>
      <c r="L31" s="1925"/>
      <c r="M31" s="1926"/>
      <c r="N31" s="1924" t="s">
        <v>2566</v>
      </c>
      <c r="O31" s="1925"/>
      <c r="P31" s="1925"/>
      <c r="Q31" s="1926"/>
      <c r="R31" s="1924" t="s">
        <v>2566</v>
      </c>
      <c r="S31" s="1925"/>
      <c r="T31" s="1925"/>
      <c r="U31" s="1926"/>
      <c r="V31" s="1924" t="s">
        <v>2567</v>
      </c>
      <c r="W31" s="1925"/>
      <c r="X31" s="1925"/>
      <c r="Y31" s="1926"/>
      <c r="Z31" s="1924" t="s">
        <v>2568</v>
      </c>
      <c r="AA31" s="1925"/>
      <c r="AB31" s="1925"/>
      <c r="AC31" s="1926"/>
      <c r="AD31" s="1924" t="s">
        <v>2569</v>
      </c>
      <c r="AE31" s="1925"/>
      <c r="AF31" s="1925"/>
      <c r="AG31" s="1926"/>
      <c r="AH31" s="1924" t="s">
        <v>2569</v>
      </c>
      <c r="AI31" s="1925"/>
      <c r="AJ31" s="1925"/>
      <c r="AK31" s="1926"/>
      <c r="AL31" s="1924" t="s">
        <v>2569</v>
      </c>
      <c r="AM31" s="1925"/>
      <c r="AN31" s="1925"/>
      <c r="AO31" s="1926"/>
      <c r="AP31" s="1924" t="s">
        <v>2570</v>
      </c>
      <c r="AQ31" s="1925"/>
      <c r="AR31" s="1925"/>
      <c r="AS31" s="1926"/>
      <c r="AT31" s="1924" t="s">
        <v>2570</v>
      </c>
      <c r="AU31" s="1925"/>
      <c r="AV31" s="1925"/>
      <c r="AW31" s="1926"/>
      <c r="AX31" s="1924" t="s">
        <v>2571</v>
      </c>
      <c r="AY31" s="1925"/>
      <c r="AZ31" s="1925"/>
      <c r="BA31" s="1926"/>
      <c r="BB31" s="1924" t="s">
        <v>2571</v>
      </c>
      <c r="BC31" s="1925"/>
      <c r="BD31" s="1925"/>
      <c r="BE31" s="1926"/>
      <c r="LK31" s="1924" t="s">
        <v>2566</v>
      </c>
      <c r="LL31" s="1925"/>
      <c r="LM31" s="1925"/>
      <c r="LN31" s="1926"/>
      <c r="LO31" s="1924" t="s">
        <v>2566</v>
      </c>
      <c r="LP31" s="1925"/>
      <c r="LQ31" s="1925"/>
      <c r="LR31" s="1926"/>
      <c r="LS31" s="1924" t="s">
        <v>2566</v>
      </c>
      <c r="LT31" s="1925"/>
      <c r="LU31" s="1925"/>
      <c r="LV31" s="1926"/>
      <c r="LW31" s="1924" t="s">
        <v>2567</v>
      </c>
      <c r="LX31" s="1925"/>
      <c r="LY31" s="1925"/>
      <c r="LZ31" s="1926"/>
      <c r="MA31" s="1924" t="s">
        <v>2568</v>
      </c>
      <c r="MB31" s="1925"/>
      <c r="MC31" s="1925"/>
      <c r="MD31" s="1926"/>
      <c r="ME31" s="1924" t="s">
        <v>2569</v>
      </c>
      <c r="MF31" s="1925"/>
      <c r="MG31" s="1925"/>
      <c r="MH31" s="1926"/>
      <c r="MI31" s="1924" t="s">
        <v>2569</v>
      </c>
      <c r="MJ31" s="1925"/>
      <c r="MK31" s="1925"/>
      <c r="ML31" s="1926"/>
      <c r="MM31" s="1924" t="s">
        <v>2569</v>
      </c>
      <c r="MN31" s="1925"/>
      <c r="MO31" s="1925"/>
      <c r="MP31" s="1926"/>
      <c r="MQ31" s="1924" t="s">
        <v>2570</v>
      </c>
      <c r="MR31" s="1925"/>
      <c r="MS31" s="1925"/>
      <c r="MT31" s="1926"/>
      <c r="MU31" s="1924" t="s">
        <v>2570</v>
      </c>
      <c r="MV31" s="1925"/>
      <c r="MW31" s="1925"/>
      <c r="MX31" s="1926"/>
      <c r="MY31" s="1924" t="s">
        <v>2571</v>
      </c>
      <c r="MZ31" s="1925"/>
      <c r="NA31" s="1925"/>
      <c r="NB31" s="1926"/>
      <c r="NC31" s="1924" t="s">
        <v>2571</v>
      </c>
      <c r="ND31" s="1925"/>
      <c r="NE31" s="1925"/>
      <c r="NF31" s="1926"/>
    </row>
    <row r="32" spans="2:624" ht="18.75" customHeight="1" thickBot="1">
      <c r="B32" s="708"/>
      <c r="C32" s="709"/>
      <c r="D32" s="696"/>
      <c r="E32" s="696"/>
      <c r="F32" s="696"/>
      <c r="G32" s="715"/>
      <c r="H32" s="715"/>
      <c r="I32" s="715"/>
      <c r="J32" s="1949" t="s">
        <v>2572</v>
      </c>
      <c r="K32" s="1950"/>
      <c r="L32" s="1950"/>
      <c r="M32" s="1951"/>
      <c r="N32" s="1949" t="s">
        <v>2573</v>
      </c>
      <c r="O32" s="1950"/>
      <c r="P32" s="1950"/>
      <c r="Q32" s="1951"/>
      <c r="R32" s="1949" t="s">
        <v>2574</v>
      </c>
      <c r="S32" s="1950"/>
      <c r="T32" s="1950"/>
      <c r="U32" s="1951"/>
      <c r="V32" s="1949" t="s">
        <v>2575</v>
      </c>
      <c r="W32" s="1950"/>
      <c r="X32" s="1950"/>
      <c r="Y32" s="1951"/>
      <c r="Z32" s="1949" t="s">
        <v>2576</v>
      </c>
      <c r="AA32" s="1950"/>
      <c r="AB32" s="1950"/>
      <c r="AC32" s="1951"/>
      <c r="AD32" s="1949" t="s">
        <v>2577</v>
      </c>
      <c r="AE32" s="1950"/>
      <c r="AF32" s="1950"/>
      <c r="AG32" s="1951"/>
      <c r="AH32" s="1949" t="s">
        <v>2578</v>
      </c>
      <c r="AI32" s="1950"/>
      <c r="AJ32" s="1950"/>
      <c r="AK32" s="1951"/>
      <c r="AL32" s="1949" t="s">
        <v>2579</v>
      </c>
      <c r="AM32" s="1950"/>
      <c r="AN32" s="1950"/>
      <c r="AO32" s="1951"/>
      <c r="AP32" s="1949" t="s">
        <v>2580</v>
      </c>
      <c r="AQ32" s="1950"/>
      <c r="AR32" s="1950"/>
      <c r="AS32" s="1951"/>
      <c r="AT32" s="1949" t="s">
        <v>2581</v>
      </c>
      <c r="AU32" s="1950"/>
      <c r="AV32" s="1950"/>
      <c r="AW32" s="1951"/>
      <c r="AX32" s="1949" t="s">
        <v>2582</v>
      </c>
      <c r="AY32" s="1950"/>
      <c r="AZ32" s="1950"/>
      <c r="BA32" s="1951"/>
      <c r="BB32" s="1949" t="s">
        <v>2583</v>
      </c>
      <c r="BC32" s="1950"/>
      <c r="BD32" s="1950"/>
      <c r="BE32" s="1951"/>
      <c r="LG32" s="696"/>
      <c r="LH32" s="715"/>
      <c r="LI32" s="715"/>
      <c r="LJ32" s="715"/>
      <c r="LK32" s="1949" t="s">
        <v>2572</v>
      </c>
      <c r="LL32" s="1950"/>
      <c r="LM32" s="1950"/>
      <c r="LN32" s="1951"/>
      <c r="LO32" s="1949" t="s">
        <v>2573</v>
      </c>
      <c r="LP32" s="1950"/>
      <c r="LQ32" s="1950"/>
      <c r="LR32" s="1951"/>
      <c r="LS32" s="1949" t="s">
        <v>2574</v>
      </c>
      <c r="LT32" s="1950"/>
      <c r="LU32" s="1950"/>
      <c r="LV32" s="1951"/>
      <c r="LW32" s="1949" t="s">
        <v>2575</v>
      </c>
      <c r="LX32" s="1950"/>
      <c r="LY32" s="1950"/>
      <c r="LZ32" s="1951"/>
      <c r="MA32" s="1949" t="s">
        <v>2576</v>
      </c>
      <c r="MB32" s="1950"/>
      <c r="MC32" s="1950"/>
      <c r="MD32" s="1951"/>
      <c r="ME32" s="1949" t="s">
        <v>2577</v>
      </c>
      <c r="MF32" s="1950"/>
      <c r="MG32" s="1950"/>
      <c r="MH32" s="1951"/>
      <c r="MI32" s="1949" t="s">
        <v>2578</v>
      </c>
      <c r="MJ32" s="1950"/>
      <c r="MK32" s="1950"/>
      <c r="ML32" s="1951"/>
      <c r="MM32" s="1949" t="s">
        <v>2579</v>
      </c>
      <c r="MN32" s="1950"/>
      <c r="MO32" s="1950"/>
      <c r="MP32" s="1951"/>
      <c r="MQ32" s="1949" t="s">
        <v>2580</v>
      </c>
      <c r="MR32" s="1950"/>
      <c r="MS32" s="1950"/>
      <c r="MT32" s="1951"/>
      <c r="MU32" s="1949" t="s">
        <v>2581</v>
      </c>
      <c r="MV32" s="1950"/>
      <c r="MW32" s="1950"/>
      <c r="MX32" s="1951"/>
      <c r="MY32" s="1949" t="s">
        <v>2582</v>
      </c>
      <c r="MZ32" s="1950"/>
      <c r="NA32" s="1950"/>
      <c r="NB32" s="1951"/>
      <c r="NC32" s="1949" t="s">
        <v>2583</v>
      </c>
      <c r="ND32" s="1950"/>
      <c r="NE32" s="1950"/>
      <c r="NF32" s="1951"/>
    </row>
    <row r="33" spans="2:418" ht="15" customHeight="1">
      <c r="B33" s="710" t="s">
        <v>419</v>
      </c>
      <c r="C33" s="711" t="s">
        <v>2584</v>
      </c>
      <c r="D33" s="697" t="s">
        <v>98</v>
      </c>
      <c r="E33" s="697" t="s">
        <v>99</v>
      </c>
      <c r="F33" s="697" t="str">
        <f>F15</f>
        <v>2016-17</v>
      </c>
      <c r="G33" s="697" t="str">
        <f t="shared" ref="G33:I33" si="82">G15</f>
        <v>2017-18</v>
      </c>
      <c r="H33" s="697" t="str">
        <f t="shared" si="82"/>
        <v>2018-19</v>
      </c>
      <c r="I33" s="698" t="str">
        <f t="shared" si="82"/>
        <v>2019-20</v>
      </c>
      <c r="J33" s="1811" t="str">
        <f>$J$15</f>
        <v>2016-17</v>
      </c>
      <c r="K33" s="697" t="str">
        <f>$K$15</f>
        <v>2017-18</v>
      </c>
      <c r="L33" s="697" t="str">
        <f>$L$15</f>
        <v>2018-19</v>
      </c>
      <c r="M33" s="699" t="str">
        <f>$M$15</f>
        <v>2019-20</v>
      </c>
      <c r="N33" s="1811" t="str">
        <f>$J$15</f>
        <v>2016-17</v>
      </c>
      <c r="O33" s="697" t="str">
        <f>$K$15</f>
        <v>2017-18</v>
      </c>
      <c r="P33" s="697" t="str">
        <f>$L$15</f>
        <v>2018-19</v>
      </c>
      <c r="Q33" s="699" t="str">
        <f>$M$15</f>
        <v>2019-20</v>
      </c>
      <c r="R33" s="1811" t="str">
        <f>$J$15</f>
        <v>2016-17</v>
      </c>
      <c r="S33" s="697" t="str">
        <f>$K$15</f>
        <v>2017-18</v>
      </c>
      <c r="T33" s="697" t="str">
        <f>$L$15</f>
        <v>2018-19</v>
      </c>
      <c r="U33" s="699" t="str">
        <f>$M$15</f>
        <v>2019-20</v>
      </c>
      <c r="V33" s="1811" t="str">
        <f>$J$15</f>
        <v>2016-17</v>
      </c>
      <c r="W33" s="697" t="str">
        <f>$K$15</f>
        <v>2017-18</v>
      </c>
      <c r="X33" s="697" t="str">
        <f>$L$15</f>
        <v>2018-19</v>
      </c>
      <c r="Y33" s="699" t="str">
        <f>$M$15</f>
        <v>2019-20</v>
      </c>
      <c r="Z33" s="1811" t="str">
        <f>$J$15</f>
        <v>2016-17</v>
      </c>
      <c r="AA33" s="697" t="str">
        <f>$K$15</f>
        <v>2017-18</v>
      </c>
      <c r="AB33" s="697" t="str">
        <f>$L$15</f>
        <v>2018-19</v>
      </c>
      <c r="AC33" s="699" t="str">
        <f>$M$15</f>
        <v>2019-20</v>
      </c>
      <c r="AD33" s="1811" t="str">
        <f>$J$15</f>
        <v>2016-17</v>
      </c>
      <c r="AE33" s="697" t="str">
        <f>$K$15</f>
        <v>2017-18</v>
      </c>
      <c r="AF33" s="697" t="str">
        <f>$L$15</f>
        <v>2018-19</v>
      </c>
      <c r="AG33" s="699" t="str">
        <f>$M$15</f>
        <v>2019-20</v>
      </c>
      <c r="AH33" s="1811" t="str">
        <f>$J$15</f>
        <v>2016-17</v>
      </c>
      <c r="AI33" s="697" t="str">
        <f>$K$15</f>
        <v>2017-18</v>
      </c>
      <c r="AJ33" s="697" t="str">
        <f>$L$15</f>
        <v>2018-19</v>
      </c>
      <c r="AK33" s="699" t="str">
        <f>$M$15</f>
        <v>2019-20</v>
      </c>
      <c r="AL33" s="1811" t="str">
        <f>$J$15</f>
        <v>2016-17</v>
      </c>
      <c r="AM33" s="697" t="str">
        <f>$K$15</f>
        <v>2017-18</v>
      </c>
      <c r="AN33" s="697" t="str">
        <f>$L$15</f>
        <v>2018-19</v>
      </c>
      <c r="AO33" s="699" t="str">
        <f>$M$15</f>
        <v>2019-20</v>
      </c>
      <c r="AP33" s="1811" t="str">
        <f>$J$15</f>
        <v>2016-17</v>
      </c>
      <c r="AQ33" s="697" t="str">
        <f>$K$15</f>
        <v>2017-18</v>
      </c>
      <c r="AR33" s="697" t="str">
        <f>$L$15</f>
        <v>2018-19</v>
      </c>
      <c r="AS33" s="699" t="str">
        <f>$M$15</f>
        <v>2019-20</v>
      </c>
      <c r="AT33" s="1811" t="str">
        <f>$J$15</f>
        <v>2016-17</v>
      </c>
      <c r="AU33" s="697" t="str">
        <f>$K$15</f>
        <v>2017-18</v>
      </c>
      <c r="AV33" s="697" t="str">
        <f>$L$15</f>
        <v>2018-19</v>
      </c>
      <c r="AW33" s="699" t="str">
        <f>$M$15</f>
        <v>2019-20</v>
      </c>
      <c r="AX33" s="1811" t="str">
        <f>$J$15</f>
        <v>2016-17</v>
      </c>
      <c r="AY33" s="697" t="str">
        <f>$K$15</f>
        <v>2017-18</v>
      </c>
      <c r="AZ33" s="697" t="str">
        <f>$L$15</f>
        <v>2018-19</v>
      </c>
      <c r="BA33" s="699" t="str">
        <f>$M$15</f>
        <v>2019-20</v>
      </c>
      <c r="BB33" s="1811" t="str">
        <f>$J$15</f>
        <v>2016-17</v>
      </c>
      <c r="BC33" s="697" t="str">
        <f>$K$15</f>
        <v>2017-18</v>
      </c>
      <c r="BD33" s="697" t="str">
        <f>$L$15</f>
        <v>2018-19</v>
      </c>
      <c r="BE33" s="699" t="str">
        <f>$M$15</f>
        <v>2019-20</v>
      </c>
      <c r="LF33" s="711" t="s">
        <v>2584</v>
      </c>
      <c r="LG33" s="697" t="str">
        <f>LG15</f>
        <v>2016-17</v>
      </c>
      <c r="LH33" s="697" t="str">
        <f t="shared" ref="LH33:LJ33" si="83">LH15</f>
        <v>2017-18</v>
      </c>
      <c r="LI33" s="697" t="str">
        <f t="shared" si="83"/>
        <v>2018-19</v>
      </c>
      <c r="LJ33" s="698" t="str">
        <f t="shared" si="83"/>
        <v>2019-20</v>
      </c>
      <c r="LK33" s="1811" t="str">
        <f>$J$15</f>
        <v>2016-17</v>
      </c>
      <c r="LL33" s="697" t="str">
        <f>$K$15</f>
        <v>2017-18</v>
      </c>
      <c r="LM33" s="697" t="str">
        <f>$L$15</f>
        <v>2018-19</v>
      </c>
      <c r="LN33" s="699" t="str">
        <f>$M$15</f>
        <v>2019-20</v>
      </c>
      <c r="LO33" s="1811" t="str">
        <f>$J$15</f>
        <v>2016-17</v>
      </c>
      <c r="LP33" s="697" t="str">
        <f>$K$15</f>
        <v>2017-18</v>
      </c>
      <c r="LQ33" s="697" t="str">
        <f>$L$15</f>
        <v>2018-19</v>
      </c>
      <c r="LR33" s="699" t="str">
        <f>$M$15</f>
        <v>2019-20</v>
      </c>
      <c r="LS33" s="1811" t="str">
        <f>$J$15</f>
        <v>2016-17</v>
      </c>
      <c r="LT33" s="697" t="str">
        <f>$K$15</f>
        <v>2017-18</v>
      </c>
      <c r="LU33" s="697" t="str">
        <f>$L$15</f>
        <v>2018-19</v>
      </c>
      <c r="LV33" s="699" t="str">
        <f>$M$15</f>
        <v>2019-20</v>
      </c>
      <c r="LW33" s="1811" t="str">
        <f>$J$15</f>
        <v>2016-17</v>
      </c>
      <c r="LX33" s="697" t="str">
        <f>$K$15</f>
        <v>2017-18</v>
      </c>
      <c r="LY33" s="697" t="str">
        <f>$L$15</f>
        <v>2018-19</v>
      </c>
      <c r="LZ33" s="699" t="str">
        <f>$M$15</f>
        <v>2019-20</v>
      </c>
      <c r="MA33" s="1811" t="str">
        <f>$J$15</f>
        <v>2016-17</v>
      </c>
      <c r="MB33" s="697" t="str">
        <f>$K$15</f>
        <v>2017-18</v>
      </c>
      <c r="MC33" s="697" t="str">
        <f>$L$15</f>
        <v>2018-19</v>
      </c>
      <c r="MD33" s="699" t="str">
        <f>$M$15</f>
        <v>2019-20</v>
      </c>
      <c r="ME33" s="1811" t="str">
        <f>$J$15</f>
        <v>2016-17</v>
      </c>
      <c r="MF33" s="697" t="str">
        <f>$K$15</f>
        <v>2017-18</v>
      </c>
      <c r="MG33" s="697" t="str">
        <f>$L$15</f>
        <v>2018-19</v>
      </c>
      <c r="MH33" s="699" t="str">
        <f>$M$15</f>
        <v>2019-20</v>
      </c>
      <c r="MI33" s="1811" t="str">
        <f>$J$15</f>
        <v>2016-17</v>
      </c>
      <c r="MJ33" s="697" t="str">
        <f>$K$15</f>
        <v>2017-18</v>
      </c>
      <c r="MK33" s="697" t="str">
        <f>$L$15</f>
        <v>2018-19</v>
      </c>
      <c r="ML33" s="699" t="str">
        <f>$M$15</f>
        <v>2019-20</v>
      </c>
      <c r="MM33" s="1811" t="str">
        <f>$J$15</f>
        <v>2016-17</v>
      </c>
      <c r="MN33" s="697" t="str">
        <f>$K$15</f>
        <v>2017-18</v>
      </c>
      <c r="MO33" s="697" t="str">
        <f>$L$15</f>
        <v>2018-19</v>
      </c>
      <c r="MP33" s="699" t="str">
        <f>$M$15</f>
        <v>2019-20</v>
      </c>
      <c r="MQ33" s="1811" t="str">
        <f>$J$15</f>
        <v>2016-17</v>
      </c>
      <c r="MR33" s="697" t="str">
        <f>$K$15</f>
        <v>2017-18</v>
      </c>
      <c r="MS33" s="697" t="str">
        <f>$L$15</f>
        <v>2018-19</v>
      </c>
      <c r="MT33" s="699" t="str">
        <f>$M$15</f>
        <v>2019-20</v>
      </c>
      <c r="MU33" s="1811" t="str">
        <f>$J$15</f>
        <v>2016-17</v>
      </c>
      <c r="MV33" s="697" t="str">
        <f>$K$15</f>
        <v>2017-18</v>
      </c>
      <c r="MW33" s="697" t="str">
        <f>$L$15</f>
        <v>2018-19</v>
      </c>
      <c r="MX33" s="699" t="str">
        <f>$M$15</f>
        <v>2019-20</v>
      </c>
      <c r="MY33" s="1811" t="str">
        <f>$J$15</f>
        <v>2016-17</v>
      </c>
      <c r="MZ33" s="697" t="str">
        <f>$K$15</f>
        <v>2017-18</v>
      </c>
      <c r="NA33" s="697" t="str">
        <f>$L$15</f>
        <v>2018-19</v>
      </c>
      <c r="NB33" s="699" t="str">
        <f>$M$15</f>
        <v>2019-20</v>
      </c>
      <c r="NC33" s="1811" t="str">
        <f>$J$15</f>
        <v>2016-17</v>
      </c>
      <c r="ND33" s="697" t="str">
        <f>$K$15</f>
        <v>2017-18</v>
      </c>
      <c r="NE33" s="697" t="str">
        <f>$L$15</f>
        <v>2018-19</v>
      </c>
      <c r="NF33" s="699" t="str">
        <f>$M$15</f>
        <v>2019-20</v>
      </c>
    </row>
    <row r="34" spans="2:418" ht="15" thickBot="1">
      <c r="B34" s="712">
        <v>7</v>
      </c>
      <c r="C34" s="713" t="s">
        <v>2585</v>
      </c>
      <c r="D34" s="700" t="s">
        <v>10</v>
      </c>
      <c r="E34" s="714" t="s">
        <v>2586</v>
      </c>
      <c r="F34" s="1960"/>
      <c r="G34" s="1961">
        <v>0.18</v>
      </c>
      <c r="H34" s="1962"/>
      <c r="I34" s="1963"/>
      <c r="J34" s="1946"/>
      <c r="K34" s="1947" t="s">
        <v>2587</v>
      </c>
      <c r="L34" s="463"/>
      <c r="M34" s="1948"/>
      <c r="N34" s="1946"/>
      <c r="O34" s="1947" t="s">
        <v>2540</v>
      </c>
      <c r="P34" s="463"/>
      <c r="Q34" s="1948"/>
      <c r="R34" s="1946"/>
      <c r="S34" s="1947" t="s">
        <v>2540</v>
      </c>
      <c r="T34" s="463"/>
      <c r="U34" s="1948"/>
      <c r="V34" s="1946"/>
      <c r="W34" s="1947" t="s">
        <v>2587</v>
      </c>
      <c r="X34" s="463"/>
      <c r="Y34" s="1948"/>
      <c r="Z34" s="1946"/>
      <c r="AA34" s="1947" t="s">
        <v>2540</v>
      </c>
      <c r="AB34" s="463"/>
      <c r="AC34" s="1948"/>
      <c r="AD34" s="1946"/>
      <c r="AE34" s="1947" t="s">
        <v>2587</v>
      </c>
      <c r="AF34" s="463"/>
      <c r="AG34" s="1948"/>
      <c r="AH34" s="1946"/>
      <c r="AI34" s="1947" t="s">
        <v>2587</v>
      </c>
      <c r="AJ34" s="463"/>
      <c r="AK34" s="1948"/>
      <c r="AL34" s="1946"/>
      <c r="AM34" s="1947" t="s">
        <v>2587</v>
      </c>
      <c r="AN34" s="463"/>
      <c r="AO34" s="1948"/>
      <c r="AP34" s="1946"/>
      <c r="AQ34" s="1947" t="s">
        <v>2540</v>
      </c>
      <c r="AR34" s="463"/>
      <c r="AS34" s="1948"/>
      <c r="AT34" s="1946"/>
      <c r="AU34" s="1947" t="s">
        <v>2587</v>
      </c>
      <c r="AV34" s="463"/>
      <c r="AW34" s="1948"/>
      <c r="AX34" s="1946"/>
      <c r="AY34" s="1947" t="s">
        <v>2540</v>
      </c>
      <c r="AZ34" s="463"/>
      <c r="BA34" s="1948"/>
      <c r="BB34" s="1946"/>
      <c r="BC34" s="1947" t="s">
        <v>2587</v>
      </c>
      <c r="BD34" s="463"/>
      <c r="BE34" s="1948"/>
      <c r="LC34" s="436">
        <f xml:space="preserve"> IF( SUM( LE34:XC34 ) = 0, 0, $LG$3 )</f>
        <v>0</v>
      </c>
      <c r="LH34" s="86">
        <f>IF(ISNUMBER(G34),0,1)</f>
        <v>0</v>
      </c>
      <c r="LL34" s="86">
        <f>IF(ISBLANK(K34),1,0)</f>
        <v>0</v>
      </c>
      <c r="LP34" s="86">
        <f>IF(ISBLANK(O34),1,0)</f>
        <v>0</v>
      </c>
      <c r="LT34" s="86">
        <f>IF(ISBLANK(S34),1,0)</f>
        <v>0</v>
      </c>
      <c r="LX34" s="86">
        <f>IF(ISBLANK(W34),1,0)</f>
        <v>0</v>
      </c>
      <c r="MB34" s="86">
        <f>IF(ISBLANK(AA34),1,0)</f>
        <v>0</v>
      </c>
      <c r="MF34" s="86">
        <f>IF(ISBLANK(AE34),1,0)</f>
        <v>0</v>
      </c>
      <c r="MJ34" s="86">
        <f>IF(ISBLANK(AI34),1,0)</f>
        <v>0</v>
      </c>
      <c r="MN34" s="86">
        <f>IF(ISBLANK(AM34),1,0)</f>
        <v>0</v>
      </c>
      <c r="MR34" s="86">
        <f>IF(ISBLANK(AQ34),1,0)</f>
        <v>0</v>
      </c>
      <c r="MV34" s="86">
        <f>IF(ISBLANK(AU34),1,0)</f>
        <v>0</v>
      </c>
      <c r="MZ34" s="86">
        <f>IF(ISBLANK(AY34),1,0)</f>
        <v>0</v>
      </c>
      <c r="ND34" s="86">
        <f>IF(ISBLANK(BC34),1,0)</f>
        <v>0</v>
      </c>
    </row>
    <row r="35" spans="2:418" ht="15.75" customHeight="1" thickBot="1"/>
    <row r="36" spans="2:418" ht="31.5" customHeight="1" thickBot="1">
      <c r="J36" s="1921" t="s">
        <v>2588</v>
      </c>
      <c r="K36" s="1922"/>
      <c r="L36" s="1922"/>
      <c r="M36" s="1923"/>
      <c r="N36" s="1924" t="s">
        <v>2588</v>
      </c>
      <c r="O36" s="1925"/>
      <c r="P36" s="1925"/>
      <c r="Q36" s="1926"/>
      <c r="R36" s="1925" t="s">
        <v>2588</v>
      </c>
      <c r="S36" s="1925"/>
      <c r="T36" s="1926"/>
      <c r="U36" s="1927"/>
      <c r="V36" s="1924" t="s">
        <v>2588</v>
      </c>
      <c r="W36" s="1925"/>
      <c r="X36" s="1926"/>
      <c r="Y36" s="1926"/>
      <c r="Z36" s="1924" t="s">
        <v>2589</v>
      </c>
      <c r="AA36" s="1925"/>
      <c r="AB36" s="1926"/>
      <c r="AC36" s="1926"/>
      <c r="AD36" s="1924" t="s">
        <v>2589</v>
      </c>
      <c r="AE36" s="1925"/>
      <c r="AF36" s="1926"/>
      <c r="AG36" s="1926"/>
      <c r="AH36" s="1924" t="s">
        <v>2589</v>
      </c>
      <c r="AI36" s="1925"/>
      <c r="AJ36" s="1926"/>
      <c r="AK36" s="1926"/>
      <c r="AL36" s="1928" t="s">
        <v>2590</v>
      </c>
      <c r="AM36" s="1925"/>
      <c r="AN36" s="1926"/>
      <c r="AO36" s="1926"/>
      <c r="AP36" s="1928" t="s">
        <v>2590</v>
      </c>
      <c r="AQ36" s="1925"/>
      <c r="AR36" s="1926"/>
      <c r="AS36" s="1926"/>
      <c r="AT36" s="1928" t="s">
        <v>2590</v>
      </c>
      <c r="AU36" s="1925"/>
      <c r="AV36" s="1926"/>
      <c r="AW36" s="1926"/>
      <c r="AX36" s="1928" t="s">
        <v>2590</v>
      </c>
      <c r="AY36" s="1925"/>
      <c r="AZ36" s="1926"/>
      <c r="BA36" s="1926"/>
      <c r="BB36" s="1928" t="s">
        <v>2590</v>
      </c>
      <c r="BC36" s="1925"/>
      <c r="BD36" s="1926"/>
      <c r="BE36" s="1926"/>
      <c r="BF36" s="1928" t="s">
        <v>2591</v>
      </c>
      <c r="BG36" s="1925"/>
      <c r="BH36" s="1926"/>
      <c r="BI36" s="1926"/>
      <c r="BJ36" s="1928" t="s">
        <v>2592</v>
      </c>
      <c r="BK36" s="1925"/>
      <c r="BL36" s="1926"/>
      <c r="BM36" s="1926"/>
      <c r="BN36" s="1928" t="s">
        <v>2592</v>
      </c>
      <c r="BO36" s="1925"/>
      <c r="BP36" s="1926"/>
      <c r="BQ36" s="1926"/>
      <c r="BR36" s="1928" t="s">
        <v>2592</v>
      </c>
      <c r="BS36" s="1925"/>
      <c r="BT36" s="1926"/>
      <c r="BU36" s="1926"/>
      <c r="BV36" s="1928" t="s">
        <v>2592</v>
      </c>
      <c r="BW36" s="1925"/>
      <c r="BX36" s="1926"/>
      <c r="BY36" s="1926"/>
      <c r="BZ36" s="1928" t="s">
        <v>2592</v>
      </c>
      <c r="CA36" s="1925"/>
      <c r="CB36" s="1926"/>
      <c r="CC36" s="1926"/>
      <c r="CD36" s="1928" t="s">
        <v>2592</v>
      </c>
      <c r="CE36" s="1925"/>
      <c r="CF36" s="1926"/>
      <c r="CG36" s="1926"/>
      <c r="CH36" s="1928" t="s">
        <v>2592</v>
      </c>
      <c r="CI36" s="1925"/>
      <c r="CJ36" s="1926"/>
      <c r="CK36" s="1926"/>
      <c r="CL36" s="1928" t="s">
        <v>2592</v>
      </c>
      <c r="CM36" s="1925"/>
      <c r="CN36" s="1926"/>
      <c r="CO36" s="1926"/>
      <c r="CP36" s="1928" t="s">
        <v>2592</v>
      </c>
      <c r="CQ36" s="1925"/>
      <c r="CR36" s="1926"/>
      <c r="CS36" s="1926"/>
      <c r="CT36" s="1928" t="s">
        <v>2592</v>
      </c>
      <c r="CU36" s="1925"/>
      <c r="CV36" s="1926"/>
      <c r="CW36" s="1926"/>
      <c r="CX36" s="1928" t="s">
        <v>2592</v>
      </c>
      <c r="CY36" s="1925"/>
      <c r="CZ36" s="1926"/>
      <c r="DA36" s="1926"/>
      <c r="LK36" s="1921" t="s">
        <v>2588</v>
      </c>
      <c r="LL36" s="1922"/>
      <c r="LM36" s="1922"/>
      <c r="LN36" s="1923"/>
      <c r="LO36" s="1924" t="s">
        <v>2588</v>
      </c>
      <c r="LP36" s="1925"/>
      <c r="LQ36" s="1925"/>
      <c r="LR36" s="1926"/>
      <c r="LS36" s="1925" t="s">
        <v>2588</v>
      </c>
      <c r="LT36" s="1925"/>
      <c r="LU36" s="1926"/>
      <c r="LV36" s="1927"/>
      <c r="LW36" s="1924" t="s">
        <v>2588</v>
      </c>
      <c r="LX36" s="1925"/>
      <c r="LY36" s="1926"/>
      <c r="LZ36" s="1926"/>
      <c r="MA36" s="1924" t="s">
        <v>2589</v>
      </c>
      <c r="MB36" s="1925"/>
      <c r="MC36" s="1926"/>
      <c r="MD36" s="1926"/>
      <c r="ME36" s="1924" t="s">
        <v>2589</v>
      </c>
      <c r="MF36" s="1925"/>
      <c r="MG36" s="1926"/>
      <c r="MH36" s="1926"/>
      <c r="MI36" s="1924" t="s">
        <v>2589</v>
      </c>
      <c r="MJ36" s="1925"/>
      <c r="MK36" s="1926"/>
      <c r="ML36" s="1926"/>
      <c r="MM36" s="1928" t="s">
        <v>2590</v>
      </c>
      <c r="MN36" s="1925"/>
      <c r="MO36" s="1926"/>
      <c r="MP36" s="1926"/>
      <c r="MQ36" s="1928" t="s">
        <v>2590</v>
      </c>
      <c r="MR36" s="1925"/>
      <c r="MS36" s="1926"/>
      <c r="MT36" s="1926"/>
      <c r="MU36" s="1928" t="s">
        <v>2590</v>
      </c>
      <c r="MV36" s="1925"/>
      <c r="MW36" s="1926"/>
      <c r="MX36" s="1926"/>
      <c r="MY36" s="1928" t="s">
        <v>2590</v>
      </c>
      <c r="MZ36" s="1925"/>
      <c r="NA36" s="1926"/>
      <c r="NB36" s="1926"/>
      <c r="NC36" s="1928" t="s">
        <v>2590</v>
      </c>
      <c r="ND36" s="1925"/>
      <c r="NE36" s="1926"/>
      <c r="NF36" s="1926"/>
      <c r="NG36" s="1928" t="s">
        <v>2591</v>
      </c>
      <c r="NH36" s="1925"/>
      <c r="NI36" s="1926"/>
      <c r="NJ36" s="1926"/>
      <c r="NK36" s="1928" t="s">
        <v>2592</v>
      </c>
      <c r="NL36" s="1925"/>
      <c r="NM36" s="1926"/>
      <c r="NN36" s="1926"/>
      <c r="NO36" s="1928" t="s">
        <v>2592</v>
      </c>
      <c r="NP36" s="1925"/>
      <c r="NQ36" s="1926"/>
      <c r="NR36" s="1926"/>
      <c r="NS36" s="1928" t="s">
        <v>2592</v>
      </c>
      <c r="NT36" s="1925"/>
      <c r="NU36" s="1926"/>
      <c r="NV36" s="1926"/>
      <c r="NW36" s="1928" t="s">
        <v>2592</v>
      </c>
      <c r="NX36" s="1925"/>
      <c r="NY36" s="1926"/>
      <c r="NZ36" s="1926"/>
      <c r="OA36" s="1928" t="s">
        <v>2592</v>
      </c>
      <c r="OB36" s="1925"/>
      <c r="OC36" s="1926"/>
      <c r="OD36" s="1926"/>
      <c r="OE36" s="1928" t="s">
        <v>2592</v>
      </c>
      <c r="OF36" s="1925"/>
      <c r="OG36" s="1926"/>
      <c r="OH36" s="1926"/>
      <c r="OI36" s="1928" t="s">
        <v>2592</v>
      </c>
      <c r="OJ36" s="1925"/>
      <c r="OK36" s="1926"/>
      <c r="OL36" s="1926"/>
      <c r="OM36" s="1928" t="s">
        <v>2592</v>
      </c>
      <c r="ON36" s="1925"/>
      <c r="OO36" s="1926"/>
      <c r="OP36" s="1926"/>
      <c r="OQ36" s="1928" t="s">
        <v>2592</v>
      </c>
      <c r="OR36" s="1925"/>
      <c r="OS36" s="1926"/>
      <c r="OT36" s="1926"/>
      <c r="OU36" s="1928" t="s">
        <v>2592</v>
      </c>
      <c r="OV36" s="1925"/>
      <c r="OW36" s="1926"/>
      <c r="OX36" s="1926"/>
      <c r="OY36" s="1928" t="s">
        <v>2592</v>
      </c>
      <c r="OZ36" s="1925"/>
      <c r="PA36" s="1926"/>
      <c r="PB36" s="1926"/>
    </row>
    <row r="37" spans="2:418" ht="18.75" customHeight="1">
      <c r="J37" s="1921" t="s">
        <v>2382</v>
      </c>
      <c r="K37" s="1922"/>
      <c r="L37" s="1922"/>
      <c r="M37" s="1923"/>
      <c r="N37" s="1921" t="s">
        <v>2593</v>
      </c>
      <c r="O37" s="1922"/>
      <c r="P37" s="1922"/>
      <c r="Q37" s="1923"/>
      <c r="R37" s="1921" t="s">
        <v>2594</v>
      </c>
      <c r="S37" s="1922"/>
      <c r="T37" s="1922"/>
      <c r="U37" s="1923"/>
      <c r="V37" s="1921" t="s">
        <v>2595</v>
      </c>
      <c r="W37" s="1922"/>
      <c r="X37" s="1922"/>
      <c r="Y37" s="1923"/>
      <c r="Z37" s="1921" t="s">
        <v>2383</v>
      </c>
      <c r="AA37" s="1922"/>
      <c r="AB37" s="1922"/>
      <c r="AC37" s="1923"/>
      <c r="AD37" s="1921" t="s">
        <v>2596</v>
      </c>
      <c r="AE37" s="1922"/>
      <c r="AF37" s="1922"/>
      <c r="AG37" s="1923"/>
      <c r="AH37" s="1921" t="s">
        <v>2597</v>
      </c>
      <c r="AI37" s="1922"/>
      <c r="AJ37" s="1922"/>
      <c r="AK37" s="1923"/>
      <c r="AL37" s="1921" t="s">
        <v>2384</v>
      </c>
      <c r="AM37" s="1922"/>
      <c r="AN37" s="1922"/>
      <c r="AO37" s="1923"/>
      <c r="AP37" s="1921" t="s">
        <v>2385</v>
      </c>
      <c r="AQ37" s="1922"/>
      <c r="AR37" s="1922"/>
      <c r="AS37" s="1923"/>
      <c r="AT37" s="1921" t="s">
        <v>2386</v>
      </c>
      <c r="AU37" s="1922"/>
      <c r="AV37" s="1922"/>
      <c r="AW37" s="1923"/>
      <c r="AX37" s="1921" t="s">
        <v>2387</v>
      </c>
      <c r="AY37" s="1922"/>
      <c r="AZ37" s="1922"/>
      <c r="BA37" s="1923"/>
      <c r="BB37" s="1921" t="s">
        <v>2388</v>
      </c>
      <c r="BC37" s="1922"/>
      <c r="BD37" s="1922"/>
      <c r="BE37" s="1923"/>
      <c r="BF37" s="1921" t="s">
        <v>2389</v>
      </c>
      <c r="BG37" s="1922"/>
      <c r="BH37" s="1922"/>
      <c r="BI37" s="1923"/>
      <c r="BJ37" s="1921" t="s">
        <v>2390</v>
      </c>
      <c r="BK37" s="1922"/>
      <c r="BL37" s="1922"/>
      <c r="BM37" s="1923"/>
      <c r="BN37" s="1921" t="s">
        <v>2391</v>
      </c>
      <c r="BO37" s="1922"/>
      <c r="BP37" s="1922"/>
      <c r="BQ37" s="1923"/>
      <c r="BR37" s="1921" t="s">
        <v>2392</v>
      </c>
      <c r="BS37" s="1922"/>
      <c r="BT37" s="1922"/>
      <c r="BU37" s="1923"/>
      <c r="BV37" s="1921" t="s">
        <v>2393</v>
      </c>
      <c r="BW37" s="1922"/>
      <c r="BX37" s="1922"/>
      <c r="BY37" s="1923"/>
      <c r="BZ37" s="1921" t="s">
        <v>2394</v>
      </c>
      <c r="CA37" s="1922"/>
      <c r="CB37" s="1922"/>
      <c r="CC37" s="1923"/>
      <c r="CD37" s="1921" t="s">
        <v>2395</v>
      </c>
      <c r="CE37" s="1922"/>
      <c r="CF37" s="1922"/>
      <c r="CG37" s="1923"/>
      <c r="CH37" s="1921" t="s">
        <v>2396</v>
      </c>
      <c r="CI37" s="1922"/>
      <c r="CJ37" s="1922"/>
      <c r="CK37" s="1923"/>
      <c r="CL37" s="1921" t="s">
        <v>2397</v>
      </c>
      <c r="CM37" s="1922"/>
      <c r="CN37" s="1922"/>
      <c r="CO37" s="1923"/>
      <c r="CP37" s="1921" t="s">
        <v>2398</v>
      </c>
      <c r="CQ37" s="1922"/>
      <c r="CR37" s="1922"/>
      <c r="CS37" s="1923"/>
      <c r="CT37" s="1921" t="s">
        <v>2399</v>
      </c>
      <c r="CU37" s="1922"/>
      <c r="CV37" s="1922"/>
      <c r="CW37" s="1923"/>
      <c r="CX37" s="1921" t="s">
        <v>2598</v>
      </c>
      <c r="CY37" s="1922"/>
      <c r="CZ37" s="1922"/>
      <c r="DA37" s="1923"/>
      <c r="LK37" s="1921" t="s">
        <v>2382</v>
      </c>
      <c r="LL37" s="1922"/>
      <c r="LM37" s="1922"/>
      <c r="LN37" s="1923"/>
      <c r="LO37" s="1921" t="s">
        <v>2593</v>
      </c>
      <c r="LP37" s="1922"/>
      <c r="LQ37" s="1922"/>
      <c r="LR37" s="1923"/>
      <c r="LS37" s="1921" t="s">
        <v>2594</v>
      </c>
      <c r="LT37" s="1922"/>
      <c r="LU37" s="1922"/>
      <c r="LV37" s="1923"/>
      <c r="LW37" s="1921" t="s">
        <v>2595</v>
      </c>
      <c r="LX37" s="1922"/>
      <c r="LY37" s="1922"/>
      <c r="LZ37" s="1923"/>
      <c r="MA37" s="1921" t="s">
        <v>2383</v>
      </c>
      <c r="MB37" s="1922"/>
      <c r="MC37" s="1922"/>
      <c r="MD37" s="1923"/>
      <c r="ME37" s="1921" t="s">
        <v>2596</v>
      </c>
      <c r="MF37" s="1922"/>
      <c r="MG37" s="1922"/>
      <c r="MH37" s="1923"/>
      <c r="MI37" s="1921" t="s">
        <v>2597</v>
      </c>
      <c r="MJ37" s="1922"/>
      <c r="MK37" s="1922"/>
      <c r="ML37" s="1923"/>
      <c r="MM37" s="1921" t="s">
        <v>2384</v>
      </c>
      <c r="MN37" s="1922"/>
      <c r="MO37" s="1922"/>
      <c r="MP37" s="1923"/>
      <c r="MQ37" s="1921" t="s">
        <v>2385</v>
      </c>
      <c r="MR37" s="1922"/>
      <c r="MS37" s="1922"/>
      <c r="MT37" s="1923"/>
      <c r="MU37" s="1921" t="s">
        <v>2386</v>
      </c>
      <c r="MV37" s="1922"/>
      <c r="MW37" s="1922"/>
      <c r="MX37" s="1923"/>
      <c r="MY37" s="1921" t="s">
        <v>2387</v>
      </c>
      <c r="MZ37" s="1922"/>
      <c r="NA37" s="1922"/>
      <c r="NB37" s="1923"/>
      <c r="NC37" s="1921" t="s">
        <v>2388</v>
      </c>
      <c r="ND37" s="1922"/>
      <c r="NE37" s="1922"/>
      <c r="NF37" s="1923"/>
      <c r="NG37" s="1921" t="s">
        <v>2389</v>
      </c>
      <c r="NH37" s="1922"/>
      <c r="NI37" s="1922"/>
      <c r="NJ37" s="1923"/>
      <c r="NK37" s="1921" t="s">
        <v>2390</v>
      </c>
      <c r="NL37" s="1922"/>
      <c r="NM37" s="1922"/>
      <c r="NN37" s="1923"/>
      <c r="NO37" s="1921" t="s">
        <v>2391</v>
      </c>
      <c r="NP37" s="1922"/>
      <c r="NQ37" s="1922"/>
      <c r="NR37" s="1923"/>
      <c r="NS37" s="1921" t="s">
        <v>2392</v>
      </c>
      <c r="NT37" s="1922"/>
      <c r="NU37" s="1922"/>
      <c r="NV37" s="1923"/>
      <c r="NW37" s="1921" t="s">
        <v>2393</v>
      </c>
      <c r="NX37" s="1922"/>
      <c r="NY37" s="1922"/>
      <c r="NZ37" s="1923"/>
      <c r="OA37" s="1921" t="s">
        <v>2394</v>
      </c>
      <c r="OB37" s="1922"/>
      <c r="OC37" s="1922"/>
      <c r="OD37" s="1923"/>
      <c r="OE37" s="1921" t="s">
        <v>2395</v>
      </c>
      <c r="OF37" s="1922"/>
      <c r="OG37" s="1922"/>
      <c r="OH37" s="1923"/>
      <c r="OI37" s="1921" t="s">
        <v>2396</v>
      </c>
      <c r="OJ37" s="1922"/>
      <c r="OK37" s="1922"/>
      <c r="OL37" s="1923"/>
      <c r="OM37" s="1921" t="s">
        <v>2397</v>
      </c>
      <c r="ON37" s="1922"/>
      <c r="OO37" s="1922"/>
      <c r="OP37" s="1923"/>
      <c r="OQ37" s="1921" t="s">
        <v>2398</v>
      </c>
      <c r="OR37" s="1922"/>
      <c r="OS37" s="1922"/>
      <c r="OT37" s="1923"/>
      <c r="OU37" s="1921" t="s">
        <v>2399</v>
      </c>
      <c r="OV37" s="1922"/>
      <c r="OW37" s="1922"/>
      <c r="OX37" s="1923"/>
      <c r="OY37" s="1921" t="s">
        <v>2598</v>
      </c>
      <c r="OZ37" s="1922"/>
      <c r="PA37" s="1922"/>
      <c r="PB37" s="1923"/>
    </row>
    <row r="38" spans="2:418" ht="150" customHeight="1" thickBot="1">
      <c r="B38" s="708"/>
      <c r="C38" s="709"/>
      <c r="D38" s="696"/>
      <c r="E38" s="696"/>
      <c r="F38" s="696"/>
      <c r="G38" s="715"/>
      <c r="H38" s="715"/>
      <c r="I38" s="715"/>
      <c r="J38" s="1931" t="s">
        <v>2599</v>
      </c>
      <c r="K38" s="1932"/>
      <c r="L38" s="1932"/>
      <c r="M38" s="1933"/>
      <c r="N38" s="1931" t="s">
        <v>2600</v>
      </c>
      <c r="O38" s="1932"/>
      <c r="P38" s="1932"/>
      <c r="Q38" s="1933"/>
      <c r="R38" s="1931" t="s">
        <v>2601</v>
      </c>
      <c r="S38" s="1932"/>
      <c r="T38" s="1932"/>
      <c r="U38" s="1933"/>
      <c r="V38" s="1931" t="s">
        <v>2602</v>
      </c>
      <c r="W38" s="1932"/>
      <c r="X38" s="1932"/>
      <c r="Y38" s="1933"/>
      <c r="Z38" s="1931" t="s">
        <v>2603</v>
      </c>
      <c r="AA38" s="1932"/>
      <c r="AB38" s="1932"/>
      <c r="AC38" s="1933"/>
      <c r="AD38" s="1931" t="s">
        <v>2604</v>
      </c>
      <c r="AE38" s="1932"/>
      <c r="AF38" s="1932"/>
      <c r="AG38" s="1933"/>
      <c r="AH38" s="1931" t="s">
        <v>2605</v>
      </c>
      <c r="AI38" s="1932"/>
      <c r="AJ38" s="1932"/>
      <c r="AK38" s="1933"/>
      <c r="AL38" s="1931" t="s">
        <v>2606</v>
      </c>
      <c r="AM38" s="1932"/>
      <c r="AN38" s="1932"/>
      <c r="AO38" s="1933"/>
      <c r="AP38" s="1931" t="s">
        <v>2607</v>
      </c>
      <c r="AQ38" s="1932"/>
      <c r="AR38" s="1932"/>
      <c r="AS38" s="1933"/>
      <c r="AT38" s="1931" t="s">
        <v>2608</v>
      </c>
      <c r="AU38" s="1932"/>
      <c r="AV38" s="1932"/>
      <c r="AW38" s="1933"/>
      <c r="AX38" s="1931" t="s">
        <v>2609</v>
      </c>
      <c r="AY38" s="1932"/>
      <c r="AZ38" s="1932"/>
      <c r="BA38" s="1933"/>
      <c r="BB38" s="1931" t="s">
        <v>2511</v>
      </c>
      <c r="BC38" s="1932"/>
      <c r="BD38" s="1932"/>
      <c r="BE38" s="1933"/>
      <c r="BF38" s="1931" t="s">
        <v>2610</v>
      </c>
      <c r="BG38" s="1932"/>
      <c r="BH38" s="1932"/>
      <c r="BI38" s="1933"/>
      <c r="BJ38" s="1931" t="s">
        <v>2611</v>
      </c>
      <c r="BK38" s="1932"/>
      <c r="BL38" s="1932"/>
      <c r="BM38" s="1933"/>
      <c r="BN38" s="1931" t="s">
        <v>2612</v>
      </c>
      <c r="BO38" s="1932"/>
      <c r="BP38" s="1932"/>
      <c r="BQ38" s="1933"/>
      <c r="BR38" s="1931" t="s">
        <v>2613</v>
      </c>
      <c r="BS38" s="1932"/>
      <c r="BT38" s="1932"/>
      <c r="BU38" s="1933"/>
      <c r="BV38" s="1931" t="s">
        <v>2516</v>
      </c>
      <c r="BW38" s="1932"/>
      <c r="BX38" s="1932"/>
      <c r="BY38" s="1933"/>
      <c r="BZ38" s="1931" t="s">
        <v>2614</v>
      </c>
      <c r="CA38" s="1932"/>
      <c r="CB38" s="1932"/>
      <c r="CC38" s="1933"/>
      <c r="CD38" s="1931" t="s">
        <v>2518</v>
      </c>
      <c r="CE38" s="1932"/>
      <c r="CF38" s="1932"/>
      <c r="CG38" s="1933"/>
      <c r="CH38" s="1931" t="s">
        <v>2519</v>
      </c>
      <c r="CI38" s="1932"/>
      <c r="CJ38" s="1932"/>
      <c r="CK38" s="1933"/>
      <c r="CL38" s="1931" t="s">
        <v>2520</v>
      </c>
      <c r="CM38" s="1932"/>
      <c r="CN38" s="1932"/>
      <c r="CO38" s="1933"/>
      <c r="CP38" s="1931" t="s">
        <v>2521</v>
      </c>
      <c r="CQ38" s="1932"/>
      <c r="CR38" s="1932"/>
      <c r="CS38" s="1933"/>
      <c r="CT38" s="1931" t="s">
        <v>2615</v>
      </c>
      <c r="CU38" s="1932"/>
      <c r="CV38" s="1932"/>
      <c r="CW38" s="1933"/>
      <c r="CX38" s="1931" t="s">
        <v>2511</v>
      </c>
      <c r="CY38" s="1932"/>
      <c r="CZ38" s="1932"/>
      <c r="DA38" s="1933"/>
      <c r="LG38" s="696"/>
      <c r="LH38" s="715"/>
      <c r="LI38" s="715"/>
      <c r="LJ38" s="715"/>
      <c r="LK38" s="1931" t="s">
        <v>2599</v>
      </c>
      <c r="LL38" s="1932"/>
      <c r="LM38" s="1932"/>
      <c r="LN38" s="1933"/>
      <c r="LO38" s="1931" t="s">
        <v>2600</v>
      </c>
      <c r="LP38" s="1932"/>
      <c r="LQ38" s="1932"/>
      <c r="LR38" s="1933"/>
      <c r="LS38" s="1931" t="s">
        <v>2601</v>
      </c>
      <c r="LT38" s="1932"/>
      <c r="LU38" s="1932"/>
      <c r="LV38" s="1933"/>
      <c r="LW38" s="1931" t="s">
        <v>2602</v>
      </c>
      <c r="LX38" s="1932"/>
      <c r="LY38" s="1932"/>
      <c r="LZ38" s="1933"/>
      <c r="MA38" s="1931" t="s">
        <v>2603</v>
      </c>
      <c r="MB38" s="1932"/>
      <c r="MC38" s="1932"/>
      <c r="MD38" s="1933"/>
      <c r="ME38" s="1931" t="s">
        <v>2604</v>
      </c>
      <c r="MF38" s="1932"/>
      <c r="MG38" s="1932"/>
      <c r="MH38" s="1933"/>
      <c r="MI38" s="1931" t="s">
        <v>2605</v>
      </c>
      <c r="MJ38" s="1932"/>
      <c r="MK38" s="1932"/>
      <c r="ML38" s="1933"/>
      <c r="MM38" s="1931" t="s">
        <v>2606</v>
      </c>
      <c r="MN38" s="1932"/>
      <c r="MO38" s="1932"/>
      <c r="MP38" s="1933"/>
      <c r="MQ38" s="1931" t="s">
        <v>2607</v>
      </c>
      <c r="MR38" s="1932"/>
      <c r="MS38" s="1932"/>
      <c r="MT38" s="1933"/>
      <c r="MU38" s="1931" t="s">
        <v>2616</v>
      </c>
      <c r="MV38" s="1932"/>
      <c r="MW38" s="1932"/>
      <c r="MX38" s="1933"/>
      <c r="MY38" s="1931" t="s">
        <v>2609</v>
      </c>
      <c r="MZ38" s="1932"/>
      <c r="NA38" s="1932"/>
      <c r="NB38" s="1933"/>
      <c r="NC38" s="1931" t="s">
        <v>2511</v>
      </c>
      <c r="ND38" s="1932"/>
      <c r="NE38" s="1932"/>
      <c r="NF38" s="1933"/>
      <c r="NG38" s="1931" t="s">
        <v>2512</v>
      </c>
      <c r="NH38" s="1932"/>
      <c r="NI38" s="1932"/>
      <c r="NJ38" s="1933"/>
      <c r="NK38" s="1931" t="s">
        <v>2617</v>
      </c>
      <c r="NL38" s="1932"/>
      <c r="NM38" s="1932"/>
      <c r="NN38" s="1933"/>
      <c r="NO38" s="1931" t="s">
        <v>2612</v>
      </c>
      <c r="NP38" s="1932"/>
      <c r="NQ38" s="1932"/>
      <c r="NR38" s="1933"/>
      <c r="NS38" s="1931" t="s">
        <v>2618</v>
      </c>
      <c r="NT38" s="1932"/>
      <c r="NU38" s="1932"/>
      <c r="NV38" s="1933"/>
      <c r="NW38" s="1931" t="s">
        <v>2516</v>
      </c>
      <c r="NX38" s="1932"/>
      <c r="NY38" s="1932"/>
      <c r="NZ38" s="1933"/>
      <c r="OA38" s="1931" t="s">
        <v>2517</v>
      </c>
      <c r="OB38" s="1932"/>
      <c r="OC38" s="1932"/>
      <c r="OD38" s="1933"/>
      <c r="OE38" s="1931" t="s">
        <v>2518</v>
      </c>
      <c r="OF38" s="1932"/>
      <c r="OG38" s="1932"/>
      <c r="OH38" s="1933"/>
      <c r="OI38" s="1931" t="s">
        <v>2519</v>
      </c>
      <c r="OJ38" s="1932"/>
      <c r="OK38" s="1932"/>
      <c r="OL38" s="1933"/>
      <c r="OM38" s="1931" t="s">
        <v>2520</v>
      </c>
      <c r="ON38" s="1932"/>
      <c r="OO38" s="1932"/>
      <c r="OP38" s="1933"/>
      <c r="OQ38" s="1931" t="s">
        <v>2521</v>
      </c>
      <c r="OR38" s="1932"/>
      <c r="OS38" s="1932"/>
      <c r="OT38" s="1933"/>
      <c r="OU38" s="1931" t="s">
        <v>2615</v>
      </c>
      <c r="OV38" s="1932"/>
      <c r="OW38" s="1932"/>
      <c r="OX38" s="1933"/>
      <c r="OY38" s="1931" t="s">
        <v>2511</v>
      </c>
      <c r="OZ38" s="1932"/>
      <c r="PA38" s="1932"/>
      <c r="PB38" s="1933"/>
    </row>
    <row r="39" spans="2:418" ht="15" customHeight="1">
      <c r="B39" s="710" t="s">
        <v>493</v>
      </c>
      <c r="C39" s="711" t="s">
        <v>2619</v>
      </c>
      <c r="D39" s="697" t="s">
        <v>98</v>
      </c>
      <c r="E39" s="697" t="s">
        <v>99</v>
      </c>
      <c r="F39" s="697" t="str">
        <f>F15</f>
        <v>2016-17</v>
      </c>
      <c r="G39" s="697" t="str">
        <f t="shared" ref="G39:I39" si="84">G15</f>
        <v>2017-18</v>
      </c>
      <c r="H39" s="697" t="str">
        <f t="shared" si="84"/>
        <v>2018-19</v>
      </c>
      <c r="I39" s="699" t="str">
        <f t="shared" si="84"/>
        <v>2019-20</v>
      </c>
      <c r="J39" s="1811" t="str">
        <f>$J$15</f>
        <v>2016-17</v>
      </c>
      <c r="K39" s="697" t="str">
        <f>$K$15</f>
        <v>2017-18</v>
      </c>
      <c r="L39" s="697" t="str">
        <f>$L$15</f>
        <v>2018-19</v>
      </c>
      <c r="M39" s="699" t="str">
        <f>$M$15</f>
        <v>2019-20</v>
      </c>
      <c r="N39" s="1811" t="str">
        <f>$J$15</f>
        <v>2016-17</v>
      </c>
      <c r="O39" s="697" t="str">
        <f>$K$15</f>
        <v>2017-18</v>
      </c>
      <c r="P39" s="697" t="str">
        <f>$L$15</f>
        <v>2018-19</v>
      </c>
      <c r="Q39" s="699" t="str">
        <f>$M$15</f>
        <v>2019-20</v>
      </c>
      <c r="R39" s="1811" t="str">
        <f>$J$15</f>
        <v>2016-17</v>
      </c>
      <c r="S39" s="697" t="str">
        <f>$K$15</f>
        <v>2017-18</v>
      </c>
      <c r="T39" s="697" t="str">
        <f>$L$15</f>
        <v>2018-19</v>
      </c>
      <c r="U39" s="699" t="str">
        <f>$M$15</f>
        <v>2019-20</v>
      </c>
      <c r="V39" s="1811" t="str">
        <f>$J$15</f>
        <v>2016-17</v>
      </c>
      <c r="W39" s="697" t="str">
        <f>$K$15</f>
        <v>2017-18</v>
      </c>
      <c r="X39" s="697" t="str">
        <f>$L$15</f>
        <v>2018-19</v>
      </c>
      <c r="Y39" s="699" t="str">
        <f>$M$15</f>
        <v>2019-20</v>
      </c>
      <c r="Z39" s="1811" t="str">
        <f>$J$15</f>
        <v>2016-17</v>
      </c>
      <c r="AA39" s="697" t="str">
        <f>$K$15</f>
        <v>2017-18</v>
      </c>
      <c r="AB39" s="697" t="str">
        <f>$L$15</f>
        <v>2018-19</v>
      </c>
      <c r="AC39" s="699" t="str">
        <f>$M$15</f>
        <v>2019-20</v>
      </c>
      <c r="AD39" s="1811" t="str">
        <f>$J$15</f>
        <v>2016-17</v>
      </c>
      <c r="AE39" s="697" t="str">
        <f>$K$15</f>
        <v>2017-18</v>
      </c>
      <c r="AF39" s="697" t="str">
        <f>$L$15</f>
        <v>2018-19</v>
      </c>
      <c r="AG39" s="699" t="str">
        <f>$M$15</f>
        <v>2019-20</v>
      </c>
      <c r="AH39" s="1811" t="str">
        <f>$J$15</f>
        <v>2016-17</v>
      </c>
      <c r="AI39" s="697" t="str">
        <f>$K$15</f>
        <v>2017-18</v>
      </c>
      <c r="AJ39" s="697" t="str">
        <f>$L$15</f>
        <v>2018-19</v>
      </c>
      <c r="AK39" s="699" t="str">
        <f>$M$15</f>
        <v>2019-20</v>
      </c>
      <c r="AL39" s="1811" t="str">
        <f>$J$15</f>
        <v>2016-17</v>
      </c>
      <c r="AM39" s="697" t="str">
        <f>$K$15</f>
        <v>2017-18</v>
      </c>
      <c r="AN39" s="697" t="str">
        <f>$L$15</f>
        <v>2018-19</v>
      </c>
      <c r="AO39" s="699" t="str">
        <f>$M$15</f>
        <v>2019-20</v>
      </c>
      <c r="AP39" s="1811" t="str">
        <f>$J$15</f>
        <v>2016-17</v>
      </c>
      <c r="AQ39" s="697" t="str">
        <f>$K$15</f>
        <v>2017-18</v>
      </c>
      <c r="AR39" s="697" t="str">
        <f>$L$15</f>
        <v>2018-19</v>
      </c>
      <c r="AS39" s="699" t="str">
        <f>$M$15</f>
        <v>2019-20</v>
      </c>
      <c r="AT39" s="1811" t="str">
        <f>$J$15</f>
        <v>2016-17</v>
      </c>
      <c r="AU39" s="697" t="str">
        <f>$K$15</f>
        <v>2017-18</v>
      </c>
      <c r="AV39" s="697" t="str">
        <f>$L$15</f>
        <v>2018-19</v>
      </c>
      <c r="AW39" s="699" t="str">
        <f>$M$15</f>
        <v>2019-20</v>
      </c>
      <c r="AX39" s="1811" t="str">
        <f>$J$15</f>
        <v>2016-17</v>
      </c>
      <c r="AY39" s="697" t="str">
        <f>$K$15</f>
        <v>2017-18</v>
      </c>
      <c r="AZ39" s="697" t="str">
        <f>$L$15</f>
        <v>2018-19</v>
      </c>
      <c r="BA39" s="699" t="str">
        <f>$M$15</f>
        <v>2019-20</v>
      </c>
      <c r="BB39" s="1811" t="str">
        <f>$J$15</f>
        <v>2016-17</v>
      </c>
      <c r="BC39" s="697" t="str">
        <f>$K$15</f>
        <v>2017-18</v>
      </c>
      <c r="BD39" s="697" t="str">
        <f>$L$15</f>
        <v>2018-19</v>
      </c>
      <c r="BE39" s="699" t="str">
        <f>$M$15</f>
        <v>2019-20</v>
      </c>
      <c r="BF39" s="1811" t="str">
        <f>$J$15</f>
        <v>2016-17</v>
      </c>
      <c r="BG39" s="697" t="str">
        <f>$K$15</f>
        <v>2017-18</v>
      </c>
      <c r="BH39" s="697" t="str">
        <f>$L$15</f>
        <v>2018-19</v>
      </c>
      <c r="BI39" s="699" t="str">
        <f>$M$15</f>
        <v>2019-20</v>
      </c>
      <c r="BJ39" s="1811" t="str">
        <f>$J$15</f>
        <v>2016-17</v>
      </c>
      <c r="BK39" s="697" t="str">
        <f>$K$15</f>
        <v>2017-18</v>
      </c>
      <c r="BL39" s="697" t="str">
        <f>$L$15</f>
        <v>2018-19</v>
      </c>
      <c r="BM39" s="699" t="str">
        <f>$M$15</f>
        <v>2019-20</v>
      </c>
      <c r="BN39" s="1811" t="str">
        <f>$J$15</f>
        <v>2016-17</v>
      </c>
      <c r="BO39" s="697" t="str">
        <f>$K$15</f>
        <v>2017-18</v>
      </c>
      <c r="BP39" s="697" t="str">
        <f>$L$15</f>
        <v>2018-19</v>
      </c>
      <c r="BQ39" s="699" t="str">
        <f>$M$15</f>
        <v>2019-20</v>
      </c>
      <c r="BR39" s="1811" t="str">
        <f>$J$15</f>
        <v>2016-17</v>
      </c>
      <c r="BS39" s="697" t="str">
        <f>$K$15</f>
        <v>2017-18</v>
      </c>
      <c r="BT39" s="697" t="str">
        <f>$L$15</f>
        <v>2018-19</v>
      </c>
      <c r="BU39" s="699" t="str">
        <f>$M$15</f>
        <v>2019-20</v>
      </c>
      <c r="BV39" s="1811" t="str">
        <f>$J$15</f>
        <v>2016-17</v>
      </c>
      <c r="BW39" s="697" t="str">
        <f>$K$15</f>
        <v>2017-18</v>
      </c>
      <c r="BX39" s="697" t="str">
        <f>$L$15</f>
        <v>2018-19</v>
      </c>
      <c r="BY39" s="699" t="str">
        <f>$M$15</f>
        <v>2019-20</v>
      </c>
      <c r="BZ39" s="1811" t="str">
        <f>$J$15</f>
        <v>2016-17</v>
      </c>
      <c r="CA39" s="697" t="str">
        <f>$K$15</f>
        <v>2017-18</v>
      </c>
      <c r="CB39" s="697" t="str">
        <f>$L$15</f>
        <v>2018-19</v>
      </c>
      <c r="CC39" s="699" t="str">
        <f>$M$15</f>
        <v>2019-20</v>
      </c>
      <c r="CD39" s="1811" t="str">
        <f>$J$15</f>
        <v>2016-17</v>
      </c>
      <c r="CE39" s="697" t="str">
        <f>$K$15</f>
        <v>2017-18</v>
      </c>
      <c r="CF39" s="697" t="str">
        <f>$L$15</f>
        <v>2018-19</v>
      </c>
      <c r="CG39" s="699" t="str">
        <f>$M$15</f>
        <v>2019-20</v>
      </c>
      <c r="CH39" s="1811" t="str">
        <f>$J$15</f>
        <v>2016-17</v>
      </c>
      <c r="CI39" s="697" t="str">
        <f>$K$15</f>
        <v>2017-18</v>
      </c>
      <c r="CJ39" s="697" t="str">
        <f>$L$15</f>
        <v>2018-19</v>
      </c>
      <c r="CK39" s="699" t="str">
        <f>$M$15</f>
        <v>2019-20</v>
      </c>
      <c r="CL39" s="1811" t="str">
        <f>$J$15</f>
        <v>2016-17</v>
      </c>
      <c r="CM39" s="697" t="str">
        <f>$K$15</f>
        <v>2017-18</v>
      </c>
      <c r="CN39" s="697" t="str">
        <f>$L$15</f>
        <v>2018-19</v>
      </c>
      <c r="CO39" s="699" t="str">
        <f>$M$15</f>
        <v>2019-20</v>
      </c>
      <c r="CP39" s="1811" t="str">
        <f>$J$15</f>
        <v>2016-17</v>
      </c>
      <c r="CQ39" s="697" t="str">
        <f>$K$15</f>
        <v>2017-18</v>
      </c>
      <c r="CR39" s="697" t="str">
        <f>$L$15</f>
        <v>2018-19</v>
      </c>
      <c r="CS39" s="699" t="str">
        <f>$M$15</f>
        <v>2019-20</v>
      </c>
      <c r="CT39" s="1811" t="str">
        <f>$J$15</f>
        <v>2016-17</v>
      </c>
      <c r="CU39" s="697" t="str">
        <f>$K$15</f>
        <v>2017-18</v>
      </c>
      <c r="CV39" s="697" t="str">
        <f>$L$15</f>
        <v>2018-19</v>
      </c>
      <c r="CW39" s="699" t="str">
        <f>$M$15</f>
        <v>2019-20</v>
      </c>
      <c r="CX39" s="1811" t="str">
        <f>$J$15</f>
        <v>2016-17</v>
      </c>
      <c r="CY39" s="697" t="str">
        <f>$K$15</f>
        <v>2017-18</v>
      </c>
      <c r="CZ39" s="697" t="str">
        <f>$L$15</f>
        <v>2018-19</v>
      </c>
      <c r="DA39" s="699" t="str">
        <f>$M$15</f>
        <v>2019-20</v>
      </c>
      <c r="LF39" s="711" t="s">
        <v>2619</v>
      </c>
      <c r="LG39" s="697" t="str">
        <f>LG15</f>
        <v>2016-17</v>
      </c>
      <c r="LH39" s="697" t="str">
        <f t="shared" ref="LH39:LJ39" si="85">LH15</f>
        <v>2017-18</v>
      </c>
      <c r="LI39" s="697" t="str">
        <f t="shared" si="85"/>
        <v>2018-19</v>
      </c>
      <c r="LJ39" s="698" t="str">
        <f t="shared" si="85"/>
        <v>2019-20</v>
      </c>
      <c r="LK39" s="1811" t="str">
        <f>$J$15</f>
        <v>2016-17</v>
      </c>
      <c r="LL39" s="697" t="str">
        <f>$K$15</f>
        <v>2017-18</v>
      </c>
      <c r="LM39" s="697" t="str">
        <f>$L$15</f>
        <v>2018-19</v>
      </c>
      <c r="LN39" s="699" t="str">
        <f>$M$15</f>
        <v>2019-20</v>
      </c>
      <c r="LO39" s="1811" t="str">
        <f>$J$15</f>
        <v>2016-17</v>
      </c>
      <c r="LP39" s="697" t="str">
        <f>$K$15</f>
        <v>2017-18</v>
      </c>
      <c r="LQ39" s="697" t="str">
        <f>$L$15</f>
        <v>2018-19</v>
      </c>
      <c r="LR39" s="699" t="str">
        <f>$M$15</f>
        <v>2019-20</v>
      </c>
      <c r="LS39" s="1811" t="str">
        <f>$J$15</f>
        <v>2016-17</v>
      </c>
      <c r="LT39" s="697" t="str">
        <f>$K$15</f>
        <v>2017-18</v>
      </c>
      <c r="LU39" s="697" t="str">
        <f>$L$15</f>
        <v>2018-19</v>
      </c>
      <c r="LV39" s="699" t="str">
        <f>$M$15</f>
        <v>2019-20</v>
      </c>
      <c r="LW39" s="1811" t="str">
        <f>$J$15</f>
        <v>2016-17</v>
      </c>
      <c r="LX39" s="697" t="str">
        <f>$K$15</f>
        <v>2017-18</v>
      </c>
      <c r="LY39" s="697" t="str">
        <f>$L$15</f>
        <v>2018-19</v>
      </c>
      <c r="LZ39" s="699" t="str">
        <f>$M$15</f>
        <v>2019-20</v>
      </c>
      <c r="MA39" s="1811" t="str">
        <f>$J$15</f>
        <v>2016-17</v>
      </c>
      <c r="MB39" s="697" t="str">
        <f>$K$15</f>
        <v>2017-18</v>
      </c>
      <c r="MC39" s="697" t="str">
        <f>$L$15</f>
        <v>2018-19</v>
      </c>
      <c r="MD39" s="699" t="str">
        <f>$M$15</f>
        <v>2019-20</v>
      </c>
      <c r="ME39" s="1811" t="str">
        <f>$J$15</f>
        <v>2016-17</v>
      </c>
      <c r="MF39" s="697" t="str">
        <f>$K$15</f>
        <v>2017-18</v>
      </c>
      <c r="MG39" s="697" t="str">
        <f>$L$15</f>
        <v>2018-19</v>
      </c>
      <c r="MH39" s="699" t="str">
        <f>$M$15</f>
        <v>2019-20</v>
      </c>
      <c r="MI39" s="1811" t="str">
        <f>$J$15</f>
        <v>2016-17</v>
      </c>
      <c r="MJ39" s="697" t="str">
        <f>$K$15</f>
        <v>2017-18</v>
      </c>
      <c r="MK39" s="697" t="str">
        <f>$L$15</f>
        <v>2018-19</v>
      </c>
      <c r="ML39" s="699" t="str">
        <f>$M$15</f>
        <v>2019-20</v>
      </c>
      <c r="MM39" s="1811" t="str">
        <f>$J$15</f>
        <v>2016-17</v>
      </c>
      <c r="MN39" s="697" t="str">
        <f>$K$15</f>
        <v>2017-18</v>
      </c>
      <c r="MO39" s="697" t="str">
        <f>$L$15</f>
        <v>2018-19</v>
      </c>
      <c r="MP39" s="699" t="str">
        <f>$M$15</f>
        <v>2019-20</v>
      </c>
      <c r="MQ39" s="1811" t="str">
        <f>$J$15</f>
        <v>2016-17</v>
      </c>
      <c r="MR39" s="697" t="str">
        <f>$K$15</f>
        <v>2017-18</v>
      </c>
      <c r="MS39" s="697" t="str">
        <f>$L$15</f>
        <v>2018-19</v>
      </c>
      <c r="MT39" s="699" t="str">
        <f>$M$15</f>
        <v>2019-20</v>
      </c>
      <c r="MU39" s="1811" t="str">
        <f>$J$15</f>
        <v>2016-17</v>
      </c>
      <c r="MV39" s="697" t="str">
        <f>$K$15</f>
        <v>2017-18</v>
      </c>
      <c r="MW39" s="697" t="str">
        <f>$L$15</f>
        <v>2018-19</v>
      </c>
      <c r="MX39" s="699" t="str">
        <f>$M$15</f>
        <v>2019-20</v>
      </c>
      <c r="MY39" s="1811" t="str">
        <f>$J$15</f>
        <v>2016-17</v>
      </c>
      <c r="MZ39" s="697" t="str">
        <f>$K$15</f>
        <v>2017-18</v>
      </c>
      <c r="NA39" s="697" t="str">
        <f>$L$15</f>
        <v>2018-19</v>
      </c>
      <c r="NB39" s="699" t="str">
        <f>$M$15</f>
        <v>2019-20</v>
      </c>
      <c r="NC39" s="1811" t="str">
        <f>$J$15</f>
        <v>2016-17</v>
      </c>
      <c r="ND39" s="697" t="str">
        <f>$K$15</f>
        <v>2017-18</v>
      </c>
      <c r="NE39" s="697" t="str">
        <f>$L$15</f>
        <v>2018-19</v>
      </c>
      <c r="NF39" s="699" t="str">
        <f>$M$15</f>
        <v>2019-20</v>
      </c>
      <c r="NG39" s="1811" t="str">
        <f>$J$15</f>
        <v>2016-17</v>
      </c>
      <c r="NH39" s="697" t="str">
        <f>$K$15</f>
        <v>2017-18</v>
      </c>
      <c r="NI39" s="697" t="str">
        <f>$L$15</f>
        <v>2018-19</v>
      </c>
      <c r="NJ39" s="699" t="str">
        <f>$M$15</f>
        <v>2019-20</v>
      </c>
      <c r="NK39" s="1811" t="str">
        <f>$J$15</f>
        <v>2016-17</v>
      </c>
      <c r="NL39" s="697" t="str">
        <f>$K$15</f>
        <v>2017-18</v>
      </c>
      <c r="NM39" s="697" t="str">
        <f>$L$15</f>
        <v>2018-19</v>
      </c>
      <c r="NN39" s="699" t="str">
        <f>$M$15</f>
        <v>2019-20</v>
      </c>
      <c r="NO39" s="1811" t="str">
        <f>$J$15</f>
        <v>2016-17</v>
      </c>
      <c r="NP39" s="697" t="str">
        <f>$K$15</f>
        <v>2017-18</v>
      </c>
      <c r="NQ39" s="697" t="str">
        <f>$L$15</f>
        <v>2018-19</v>
      </c>
      <c r="NR39" s="699" t="str">
        <f>$M$15</f>
        <v>2019-20</v>
      </c>
      <c r="NS39" s="1811" t="str">
        <f>$J$15</f>
        <v>2016-17</v>
      </c>
      <c r="NT39" s="697" t="str">
        <f>$K$15</f>
        <v>2017-18</v>
      </c>
      <c r="NU39" s="697" t="str">
        <f>$L$15</f>
        <v>2018-19</v>
      </c>
      <c r="NV39" s="699" t="str">
        <f>$M$15</f>
        <v>2019-20</v>
      </c>
      <c r="NW39" s="1811" t="str">
        <f>$J$15</f>
        <v>2016-17</v>
      </c>
      <c r="NX39" s="697" t="str">
        <f>$K$15</f>
        <v>2017-18</v>
      </c>
      <c r="NY39" s="697" t="str">
        <f>$L$15</f>
        <v>2018-19</v>
      </c>
      <c r="NZ39" s="699" t="str">
        <f>$M$15</f>
        <v>2019-20</v>
      </c>
      <c r="OA39" s="1811" t="str">
        <f>$J$15</f>
        <v>2016-17</v>
      </c>
      <c r="OB39" s="697" t="str">
        <f>$K$15</f>
        <v>2017-18</v>
      </c>
      <c r="OC39" s="697" t="str">
        <f>$L$15</f>
        <v>2018-19</v>
      </c>
      <c r="OD39" s="699" t="str">
        <f>$M$15</f>
        <v>2019-20</v>
      </c>
      <c r="OE39" s="1811" t="str">
        <f>$J$15</f>
        <v>2016-17</v>
      </c>
      <c r="OF39" s="697" t="str">
        <f>$K$15</f>
        <v>2017-18</v>
      </c>
      <c r="OG39" s="697" t="str">
        <f>$L$15</f>
        <v>2018-19</v>
      </c>
      <c r="OH39" s="699" t="str">
        <f>$M$15</f>
        <v>2019-20</v>
      </c>
      <c r="OI39" s="1811" t="str">
        <f>$J$15</f>
        <v>2016-17</v>
      </c>
      <c r="OJ39" s="697" t="str">
        <f>$K$15</f>
        <v>2017-18</v>
      </c>
      <c r="OK39" s="697" t="str">
        <f>$L$15</f>
        <v>2018-19</v>
      </c>
      <c r="OL39" s="699" t="str">
        <f>$M$15</f>
        <v>2019-20</v>
      </c>
      <c r="OM39" s="1811" t="str">
        <f>$J$15</f>
        <v>2016-17</v>
      </c>
      <c r="ON39" s="697" t="str">
        <f>$K$15</f>
        <v>2017-18</v>
      </c>
      <c r="OO39" s="697" t="str">
        <f>$L$15</f>
        <v>2018-19</v>
      </c>
      <c r="OP39" s="699" t="str">
        <f>$M$15</f>
        <v>2019-20</v>
      </c>
      <c r="OQ39" s="1811" t="str">
        <f>$J$15</f>
        <v>2016-17</v>
      </c>
      <c r="OR39" s="697" t="str">
        <f>$K$15</f>
        <v>2017-18</v>
      </c>
      <c r="OS39" s="697" t="str">
        <f>$L$15</f>
        <v>2018-19</v>
      </c>
      <c r="OT39" s="699" t="str">
        <f>$M$15</f>
        <v>2019-20</v>
      </c>
      <c r="OU39" s="1811" t="str">
        <f>$J$15</f>
        <v>2016-17</v>
      </c>
      <c r="OV39" s="697" t="str">
        <f>$K$15</f>
        <v>2017-18</v>
      </c>
      <c r="OW39" s="697" t="str">
        <f>$L$15</f>
        <v>2018-19</v>
      </c>
      <c r="OX39" s="699" t="str">
        <f>$M$15</f>
        <v>2019-20</v>
      </c>
      <c r="OY39" s="1811" t="str">
        <f>$J$15</f>
        <v>2016-17</v>
      </c>
      <c r="OZ39" s="697" t="str">
        <f>$K$15</f>
        <v>2017-18</v>
      </c>
      <c r="PA39" s="697" t="str">
        <f>$L$15</f>
        <v>2018-19</v>
      </c>
      <c r="PB39" s="699" t="str">
        <f>$M$15</f>
        <v>2019-20</v>
      </c>
    </row>
    <row r="40" spans="2:418" ht="15" thickBot="1">
      <c r="B40" s="712">
        <v>8</v>
      </c>
      <c r="C40" s="713" t="s">
        <v>2620</v>
      </c>
      <c r="D40" s="700" t="s">
        <v>2621</v>
      </c>
      <c r="E40" s="714" t="s">
        <v>2622</v>
      </c>
      <c r="F40" s="1964"/>
      <c r="G40" s="1965">
        <v>143</v>
      </c>
      <c r="H40" s="1966"/>
      <c r="I40" s="1967"/>
      <c r="J40" s="1946"/>
      <c r="K40" s="1947" t="s">
        <v>2539</v>
      </c>
      <c r="L40" s="463"/>
      <c r="M40" s="1948"/>
      <c r="N40" s="1946"/>
      <c r="O40" s="1947" t="s">
        <v>2539</v>
      </c>
      <c r="P40" s="463"/>
      <c r="Q40" s="1948"/>
      <c r="R40" s="1946"/>
      <c r="S40" s="1947" t="s">
        <v>2539</v>
      </c>
      <c r="T40" s="463"/>
      <c r="U40" s="1948"/>
      <c r="V40" s="1946"/>
      <c r="W40" s="1947" t="s">
        <v>2539</v>
      </c>
      <c r="X40" s="463"/>
      <c r="Y40" s="1948"/>
      <c r="Z40" s="1946"/>
      <c r="AA40" s="1947" t="s">
        <v>2539</v>
      </c>
      <c r="AB40" s="463"/>
      <c r="AC40" s="1948"/>
      <c r="AD40" s="1946"/>
      <c r="AE40" s="1947" t="s">
        <v>2539</v>
      </c>
      <c r="AF40" s="463"/>
      <c r="AG40" s="1948"/>
      <c r="AH40" s="1946"/>
      <c r="AI40" s="1947" t="s">
        <v>2539</v>
      </c>
      <c r="AJ40" s="463"/>
      <c r="AK40" s="1948"/>
      <c r="AL40" s="1946"/>
      <c r="AM40" s="1947" t="s">
        <v>2539</v>
      </c>
      <c r="AN40" s="463"/>
      <c r="AO40" s="1948"/>
      <c r="AP40" s="1946"/>
      <c r="AQ40" s="1947" t="s">
        <v>2539</v>
      </c>
      <c r="AR40" s="463"/>
      <c r="AS40" s="1948"/>
      <c r="AT40" s="1946"/>
      <c r="AU40" s="1947" t="s">
        <v>2540</v>
      </c>
      <c r="AV40" s="463"/>
      <c r="AW40" s="1948"/>
      <c r="AX40" s="1946"/>
      <c r="AY40" s="1947" t="s">
        <v>2539</v>
      </c>
      <c r="AZ40" s="463"/>
      <c r="BA40" s="1948"/>
      <c r="BB40" s="1946"/>
      <c r="BC40" s="1947" t="s">
        <v>2540</v>
      </c>
      <c r="BD40" s="463"/>
      <c r="BE40" s="1948"/>
      <c r="BF40" s="1946"/>
      <c r="BG40" s="1947" t="s">
        <v>2539</v>
      </c>
      <c r="BH40" s="463"/>
      <c r="BI40" s="1948"/>
      <c r="BJ40" s="1946"/>
      <c r="BK40" s="1947" t="s">
        <v>2539</v>
      </c>
      <c r="BL40" s="463"/>
      <c r="BM40" s="1948"/>
      <c r="BN40" s="1946"/>
      <c r="BO40" s="1947" t="s">
        <v>2539</v>
      </c>
      <c r="BP40" s="463"/>
      <c r="BQ40" s="1948"/>
      <c r="BR40" s="1946"/>
      <c r="BS40" s="1947" t="s">
        <v>2539</v>
      </c>
      <c r="BT40" s="463"/>
      <c r="BU40" s="1948"/>
      <c r="BV40" s="1946"/>
      <c r="BW40" s="1947" t="s">
        <v>2540</v>
      </c>
      <c r="BX40" s="463"/>
      <c r="BY40" s="1948"/>
      <c r="BZ40" s="1946"/>
      <c r="CA40" s="1947" t="s">
        <v>2539</v>
      </c>
      <c r="CB40" s="463"/>
      <c r="CC40" s="1948"/>
      <c r="CD40" s="1946"/>
      <c r="CE40" s="1947" t="s">
        <v>2539</v>
      </c>
      <c r="CF40" s="463"/>
      <c r="CG40" s="1948"/>
      <c r="CH40" s="1946"/>
      <c r="CI40" s="1947" t="s">
        <v>2539</v>
      </c>
      <c r="CJ40" s="463"/>
      <c r="CK40" s="1948"/>
      <c r="CL40" s="1946"/>
      <c r="CM40" s="1947"/>
      <c r="CN40" s="463"/>
      <c r="CO40" s="1948"/>
      <c r="CP40" s="1946"/>
      <c r="CQ40" s="1947"/>
      <c r="CR40" s="463"/>
      <c r="CS40" s="1948"/>
      <c r="CT40" s="1946"/>
      <c r="CU40" s="1947" t="s">
        <v>2539</v>
      </c>
      <c r="CV40" s="463"/>
      <c r="CW40" s="1948"/>
      <c r="CX40" s="1946"/>
      <c r="CY40" s="1947" t="s">
        <v>2539</v>
      </c>
      <c r="CZ40" s="463"/>
      <c r="DA40" s="1948"/>
      <c r="LC40" s="436" t="str">
        <f xml:space="preserve"> IF( SUM( LE40:XC40 ) = 0, 0, $LG$3 )</f>
        <v>Please complete all cells in row</v>
      </c>
      <c r="LH40" s="86">
        <f>IF(ISNUMBER(G40),0,1)</f>
        <v>0</v>
      </c>
      <c r="LL40" s="86">
        <f>IF(ISBLANK(K40),1,0)</f>
        <v>0</v>
      </c>
      <c r="LP40" s="86">
        <f>IF(ISBLANK(O40),1,0)</f>
        <v>0</v>
      </c>
      <c r="LT40" s="86">
        <f>IF(ISBLANK(S40),1,0)</f>
        <v>0</v>
      </c>
      <c r="LX40" s="86">
        <f>IF(ISBLANK(W40),1,0)</f>
        <v>0</v>
      </c>
      <c r="MB40" s="86">
        <f>IF(ISBLANK(AA40),1,0)</f>
        <v>0</v>
      </c>
      <c r="MF40" s="86">
        <f>IF(ISBLANK(AE40),1,0)</f>
        <v>0</v>
      </c>
      <c r="MJ40" s="86">
        <f>IF(ISBLANK(AI40),1,0)</f>
        <v>0</v>
      </c>
      <c r="MN40" s="86">
        <f>IF(ISBLANK(AM40),1,0)</f>
        <v>0</v>
      </c>
      <c r="MR40" s="86">
        <f>IF(ISBLANK(AQ40),1,0)</f>
        <v>0</v>
      </c>
      <c r="MV40" s="86">
        <f>IF(ISBLANK(AU40),1,0)</f>
        <v>0</v>
      </c>
      <c r="MZ40" s="86">
        <f>IF(ISBLANK(AY40),1,0)</f>
        <v>0</v>
      </c>
      <c r="ND40" s="86">
        <f>IF(ISBLANK(BC40),1,0)</f>
        <v>0</v>
      </c>
      <c r="NH40" s="86">
        <f>IF(ISBLANK(BG40),1,0)</f>
        <v>0</v>
      </c>
      <c r="NL40" s="86">
        <f>IF(ISBLANK(BK40),1,0)</f>
        <v>0</v>
      </c>
      <c r="NP40" s="86">
        <f>IF(ISBLANK(BO40),1,0)</f>
        <v>0</v>
      </c>
      <c r="NT40" s="86">
        <f>IF(ISBLANK(BS40),1,0)</f>
        <v>0</v>
      </c>
      <c r="NX40" s="86">
        <f>IF(ISBLANK(BW40),1,0)</f>
        <v>0</v>
      </c>
      <c r="OB40" s="86">
        <f>IF(ISBLANK(CA40),1,0)</f>
        <v>0</v>
      </c>
      <c r="OF40" s="86">
        <f>IF(ISBLANK(CE40),1,0)</f>
        <v>0</v>
      </c>
      <c r="OJ40" s="86">
        <f>IF(ISBLANK(CI40),1,0)</f>
        <v>0</v>
      </c>
      <c r="ON40" s="86">
        <f>IF(ISBLANK(CM40),1,0)</f>
        <v>1</v>
      </c>
      <c r="OR40" s="86">
        <f>IF(ISBLANK(CQ40),1,0)</f>
        <v>1</v>
      </c>
      <c r="OV40" s="86">
        <f>IF(ISBLANK(CU40),1,0)</f>
        <v>0</v>
      </c>
      <c r="OZ40" s="86">
        <f>IF(ISBLANK(CY40),1,0)</f>
        <v>0</v>
      </c>
    </row>
    <row r="41" spans="2:418" ht="15.75" customHeight="1"/>
    <row r="42" spans="2:418" ht="18.75" customHeight="1"/>
    <row r="43" spans="2:418" ht="18.75" customHeight="1" thickBot="1">
      <c r="B43" s="708"/>
      <c r="C43" s="709"/>
      <c r="D43" s="696"/>
      <c r="E43" s="696"/>
      <c r="F43" s="696"/>
      <c r="G43" s="715"/>
      <c r="H43" s="715"/>
      <c r="I43" s="715"/>
    </row>
    <row r="44" spans="2:418" ht="15" customHeight="1">
      <c r="B44" s="710" t="s">
        <v>1970</v>
      </c>
      <c r="C44" s="711" t="s">
        <v>2623</v>
      </c>
      <c r="D44" s="697" t="s">
        <v>98</v>
      </c>
      <c r="E44" s="697" t="s">
        <v>99</v>
      </c>
      <c r="F44" s="697" t="str">
        <f>F15</f>
        <v>2016-17</v>
      </c>
      <c r="G44" s="697" t="str">
        <f t="shared" ref="G44:I44" si="86">G15</f>
        <v>2017-18</v>
      </c>
      <c r="H44" s="697" t="str">
        <f t="shared" si="86"/>
        <v>2018-19</v>
      </c>
      <c r="I44" s="699" t="str">
        <f t="shared" si="86"/>
        <v>2019-20</v>
      </c>
      <c r="LF44" s="711" t="s">
        <v>2623</v>
      </c>
      <c r="LG44" s="697" t="str">
        <f>LG15</f>
        <v>2016-17</v>
      </c>
      <c r="LH44" s="697" t="str">
        <f t="shared" ref="LH44:LJ44" si="87">LH15</f>
        <v>2017-18</v>
      </c>
      <c r="LI44" s="697" t="str">
        <f t="shared" si="87"/>
        <v>2018-19</v>
      </c>
      <c r="LJ44" s="699" t="str">
        <f t="shared" si="87"/>
        <v>2019-20</v>
      </c>
    </row>
    <row r="45" spans="2:418" ht="45" customHeight="1" thickBot="1">
      <c r="B45" s="712">
        <v>9</v>
      </c>
      <c r="C45" s="713" t="s">
        <v>2624</v>
      </c>
      <c r="D45" s="700" t="s">
        <v>10</v>
      </c>
      <c r="E45" s="714" t="s">
        <v>2586</v>
      </c>
      <c r="F45" s="1960"/>
      <c r="G45" s="1961">
        <v>0.83399999999999996</v>
      </c>
      <c r="H45" s="1962"/>
      <c r="I45" s="1968"/>
      <c r="LC45" s="436">
        <f xml:space="preserve"> IF( SUM( LE45:XC45 ) = 0, 0, $LG$3 )</f>
        <v>0</v>
      </c>
      <c r="LH45" s="86">
        <f>IF(ISNUMBER(G45),0,1)</f>
        <v>0</v>
      </c>
    </row>
    <row r="46" spans="2:418" ht="15" thickBot="1"/>
    <row r="47" spans="2:418" ht="18.75" customHeight="1">
      <c r="J47" s="1924" t="s">
        <v>2625</v>
      </c>
      <c r="K47" s="1925"/>
      <c r="L47" s="1925"/>
      <c r="M47" s="1926"/>
      <c r="N47" s="1924" t="s">
        <v>2626</v>
      </c>
      <c r="O47" s="1925"/>
      <c r="P47" s="1925"/>
      <c r="Q47" s="1926"/>
      <c r="R47" s="1924" t="s">
        <v>2626</v>
      </c>
      <c r="S47" s="1925"/>
      <c r="T47" s="1925"/>
      <c r="U47" s="1926"/>
      <c r="V47" s="1924" t="s">
        <v>2626</v>
      </c>
      <c r="W47" s="1925"/>
      <c r="X47" s="1925"/>
      <c r="Y47" s="1926"/>
      <c r="Z47" s="1924" t="s">
        <v>2626</v>
      </c>
      <c r="AA47" s="1925"/>
      <c r="AB47" s="1925"/>
      <c r="AC47" s="1926"/>
      <c r="AD47" s="1924" t="s">
        <v>2626</v>
      </c>
      <c r="AE47" s="1925"/>
      <c r="AF47" s="1925"/>
      <c r="AG47" s="1926"/>
      <c r="AH47" s="1924" t="s">
        <v>2627</v>
      </c>
      <c r="AI47" s="1925"/>
      <c r="AJ47" s="1925"/>
      <c r="AK47" s="1926"/>
      <c r="AL47" s="1924" t="s">
        <v>2627</v>
      </c>
      <c r="AM47" s="1925"/>
      <c r="AN47" s="1925"/>
      <c r="AO47" s="1926"/>
      <c r="AP47" s="1924" t="s">
        <v>2628</v>
      </c>
      <c r="AQ47" s="1925"/>
      <c r="AR47" s="1925"/>
      <c r="AS47" s="1926"/>
      <c r="AT47" s="1924" t="s">
        <v>2629</v>
      </c>
      <c r="AU47" s="1925"/>
      <c r="AV47" s="1925"/>
      <c r="AW47" s="1926"/>
      <c r="AX47" s="1924" t="s">
        <v>2630</v>
      </c>
      <c r="AY47" s="1925"/>
      <c r="AZ47" s="1925"/>
      <c r="BA47" s="1926"/>
      <c r="LK47" s="1924" t="s">
        <v>2625</v>
      </c>
      <c r="LL47" s="1925"/>
      <c r="LM47" s="1925"/>
      <c r="LN47" s="1926"/>
      <c r="LO47" s="1924" t="s">
        <v>2626</v>
      </c>
      <c r="LP47" s="1925"/>
      <c r="LQ47" s="1925"/>
      <c r="LR47" s="1926"/>
      <c r="LS47" s="1924" t="s">
        <v>2626</v>
      </c>
      <c r="LT47" s="1925"/>
      <c r="LU47" s="1925"/>
      <c r="LV47" s="1926"/>
      <c r="LW47" s="1924" t="s">
        <v>2626</v>
      </c>
      <c r="LX47" s="1925"/>
      <c r="LY47" s="1925"/>
      <c r="LZ47" s="1926"/>
      <c r="MA47" s="1924" t="s">
        <v>2626</v>
      </c>
      <c r="MB47" s="1925"/>
      <c r="MC47" s="1925"/>
      <c r="MD47" s="1926"/>
      <c r="ME47" s="1924" t="s">
        <v>2626</v>
      </c>
      <c r="MF47" s="1925"/>
      <c r="MG47" s="1925"/>
      <c r="MH47" s="1926"/>
      <c r="MI47" s="1924" t="s">
        <v>2627</v>
      </c>
      <c r="MJ47" s="1925"/>
      <c r="MK47" s="1925"/>
      <c r="ML47" s="1926"/>
      <c r="MM47" s="1924" t="s">
        <v>2627</v>
      </c>
      <c r="MN47" s="1925"/>
      <c r="MO47" s="1925"/>
      <c r="MP47" s="1926"/>
      <c r="MQ47" s="1924" t="s">
        <v>2628</v>
      </c>
      <c r="MR47" s="1925"/>
      <c r="MS47" s="1925"/>
      <c r="MT47" s="1926"/>
      <c r="MU47" s="1924" t="s">
        <v>2629</v>
      </c>
      <c r="MV47" s="1925"/>
      <c r="MW47" s="1925"/>
      <c r="MX47" s="1926"/>
      <c r="MY47" s="1924" t="s">
        <v>2630</v>
      </c>
      <c r="MZ47" s="1925"/>
      <c r="NA47" s="1925"/>
      <c r="NB47" s="1926"/>
    </row>
    <row r="48" spans="2:418" ht="30" customHeight="1" thickBot="1">
      <c r="B48" s="715"/>
      <c r="C48" s="716"/>
      <c r="D48" s="715"/>
      <c r="E48" s="715"/>
      <c r="F48" s="1969"/>
      <c r="G48" s="1969"/>
      <c r="H48" s="1969"/>
      <c r="I48" s="1969"/>
      <c r="J48" s="1949" t="s">
        <v>2382</v>
      </c>
      <c r="K48" s="1950"/>
      <c r="L48" s="1950"/>
      <c r="M48" s="1951"/>
      <c r="N48" s="1949" t="s">
        <v>2631</v>
      </c>
      <c r="O48" s="1950"/>
      <c r="P48" s="1950"/>
      <c r="Q48" s="1951"/>
      <c r="R48" s="1949" t="s">
        <v>2632</v>
      </c>
      <c r="S48" s="1950"/>
      <c r="T48" s="1950"/>
      <c r="U48" s="1951"/>
      <c r="V48" s="1970" t="s">
        <v>2633</v>
      </c>
      <c r="W48" s="1950"/>
      <c r="X48" s="1950"/>
      <c r="Y48" s="1951"/>
      <c r="Z48" s="1949" t="s">
        <v>2634</v>
      </c>
      <c r="AA48" s="1950"/>
      <c r="AB48" s="1950"/>
      <c r="AC48" s="1951"/>
      <c r="AD48" s="1949" t="s">
        <v>2635</v>
      </c>
      <c r="AE48" s="1950"/>
      <c r="AF48" s="1950"/>
      <c r="AG48" s="1951"/>
      <c r="AH48" s="1949" t="s">
        <v>2636</v>
      </c>
      <c r="AI48" s="1950"/>
      <c r="AJ48" s="1950"/>
      <c r="AK48" s="1951"/>
      <c r="AL48" s="1949" t="s">
        <v>2637</v>
      </c>
      <c r="AM48" s="1950"/>
      <c r="AN48" s="1950"/>
      <c r="AO48" s="1951"/>
      <c r="AP48" s="1949" t="s">
        <v>2389</v>
      </c>
      <c r="AQ48" s="1950"/>
      <c r="AR48" s="1950"/>
      <c r="AS48" s="1951"/>
      <c r="AT48" s="1949" t="s">
        <v>2400</v>
      </c>
      <c r="AU48" s="1950"/>
      <c r="AV48" s="1950"/>
      <c r="AW48" s="1951"/>
      <c r="AX48" s="1949" t="s">
        <v>2407</v>
      </c>
      <c r="AY48" s="1950"/>
      <c r="AZ48" s="1950"/>
      <c r="BA48" s="1951"/>
      <c r="LG48" s="1969"/>
      <c r="LH48" s="1969"/>
      <c r="LI48" s="1969"/>
      <c r="LJ48" s="1969"/>
      <c r="LK48" s="1949" t="s">
        <v>2382</v>
      </c>
      <c r="LL48" s="1950"/>
      <c r="LM48" s="1950"/>
      <c r="LN48" s="1951"/>
      <c r="LO48" s="1949" t="s">
        <v>2631</v>
      </c>
      <c r="LP48" s="1950"/>
      <c r="LQ48" s="1950"/>
      <c r="LR48" s="1951"/>
      <c r="LS48" s="1949" t="s">
        <v>2632</v>
      </c>
      <c r="LT48" s="1950"/>
      <c r="LU48" s="1950"/>
      <c r="LV48" s="1951"/>
      <c r="LW48" s="1970" t="s">
        <v>2633</v>
      </c>
      <c r="LX48" s="1950"/>
      <c r="LY48" s="1950"/>
      <c r="LZ48" s="1951"/>
      <c r="MA48" s="1949" t="s">
        <v>2634</v>
      </c>
      <c r="MB48" s="1950"/>
      <c r="MC48" s="1950"/>
      <c r="MD48" s="1951"/>
      <c r="ME48" s="1949" t="s">
        <v>2635</v>
      </c>
      <c r="MF48" s="1950"/>
      <c r="MG48" s="1950"/>
      <c r="MH48" s="1951"/>
      <c r="MI48" s="1949" t="s">
        <v>2636</v>
      </c>
      <c r="MJ48" s="1950"/>
      <c r="MK48" s="1950"/>
      <c r="ML48" s="1951"/>
      <c r="MM48" s="1949" t="s">
        <v>2637</v>
      </c>
      <c r="MN48" s="1950"/>
      <c r="MO48" s="1950"/>
      <c r="MP48" s="1951"/>
      <c r="MQ48" s="1949" t="s">
        <v>2389</v>
      </c>
      <c r="MR48" s="1950"/>
      <c r="MS48" s="1950"/>
      <c r="MT48" s="1951"/>
      <c r="MU48" s="1949" t="s">
        <v>2400</v>
      </c>
      <c r="MV48" s="1950"/>
      <c r="MW48" s="1950"/>
      <c r="MX48" s="1951"/>
      <c r="MY48" s="1949" t="s">
        <v>2407</v>
      </c>
      <c r="MZ48" s="1950"/>
      <c r="NA48" s="1950"/>
      <c r="NB48" s="1951"/>
    </row>
    <row r="49" spans="2:366">
      <c r="B49" s="710" t="s">
        <v>1971</v>
      </c>
      <c r="C49" s="711" t="s">
        <v>2638</v>
      </c>
      <c r="D49" s="697" t="str">
        <f t="shared" ref="D49:I49" si="88">D15</f>
        <v>Units</v>
      </c>
      <c r="E49" s="697" t="str">
        <f t="shared" si="88"/>
        <v>DPs</v>
      </c>
      <c r="F49" s="697" t="str">
        <f t="shared" si="88"/>
        <v>2016-17</v>
      </c>
      <c r="G49" s="697" t="str">
        <f t="shared" si="88"/>
        <v>2017-18</v>
      </c>
      <c r="H49" s="697" t="str">
        <f t="shared" si="88"/>
        <v>2018-19</v>
      </c>
      <c r="I49" s="698" t="str">
        <f t="shared" si="88"/>
        <v>2019-20</v>
      </c>
      <c r="J49" s="1811" t="str">
        <f>$J$15</f>
        <v>2016-17</v>
      </c>
      <c r="K49" s="697" t="str">
        <f>$K$15</f>
        <v>2017-18</v>
      </c>
      <c r="L49" s="697" t="str">
        <f>$L$15</f>
        <v>2018-19</v>
      </c>
      <c r="M49" s="699" t="str">
        <f>$M$15</f>
        <v>2019-20</v>
      </c>
      <c r="N49" s="1811" t="str">
        <f>$J$15</f>
        <v>2016-17</v>
      </c>
      <c r="O49" s="697" t="str">
        <f>$K$15</f>
        <v>2017-18</v>
      </c>
      <c r="P49" s="697" t="str">
        <f>$L$15</f>
        <v>2018-19</v>
      </c>
      <c r="Q49" s="699" t="str">
        <f>$M$15</f>
        <v>2019-20</v>
      </c>
      <c r="R49" s="1811" t="str">
        <f>$J$15</f>
        <v>2016-17</v>
      </c>
      <c r="S49" s="697" t="str">
        <f>$K$15</f>
        <v>2017-18</v>
      </c>
      <c r="T49" s="697" t="str">
        <f>$L$15</f>
        <v>2018-19</v>
      </c>
      <c r="U49" s="699" t="str">
        <f>$M$15</f>
        <v>2019-20</v>
      </c>
      <c r="V49" s="1811" t="str">
        <f>$J$15</f>
        <v>2016-17</v>
      </c>
      <c r="W49" s="697" t="str">
        <f>$K$15</f>
        <v>2017-18</v>
      </c>
      <c r="X49" s="697" t="str">
        <f>$L$15</f>
        <v>2018-19</v>
      </c>
      <c r="Y49" s="699" t="str">
        <f>$M$15</f>
        <v>2019-20</v>
      </c>
      <c r="Z49" s="1811" t="str">
        <f>$J$15</f>
        <v>2016-17</v>
      </c>
      <c r="AA49" s="697" t="str">
        <f>$K$15</f>
        <v>2017-18</v>
      </c>
      <c r="AB49" s="697" t="str">
        <f>$L$15</f>
        <v>2018-19</v>
      </c>
      <c r="AC49" s="699" t="str">
        <f>$M$15</f>
        <v>2019-20</v>
      </c>
      <c r="AD49" s="1811" t="str">
        <f>$J$15</f>
        <v>2016-17</v>
      </c>
      <c r="AE49" s="697" t="str">
        <f>$K$15</f>
        <v>2017-18</v>
      </c>
      <c r="AF49" s="697" t="str">
        <f>$L$15</f>
        <v>2018-19</v>
      </c>
      <c r="AG49" s="699" t="str">
        <f>$M$15</f>
        <v>2019-20</v>
      </c>
      <c r="AH49" s="1811" t="str">
        <f>$J$15</f>
        <v>2016-17</v>
      </c>
      <c r="AI49" s="697" t="str">
        <f>$K$15</f>
        <v>2017-18</v>
      </c>
      <c r="AJ49" s="697" t="str">
        <f>$L$15</f>
        <v>2018-19</v>
      </c>
      <c r="AK49" s="699" t="str">
        <f>$M$15</f>
        <v>2019-20</v>
      </c>
      <c r="AL49" s="1811" t="str">
        <f>$J$15</f>
        <v>2016-17</v>
      </c>
      <c r="AM49" s="697" t="str">
        <f>$K$15</f>
        <v>2017-18</v>
      </c>
      <c r="AN49" s="697" t="str">
        <f>$L$15</f>
        <v>2018-19</v>
      </c>
      <c r="AO49" s="699" t="str">
        <f>$M$15</f>
        <v>2019-20</v>
      </c>
      <c r="AP49" s="1811" t="str">
        <f>$J$15</f>
        <v>2016-17</v>
      </c>
      <c r="AQ49" s="697" t="str">
        <f>$K$15</f>
        <v>2017-18</v>
      </c>
      <c r="AR49" s="697" t="str">
        <f>$L$15</f>
        <v>2018-19</v>
      </c>
      <c r="AS49" s="699" t="str">
        <f>$M$15</f>
        <v>2019-20</v>
      </c>
      <c r="AT49" s="1811" t="str">
        <f>$J$15</f>
        <v>2016-17</v>
      </c>
      <c r="AU49" s="697" t="str">
        <f>$K$15</f>
        <v>2017-18</v>
      </c>
      <c r="AV49" s="697" t="str">
        <f>$L$15</f>
        <v>2018-19</v>
      </c>
      <c r="AW49" s="699" t="str">
        <f>$M$15</f>
        <v>2019-20</v>
      </c>
      <c r="AX49" s="1811" t="str">
        <f>$J$15</f>
        <v>2016-17</v>
      </c>
      <c r="AY49" s="697" t="str">
        <f>$K$15</f>
        <v>2017-18</v>
      </c>
      <c r="AZ49" s="697" t="str">
        <f>$L$15</f>
        <v>2018-19</v>
      </c>
      <c r="BA49" s="699" t="str">
        <f>$M$15</f>
        <v>2019-20</v>
      </c>
      <c r="LF49" s="711" t="s">
        <v>2638</v>
      </c>
      <c r="LG49" s="697" t="str">
        <f t="shared" ref="LG49:LJ49" si="89">LG15</f>
        <v>2016-17</v>
      </c>
      <c r="LH49" s="697" t="str">
        <f t="shared" si="89"/>
        <v>2017-18</v>
      </c>
      <c r="LI49" s="697" t="str">
        <f t="shared" si="89"/>
        <v>2018-19</v>
      </c>
      <c r="LJ49" s="698" t="str">
        <f t="shared" si="89"/>
        <v>2019-20</v>
      </c>
      <c r="LK49" s="1811" t="str">
        <f>$J$15</f>
        <v>2016-17</v>
      </c>
      <c r="LL49" s="697" t="str">
        <f>$K$15</f>
        <v>2017-18</v>
      </c>
      <c r="LM49" s="697" t="str">
        <f>$L$15</f>
        <v>2018-19</v>
      </c>
      <c r="LN49" s="699" t="str">
        <f>$M$15</f>
        <v>2019-20</v>
      </c>
      <c r="LO49" s="1811" t="str">
        <f>$J$15</f>
        <v>2016-17</v>
      </c>
      <c r="LP49" s="697" t="str">
        <f>$K$15</f>
        <v>2017-18</v>
      </c>
      <c r="LQ49" s="697" t="str">
        <f>$L$15</f>
        <v>2018-19</v>
      </c>
      <c r="LR49" s="699" t="str">
        <f>$M$15</f>
        <v>2019-20</v>
      </c>
      <c r="LS49" s="1811" t="str">
        <f>$J$15</f>
        <v>2016-17</v>
      </c>
      <c r="LT49" s="697" t="str">
        <f>$K$15</f>
        <v>2017-18</v>
      </c>
      <c r="LU49" s="697" t="str">
        <f>$L$15</f>
        <v>2018-19</v>
      </c>
      <c r="LV49" s="699" t="str">
        <f>$M$15</f>
        <v>2019-20</v>
      </c>
      <c r="LW49" s="1811" t="str">
        <f>$J$15</f>
        <v>2016-17</v>
      </c>
      <c r="LX49" s="697" t="str">
        <f>$K$15</f>
        <v>2017-18</v>
      </c>
      <c r="LY49" s="697" t="str">
        <f>$L$15</f>
        <v>2018-19</v>
      </c>
      <c r="LZ49" s="699" t="str">
        <f>$M$15</f>
        <v>2019-20</v>
      </c>
      <c r="MA49" s="1811" t="str">
        <f>$J$15</f>
        <v>2016-17</v>
      </c>
      <c r="MB49" s="697" t="str">
        <f>$K$15</f>
        <v>2017-18</v>
      </c>
      <c r="MC49" s="697" t="str">
        <f>$L$15</f>
        <v>2018-19</v>
      </c>
      <c r="MD49" s="699" t="str">
        <f>$M$15</f>
        <v>2019-20</v>
      </c>
      <c r="ME49" s="1811" t="str">
        <f>$J$15</f>
        <v>2016-17</v>
      </c>
      <c r="MF49" s="697" t="str">
        <f>$K$15</f>
        <v>2017-18</v>
      </c>
      <c r="MG49" s="697" t="str">
        <f>$L$15</f>
        <v>2018-19</v>
      </c>
      <c r="MH49" s="699" t="str">
        <f>$M$15</f>
        <v>2019-20</v>
      </c>
      <c r="MI49" s="1811" t="str">
        <f>$J$15</f>
        <v>2016-17</v>
      </c>
      <c r="MJ49" s="697" t="str">
        <f>$K$15</f>
        <v>2017-18</v>
      </c>
      <c r="MK49" s="697" t="str">
        <f>$L$15</f>
        <v>2018-19</v>
      </c>
      <c r="ML49" s="699" t="str">
        <f>$M$15</f>
        <v>2019-20</v>
      </c>
      <c r="MM49" s="1811" t="str">
        <f>$J$15</f>
        <v>2016-17</v>
      </c>
      <c r="MN49" s="697" t="str">
        <f>$K$15</f>
        <v>2017-18</v>
      </c>
      <c r="MO49" s="697" t="str">
        <f>$L$15</f>
        <v>2018-19</v>
      </c>
      <c r="MP49" s="699" t="str">
        <f>$M$15</f>
        <v>2019-20</v>
      </c>
      <c r="MQ49" s="1811" t="str">
        <f>$J$15</f>
        <v>2016-17</v>
      </c>
      <c r="MR49" s="697" t="str">
        <f>$K$15</f>
        <v>2017-18</v>
      </c>
      <c r="MS49" s="697" t="str">
        <f>$L$15</f>
        <v>2018-19</v>
      </c>
      <c r="MT49" s="699" t="str">
        <f>$M$15</f>
        <v>2019-20</v>
      </c>
      <c r="MU49" s="1811" t="str">
        <f>$J$15</f>
        <v>2016-17</v>
      </c>
      <c r="MV49" s="697" t="str">
        <f>$K$15</f>
        <v>2017-18</v>
      </c>
      <c r="MW49" s="697" t="str">
        <f>$L$15</f>
        <v>2018-19</v>
      </c>
      <c r="MX49" s="699" t="str">
        <f>$M$15</f>
        <v>2019-20</v>
      </c>
      <c r="MY49" s="1811" t="str">
        <f>$J$15</f>
        <v>2016-17</v>
      </c>
      <c r="MZ49" s="697" t="str">
        <f>$K$15</f>
        <v>2017-18</v>
      </c>
      <c r="NA49" s="697" t="str">
        <f>$L$15</f>
        <v>2018-19</v>
      </c>
      <c r="NB49" s="699" t="str">
        <f>$M$15</f>
        <v>2019-20</v>
      </c>
    </row>
    <row r="50" spans="2:366" ht="26.25" thickBot="1">
      <c r="B50" s="712">
        <v>10</v>
      </c>
      <c r="C50" s="713" t="s">
        <v>2639</v>
      </c>
      <c r="D50" s="700" t="s">
        <v>11</v>
      </c>
      <c r="E50" s="700">
        <v>0</v>
      </c>
      <c r="F50" s="1964"/>
      <c r="G50" s="1965">
        <v>1168</v>
      </c>
      <c r="H50" s="1966"/>
      <c r="I50" s="1967"/>
      <c r="J50" s="1946"/>
      <c r="K50" s="1947" t="s">
        <v>2539</v>
      </c>
      <c r="L50" s="463"/>
      <c r="M50" s="1948"/>
      <c r="N50" s="1946"/>
      <c r="O50" s="1947" t="s">
        <v>2540</v>
      </c>
      <c r="P50" s="463"/>
      <c r="Q50" s="1948"/>
      <c r="R50" s="1946"/>
      <c r="S50" s="1947" t="s">
        <v>2539</v>
      </c>
      <c r="T50" s="463"/>
      <c r="U50" s="1948"/>
      <c r="V50" s="1946"/>
      <c r="W50" s="1947" t="s">
        <v>2539</v>
      </c>
      <c r="X50" s="463"/>
      <c r="Y50" s="1948"/>
      <c r="Z50" s="1946"/>
      <c r="AA50" s="1947" t="s">
        <v>2539</v>
      </c>
      <c r="AB50" s="463"/>
      <c r="AC50" s="1948"/>
      <c r="AD50" s="1946"/>
      <c r="AE50" s="1947" t="s">
        <v>2540</v>
      </c>
      <c r="AF50" s="463"/>
      <c r="AG50" s="1948"/>
      <c r="AH50" s="1946"/>
      <c r="AI50" s="1947" t="s">
        <v>2539</v>
      </c>
      <c r="AJ50" s="463"/>
      <c r="AK50" s="1948"/>
      <c r="AL50" s="1946"/>
      <c r="AM50" s="1947" t="s">
        <v>2539</v>
      </c>
      <c r="AN50" s="463"/>
      <c r="AO50" s="1948"/>
      <c r="AP50" s="1946"/>
      <c r="AQ50" s="1947" t="s">
        <v>2539</v>
      </c>
      <c r="AR50" s="463"/>
      <c r="AS50" s="1948"/>
      <c r="AT50" s="1946"/>
      <c r="AU50" s="1947" t="s">
        <v>2539</v>
      </c>
      <c r="AV50" s="463"/>
      <c r="AW50" s="1948"/>
      <c r="AX50" s="1946"/>
      <c r="AY50" s="1947" t="s">
        <v>2539</v>
      </c>
      <c r="AZ50" s="463"/>
      <c r="BA50" s="1948"/>
      <c r="LC50" s="436">
        <f xml:space="preserve"> IF( SUM( LE50:XC50 ) = 0, 0, $LG$3 )</f>
        <v>0</v>
      </c>
      <c r="LH50" s="86">
        <f>IF(ISNUMBER(G50),0,1)</f>
        <v>0</v>
      </c>
      <c r="LL50" s="86">
        <f>IF(ISBLANK(K50),1,0)</f>
        <v>0</v>
      </c>
      <c r="LP50" s="86">
        <f>IF(ISBLANK(O50),1,0)</f>
        <v>0</v>
      </c>
      <c r="LT50" s="86">
        <f>IF(ISBLANK(S50),1,0)</f>
        <v>0</v>
      </c>
      <c r="LX50" s="86">
        <f>IF(ISBLANK(W50),1,0)</f>
        <v>0</v>
      </c>
      <c r="MB50" s="86">
        <f>IF(ISBLANK(AA50),1,0)</f>
        <v>0</v>
      </c>
      <c r="MF50" s="86">
        <f>IF(ISBLANK(AE50),1,0)</f>
        <v>0</v>
      </c>
      <c r="MJ50" s="86">
        <f>IF(ISBLANK(AI50),1,0)</f>
        <v>0</v>
      </c>
      <c r="MN50" s="86">
        <f>IF(ISBLANK(AM50),1,0)</f>
        <v>0</v>
      </c>
      <c r="MR50" s="86">
        <f>IF(ISBLANK(AQ50),1,0)</f>
        <v>0</v>
      </c>
      <c r="MV50" s="86">
        <f>IF(ISBLANK(AU50),1,0)</f>
        <v>0</v>
      </c>
      <c r="MZ50" s="86">
        <f>IF(ISBLANK(AY50),1,0)</f>
        <v>0</v>
      </c>
    </row>
    <row r="52" spans="2:366" ht="18.75" customHeight="1" thickBot="1"/>
    <row r="53" spans="2:366" ht="18.75" customHeight="1">
      <c r="J53" s="1924" t="str">
        <f>J47</f>
        <v>1. Assets causing flooding</v>
      </c>
      <c r="K53" s="1925"/>
      <c r="L53" s="1925"/>
      <c r="M53" s="1926"/>
      <c r="N53" s="1924" t="str">
        <f>N47</f>
        <v>2. Severe weather</v>
      </c>
      <c r="O53" s="1925"/>
      <c r="P53" s="1925"/>
      <c r="Q53" s="1926"/>
      <c r="R53" s="1924" t="str">
        <f>R47</f>
        <v>2. Severe weather</v>
      </c>
      <c r="S53" s="1925"/>
      <c r="T53" s="1925"/>
      <c r="U53" s="1926"/>
      <c r="V53" s="1924" t="str">
        <f>V47</f>
        <v>2. Severe weather</v>
      </c>
      <c r="W53" s="1925"/>
      <c r="X53" s="1925"/>
      <c r="Y53" s="1926"/>
      <c r="Z53" s="1924" t="str">
        <f>Z47</f>
        <v>2. Severe weather</v>
      </c>
      <c r="AA53" s="1925"/>
      <c r="AB53" s="1925"/>
      <c r="AC53" s="1926"/>
      <c r="AD53" s="1924" t="str">
        <f>AD47</f>
        <v>2. Severe weather</v>
      </c>
      <c r="AE53" s="1925"/>
      <c r="AF53" s="1925"/>
      <c r="AG53" s="1926"/>
      <c r="AH53" s="1924" t="str">
        <f>AH47</f>
        <v>3. Internal or external flooding</v>
      </c>
      <c r="AI53" s="1925"/>
      <c r="AJ53" s="1925"/>
      <c r="AK53" s="1926"/>
      <c r="AL53" s="1924" t="str">
        <f>AL47</f>
        <v>3. Internal or external flooding</v>
      </c>
      <c r="AM53" s="1925"/>
      <c r="AN53" s="1925"/>
      <c r="AO53" s="1926"/>
      <c r="AP53" s="1924" t="str">
        <f>AP47</f>
        <v>4. Repeat incidents</v>
      </c>
      <c r="AQ53" s="1925"/>
      <c r="AR53" s="1925"/>
      <c r="AS53" s="1926"/>
      <c r="AT53" s="1924" t="str">
        <f>AT47</f>
        <v>5. Neighbouring properties</v>
      </c>
      <c r="AU53" s="1925"/>
      <c r="AV53" s="1925"/>
      <c r="AW53" s="1926"/>
      <c r="AX53" s="1924" t="str">
        <f>AX47</f>
        <v>6. Records</v>
      </c>
      <c r="AY53" s="1925"/>
      <c r="AZ53" s="1925"/>
      <c r="BA53" s="1926"/>
      <c r="LK53" s="1924" t="str">
        <f>LK47</f>
        <v>1. Assets causing flooding</v>
      </c>
      <c r="LL53" s="1925"/>
      <c r="LM53" s="1925"/>
      <c r="LN53" s="1926"/>
      <c r="LO53" s="1924" t="str">
        <f>LO47</f>
        <v>2. Severe weather</v>
      </c>
      <c r="LP53" s="1925"/>
      <c r="LQ53" s="1925"/>
      <c r="LR53" s="1926"/>
      <c r="LS53" s="1924" t="str">
        <f>LS47</f>
        <v>2. Severe weather</v>
      </c>
      <c r="LT53" s="1925"/>
      <c r="LU53" s="1925"/>
      <c r="LV53" s="1926"/>
      <c r="LW53" s="1924" t="str">
        <f>LW47</f>
        <v>2. Severe weather</v>
      </c>
      <c r="LX53" s="1925"/>
      <c r="LY53" s="1925"/>
      <c r="LZ53" s="1926"/>
      <c r="MA53" s="1924" t="str">
        <f>MA47</f>
        <v>2. Severe weather</v>
      </c>
      <c r="MB53" s="1925"/>
      <c r="MC53" s="1925"/>
      <c r="MD53" s="1926"/>
      <c r="ME53" s="1924" t="str">
        <f>ME47</f>
        <v>2. Severe weather</v>
      </c>
      <c r="MF53" s="1925"/>
      <c r="MG53" s="1925"/>
      <c r="MH53" s="1926"/>
      <c r="MI53" s="1924" t="str">
        <f>MI47</f>
        <v>3. Internal or external flooding</v>
      </c>
      <c r="MJ53" s="1925"/>
      <c r="MK53" s="1925"/>
      <c r="ML53" s="1926"/>
      <c r="MM53" s="1924" t="str">
        <f>MM47</f>
        <v>3. Internal or external flooding</v>
      </c>
      <c r="MN53" s="1925"/>
      <c r="MO53" s="1925"/>
      <c r="MP53" s="1926"/>
      <c r="MQ53" s="1924" t="str">
        <f>MQ47</f>
        <v>4. Repeat incidents</v>
      </c>
      <c r="MR53" s="1925"/>
      <c r="MS53" s="1925"/>
      <c r="MT53" s="1926"/>
      <c r="MU53" s="1924" t="str">
        <f>MU47</f>
        <v>5. Neighbouring properties</v>
      </c>
      <c r="MV53" s="1925"/>
      <c r="MW53" s="1925"/>
      <c r="MX53" s="1926"/>
      <c r="MY53" s="1924" t="str">
        <f>MY47</f>
        <v>6. Records</v>
      </c>
      <c r="MZ53" s="1925"/>
      <c r="NA53" s="1925"/>
      <c r="NB53" s="1926"/>
    </row>
    <row r="54" spans="2:366" ht="30" customHeight="1" thickBot="1">
      <c r="B54" s="715"/>
      <c r="C54" s="716"/>
      <c r="D54" s="715"/>
      <c r="E54" s="715"/>
      <c r="F54" s="1969"/>
      <c r="G54" s="1969"/>
      <c r="H54" s="1969"/>
      <c r="I54" s="1969"/>
      <c r="J54" s="1949" t="str">
        <f>J48</f>
        <v>1a</v>
      </c>
      <c r="K54" s="1950"/>
      <c r="L54" s="1950"/>
      <c r="M54" s="1951"/>
      <c r="N54" s="1949" t="str">
        <f>N48</f>
        <v>2a (individual rainfall events &gt; 1 in 20 years)</v>
      </c>
      <c r="O54" s="1950"/>
      <c r="P54" s="1950"/>
      <c r="Q54" s="1951"/>
      <c r="R54" s="1949" t="str">
        <f>R48</f>
        <v>2b (multiple rainfall events)</v>
      </c>
      <c r="S54" s="1950"/>
      <c r="T54" s="1950"/>
      <c r="U54" s="1951"/>
      <c r="V54" s="1970" t="str">
        <f>V48</f>
        <v>2c (surface water run-off not originated from public sewer)</v>
      </c>
      <c r="W54" s="1950"/>
      <c r="X54" s="1950"/>
      <c r="Y54" s="1951"/>
      <c r="Z54" s="1949" t="str">
        <f>Z48</f>
        <v>2d (river levels &gt; 1 in 100 year return period)</v>
      </c>
      <c r="AA54" s="1950"/>
      <c r="AB54" s="1950"/>
      <c r="AC54" s="1951"/>
      <c r="AD54" s="1949" t="str">
        <f>AD48</f>
        <v>2e (flood estimation handbook - FEH13)</v>
      </c>
      <c r="AE54" s="1950"/>
      <c r="AF54" s="1950"/>
      <c r="AG54" s="1951"/>
      <c r="AH54" s="1949" t="str">
        <f>AH48</f>
        <v>3a (internal)</v>
      </c>
      <c r="AI54" s="1950"/>
      <c r="AJ54" s="1950"/>
      <c r="AK54" s="1951"/>
      <c r="AL54" s="1949" t="str">
        <f>AL48</f>
        <v>3b (external)</v>
      </c>
      <c r="AM54" s="1950"/>
      <c r="AN54" s="1950"/>
      <c r="AO54" s="1951"/>
      <c r="AP54" s="1949" t="str">
        <f>AP48</f>
        <v>4a</v>
      </c>
      <c r="AQ54" s="1950"/>
      <c r="AR54" s="1950"/>
      <c r="AS54" s="1951"/>
      <c r="AT54" s="1949" t="str">
        <f>AT48</f>
        <v>5a</v>
      </c>
      <c r="AU54" s="1950"/>
      <c r="AV54" s="1950"/>
      <c r="AW54" s="1951"/>
      <c r="AX54" s="1949" t="str">
        <f>AX48</f>
        <v>6a</v>
      </c>
      <c r="AY54" s="1950"/>
      <c r="AZ54" s="1950"/>
      <c r="BA54" s="1951"/>
      <c r="LG54" s="1969"/>
      <c r="LH54" s="1969"/>
      <c r="LI54" s="1969"/>
      <c r="LJ54" s="1969"/>
      <c r="LK54" s="1949" t="str">
        <f>LK48</f>
        <v>1a</v>
      </c>
      <c r="LL54" s="1950"/>
      <c r="LM54" s="1950"/>
      <c r="LN54" s="1951"/>
      <c r="LO54" s="1949" t="str">
        <f>LO48</f>
        <v>2a (individual rainfall events &gt; 1 in 20 years)</v>
      </c>
      <c r="LP54" s="1950"/>
      <c r="LQ54" s="1950"/>
      <c r="LR54" s="1951"/>
      <c r="LS54" s="1949" t="str">
        <f>LS48</f>
        <v>2b (multiple rainfall events)</v>
      </c>
      <c r="LT54" s="1950"/>
      <c r="LU54" s="1950"/>
      <c r="LV54" s="1951"/>
      <c r="LW54" s="1970" t="str">
        <f>LW48</f>
        <v>2c (surface water run-off not originated from public sewer)</v>
      </c>
      <c r="LX54" s="1950"/>
      <c r="LY54" s="1950"/>
      <c r="LZ54" s="1951"/>
      <c r="MA54" s="1949" t="str">
        <f>MA48</f>
        <v>2d (river levels &gt; 1 in 100 year return period)</v>
      </c>
      <c r="MB54" s="1950"/>
      <c r="MC54" s="1950"/>
      <c r="MD54" s="1951"/>
      <c r="ME54" s="1949" t="str">
        <f>ME48</f>
        <v>2e (flood estimation handbook - FEH13)</v>
      </c>
      <c r="MF54" s="1950"/>
      <c r="MG54" s="1950"/>
      <c r="MH54" s="1951"/>
      <c r="MI54" s="1949" t="str">
        <f>MI48</f>
        <v>3a (internal)</v>
      </c>
      <c r="MJ54" s="1950"/>
      <c r="MK54" s="1950"/>
      <c r="ML54" s="1951"/>
      <c r="MM54" s="1949" t="str">
        <f>MM48</f>
        <v>3b (external)</v>
      </c>
      <c r="MN54" s="1950"/>
      <c r="MO54" s="1950"/>
      <c r="MP54" s="1951"/>
      <c r="MQ54" s="1949" t="str">
        <f>MQ48</f>
        <v>4a</v>
      </c>
      <c r="MR54" s="1950"/>
      <c r="MS54" s="1950"/>
      <c r="MT54" s="1951"/>
      <c r="MU54" s="1949" t="str">
        <f>MU48</f>
        <v>5a</v>
      </c>
      <c r="MV54" s="1950"/>
      <c r="MW54" s="1950"/>
      <c r="MX54" s="1951"/>
      <c r="MY54" s="1949" t="str">
        <f>MY48</f>
        <v>6a</v>
      </c>
      <c r="MZ54" s="1950"/>
      <c r="NA54" s="1950"/>
      <c r="NB54" s="1951"/>
    </row>
    <row r="55" spans="2:366">
      <c r="B55" s="718" t="s">
        <v>1972</v>
      </c>
      <c r="C55" s="711" t="s">
        <v>2640</v>
      </c>
      <c r="D55" s="697" t="str">
        <f t="shared" ref="D55:I55" si="90">D15</f>
        <v>Units</v>
      </c>
      <c r="E55" s="697" t="str">
        <f t="shared" si="90"/>
        <v>DPs</v>
      </c>
      <c r="F55" s="697" t="str">
        <f t="shared" si="90"/>
        <v>2016-17</v>
      </c>
      <c r="G55" s="697" t="str">
        <f t="shared" si="90"/>
        <v>2017-18</v>
      </c>
      <c r="H55" s="697" t="str">
        <f t="shared" si="90"/>
        <v>2018-19</v>
      </c>
      <c r="I55" s="698" t="str">
        <f t="shared" si="90"/>
        <v>2019-20</v>
      </c>
      <c r="J55" s="1811" t="str">
        <f>$J$15</f>
        <v>2016-17</v>
      </c>
      <c r="K55" s="697" t="str">
        <f>$K$15</f>
        <v>2017-18</v>
      </c>
      <c r="L55" s="697" t="str">
        <f>$L$15</f>
        <v>2018-19</v>
      </c>
      <c r="M55" s="699" t="str">
        <f>$M$15</f>
        <v>2019-20</v>
      </c>
      <c r="N55" s="1811" t="str">
        <f>$J$15</f>
        <v>2016-17</v>
      </c>
      <c r="O55" s="697" t="str">
        <f>$K$15</f>
        <v>2017-18</v>
      </c>
      <c r="P55" s="697" t="str">
        <f>$L$15</f>
        <v>2018-19</v>
      </c>
      <c r="Q55" s="699" t="str">
        <f>$M$15</f>
        <v>2019-20</v>
      </c>
      <c r="R55" s="1811" t="str">
        <f>$J$15</f>
        <v>2016-17</v>
      </c>
      <c r="S55" s="697" t="str">
        <f>$K$15</f>
        <v>2017-18</v>
      </c>
      <c r="T55" s="697" t="str">
        <f>$L$15</f>
        <v>2018-19</v>
      </c>
      <c r="U55" s="699" t="str">
        <f>$M$15</f>
        <v>2019-20</v>
      </c>
      <c r="V55" s="1811" t="str">
        <f>$J$15</f>
        <v>2016-17</v>
      </c>
      <c r="W55" s="697" t="str">
        <f>$K$15</f>
        <v>2017-18</v>
      </c>
      <c r="X55" s="697" t="str">
        <f>$L$15</f>
        <v>2018-19</v>
      </c>
      <c r="Y55" s="699" t="str">
        <f>$M$15</f>
        <v>2019-20</v>
      </c>
      <c r="Z55" s="1811" t="str">
        <f>$J$15</f>
        <v>2016-17</v>
      </c>
      <c r="AA55" s="697" t="str">
        <f>$K$15</f>
        <v>2017-18</v>
      </c>
      <c r="AB55" s="697" t="str">
        <f>$L$15</f>
        <v>2018-19</v>
      </c>
      <c r="AC55" s="699" t="str">
        <f>$M$15</f>
        <v>2019-20</v>
      </c>
      <c r="AD55" s="1811" t="str">
        <f>$J$15</f>
        <v>2016-17</v>
      </c>
      <c r="AE55" s="697" t="str">
        <f>$K$15</f>
        <v>2017-18</v>
      </c>
      <c r="AF55" s="697" t="str">
        <f>$L$15</f>
        <v>2018-19</v>
      </c>
      <c r="AG55" s="699" t="str">
        <f>$M$15</f>
        <v>2019-20</v>
      </c>
      <c r="AH55" s="1811" t="str">
        <f>$J$15</f>
        <v>2016-17</v>
      </c>
      <c r="AI55" s="697" t="str">
        <f>$K$15</f>
        <v>2017-18</v>
      </c>
      <c r="AJ55" s="697" t="str">
        <f>$L$15</f>
        <v>2018-19</v>
      </c>
      <c r="AK55" s="699" t="str">
        <f>$M$15</f>
        <v>2019-20</v>
      </c>
      <c r="AL55" s="1811" t="str">
        <f>$J$15</f>
        <v>2016-17</v>
      </c>
      <c r="AM55" s="697" t="str">
        <f>$K$15</f>
        <v>2017-18</v>
      </c>
      <c r="AN55" s="697" t="str">
        <f>$L$15</f>
        <v>2018-19</v>
      </c>
      <c r="AO55" s="699" t="str">
        <f>$M$15</f>
        <v>2019-20</v>
      </c>
      <c r="AP55" s="1811" t="str">
        <f>$J$15</f>
        <v>2016-17</v>
      </c>
      <c r="AQ55" s="697" t="str">
        <f>$K$15</f>
        <v>2017-18</v>
      </c>
      <c r="AR55" s="697" t="str">
        <f>$L$15</f>
        <v>2018-19</v>
      </c>
      <c r="AS55" s="699" t="str">
        <f>$M$15</f>
        <v>2019-20</v>
      </c>
      <c r="AT55" s="1811" t="str">
        <f>$J$15</f>
        <v>2016-17</v>
      </c>
      <c r="AU55" s="697" t="str">
        <f>$K$15</f>
        <v>2017-18</v>
      </c>
      <c r="AV55" s="697" t="str">
        <f>$L$15</f>
        <v>2018-19</v>
      </c>
      <c r="AW55" s="699" t="str">
        <f>$M$15</f>
        <v>2019-20</v>
      </c>
      <c r="AX55" s="1811" t="str">
        <f>$J$15</f>
        <v>2016-17</v>
      </c>
      <c r="AY55" s="697" t="str">
        <f>$K$15</f>
        <v>2017-18</v>
      </c>
      <c r="AZ55" s="697" t="str">
        <f>$L$15</f>
        <v>2018-19</v>
      </c>
      <c r="BA55" s="699" t="str">
        <f>$M$15</f>
        <v>2019-20</v>
      </c>
      <c r="LF55" s="711" t="s">
        <v>2640</v>
      </c>
      <c r="LG55" s="697" t="str">
        <f t="shared" ref="LG55:LJ55" si="91">LG15</f>
        <v>2016-17</v>
      </c>
      <c r="LH55" s="697" t="str">
        <f t="shared" si="91"/>
        <v>2017-18</v>
      </c>
      <c r="LI55" s="697" t="str">
        <f t="shared" si="91"/>
        <v>2018-19</v>
      </c>
      <c r="LJ55" s="698" t="str">
        <f t="shared" si="91"/>
        <v>2019-20</v>
      </c>
      <c r="LK55" s="1811" t="str">
        <f>$J$15</f>
        <v>2016-17</v>
      </c>
      <c r="LL55" s="697" t="str">
        <f>$K$15</f>
        <v>2017-18</v>
      </c>
      <c r="LM55" s="697" t="str">
        <f>$L$15</f>
        <v>2018-19</v>
      </c>
      <c r="LN55" s="699" t="str">
        <f>$M$15</f>
        <v>2019-20</v>
      </c>
      <c r="LO55" s="1811" t="str">
        <f>$J$15</f>
        <v>2016-17</v>
      </c>
      <c r="LP55" s="697" t="str">
        <f>$K$15</f>
        <v>2017-18</v>
      </c>
      <c r="LQ55" s="697" t="str">
        <f>$L$15</f>
        <v>2018-19</v>
      </c>
      <c r="LR55" s="699" t="str">
        <f>$M$15</f>
        <v>2019-20</v>
      </c>
      <c r="LS55" s="1811" t="str">
        <f>$J$15</f>
        <v>2016-17</v>
      </c>
      <c r="LT55" s="697" t="str">
        <f>$K$15</f>
        <v>2017-18</v>
      </c>
      <c r="LU55" s="697" t="str">
        <f>$L$15</f>
        <v>2018-19</v>
      </c>
      <c r="LV55" s="699" t="str">
        <f>$M$15</f>
        <v>2019-20</v>
      </c>
      <c r="LW55" s="1811" t="str">
        <f>$J$15</f>
        <v>2016-17</v>
      </c>
      <c r="LX55" s="697" t="str">
        <f>$K$15</f>
        <v>2017-18</v>
      </c>
      <c r="LY55" s="697" t="str">
        <f>$L$15</f>
        <v>2018-19</v>
      </c>
      <c r="LZ55" s="699" t="str">
        <f>$M$15</f>
        <v>2019-20</v>
      </c>
      <c r="MA55" s="1811" t="str">
        <f>$J$15</f>
        <v>2016-17</v>
      </c>
      <c r="MB55" s="697" t="str">
        <f>$K$15</f>
        <v>2017-18</v>
      </c>
      <c r="MC55" s="697" t="str">
        <f>$L$15</f>
        <v>2018-19</v>
      </c>
      <c r="MD55" s="699" t="str">
        <f>$M$15</f>
        <v>2019-20</v>
      </c>
      <c r="ME55" s="1811" t="str">
        <f>$J$15</f>
        <v>2016-17</v>
      </c>
      <c r="MF55" s="697" t="str">
        <f>$K$15</f>
        <v>2017-18</v>
      </c>
      <c r="MG55" s="697" t="str">
        <f>$L$15</f>
        <v>2018-19</v>
      </c>
      <c r="MH55" s="699" t="str">
        <f>$M$15</f>
        <v>2019-20</v>
      </c>
      <c r="MI55" s="1811" t="str">
        <f>$J$15</f>
        <v>2016-17</v>
      </c>
      <c r="MJ55" s="697" t="str">
        <f>$K$15</f>
        <v>2017-18</v>
      </c>
      <c r="MK55" s="697" t="str">
        <f>$L$15</f>
        <v>2018-19</v>
      </c>
      <c r="ML55" s="699" t="str">
        <f>$M$15</f>
        <v>2019-20</v>
      </c>
      <c r="MM55" s="1811" t="str">
        <f>$J$15</f>
        <v>2016-17</v>
      </c>
      <c r="MN55" s="697" t="str">
        <f>$K$15</f>
        <v>2017-18</v>
      </c>
      <c r="MO55" s="697" t="str">
        <f>$L$15</f>
        <v>2018-19</v>
      </c>
      <c r="MP55" s="699" t="str">
        <f>$M$15</f>
        <v>2019-20</v>
      </c>
      <c r="MQ55" s="1811" t="str">
        <f>$J$15</f>
        <v>2016-17</v>
      </c>
      <c r="MR55" s="697" t="str">
        <f>$K$15</f>
        <v>2017-18</v>
      </c>
      <c r="MS55" s="697" t="str">
        <f>$L$15</f>
        <v>2018-19</v>
      </c>
      <c r="MT55" s="699" t="str">
        <f>$M$15</f>
        <v>2019-20</v>
      </c>
      <c r="MU55" s="1811" t="str">
        <f>$J$15</f>
        <v>2016-17</v>
      </c>
      <c r="MV55" s="697" t="str">
        <f>$K$15</f>
        <v>2017-18</v>
      </c>
      <c r="MW55" s="697" t="str">
        <f>$L$15</f>
        <v>2018-19</v>
      </c>
      <c r="MX55" s="699" t="str">
        <f>$M$15</f>
        <v>2019-20</v>
      </c>
      <c r="MY55" s="1811" t="str">
        <f>$J$15</f>
        <v>2016-17</v>
      </c>
      <c r="MZ55" s="697" t="str">
        <f>$K$15</f>
        <v>2017-18</v>
      </c>
      <c r="NA55" s="697" t="str">
        <f>$L$15</f>
        <v>2018-19</v>
      </c>
      <c r="NB55" s="699" t="str">
        <f>$M$15</f>
        <v>2019-20</v>
      </c>
    </row>
    <row r="56" spans="2:366" ht="26.25" thickBot="1">
      <c r="B56" s="719">
        <v>11</v>
      </c>
      <c r="C56" s="713" t="s">
        <v>2641</v>
      </c>
      <c r="D56" s="700" t="s">
        <v>11</v>
      </c>
      <c r="E56" s="700">
        <v>0</v>
      </c>
      <c r="F56" s="1964"/>
      <c r="G56" s="1965">
        <v>4555</v>
      </c>
      <c r="H56" s="1966"/>
      <c r="I56" s="1967"/>
      <c r="J56" s="1946"/>
      <c r="K56" s="1947" t="s">
        <v>2539</v>
      </c>
      <c r="L56" s="463"/>
      <c r="M56" s="1948"/>
      <c r="N56" s="1946"/>
      <c r="O56" s="1947" t="s">
        <v>2540</v>
      </c>
      <c r="P56" s="463"/>
      <c r="Q56" s="1948"/>
      <c r="R56" s="1946"/>
      <c r="S56" s="1947" t="s">
        <v>2539</v>
      </c>
      <c r="T56" s="463"/>
      <c r="U56" s="1948"/>
      <c r="V56" s="1946"/>
      <c r="W56" s="1947" t="s">
        <v>2539</v>
      </c>
      <c r="X56" s="463"/>
      <c r="Y56" s="1948"/>
      <c r="Z56" s="1946"/>
      <c r="AA56" s="1947" t="s">
        <v>2539</v>
      </c>
      <c r="AB56" s="463"/>
      <c r="AC56" s="1948"/>
      <c r="AD56" s="1946"/>
      <c r="AE56" s="1947" t="s">
        <v>2540</v>
      </c>
      <c r="AF56" s="463"/>
      <c r="AG56" s="1948"/>
      <c r="AH56" s="1946"/>
      <c r="AI56" s="1947" t="s">
        <v>2539</v>
      </c>
      <c r="AJ56" s="463"/>
      <c r="AK56" s="1948"/>
      <c r="AL56" s="1946"/>
      <c r="AM56" s="1947" t="s">
        <v>2539</v>
      </c>
      <c r="AN56" s="463"/>
      <c r="AO56" s="1948"/>
      <c r="AP56" s="1946"/>
      <c r="AQ56" s="1947" t="s">
        <v>2539</v>
      </c>
      <c r="AR56" s="463"/>
      <c r="AS56" s="1948"/>
      <c r="AT56" s="1946"/>
      <c r="AU56" s="1947" t="s">
        <v>2539</v>
      </c>
      <c r="AV56" s="463"/>
      <c r="AW56" s="1948"/>
      <c r="AX56" s="1946"/>
      <c r="AY56" s="1947" t="s">
        <v>2539</v>
      </c>
      <c r="AZ56" s="463"/>
      <c r="BA56" s="1948"/>
      <c r="LC56" s="436">
        <f xml:space="preserve"> IF( SUM( LE56:XC56 ) = 0, 0, $LG$3 )</f>
        <v>0</v>
      </c>
      <c r="LH56" s="86">
        <f>IF(ISNUMBER(G56),0,1)</f>
        <v>0</v>
      </c>
      <c r="LL56" s="86">
        <f>IF(ISBLANK(K56),1,0)</f>
        <v>0</v>
      </c>
      <c r="LP56" s="86">
        <f>IF(ISBLANK(O56),1,0)</f>
        <v>0</v>
      </c>
      <c r="LT56" s="86">
        <f>IF(ISBLANK(S56),1,0)</f>
        <v>0</v>
      </c>
      <c r="LX56" s="86">
        <f>IF(ISBLANK(W56),1,0)</f>
        <v>0</v>
      </c>
      <c r="MB56" s="86">
        <f>IF(ISBLANK(AA56),1,0)</f>
        <v>0</v>
      </c>
      <c r="MF56" s="86">
        <f>IF(ISBLANK(AE56),1,0)</f>
        <v>0</v>
      </c>
      <c r="MJ56" s="86">
        <f>IF(ISBLANK(AI56),1,0)</f>
        <v>0</v>
      </c>
      <c r="MN56" s="86">
        <f>IF(ISBLANK(AM56),1,0)</f>
        <v>0</v>
      </c>
      <c r="MR56" s="86">
        <f>IF(ISBLANK(AQ56),1,0)</f>
        <v>0</v>
      </c>
      <c r="MV56" s="86">
        <f>IF(ISBLANK(AU56),1,0)</f>
        <v>0</v>
      </c>
      <c r="MZ56" s="86">
        <f>IF(ISBLANK(AY56),1,0)</f>
        <v>0</v>
      </c>
    </row>
    <row r="57" spans="2:366" ht="15.75" customHeight="1" thickBot="1"/>
    <row r="58" spans="2:366" ht="15.75" customHeight="1">
      <c r="J58" s="1924" t="s">
        <v>2642</v>
      </c>
      <c r="K58" s="1925"/>
      <c r="L58" s="1925"/>
      <c r="M58" s="1926"/>
      <c r="N58" s="1924" t="s">
        <v>2643</v>
      </c>
      <c r="O58" s="1925"/>
      <c r="P58" s="1925"/>
      <c r="Q58" s="1926"/>
      <c r="R58" s="1924" t="s">
        <v>2643</v>
      </c>
      <c r="S58" s="1925"/>
      <c r="T58" s="1925"/>
      <c r="U58" s="1926"/>
      <c r="LK58" s="1924" t="s">
        <v>2642</v>
      </c>
      <c r="LL58" s="1925"/>
      <c r="LM58" s="1925"/>
      <c r="LN58" s="1926"/>
      <c r="LO58" s="1924" t="s">
        <v>2643</v>
      </c>
      <c r="LP58" s="1925"/>
      <c r="LQ58" s="1925"/>
      <c r="LR58" s="1926"/>
      <c r="LS58" s="1924" t="s">
        <v>2643</v>
      </c>
      <c r="LT58" s="1925"/>
      <c r="LU58" s="1925"/>
      <c r="LV58" s="1926"/>
    </row>
    <row r="59" spans="2:366" ht="30" customHeight="1" thickBot="1">
      <c r="B59" s="708"/>
      <c r="C59" s="709"/>
      <c r="D59" s="696"/>
      <c r="E59" s="696"/>
      <c r="F59" s="696"/>
      <c r="G59" s="715"/>
      <c r="H59" s="715"/>
      <c r="I59" s="715"/>
      <c r="J59" s="1949" t="s">
        <v>2382</v>
      </c>
      <c r="K59" s="1950"/>
      <c r="L59" s="1950"/>
      <c r="M59" s="1951"/>
      <c r="N59" s="1949" t="s">
        <v>2644</v>
      </c>
      <c r="O59" s="1950"/>
      <c r="P59" s="1950"/>
      <c r="Q59" s="1951"/>
      <c r="R59" s="1970" t="s">
        <v>2645</v>
      </c>
      <c r="S59" s="1950"/>
      <c r="T59" s="1950"/>
      <c r="U59" s="1951"/>
      <c r="LG59" s="696"/>
      <c r="LH59" s="715"/>
      <c r="LI59" s="715"/>
      <c r="LJ59" s="715"/>
      <c r="LK59" s="1949" t="s">
        <v>2382</v>
      </c>
      <c r="LL59" s="1950"/>
      <c r="LM59" s="1950"/>
      <c r="LN59" s="1951"/>
      <c r="LO59" s="1949" t="s">
        <v>2644</v>
      </c>
      <c r="LP59" s="1950"/>
      <c r="LQ59" s="1950"/>
      <c r="LR59" s="1951"/>
      <c r="LS59" s="1970" t="s">
        <v>2645</v>
      </c>
      <c r="LT59" s="1950"/>
      <c r="LU59" s="1950"/>
      <c r="LV59" s="1951"/>
    </row>
    <row r="60" spans="2:366" ht="15" customHeight="1">
      <c r="B60" s="710" t="s">
        <v>1973</v>
      </c>
      <c r="C60" s="711" t="s">
        <v>2646</v>
      </c>
      <c r="D60" s="697" t="s">
        <v>98</v>
      </c>
      <c r="E60" s="697" t="s">
        <v>99</v>
      </c>
      <c r="F60" s="697" t="str">
        <f t="shared" ref="F60:I60" si="92">F15</f>
        <v>2016-17</v>
      </c>
      <c r="G60" s="697" t="str">
        <f t="shared" si="92"/>
        <v>2017-18</v>
      </c>
      <c r="H60" s="697" t="str">
        <f t="shared" si="92"/>
        <v>2018-19</v>
      </c>
      <c r="I60" s="697" t="str">
        <f t="shared" si="92"/>
        <v>2019-20</v>
      </c>
      <c r="J60" s="1811" t="str">
        <f>$J$15</f>
        <v>2016-17</v>
      </c>
      <c r="K60" s="697" t="str">
        <f>$K$15</f>
        <v>2017-18</v>
      </c>
      <c r="L60" s="697" t="str">
        <f>$L$15</f>
        <v>2018-19</v>
      </c>
      <c r="M60" s="699" t="str">
        <f>$M$15</f>
        <v>2019-20</v>
      </c>
      <c r="N60" s="1811" t="str">
        <f>$J$15</f>
        <v>2016-17</v>
      </c>
      <c r="O60" s="697" t="str">
        <f>$K$15</f>
        <v>2017-18</v>
      </c>
      <c r="P60" s="697" t="str">
        <f>$L$15</f>
        <v>2018-19</v>
      </c>
      <c r="Q60" s="699" t="str">
        <f>$M$15</f>
        <v>2019-20</v>
      </c>
      <c r="R60" s="1811" t="str">
        <f>$J$15</f>
        <v>2016-17</v>
      </c>
      <c r="S60" s="697" t="str">
        <f>$K$15</f>
        <v>2017-18</v>
      </c>
      <c r="T60" s="697" t="str">
        <f>$L$15</f>
        <v>2018-19</v>
      </c>
      <c r="U60" s="699" t="str">
        <f>$M$15</f>
        <v>2019-20</v>
      </c>
      <c r="LF60" s="711" t="s">
        <v>2646</v>
      </c>
      <c r="LG60" s="697" t="str">
        <f t="shared" ref="LG60:LJ60" si="93">LG15</f>
        <v>2016-17</v>
      </c>
      <c r="LH60" s="697" t="str">
        <f t="shared" si="93"/>
        <v>2017-18</v>
      </c>
      <c r="LI60" s="697" t="str">
        <f t="shared" si="93"/>
        <v>2018-19</v>
      </c>
      <c r="LJ60" s="697" t="str">
        <f t="shared" si="93"/>
        <v>2019-20</v>
      </c>
      <c r="LK60" s="1811" t="str">
        <f>$J$15</f>
        <v>2016-17</v>
      </c>
      <c r="LL60" s="697" t="str">
        <f>$K$15</f>
        <v>2017-18</v>
      </c>
      <c r="LM60" s="697" t="str">
        <f>$L$15</f>
        <v>2018-19</v>
      </c>
      <c r="LN60" s="699" t="str">
        <f>$M$15</f>
        <v>2019-20</v>
      </c>
      <c r="LO60" s="1811" t="str">
        <f>$J$15</f>
        <v>2016-17</v>
      </c>
      <c r="LP60" s="697" t="str">
        <f>$K$15</f>
        <v>2017-18</v>
      </c>
      <c r="LQ60" s="697" t="str">
        <f>$L$15</f>
        <v>2018-19</v>
      </c>
      <c r="LR60" s="699" t="str">
        <f>$M$15</f>
        <v>2019-20</v>
      </c>
      <c r="LS60" s="1811" t="str">
        <f>$J$15</f>
        <v>2016-17</v>
      </c>
      <c r="LT60" s="697" t="str">
        <f>$K$15</f>
        <v>2017-18</v>
      </c>
      <c r="LU60" s="697" t="str">
        <f>$L$15</f>
        <v>2018-19</v>
      </c>
      <c r="LV60" s="699" t="str">
        <f>$M$15</f>
        <v>2019-20</v>
      </c>
    </row>
    <row r="61" spans="2:366" ht="15" thickBot="1">
      <c r="B61" s="712">
        <v>12</v>
      </c>
      <c r="C61" s="713" t="s">
        <v>2647</v>
      </c>
      <c r="D61" s="700" t="s">
        <v>11</v>
      </c>
      <c r="E61" s="714" t="s">
        <v>2565</v>
      </c>
      <c r="F61" s="1956"/>
      <c r="G61" s="1957">
        <v>3.89</v>
      </c>
      <c r="H61" s="1958"/>
      <c r="I61" s="1959"/>
      <c r="J61" s="1946"/>
      <c r="K61" s="1947" t="s">
        <v>2540</v>
      </c>
      <c r="L61" s="463"/>
      <c r="M61" s="1948"/>
      <c r="N61" s="1946"/>
      <c r="O61" s="1947" t="s">
        <v>2539</v>
      </c>
      <c r="P61" s="463"/>
      <c r="Q61" s="1948"/>
      <c r="R61" s="1946"/>
      <c r="S61" s="1947" t="s">
        <v>2539</v>
      </c>
      <c r="T61" s="463"/>
      <c r="U61" s="1948"/>
      <c r="LC61" s="436">
        <f xml:space="preserve"> IF( SUM( LE61:XC61 ) = 0, 0, $LG$3 )</f>
        <v>0</v>
      </c>
      <c r="LH61" s="86">
        <f>IF(ISNUMBER(G61),0,1)</f>
        <v>0</v>
      </c>
      <c r="LL61" s="86">
        <f>IF(ISBLANK(K61),1,0)</f>
        <v>0</v>
      </c>
      <c r="LP61" s="86">
        <f>IF(ISBLANK(O61),1,0)</f>
        <v>0</v>
      </c>
      <c r="LT61" s="86">
        <f>IF(ISBLANK(S61),1,0)</f>
        <v>0</v>
      </c>
    </row>
    <row r="62" spans="2:366" ht="15.75" customHeight="1"/>
    <row r="63" spans="2:366" ht="18.75" customHeight="1"/>
    <row r="64" spans="2:366" ht="17.25" customHeight="1" thickBot="1">
      <c r="B64" s="708"/>
      <c r="C64" s="709"/>
      <c r="D64" s="696"/>
      <c r="E64" s="696"/>
      <c r="F64" s="696"/>
      <c r="G64" s="715"/>
      <c r="H64" s="715"/>
      <c r="I64" s="715"/>
    </row>
    <row r="65" spans="1:627" ht="15" customHeight="1">
      <c r="B65" s="710" t="s">
        <v>1974</v>
      </c>
      <c r="C65" s="711" t="s">
        <v>2648</v>
      </c>
      <c r="D65" s="697" t="s">
        <v>98</v>
      </c>
      <c r="E65" s="697" t="s">
        <v>99</v>
      </c>
      <c r="F65" s="697" t="str">
        <f>F15</f>
        <v>2016-17</v>
      </c>
      <c r="G65" s="697" t="str">
        <f t="shared" ref="G65:I65" si="94">G15</f>
        <v>2017-18</v>
      </c>
      <c r="H65" s="697" t="str">
        <f t="shared" si="94"/>
        <v>2018-19</v>
      </c>
      <c r="I65" s="699" t="str">
        <f t="shared" si="94"/>
        <v>2019-20</v>
      </c>
      <c r="LE65" s="443"/>
      <c r="LF65" s="711" t="s">
        <v>2648</v>
      </c>
      <c r="LG65" s="697" t="str">
        <f>LG15</f>
        <v>2016-17</v>
      </c>
      <c r="LH65" s="697" t="str">
        <f t="shared" ref="LH65:LJ65" si="95">LH15</f>
        <v>2017-18</v>
      </c>
      <c r="LI65" s="697" t="str">
        <f t="shared" si="95"/>
        <v>2018-19</v>
      </c>
      <c r="LJ65" s="699" t="str">
        <f t="shared" si="95"/>
        <v>2019-20</v>
      </c>
      <c r="XC65" s="443"/>
    </row>
    <row r="66" spans="1:627" ht="15" customHeight="1" thickBot="1">
      <c r="B66" s="712">
        <v>13</v>
      </c>
      <c r="C66" s="713" t="s">
        <v>2649</v>
      </c>
      <c r="D66" s="700" t="s">
        <v>10</v>
      </c>
      <c r="E66" s="714" t="s">
        <v>2586</v>
      </c>
      <c r="F66" s="1960"/>
      <c r="G66" s="1961">
        <v>0.10249999999999999</v>
      </c>
      <c r="H66" s="1962"/>
      <c r="I66" s="1968"/>
      <c r="LC66" s="436">
        <f xml:space="preserve"> IF( SUM( LE66:XC66 ) = 0, 0, $LG$3 )</f>
        <v>0</v>
      </c>
      <c r="LH66" s="86">
        <f>IF(ISNUMBER(G66),0,1)</f>
        <v>0</v>
      </c>
    </row>
    <row r="68" spans="1:627">
      <c r="B68" s="2195" t="s">
        <v>2650</v>
      </c>
      <c r="C68" s="2195"/>
    </row>
    <row r="69" spans="1:627" ht="6.75" customHeight="1">
      <c r="B69" s="127"/>
      <c r="C69" s="127"/>
    </row>
    <row r="70" spans="1:627">
      <c r="B70" s="1971"/>
      <c r="C70" s="129" t="s">
        <v>249</v>
      </c>
    </row>
    <row r="71" spans="1:627" ht="7.5" customHeight="1">
      <c r="B71" s="127"/>
      <c r="C71" s="128"/>
    </row>
    <row r="74" spans="1:627" ht="15" thickBot="1">
      <c r="B74" s="1972"/>
      <c r="C74" s="1973"/>
      <c r="D74" s="1973"/>
      <c r="E74" s="1972"/>
    </row>
    <row r="75" spans="1:627" ht="16.5" thickBot="1">
      <c r="A75" s="103"/>
      <c r="B75" s="1974" t="s">
        <v>2651</v>
      </c>
      <c r="C75" s="133"/>
      <c r="D75" s="134"/>
      <c r="E75" s="134"/>
      <c r="F75" s="134"/>
      <c r="G75" s="134"/>
      <c r="H75" s="134"/>
      <c r="I75" s="614"/>
      <c r="J75" s="134"/>
      <c r="K75" s="134"/>
      <c r="L75" s="134"/>
      <c r="M75" s="134"/>
      <c r="N75" s="134"/>
      <c r="O75" s="134"/>
      <c r="P75" s="134"/>
      <c r="Q75" s="134"/>
      <c r="R75" s="134"/>
      <c r="S75" s="216"/>
      <c r="T75" s="1812"/>
      <c r="U75" s="1812"/>
      <c r="V75" s="1812"/>
      <c r="W75" s="1812"/>
      <c r="X75" s="1812"/>
      <c r="Y75" s="1812"/>
      <c r="Z75" s="1812"/>
      <c r="AA75" s="1812"/>
      <c r="AB75" s="1812"/>
      <c r="AC75" s="1812"/>
      <c r="AD75" s="1812"/>
      <c r="AE75" s="1812"/>
      <c r="AF75" s="1812"/>
      <c r="AG75" s="1812"/>
      <c r="AH75" s="1812"/>
      <c r="AI75" s="1812"/>
      <c r="AJ75" s="1812"/>
      <c r="AK75" s="1812"/>
      <c r="AL75" s="1812"/>
      <c r="AM75" s="1812"/>
      <c r="AN75" s="1812"/>
      <c r="AO75" s="1812"/>
      <c r="AP75" s="1812"/>
      <c r="AQ75" s="1812"/>
      <c r="AR75" s="1812"/>
      <c r="AS75" s="1812"/>
      <c r="AT75" s="1812"/>
      <c r="AU75" s="1812"/>
      <c r="AV75" s="1812"/>
      <c r="AW75" s="1812"/>
      <c r="AX75" s="1812"/>
      <c r="AY75" s="1812"/>
      <c r="AZ75" s="1812"/>
      <c r="BA75" s="1812"/>
      <c r="BB75" s="1812"/>
      <c r="BC75" s="1812"/>
      <c r="BD75" s="1812"/>
      <c r="BE75" s="1812"/>
      <c r="BF75" s="1812"/>
      <c r="BG75" s="1812"/>
      <c r="BH75" s="1812"/>
      <c r="BI75" s="1812"/>
      <c r="BJ75" s="1812"/>
      <c r="BK75" s="1812"/>
      <c r="BL75" s="1812"/>
      <c r="BM75" s="1812"/>
      <c r="BN75" s="1812"/>
      <c r="BO75" s="1812"/>
      <c r="BP75" s="1812"/>
      <c r="BQ75" s="1812"/>
      <c r="BR75" s="1812"/>
      <c r="BS75" s="1812"/>
      <c r="BT75" s="1812"/>
      <c r="BU75" s="1812"/>
      <c r="BV75" s="1812"/>
      <c r="BW75" s="1812"/>
      <c r="BX75" s="1812"/>
      <c r="BY75" s="1812"/>
      <c r="BZ75" s="1812"/>
      <c r="CA75" s="1812"/>
      <c r="CB75" s="1812"/>
      <c r="CC75" s="1812"/>
      <c r="CD75" s="1812"/>
      <c r="CE75" s="1812"/>
      <c r="CF75" s="1812"/>
      <c r="CG75" s="1812"/>
      <c r="CH75" s="1812"/>
      <c r="CI75" s="1812"/>
      <c r="CJ75" s="1812"/>
      <c r="CK75" s="1812"/>
      <c r="CL75" s="1812"/>
      <c r="CM75" s="1812"/>
      <c r="CN75" s="1812"/>
      <c r="CO75" s="1812"/>
      <c r="CP75" s="1812"/>
      <c r="CQ75" s="1812"/>
      <c r="CR75" s="1812"/>
      <c r="CS75" s="1812"/>
      <c r="CT75" s="1812"/>
      <c r="CU75" s="1812"/>
      <c r="CV75" s="1812"/>
      <c r="CW75" s="1812"/>
      <c r="CX75" s="1812"/>
      <c r="CY75" s="1812"/>
      <c r="CZ75" s="1812"/>
      <c r="DA75" s="1812"/>
      <c r="DB75" s="1812"/>
      <c r="DC75" s="1812"/>
      <c r="DD75" s="1812"/>
      <c r="DE75" s="1812"/>
      <c r="DF75" s="1812"/>
      <c r="DG75" s="1812"/>
      <c r="DH75" s="1812"/>
      <c r="DI75" s="1812"/>
      <c r="DJ75" s="1812"/>
      <c r="DK75" s="1812"/>
      <c r="DL75" s="1812"/>
      <c r="DM75" s="1812"/>
      <c r="DN75" s="1812"/>
      <c r="DO75" s="1812"/>
      <c r="DP75" s="1812"/>
      <c r="DQ75" s="1812"/>
      <c r="DR75" s="1812"/>
      <c r="DS75" s="1812"/>
      <c r="DT75" s="1812"/>
      <c r="DU75" s="1812"/>
      <c r="DV75" s="1812"/>
      <c r="DW75" s="1812"/>
      <c r="DX75" s="1812"/>
      <c r="DY75" s="1812"/>
      <c r="DZ75" s="1812"/>
      <c r="EA75" s="1812"/>
      <c r="EB75" s="1812"/>
      <c r="EC75" s="1812"/>
      <c r="ED75" s="1812"/>
      <c r="EE75" s="1812"/>
      <c r="EF75" s="1812"/>
      <c r="EG75" s="1812"/>
      <c r="EH75" s="1812"/>
      <c r="EI75" s="1812"/>
      <c r="EJ75" s="1812"/>
      <c r="EK75" s="1812"/>
      <c r="EL75" s="1812"/>
      <c r="EM75" s="1812"/>
      <c r="EN75" s="1812"/>
      <c r="EO75" s="1812"/>
      <c r="EP75" s="1812"/>
      <c r="EQ75" s="1812"/>
      <c r="ER75" s="1812"/>
      <c r="ES75" s="1812"/>
      <c r="ET75" s="1812"/>
      <c r="EU75" s="1812"/>
      <c r="EV75" s="1812"/>
      <c r="EW75" s="1812"/>
      <c r="EX75" s="1812"/>
      <c r="EY75" s="1812"/>
      <c r="EZ75" s="1812"/>
      <c r="FA75" s="1812"/>
      <c r="FB75" s="1812"/>
      <c r="FC75" s="1812"/>
      <c r="FD75" s="1812"/>
      <c r="FE75" s="1812"/>
      <c r="FF75" s="1812"/>
      <c r="FG75" s="1812"/>
      <c r="FH75" s="1812"/>
      <c r="FI75" s="1812"/>
      <c r="FJ75" s="1812"/>
      <c r="FK75" s="1812"/>
      <c r="FL75" s="1812"/>
      <c r="FM75" s="1812"/>
      <c r="FN75" s="1812"/>
      <c r="FO75" s="1812"/>
      <c r="FP75" s="1812"/>
      <c r="FQ75" s="1812"/>
      <c r="FR75" s="1812"/>
      <c r="FS75" s="1812"/>
      <c r="FT75" s="1812"/>
      <c r="FU75" s="1812"/>
      <c r="FV75" s="1812"/>
      <c r="FW75" s="1812"/>
      <c r="FX75" s="1812"/>
      <c r="FY75" s="1812"/>
      <c r="FZ75" s="1812"/>
      <c r="GA75" s="1812"/>
      <c r="GB75" s="1812"/>
      <c r="GC75" s="1812"/>
      <c r="GD75" s="1812"/>
      <c r="GE75" s="1812"/>
      <c r="GF75" s="1812"/>
      <c r="GG75" s="1812"/>
      <c r="GH75" s="1812"/>
      <c r="GI75" s="1812"/>
      <c r="GJ75" s="1812"/>
      <c r="GK75" s="1812"/>
      <c r="GL75" s="1812"/>
      <c r="GM75" s="1812"/>
      <c r="GN75" s="1812"/>
      <c r="GO75" s="1812"/>
      <c r="GP75" s="1812"/>
      <c r="GQ75" s="1812"/>
      <c r="GR75" s="1812"/>
      <c r="GS75" s="1812"/>
      <c r="GT75" s="1812"/>
      <c r="GU75" s="1812"/>
      <c r="GV75" s="1812"/>
      <c r="GW75" s="1812"/>
      <c r="GX75" s="1812"/>
      <c r="GY75" s="1812"/>
      <c r="GZ75" s="1812"/>
      <c r="HA75" s="1812"/>
      <c r="HB75" s="1812"/>
      <c r="HC75" s="1812"/>
      <c r="HD75" s="1812"/>
      <c r="HE75" s="1812"/>
      <c r="HF75" s="1812"/>
      <c r="HG75" s="1812"/>
      <c r="HH75" s="1812"/>
      <c r="HI75" s="1812"/>
      <c r="HJ75" s="1812"/>
      <c r="HK75" s="1812"/>
      <c r="HL75" s="1812"/>
      <c r="HM75" s="1812"/>
      <c r="HN75" s="1812"/>
      <c r="HO75" s="1812"/>
      <c r="HP75" s="1812"/>
      <c r="HQ75" s="1812"/>
      <c r="HR75" s="1812"/>
      <c r="HS75" s="1812"/>
      <c r="HT75" s="1812"/>
      <c r="HU75" s="1812"/>
      <c r="HV75" s="1812"/>
      <c r="HW75" s="1812"/>
      <c r="HX75" s="1812"/>
      <c r="HY75" s="1812"/>
      <c r="HZ75" s="1812"/>
      <c r="IA75" s="1812"/>
      <c r="IB75" s="1812"/>
      <c r="IC75" s="1812"/>
      <c r="ID75" s="1812"/>
      <c r="IE75" s="1812"/>
      <c r="IF75" s="1812"/>
      <c r="IG75" s="1812"/>
      <c r="IH75" s="1812"/>
      <c r="II75" s="1812"/>
      <c r="IJ75" s="1812"/>
      <c r="IK75" s="1812"/>
      <c r="IL75" s="1812"/>
      <c r="IM75" s="1812"/>
      <c r="IN75" s="1812"/>
      <c r="IO75" s="1812"/>
      <c r="IP75" s="1812"/>
      <c r="IQ75" s="1812"/>
      <c r="IR75" s="1812"/>
      <c r="IS75" s="1812"/>
      <c r="IT75" s="1812"/>
      <c r="IU75" s="1812"/>
      <c r="IV75" s="1812"/>
      <c r="IW75" s="1812"/>
      <c r="IX75" s="1812"/>
      <c r="IY75" s="1812"/>
      <c r="IZ75" s="1812"/>
      <c r="JA75" s="1812"/>
      <c r="JB75" s="1812"/>
      <c r="JC75" s="1812"/>
      <c r="JD75" s="1812"/>
      <c r="JE75" s="1812"/>
      <c r="JF75" s="1812"/>
      <c r="JG75" s="1812"/>
      <c r="JH75" s="1812"/>
      <c r="JI75" s="1812"/>
      <c r="JJ75" s="1812"/>
      <c r="JK75" s="1812"/>
      <c r="JL75" s="1812"/>
      <c r="JM75" s="1812"/>
      <c r="JN75" s="1812"/>
      <c r="JO75" s="1812"/>
      <c r="JP75" s="1812"/>
      <c r="JQ75" s="1812"/>
      <c r="JR75" s="1812"/>
      <c r="JS75" s="1812"/>
      <c r="JT75" s="1812"/>
      <c r="JU75" s="1812"/>
      <c r="JV75" s="1812"/>
      <c r="JW75" s="1812"/>
      <c r="JX75" s="1812"/>
      <c r="JY75" s="1812"/>
      <c r="JZ75" s="1812"/>
      <c r="KA75" s="1812"/>
      <c r="KB75" s="1812"/>
      <c r="KC75" s="1812"/>
      <c r="KD75" s="1812"/>
      <c r="KE75" s="1812"/>
      <c r="KF75" s="1812"/>
      <c r="KG75" s="1812"/>
      <c r="KH75" s="1812"/>
      <c r="KI75" s="1812"/>
      <c r="KJ75" s="1812"/>
      <c r="KK75" s="1812"/>
      <c r="KL75" s="1812"/>
      <c r="KM75" s="1812"/>
      <c r="KN75" s="1812"/>
      <c r="KO75" s="1812"/>
      <c r="KP75" s="1812"/>
      <c r="KQ75" s="1812"/>
      <c r="KR75" s="1812"/>
      <c r="KS75" s="1812"/>
      <c r="KT75" s="1812"/>
      <c r="KU75" s="1812"/>
      <c r="KV75" s="1812"/>
      <c r="KW75" s="1812"/>
    </row>
    <row r="76" spans="1:627" s="103" customFormat="1" ht="15" thickBot="1">
      <c r="A76"/>
      <c r="B76" s="1972"/>
      <c r="C76" s="1973"/>
      <c r="D76" s="1973"/>
      <c r="E76" s="197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LE76" s="442"/>
      <c r="XC76" s="442"/>
    </row>
    <row r="77" spans="1:627" ht="15" thickBot="1">
      <c r="B77" s="720" t="s">
        <v>1954</v>
      </c>
      <c r="C77" s="721" t="s">
        <v>2652</v>
      </c>
      <c r="D77" s="2309" t="s">
        <v>2653</v>
      </c>
      <c r="E77" s="2567"/>
      <c r="F77" s="2567"/>
      <c r="G77" s="2567"/>
      <c r="H77" s="2567"/>
      <c r="I77" s="2567"/>
      <c r="J77" s="2567"/>
      <c r="K77" s="2567"/>
      <c r="L77" s="2567"/>
      <c r="M77" s="2567"/>
      <c r="N77" s="2567"/>
      <c r="O77" s="2567"/>
      <c r="P77" s="2567"/>
      <c r="Q77" s="2567"/>
      <c r="R77" s="2567"/>
      <c r="S77" s="2568"/>
    </row>
    <row r="78" spans="1:627" ht="15" thickBot="1">
      <c r="B78" s="1975"/>
      <c r="C78" s="1976"/>
      <c r="D78" s="1976"/>
    </row>
    <row r="79" spans="1:627" ht="15" thickBot="1">
      <c r="B79" s="722" t="s">
        <v>214</v>
      </c>
      <c r="C79" s="723" t="str">
        <f>C15</f>
        <v>Leakage</v>
      </c>
      <c r="D79" s="1976"/>
    </row>
    <row r="80" spans="1:627" ht="30" customHeight="1">
      <c r="B80" s="1977" t="s">
        <v>2565</v>
      </c>
      <c r="C80" s="1978" t="s">
        <v>2654</v>
      </c>
      <c r="D80" s="2310" t="s">
        <v>2655</v>
      </c>
      <c r="E80" s="2569"/>
      <c r="F80" s="2569"/>
      <c r="G80" s="2569"/>
      <c r="H80" s="2569"/>
      <c r="I80" s="2569"/>
      <c r="J80" s="2569"/>
      <c r="K80" s="2569"/>
      <c r="L80" s="2569"/>
      <c r="M80" s="2569"/>
      <c r="N80" s="2569"/>
      <c r="O80" s="2569"/>
      <c r="P80" s="2569"/>
      <c r="Q80" s="2569"/>
      <c r="R80" s="2569"/>
      <c r="S80" s="2570"/>
    </row>
    <row r="81" spans="2:19" ht="15" customHeight="1">
      <c r="B81" s="1977" t="s">
        <v>2586</v>
      </c>
      <c r="C81" s="1978" t="s">
        <v>2656</v>
      </c>
      <c r="D81" s="2311" t="s">
        <v>2657</v>
      </c>
      <c r="E81" s="2571"/>
      <c r="F81" s="2571"/>
      <c r="G81" s="2571"/>
      <c r="H81" s="2571"/>
      <c r="I81" s="2571"/>
      <c r="J81" s="2571"/>
      <c r="K81" s="2571"/>
      <c r="L81" s="2571"/>
      <c r="M81" s="2571"/>
      <c r="N81" s="2571"/>
      <c r="O81" s="2571"/>
      <c r="P81" s="2571"/>
      <c r="Q81" s="2571"/>
      <c r="R81" s="2571"/>
      <c r="S81" s="2572"/>
    </row>
    <row r="82" spans="2:19" ht="15.75" customHeight="1">
      <c r="B82" s="1977" t="s">
        <v>2658</v>
      </c>
      <c r="C82" s="1978" t="s">
        <v>2659</v>
      </c>
      <c r="D82" s="2311" t="s">
        <v>2660</v>
      </c>
      <c r="E82" s="2571"/>
      <c r="F82" s="2571"/>
      <c r="G82" s="2571"/>
      <c r="H82" s="2571"/>
      <c r="I82" s="2571"/>
      <c r="J82" s="2571"/>
      <c r="K82" s="2571"/>
      <c r="L82" s="2571"/>
      <c r="M82" s="2571"/>
      <c r="N82" s="2571"/>
      <c r="O82" s="2571"/>
      <c r="P82" s="2571"/>
      <c r="Q82" s="2571"/>
      <c r="R82" s="2571"/>
      <c r="S82" s="2572"/>
    </row>
    <row r="83" spans="2:19" ht="15" thickBot="1">
      <c r="B83" s="1979" t="s">
        <v>2661</v>
      </c>
      <c r="C83" s="1980" t="s">
        <v>2662</v>
      </c>
      <c r="D83" s="2304" t="s">
        <v>2663</v>
      </c>
      <c r="E83" s="2573"/>
      <c r="F83" s="2573"/>
      <c r="G83" s="2573"/>
      <c r="H83" s="2573"/>
      <c r="I83" s="2573"/>
      <c r="J83" s="2573"/>
      <c r="K83" s="2573"/>
      <c r="L83" s="2573"/>
      <c r="M83" s="2573"/>
      <c r="N83" s="2573"/>
      <c r="O83" s="2573"/>
      <c r="P83" s="2573"/>
      <c r="Q83" s="2573"/>
      <c r="R83" s="2573"/>
      <c r="S83" s="2574"/>
    </row>
    <row r="84" spans="2:19" ht="15" thickBot="1">
      <c r="B84" s="1975"/>
      <c r="C84" s="1976"/>
      <c r="D84" s="1976"/>
    </row>
    <row r="85" spans="2:19" ht="15" thickBot="1">
      <c r="B85" s="722" t="s">
        <v>236</v>
      </c>
      <c r="C85" s="723" t="str">
        <f>C23</f>
        <v>Supply interruptions</v>
      </c>
      <c r="D85" s="1976"/>
    </row>
    <row r="86" spans="2:19" ht="30.75" customHeight="1" thickBot="1">
      <c r="B86" s="1981" t="s">
        <v>2664</v>
      </c>
      <c r="C86" s="1982" t="str">
        <f>C24</f>
        <v>All supply interruptions &gt; 3 hours</v>
      </c>
      <c r="D86" s="2314" t="s">
        <v>2665</v>
      </c>
      <c r="E86" s="2575"/>
      <c r="F86" s="2575"/>
      <c r="G86" s="2575"/>
      <c r="H86" s="2575"/>
      <c r="I86" s="2575"/>
      <c r="J86" s="2575"/>
      <c r="K86" s="2575"/>
      <c r="L86" s="2575"/>
      <c r="M86" s="2575"/>
      <c r="N86" s="2575"/>
      <c r="O86" s="2575"/>
      <c r="P86" s="2575"/>
      <c r="Q86" s="2575"/>
      <c r="R86" s="2575"/>
      <c r="S86" s="2576"/>
    </row>
    <row r="87" spans="2:19" ht="15" thickBot="1">
      <c r="B87" s="1975"/>
      <c r="C87" s="1976"/>
      <c r="D87" s="1976"/>
    </row>
    <row r="88" spans="2:19" ht="15" thickBot="1">
      <c r="B88" s="722" t="s">
        <v>362</v>
      </c>
      <c r="C88" s="723" t="str">
        <f>C28</f>
        <v>Mains bursts</v>
      </c>
      <c r="D88" s="1976"/>
    </row>
    <row r="89" spans="2:19" ht="15" thickBot="1">
      <c r="B89" s="1981" t="s">
        <v>2666</v>
      </c>
      <c r="C89" s="1982" t="str">
        <f>C29</f>
        <v>Water mains bursts per 1,000 kilometres of pipe</v>
      </c>
      <c r="D89" s="2314" t="s">
        <v>2667</v>
      </c>
      <c r="E89" s="2575"/>
      <c r="F89" s="2575"/>
      <c r="G89" s="2575"/>
      <c r="H89" s="2575"/>
      <c r="I89" s="2575"/>
      <c r="J89" s="2575"/>
      <c r="K89" s="2575"/>
      <c r="L89" s="2575"/>
      <c r="M89" s="2575"/>
      <c r="N89" s="2575"/>
      <c r="O89" s="2575"/>
      <c r="P89" s="2575"/>
      <c r="Q89" s="2575"/>
      <c r="R89" s="2575"/>
      <c r="S89" s="2576"/>
    </row>
    <row r="90" spans="2:19" ht="15" thickBot="1">
      <c r="B90" s="1975"/>
      <c r="C90" s="1976"/>
      <c r="D90" s="1976"/>
    </row>
    <row r="91" spans="2:19" ht="15" thickBot="1">
      <c r="B91" s="722" t="s">
        <v>419</v>
      </c>
      <c r="C91" s="723" t="str">
        <f>C33</f>
        <v>Unplanned outage</v>
      </c>
      <c r="D91" s="1976"/>
    </row>
    <row r="92" spans="2:19" ht="15" thickBot="1">
      <c r="B92" s="1981" t="s">
        <v>2668</v>
      </c>
      <c r="C92" s="1982" t="str">
        <f>C34</f>
        <v>Proportion of unplanned outage of the total company production capacity</v>
      </c>
      <c r="D92" s="2314" t="s">
        <v>2667</v>
      </c>
      <c r="E92" s="2575"/>
      <c r="F92" s="2575"/>
      <c r="G92" s="2575"/>
      <c r="H92" s="2575"/>
      <c r="I92" s="2575"/>
      <c r="J92" s="2575"/>
      <c r="K92" s="2575"/>
      <c r="L92" s="2575"/>
      <c r="M92" s="2575"/>
      <c r="N92" s="2575"/>
      <c r="O92" s="2575"/>
      <c r="P92" s="2575"/>
      <c r="Q92" s="2575"/>
      <c r="R92" s="2575"/>
      <c r="S92" s="2576"/>
    </row>
    <row r="93" spans="2:19" ht="15" thickBot="1">
      <c r="B93" s="1975"/>
      <c r="C93" s="1976"/>
      <c r="D93" s="1976"/>
    </row>
    <row r="94" spans="2:19" ht="15" thickBot="1">
      <c r="B94" s="722" t="s">
        <v>493</v>
      </c>
      <c r="C94" s="723" t="str">
        <f>C39</f>
        <v>Per capita consumption (PCC)</v>
      </c>
      <c r="D94" s="1976"/>
    </row>
    <row r="95" spans="2:19" ht="15" thickBot="1">
      <c r="B95" s="1981" t="s">
        <v>2669</v>
      </c>
      <c r="C95" s="1982" t="str">
        <f>C40</f>
        <v>Per capita consumption</v>
      </c>
      <c r="D95" s="2314" t="s">
        <v>2667</v>
      </c>
      <c r="E95" s="2575"/>
      <c r="F95" s="2575"/>
      <c r="G95" s="2575"/>
      <c r="H95" s="2575"/>
      <c r="I95" s="2575"/>
      <c r="J95" s="2575"/>
      <c r="K95" s="2575"/>
      <c r="L95" s="2575"/>
      <c r="M95" s="2575"/>
      <c r="N95" s="2575"/>
      <c r="O95" s="2575"/>
      <c r="P95" s="2575"/>
      <c r="Q95" s="2575"/>
      <c r="R95" s="2575"/>
      <c r="S95" s="2576"/>
    </row>
    <row r="96" spans="2:19" ht="15" thickBot="1">
      <c r="B96" s="1975"/>
      <c r="C96" s="1976"/>
      <c r="D96" s="1976"/>
    </row>
    <row r="97" spans="2:627" ht="15" thickBot="1">
      <c r="B97" s="722" t="s">
        <v>1970</v>
      </c>
      <c r="C97" s="723" t="str">
        <f>C44</f>
        <v>Risk of severe restrictions in a drought</v>
      </c>
      <c r="D97" s="1976"/>
    </row>
    <row r="98" spans="2:627" ht="46.5" customHeight="1" thickBot="1">
      <c r="B98" s="1981" t="s">
        <v>2670</v>
      </c>
      <c r="C98" s="1982" t="str">
        <f>C45</f>
        <v>Percentage of the population the company serves that would experience severe supply restrictions (for example, standpipes or rota cuts) in a 1 in 200 year drought</v>
      </c>
      <c r="D98" s="2314" t="s">
        <v>2667</v>
      </c>
      <c r="E98" s="2575"/>
      <c r="F98" s="2575"/>
      <c r="G98" s="2575"/>
      <c r="H98" s="2575"/>
      <c r="I98" s="2575"/>
      <c r="J98" s="2575"/>
      <c r="K98" s="2575"/>
      <c r="L98" s="2575"/>
      <c r="M98" s="2575"/>
      <c r="N98" s="2575"/>
      <c r="O98" s="2575"/>
      <c r="P98" s="2575"/>
      <c r="Q98" s="2575"/>
      <c r="R98" s="2575"/>
      <c r="S98" s="2576"/>
    </row>
    <row r="99" spans="2:627" ht="15" customHeight="1" thickBot="1">
      <c r="B99" s="1975"/>
      <c r="C99" s="1976"/>
      <c r="D99" s="1976"/>
    </row>
    <row r="100" spans="2:627" ht="15" thickBot="1">
      <c r="B100" s="722" t="s">
        <v>1971</v>
      </c>
      <c r="C100" s="723" t="str">
        <f>C49</f>
        <v>Internal sewer flooding incidents</v>
      </c>
      <c r="D100" s="1976"/>
    </row>
    <row r="101" spans="2:627" ht="26.25" thickBot="1">
      <c r="B101" s="1981" t="s">
        <v>2671</v>
      </c>
      <c r="C101" s="1982" t="str">
        <f>C50</f>
        <v>Internal sewer flooding incidents, including sewer flooding due to severe weather events</v>
      </c>
      <c r="D101" s="2315" t="s">
        <v>2667</v>
      </c>
      <c r="E101" s="2577"/>
      <c r="F101" s="2577"/>
      <c r="G101" s="2577"/>
      <c r="H101" s="2577"/>
      <c r="I101" s="2577"/>
      <c r="J101" s="2577"/>
      <c r="K101" s="2577"/>
      <c r="L101" s="2577"/>
      <c r="M101" s="2577"/>
      <c r="N101" s="2577"/>
      <c r="O101" s="2577"/>
      <c r="P101" s="2577"/>
      <c r="Q101" s="2577"/>
      <c r="R101" s="2577"/>
      <c r="S101" s="2578"/>
    </row>
    <row r="102" spans="2:627" ht="15" thickBot="1">
      <c r="B102" s="1983"/>
      <c r="C102" s="1975"/>
      <c r="D102" s="1976"/>
      <c r="E102" s="1975"/>
    </row>
    <row r="103" spans="2:627" ht="15" thickBot="1">
      <c r="B103" s="722" t="s">
        <v>1972</v>
      </c>
      <c r="C103" s="723" t="str">
        <f>C55</f>
        <v>External sewer flooding incidents</v>
      </c>
      <c r="D103" s="1976"/>
    </row>
    <row r="104" spans="2:627" ht="26.25" thickBot="1">
      <c r="B104" s="1981" t="s">
        <v>2672</v>
      </c>
      <c r="C104" s="1982" t="str">
        <f>C56</f>
        <v>External sewer flooding incidents, including sewer flooding due to severe weather events</v>
      </c>
      <c r="D104" s="2315" t="s">
        <v>2667</v>
      </c>
      <c r="E104" s="2577"/>
      <c r="F104" s="2577"/>
      <c r="G104" s="2577"/>
      <c r="H104" s="2577"/>
      <c r="I104" s="2577"/>
      <c r="J104" s="2577"/>
      <c r="K104" s="2577"/>
      <c r="L104" s="2577"/>
      <c r="M104" s="2577"/>
      <c r="N104" s="2577"/>
      <c r="O104" s="2577"/>
      <c r="P104" s="2577"/>
      <c r="Q104" s="2577"/>
      <c r="R104" s="2577"/>
      <c r="S104" s="2578"/>
    </row>
    <row r="105" spans="2:627" ht="15" thickBot="1">
      <c r="B105" s="1975"/>
      <c r="C105" s="1976"/>
      <c r="D105" s="1976"/>
      <c r="LE105" s="443"/>
      <c r="XC105" s="443"/>
    </row>
    <row r="106" spans="2:627" ht="15" thickBot="1">
      <c r="B106" s="722" t="s">
        <v>1973</v>
      </c>
      <c r="C106" s="723" t="str">
        <f>C60</f>
        <v>Sewer collapses</v>
      </c>
      <c r="D106" s="1976"/>
      <c r="LE106" s="443"/>
      <c r="XC106" s="443"/>
    </row>
    <row r="107" spans="2:627" ht="15" thickBot="1">
      <c r="B107" s="1981" t="s">
        <v>2673</v>
      </c>
      <c r="C107" s="1982" t="str">
        <f>C61</f>
        <v>Sewer collapses per 1,000 kilometres of sewers</v>
      </c>
      <c r="D107" s="2314" t="s">
        <v>2667</v>
      </c>
      <c r="E107" s="2575"/>
      <c r="F107" s="2575"/>
      <c r="G107" s="2575"/>
      <c r="H107" s="2575"/>
      <c r="I107" s="2575"/>
      <c r="J107" s="2575"/>
      <c r="K107" s="2575"/>
      <c r="L107" s="2575"/>
      <c r="M107" s="2575"/>
      <c r="N107" s="2575"/>
      <c r="O107" s="2575"/>
      <c r="P107" s="2575"/>
      <c r="Q107" s="2575"/>
      <c r="R107" s="2575"/>
      <c r="S107" s="2576"/>
      <c r="LE107" s="441"/>
      <c r="XC107" s="441"/>
    </row>
    <row r="108" spans="2:627" ht="15" thickBot="1">
      <c r="B108" s="1975"/>
      <c r="C108" s="1976"/>
      <c r="D108" s="1976"/>
    </row>
    <row r="109" spans="2:627" ht="15" thickBot="1">
      <c r="B109" s="722" t="s">
        <v>1974</v>
      </c>
      <c r="C109" s="723" t="str">
        <f>C65</f>
        <v>Risk of sewer flooding in a storm</v>
      </c>
      <c r="D109" s="1976"/>
    </row>
    <row r="110" spans="2:627" ht="15" customHeight="1" thickBot="1">
      <c r="B110" s="1981" t="s">
        <v>2674</v>
      </c>
      <c r="C110" s="1982" t="str">
        <f>C66</f>
        <v>Percentage of population at risk of sewer flooding in a 1-in-50 year storm</v>
      </c>
      <c r="D110" s="2314" t="s">
        <v>2667</v>
      </c>
      <c r="E110" s="2575"/>
      <c r="F110" s="2575"/>
      <c r="G110" s="2575"/>
      <c r="H110" s="2575"/>
      <c r="I110" s="2575"/>
      <c r="J110" s="2575"/>
      <c r="K110" s="2575"/>
      <c r="L110" s="2575"/>
      <c r="M110" s="2575"/>
      <c r="N110" s="2575"/>
      <c r="O110" s="2575"/>
      <c r="P110" s="2575"/>
      <c r="Q110" s="2575"/>
      <c r="R110" s="2575"/>
      <c r="S110" s="2576"/>
    </row>
    <row r="112" spans="2:627" ht="15" thickBot="1"/>
    <row r="113" spans="1:627" ht="16.5" thickBot="1">
      <c r="A113" s="103"/>
      <c r="B113" s="132" t="s">
        <v>2675</v>
      </c>
      <c r="C113" s="133"/>
      <c r="D113" s="134"/>
      <c r="E113" s="134"/>
      <c r="F113" s="134"/>
      <c r="G113" s="134"/>
      <c r="H113" s="134"/>
      <c r="I113" s="61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216"/>
      <c r="BV113" s="134"/>
      <c r="BW113" s="134"/>
      <c r="BX113" s="134"/>
      <c r="BY113" s="134"/>
      <c r="BZ113" s="134"/>
      <c r="CA113" s="134"/>
      <c r="CB113" s="134"/>
      <c r="CC113" s="134"/>
      <c r="CD113" s="134"/>
      <c r="CE113" s="134"/>
      <c r="CF113" s="134"/>
      <c r="CG113" s="134"/>
      <c r="CH113" s="134"/>
      <c r="CI113" s="134"/>
      <c r="CJ113" s="134"/>
      <c r="CK113" s="134"/>
      <c r="CL113" s="134"/>
      <c r="CM113" s="134"/>
      <c r="CN113" s="134"/>
      <c r="CO113" s="216"/>
      <c r="CP113" s="134"/>
      <c r="CQ113" s="134"/>
      <c r="CR113" s="134"/>
      <c r="CS113" s="134"/>
      <c r="CT113" s="134"/>
      <c r="CU113" s="134"/>
      <c r="CV113" s="134"/>
      <c r="CW113" s="134"/>
      <c r="CX113" s="134"/>
      <c r="CY113" s="134"/>
      <c r="CZ113" s="134"/>
      <c r="DA113" s="134"/>
      <c r="DB113" s="134"/>
      <c r="DC113" s="134"/>
      <c r="DD113" s="134"/>
      <c r="DE113" s="134"/>
      <c r="DF113" s="134"/>
      <c r="DG113" s="134"/>
      <c r="DH113" s="134"/>
      <c r="DI113" s="216"/>
      <c r="DJ113" s="134"/>
      <c r="DK113" s="134"/>
      <c r="DL113" s="134"/>
      <c r="DM113" s="134"/>
      <c r="DN113" s="134"/>
      <c r="DO113" s="134"/>
      <c r="DP113" s="134"/>
      <c r="DQ113" s="134"/>
      <c r="DR113" s="134"/>
      <c r="DS113" s="134"/>
      <c r="DT113" s="134"/>
      <c r="DU113" s="134"/>
      <c r="DV113" s="134"/>
      <c r="DW113" s="134"/>
      <c r="DX113" s="134"/>
      <c r="DY113" s="134"/>
      <c r="DZ113" s="134"/>
      <c r="EA113" s="134"/>
      <c r="EB113" s="134"/>
      <c r="EC113" s="216"/>
      <c r="ED113" s="134"/>
      <c r="EE113" s="134"/>
      <c r="EF113" s="134"/>
      <c r="EG113" s="134"/>
      <c r="EH113" s="134"/>
      <c r="EI113" s="134"/>
      <c r="EJ113" s="134"/>
      <c r="EK113" s="134"/>
      <c r="EL113" s="134"/>
      <c r="EM113" s="134"/>
      <c r="EN113" s="134"/>
      <c r="EO113" s="134"/>
      <c r="EP113" s="134"/>
      <c r="EQ113" s="134"/>
      <c r="ER113" s="134"/>
      <c r="ES113" s="134"/>
      <c r="ET113" s="134"/>
      <c r="EU113" s="134"/>
      <c r="EV113" s="134"/>
      <c r="EW113" s="216"/>
      <c r="EX113" s="134"/>
      <c r="EY113" s="134"/>
      <c r="EZ113" s="134"/>
      <c r="FA113" s="134"/>
      <c r="FB113" s="134"/>
      <c r="FC113" s="134"/>
      <c r="FD113" s="134"/>
      <c r="FE113" s="134"/>
      <c r="FF113" s="134"/>
      <c r="FG113" s="134"/>
      <c r="FH113" s="134"/>
      <c r="FI113" s="134"/>
      <c r="FJ113" s="134"/>
      <c r="FK113" s="134"/>
      <c r="FL113" s="134"/>
      <c r="FM113" s="134"/>
      <c r="FN113" s="134"/>
      <c r="FO113" s="134"/>
      <c r="FP113" s="134"/>
      <c r="FQ113" s="216"/>
      <c r="FR113" s="134"/>
      <c r="FS113" s="134"/>
      <c r="FT113" s="134"/>
      <c r="FU113" s="134"/>
      <c r="FV113" s="134"/>
      <c r="FW113" s="134"/>
      <c r="FX113" s="134"/>
      <c r="FY113" s="134"/>
      <c r="FZ113" s="134"/>
      <c r="GA113" s="134"/>
      <c r="GB113" s="134"/>
      <c r="GC113" s="134"/>
      <c r="GD113" s="134"/>
      <c r="GE113" s="134"/>
      <c r="GF113" s="134"/>
      <c r="GG113" s="134"/>
      <c r="GH113" s="134"/>
      <c r="GI113" s="134"/>
      <c r="GJ113" s="134"/>
      <c r="GK113" s="216"/>
      <c r="GL113" s="134"/>
      <c r="GM113" s="134"/>
      <c r="GN113" s="134"/>
      <c r="GO113" s="134"/>
      <c r="GP113" s="134"/>
      <c r="GQ113" s="134"/>
      <c r="GR113" s="134"/>
      <c r="GS113" s="134"/>
      <c r="GT113" s="134"/>
      <c r="GU113" s="134"/>
      <c r="GV113" s="134"/>
      <c r="GW113" s="134"/>
      <c r="GX113" s="134"/>
      <c r="GY113" s="134"/>
      <c r="GZ113" s="134"/>
      <c r="HA113" s="134"/>
      <c r="HB113" s="134"/>
      <c r="HC113" s="134"/>
      <c r="HD113" s="134"/>
      <c r="HE113" s="216"/>
      <c r="HF113" s="134"/>
      <c r="HG113" s="134"/>
      <c r="HH113" s="134"/>
      <c r="HI113" s="134"/>
      <c r="HJ113" s="134"/>
      <c r="HK113" s="134"/>
      <c r="HL113" s="134"/>
      <c r="HM113" s="134"/>
      <c r="HN113" s="134"/>
      <c r="HO113" s="134"/>
      <c r="HP113" s="134"/>
      <c r="HQ113" s="134"/>
      <c r="HR113" s="134"/>
      <c r="HS113" s="134"/>
      <c r="HT113" s="134"/>
      <c r="HU113" s="134"/>
      <c r="HV113" s="134"/>
      <c r="HW113" s="134"/>
      <c r="HX113" s="134"/>
      <c r="HY113" s="216"/>
      <c r="HZ113" s="134"/>
      <c r="IA113" s="134"/>
      <c r="IB113" s="134"/>
      <c r="IC113" s="134"/>
      <c r="ID113" s="134"/>
      <c r="IE113" s="134"/>
      <c r="IF113" s="134"/>
      <c r="IG113" s="134"/>
      <c r="IH113" s="134"/>
      <c r="II113" s="134"/>
      <c r="IJ113" s="134"/>
      <c r="IK113" s="134"/>
      <c r="IL113" s="134"/>
      <c r="IM113" s="134"/>
      <c r="IN113" s="134"/>
      <c r="IO113" s="134"/>
      <c r="IP113" s="134"/>
      <c r="IQ113" s="134"/>
      <c r="IR113" s="134"/>
      <c r="IS113" s="216"/>
      <c r="IT113" s="134"/>
      <c r="IU113" s="134"/>
      <c r="IV113" s="134"/>
      <c r="IW113" s="134"/>
      <c r="IX113" s="134"/>
      <c r="IY113" s="134"/>
      <c r="IZ113" s="134"/>
      <c r="JA113" s="134"/>
      <c r="JB113" s="134"/>
      <c r="JC113" s="134"/>
      <c r="JD113" s="134"/>
      <c r="JE113" s="134"/>
      <c r="JF113" s="134"/>
      <c r="JG113" s="134"/>
      <c r="JH113" s="134"/>
      <c r="JI113" s="134"/>
      <c r="JJ113" s="134"/>
      <c r="JK113" s="134"/>
      <c r="JL113" s="134"/>
      <c r="JM113" s="216"/>
      <c r="JN113" s="134"/>
      <c r="JO113" s="134"/>
      <c r="JP113" s="134"/>
      <c r="JQ113" s="134"/>
      <c r="JR113" s="134"/>
      <c r="JS113" s="134"/>
      <c r="JT113" s="134"/>
      <c r="JU113" s="134"/>
      <c r="JV113" s="134"/>
      <c r="JW113" s="134"/>
      <c r="JX113" s="134"/>
      <c r="JY113" s="134"/>
      <c r="JZ113" s="134"/>
      <c r="KA113" s="134"/>
      <c r="KB113" s="134"/>
      <c r="KC113" s="134"/>
      <c r="KD113" s="134"/>
      <c r="KE113" s="134"/>
      <c r="KF113" s="134"/>
      <c r="KG113" s="216"/>
      <c r="KH113" s="134"/>
      <c r="KI113" s="134"/>
      <c r="KJ113" s="134"/>
      <c r="KK113" s="134"/>
      <c r="KL113" s="134"/>
      <c r="KM113" s="134"/>
      <c r="KN113" s="134"/>
      <c r="KO113" s="134"/>
      <c r="KP113" s="134"/>
      <c r="KQ113" s="134"/>
      <c r="KR113" s="134"/>
      <c r="KS113" s="134"/>
      <c r="KT113" s="134"/>
      <c r="KU113" s="134"/>
      <c r="KV113" s="134"/>
      <c r="KW113" s="134"/>
    </row>
    <row r="114" spans="1:627" s="103" customFormat="1" ht="15" thickBot="1">
      <c r="B114" s="69"/>
      <c r="C114" s="141"/>
      <c r="D114" s="69"/>
      <c r="E114" s="69"/>
      <c r="F114" s="69"/>
      <c r="G114" s="69"/>
      <c r="H114" s="69"/>
      <c r="I114" s="144"/>
      <c r="L114" s="69"/>
      <c r="N114" s="65"/>
      <c r="T114" s="69"/>
      <c r="U114"/>
      <c r="V114" s="65"/>
      <c r="W114" s="65"/>
      <c r="X114" s="65"/>
      <c r="LE114" s="442"/>
      <c r="XC114" s="442"/>
    </row>
    <row r="115" spans="1:627" s="103" customFormat="1" ht="97.5" customHeight="1" thickBot="1">
      <c r="A115" s="155"/>
      <c r="B115" s="2316" t="s">
        <v>2676</v>
      </c>
      <c r="C115" s="2317"/>
      <c r="D115" s="2317"/>
      <c r="E115" s="2317"/>
      <c r="F115" s="2317"/>
      <c r="G115" s="2317"/>
      <c r="H115" s="2317"/>
      <c r="I115" s="2317"/>
      <c r="J115" s="2317"/>
      <c r="K115" s="2317"/>
      <c r="L115" s="2317"/>
      <c r="M115" s="2317"/>
      <c r="N115" s="2317"/>
      <c r="O115" s="2317"/>
      <c r="P115" s="2317"/>
      <c r="Q115" s="2567"/>
      <c r="R115" s="2567"/>
      <c r="S115" s="2568"/>
      <c r="T115" s="69"/>
      <c r="U115" s="69"/>
      <c r="V115" s="157"/>
      <c r="W115" s="65"/>
      <c r="X115" s="6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c r="IC115" s="155"/>
      <c r="ID115" s="155"/>
      <c r="IE115" s="155"/>
      <c r="IF115" s="155"/>
      <c r="IG115" s="155"/>
      <c r="IH115" s="155"/>
      <c r="II115" s="155"/>
      <c r="IJ115" s="155"/>
      <c r="IK115" s="155"/>
      <c r="IL115" s="155"/>
      <c r="IM115" s="155"/>
      <c r="IN115" s="155"/>
      <c r="IO115" s="155"/>
      <c r="IP115" s="155"/>
      <c r="IQ115" s="155"/>
      <c r="IR115" s="155"/>
      <c r="IS115" s="155"/>
      <c r="IT115" s="155"/>
      <c r="IU115" s="155"/>
      <c r="IV115" s="155"/>
      <c r="IW115" s="155"/>
      <c r="IX115" s="155"/>
      <c r="IY115" s="155"/>
      <c r="IZ115" s="155"/>
      <c r="JA115" s="155"/>
      <c r="JB115" s="155"/>
      <c r="JC115" s="155"/>
      <c r="JD115" s="155"/>
      <c r="JE115" s="155"/>
      <c r="JF115" s="155"/>
      <c r="JG115" s="155"/>
      <c r="JH115" s="155"/>
      <c r="JI115" s="155"/>
      <c r="JJ115" s="155"/>
      <c r="JK115" s="155"/>
      <c r="JL115" s="155"/>
      <c r="JM115" s="155"/>
      <c r="JN115" s="155"/>
      <c r="JO115" s="155"/>
      <c r="JP115" s="155"/>
      <c r="JQ115" s="155"/>
      <c r="JR115" s="155"/>
      <c r="JS115" s="155"/>
      <c r="JT115" s="155"/>
      <c r="JU115" s="155"/>
      <c r="JV115" s="155"/>
      <c r="JW115" s="155"/>
      <c r="JX115" s="155"/>
      <c r="JY115" s="155"/>
      <c r="JZ115" s="155"/>
      <c r="KA115" s="155"/>
      <c r="KB115" s="155"/>
      <c r="KC115" s="155"/>
      <c r="KD115" s="155"/>
      <c r="KE115" s="155"/>
      <c r="KF115" s="155"/>
      <c r="KG115" s="155"/>
      <c r="KH115" s="155"/>
      <c r="KI115" s="155"/>
      <c r="KJ115" s="155"/>
      <c r="KK115" s="155"/>
      <c r="KL115" s="155"/>
      <c r="KM115" s="155"/>
      <c r="KN115" s="155"/>
      <c r="KO115" s="155"/>
      <c r="KP115" s="155"/>
      <c r="KQ115" s="155"/>
      <c r="KR115" s="155"/>
      <c r="KS115" s="155"/>
      <c r="KT115" s="155"/>
      <c r="KU115" s="155"/>
      <c r="KV115" s="155"/>
      <c r="KW115" s="155"/>
      <c r="LE115" s="442"/>
      <c r="XC115" s="442"/>
    </row>
    <row r="116" spans="1:627" s="155" customFormat="1" ht="15" thickBot="1">
      <c r="A116"/>
      <c r="B116" s="1983"/>
      <c r="C116" s="1976"/>
      <c r="D116" s="1984"/>
      <c r="E116" s="1984"/>
      <c r="F116" s="1984"/>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LE116" s="442"/>
      <c r="XC116" s="442"/>
    </row>
    <row r="117" spans="1:627" ht="147.75" customHeight="1">
      <c r="B117" s="2312" t="s">
        <v>2677</v>
      </c>
      <c r="C117" s="2313"/>
      <c r="D117" s="2313"/>
      <c r="E117" s="2313"/>
      <c r="F117" s="2313"/>
      <c r="G117" s="2313"/>
      <c r="H117" s="2313"/>
      <c r="I117" s="2313"/>
      <c r="J117" s="2313"/>
      <c r="K117" s="2313"/>
      <c r="L117" s="2313"/>
      <c r="M117" s="2313"/>
      <c r="N117" s="2313"/>
      <c r="O117" s="2313"/>
      <c r="P117" s="2313"/>
      <c r="Q117" s="2579"/>
      <c r="R117" s="2579"/>
      <c r="S117" s="2580"/>
    </row>
    <row r="118" spans="1:627" ht="18.75" customHeight="1" thickBot="1">
      <c r="B118" s="1985"/>
      <c r="C118" s="1986" t="s">
        <v>2678</v>
      </c>
      <c r="D118" s="1987"/>
      <c r="E118" s="1987"/>
      <c r="F118" s="1987"/>
      <c r="G118" s="1987"/>
      <c r="H118" s="1987"/>
      <c r="I118" s="1987"/>
      <c r="J118" s="1987"/>
      <c r="K118" s="1987"/>
      <c r="L118" s="1987"/>
      <c r="M118" s="1987"/>
      <c r="N118" s="1987"/>
      <c r="O118" s="1987"/>
      <c r="P118" s="1987"/>
      <c r="Q118" s="1987"/>
      <c r="R118" s="1987"/>
      <c r="S118" s="1988"/>
    </row>
    <row r="119" spans="1:627" ht="15" thickBot="1">
      <c r="B119" s="1989"/>
      <c r="C119" s="1972"/>
      <c r="D119" s="1973"/>
      <c r="E119" s="1973"/>
      <c r="F119" s="1972"/>
    </row>
    <row r="120" spans="1:627" ht="245.25" customHeight="1">
      <c r="B120" s="2312" t="s">
        <v>2679</v>
      </c>
      <c r="C120" s="2313"/>
      <c r="D120" s="2313"/>
      <c r="E120" s="2313"/>
      <c r="F120" s="2313"/>
      <c r="G120" s="2313"/>
      <c r="H120" s="2313"/>
      <c r="I120" s="2313"/>
      <c r="J120" s="2313"/>
      <c r="K120" s="2313"/>
      <c r="L120" s="2313"/>
      <c r="M120" s="2313"/>
      <c r="N120" s="2313"/>
      <c r="O120" s="2313"/>
      <c r="P120" s="2313"/>
      <c r="Q120" s="2579"/>
      <c r="R120" s="2579"/>
      <c r="S120" s="2580"/>
    </row>
    <row r="121" spans="1:627">
      <c r="B121" s="1990"/>
      <c r="C121" s="1972"/>
      <c r="D121" s="1973"/>
      <c r="E121" s="1973"/>
      <c r="F121" s="1972"/>
      <c r="S121" s="1991"/>
    </row>
    <row r="122" spans="1:627" ht="16.5">
      <c r="B122" s="1990"/>
      <c r="C122" s="1972"/>
      <c r="D122" s="1992" t="s">
        <v>2534</v>
      </c>
      <c r="E122" s="1993"/>
      <c r="F122" s="1972"/>
      <c r="S122" s="1991"/>
    </row>
    <row r="123" spans="1:627">
      <c r="B123" s="1990"/>
      <c r="C123" s="1972"/>
      <c r="D123" s="1994" t="s">
        <v>2680</v>
      </c>
      <c r="E123" s="1994" t="s">
        <v>2681</v>
      </c>
      <c r="F123" s="1972"/>
      <c r="S123" s="1991"/>
    </row>
    <row r="124" spans="1:627">
      <c r="B124" s="1990"/>
      <c r="C124" s="1972"/>
      <c r="D124" s="1994" t="s">
        <v>2540</v>
      </c>
      <c r="E124" s="1994" t="s">
        <v>2682</v>
      </c>
      <c r="F124" s="1972"/>
      <c r="S124" s="1991"/>
    </row>
    <row r="125" spans="1:627">
      <c r="B125" s="1990"/>
      <c r="C125" s="1972"/>
      <c r="D125" s="1994" t="s">
        <v>2539</v>
      </c>
      <c r="E125" s="1994" t="s">
        <v>2683</v>
      </c>
      <c r="F125" s="1972"/>
      <c r="S125" s="1991"/>
    </row>
    <row r="126" spans="1:627">
      <c r="B126" s="1990"/>
      <c r="C126" s="1972"/>
      <c r="D126" s="1993"/>
      <c r="E126" s="1993"/>
      <c r="F126" s="1972"/>
      <c r="S126" s="1991"/>
    </row>
    <row r="127" spans="1:627" ht="16.5">
      <c r="B127" s="1990"/>
      <c r="C127" s="1972"/>
      <c r="D127" s="1992" t="s">
        <v>2556</v>
      </c>
      <c r="E127" s="1993"/>
      <c r="F127" s="1972"/>
      <c r="S127" s="1991"/>
    </row>
    <row r="128" spans="1:627">
      <c r="B128" s="1990"/>
      <c r="C128" s="1972"/>
      <c r="D128" s="1994" t="s">
        <v>2680</v>
      </c>
      <c r="E128" s="1994" t="s">
        <v>2684</v>
      </c>
      <c r="F128" s="1972"/>
      <c r="S128" s="1991"/>
    </row>
    <row r="129" spans="2:19">
      <c r="B129" s="1990"/>
      <c r="C129" s="1972"/>
      <c r="D129" s="1994" t="s">
        <v>2540</v>
      </c>
      <c r="E129" s="1994" t="s">
        <v>2685</v>
      </c>
      <c r="F129" s="1972"/>
      <c r="S129" s="1991"/>
    </row>
    <row r="130" spans="2:19">
      <c r="B130" s="1990"/>
      <c r="C130" s="1972"/>
      <c r="D130" s="1994" t="s">
        <v>2539</v>
      </c>
      <c r="E130" s="1994" t="s">
        <v>2683</v>
      </c>
      <c r="F130" s="1972"/>
      <c r="S130" s="1991"/>
    </row>
    <row r="131" spans="2:19">
      <c r="B131" s="1990"/>
      <c r="C131" s="1972"/>
      <c r="D131" s="1993"/>
      <c r="E131" s="1993"/>
      <c r="F131" s="1972"/>
      <c r="S131" s="1991"/>
    </row>
    <row r="132" spans="2:19" ht="16.5">
      <c r="B132" s="1990"/>
      <c r="C132" s="1972"/>
      <c r="D132" s="1992" t="s">
        <v>2638</v>
      </c>
      <c r="E132" s="1993"/>
      <c r="F132" s="1972"/>
      <c r="S132" s="1991"/>
    </row>
    <row r="133" spans="2:19">
      <c r="B133" s="1990"/>
      <c r="C133" s="1972"/>
      <c r="D133" s="1994" t="s">
        <v>2680</v>
      </c>
      <c r="E133" s="1994" t="s">
        <v>2684</v>
      </c>
      <c r="F133" s="1972"/>
      <c r="S133" s="1991"/>
    </row>
    <row r="134" spans="2:19">
      <c r="B134" s="1990"/>
      <c r="C134" s="1972"/>
      <c r="D134" s="1994" t="s">
        <v>2540</v>
      </c>
      <c r="E134" s="1994" t="s">
        <v>2685</v>
      </c>
      <c r="F134" s="1972"/>
      <c r="S134" s="1991"/>
    </row>
    <row r="135" spans="2:19">
      <c r="B135" s="1990"/>
      <c r="C135" s="1972"/>
      <c r="D135" s="1994" t="s">
        <v>2539</v>
      </c>
      <c r="E135" s="1994" t="s">
        <v>2683</v>
      </c>
      <c r="F135" s="1972"/>
      <c r="S135" s="1991"/>
    </row>
    <row r="136" spans="2:19">
      <c r="B136" s="1990"/>
      <c r="C136" s="1972"/>
      <c r="D136" s="1994"/>
      <c r="E136" s="1994"/>
      <c r="F136" s="1972"/>
      <c r="S136" s="1991"/>
    </row>
    <row r="137" spans="2:19" ht="16.5">
      <c r="B137" s="1990"/>
      <c r="C137" s="1972"/>
      <c r="D137" s="1992" t="s">
        <v>2640</v>
      </c>
      <c r="E137" s="1993"/>
      <c r="F137" s="1972"/>
      <c r="S137" s="1991"/>
    </row>
    <row r="138" spans="2:19">
      <c r="B138" s="1990"/>
      <c r="C138" s="1972"/>
      <c r="D138" s="1994" t="s">
        <v>2680</v>
      </c>
      <c r="E138" s="1994" t="s">
        <v>2684</v>
      </c>
      <c r="F138" s="1972"/>
      <c r="S138" s="1991"/>
    </row>
    <row r="139" spans="2:19">
      <c r="B139" s="1990"/>
      <c r="C139" s="1972"/>
      <c r="D139" s="1994" t="s">
        <v>2540</v>
      </c>
      <c r="E139" s="1994" t="s">
        <v>2685</v>
      </c>
      <c r="F139" s="1972"/>
      <c r="S139" s="1991"/>
    </row>
    <row r="140" spans="2:19">
      <c r="B140" s="1990"/>
      <c r="C140" s="1972"/>
      <c r="D140" s="1994" t="s">
        <v>2539</v>
      </c>
      <c r="E140" s="1994" t="s">
        <v>2683</v>
      </c>
      <c r="F140" s="1972"/>
      <c r="S140" s="1991"/>
    </row>
    <row r="141" spans="2:19" ht="15" thickBot="1">
      <c r="B141" s="1995"/>
      <c r="C141" s="1996"/>
      <c r="D141" s="1997"/>
      <c r="E141" s="1997"/>
      <c r="F141" s="1997"/>
      <c r="G141" s="1998"/>
      <c r="H141" s="1998"/>
      <c r="I141" s="1998"/>
      <c r="J141" s="1998"/>
      <c r="K141" s="1998"/>
      <c r="L141" s="1998"/>
      <c r="M141" s="1998"/>
      <c r="N141" s="1998"/>
      <c r="O141" s="1998"/>
      <c r="P141" s="1998"/>
      <c r="Q141" s="1998"/>
      <c r="R141" s="1998"/>
      <c r="S141" s="1999"/>
    </row>
    <row r="142" spans="2:19" ht="15" customHeight="1">
      <c r="B142" s="1989"/>
      <c r="C142" s="2000"/>
      <c r="D142" s="1984"/>
      <c r="E142" s="1984"/>
      <c r="F142" s="1984"/>
    </row>
    <row r="143" spans="2:19" ht="78.75" hidden="1" customHeight="1">
      <c r="B143" s="1989"/>
      <c r="C143" s="1989"/>
      <c r="D143" s="2001" t="s">
        <v>2686</v>
      </c>
      <c r="E143" s="1973"/>
      <c r="F143" s="2002" t="s">
        <v>2687</v>
      </c>
      <c r="G143" s="1972"/>
    </row>
    <row r="144" spans="2:19" hidden="1">
      <c r="B144" s="1989"/>
      <c r="C144" s="1989"/>
      <c r="D144" s="1972"/>
      <c r="E144" s="1973"/>
      <c r="F144" s="1973"/>
      <c r="G144" s="1972"/>
    </row>
    <row r="145" spans="2:7" ht="15" hidden="1" customHeight="1">
      <c r="B145" s="1989"/>
      <c r="C145" s="1989"/>
      <c r="D145" s="2003" t="s">
        <v>2587</v>
      </c>
      <c r="E145" s="1973"/>
      <c r="F145" s="2004" t="s">
        <v>1979</v>
      </c>
      <c r="G145" s="1972"/>
    </row>
    <row r="146" spans="2:7" ht="15" hidden="1" customHeight="1">
      <c r="B146" s="1989"/>
      <c r="C146" s="1989"/>
      <c r="D146" s="2005" t="s">
        <v>2540</v>
      </c>
      <c r="E146" s="1973"/>
      <c r="F146" s="2006" t="s">
        <v>1980</v>
      </c>
      <c r="G146" s="1972"/>
    </row>
    <row r="147" spans="2:7" ht="15" hidden="1" customHeight="1">
      <c r="B147" s="1989"/>
      <c r="C147" s="1989"/>
      <c r="D147" s="2005" t="s">
        <v>2539</v>
      </c>
      <c r="E147" s="1973"/>
      <c r="F147" s="2006" t="s">
        <v>2688</v>
      </c>
      <c r="G147" s="1972"/>
    </row>
    <row r="148" spans="2:7" ht="15" hidden="1" customHeight="1">
      <c r="B148" s="1989"/>
      <c r="C148" s="1989"/>
      <c r="D148" s="2007"/>
      <c r="E148" s="1973"/>
      <c r="F148" s="2007"/>
      <c r="G148" s="1972"/>
    </row>
    <row r="149" spans="2:7" hidden="1">
      <c r="B149" s="1989"/>
      <c r="C149" s="1972"/>
      <c r="D149" s="1973"/>
      <c r="E149" s="1973"/>
      <c r="F149" s="1972"/>
    </row>
    <row r="150" spans="2:7">
      <c r="B150" s="1993"/>
      <c r="E150" s="1993"/>
      <c r="F150" s="1993"/>
    </row>
    <row r="151" spans="2:7">
      <c r="B151" s="1993"/>
      <c r="E151" s="1993"/>
      <c r="F151" s="1993"/>
    </row>
    <row r="152" spans="2:7">
      <c r="B152" s="1993"/>
      <c r="E152" s="1993"/>
      <c r="F152" s="1993"/>
    </row>
    <row r="153" spans="2:7">
      <c r="B153" s="1993"/>
      <c r="E153" s="1993"/>
      <c r="F153" s="1993"/>
    </row>
    <row r="154" spans="2:7">
      <c r="B154" s="1993"/>
      <c r="E154" s="1993"/>
      <c r="F154" s="1993"/>
    </row>
    <row r="155" spans="2:7">
      <c r="B155" s="1993"/>
      <c r="E155" s="1993"/>
      <c r="F155" s="1993"/>
    </row>
    <row r="156" spans="2:7">
      <c r="B156" s="1993"/>
      <c r="E156" s="1993"/>
      <c r="F156" s="1993"/>
    </row>
    <row r="157" spans="2:7">
      <c r="B157" s="1993"/>
      <c r="E157" s="1993"/>
      <c r="F157" s="1993"/>
    </row>
    <row r="158" spans="2:7">
      <c r="B158" s="1993"/>
      <c r="E158" s="1993"/>
      <c r="F158" s="1993"/>
    </row>
    <row r="159" spans="2:7">
      <c r="B159" s="1993"/>
      <c r="E159" s="1993"/>
      <c r="F159" s="1993"/>
    </row>
    <row r="160" spans="2:7">
      <c r="B160" s="1993"/>
      <c r="E160" s="1993"/>
      <c r="F160" s="1993"/>
    </row>
    <row r="161" spans="2:6">
      <c r="B161" s="1993"/>
      <c r="E161" s="1993"/>
      <c r="F161" s="1993"/>
    </row>
    <row r="162" spans="2:6">
      <c r="B162" s="1993"/>
      <c r="E162" s="1993"/>
      <c r="F162" s="1993"/>
    </row>
    <row r="163" spans="2:6">
      <c r="B163" s="1993"/>
      <c r="E163" s="1993"/>
      <c r="F163" s="1993"/>
    </row>
    <row r="164" spans="2:6">
      <c r="B164" s="1993"/>
      <c r="E164" s="1993"/>
      <c r="F164" s="1993"/>
    </row>
    <row r="165" spans="2:6">
      <c r="B165" s="1993"/>
      <c r="E165" s="1993"/>
      <c r="F165" s="1993"/>
    </row>
    <row r="166" spans="2:6">
      <c r="B166" s="1993"/>
      <c r="E166" s="1993"/>
      <c r="F166" s="1993"/>
    </row>
    <row r="167" spans="2:6">
      <c r="B167" s="1993"/>
      <c r="E167" s="1993"/>
      <c r="F167" s="1993"/>
    </row>
    <row r="168" spans="2:6">
      <c r="B168" s="1993"/>
      <c r="E168" s="1993"/>
      <c r="F168" s="1993"/>
    </row>
  </sheetData>
  <sheetProtection algorithmName="SHA-512" hashValue="X60NvUIe1geZF9wDe3Y0dbRK+bNxR2N/lmZFOiQ4U76J98SrN4xQVDk2caCvJvoGfaJQJNwEcGTVNUwAGvU/rA==" saltValue="RReMvhMa/XE9NA9pkUIt4A==" spinCount="100000" sheet="1" objects="1" scenarios="1"/>
  <mergeCells count="18">
    <mergeCell ref="B120:S120"/>
    <mergeCell ref="D86:S86"/>
    <mergeCell ref="D89:S89"/>
    <mergeCell ref="D92:S92"/>
    <mergeCell ref="D95:S95"/>
    <mergeCell ref="D98:S98"/>
    <mergeCell ref="D101:S101"/>
    <mergeCell ref="D104:S104"/>
    <mergeCell ref="D107:S107"/>
    <mergeCell ref="D110:S110"/>
    <mergeCell ref="B115:S115"/>
    <mergeCell ref="B117:S117"/>
    <mergeCell ref="D83:S83"/>
    <mergeCell ref="B4:U4"/>
    <mergeCell ref="D77:S77"/>
    <mergeCell ref="D80:S80"/>
    <mergeCell ref="D81:S81"/>
    <mergeCell ref="D82:S82"/>
  </mergeCells>
  <conditionalFormatting sqref="J16:BU19 EL16:EW19 AL24:AS24">
    <cfRule type="expression" dxfId="491" priority="313">
      <formula>J16=$D$147</formula>
    </cfRule>
    <cfRule type="expression" dxfId="490" priority="314">
      <formula>J16=$D$146</formula>
    </cfRule>
    <cfRule type="expression" dxfId="489" priority="315">
      <formula>J16=$D$145</formula>
    </cfRule>
  </conditionalFormatting>
  <conditionalFormatting sqref="J24:AG24">
    <cfRule type="expression" dxfId="488" priority="310">
      <formula>J24=$D$147</formula>
    </cfRule>
    <cfRule type="expression" dxfId="487" priority="311">
      <formula>J24=$D$146</formula>
    </cfRule>
    <cfRule type="expression" dxfId="486" priority="312">
      <formula>J24=$D$145</formula>
    </cfRule>
  </conditionalFormatting>
  <conditionalFormatting sqref="J50:AG50">
    <cfRule type="expression" dxfId="485" priority="307">
      <formula>J50=$D$147</formula>
    </cfRule>
    <cfRule type="expression" dxfId="484" priority="308">
      <formula>J50=$D$146</formula>
    </cfRule>
    <cfRule type="expression" dxfId="483" priority="309">
      <formula>J50=$D$145</formula>
    </cfRule>
  </conditionalFormatting>
  <conditionalFormatting sqref="J56:AG56">
    <cfRule type="expression" dxfId="482" priority="304">
      <formula>J56=$D$147</formula>
    </cfRule>
    <cfRule type="expression" dxfId="481" priority="305">
      <formula>J56=$D$146</formula>
    </cfRule>
    <cfRule type="expression" dxfId="480" priority="306">
      <formula>J56=$D$145</formula>
    </cfRule>
  </conditionalFormatting>
  <conditionalFormatting sqref="J56:K56">
    <cfRule type="expression" dxfId="479" priority="300">
      <formula>J56=$D$147</formula>
    </cfRule>
    <cfRule type="expression" dxfId="478" priority="301">
      <formula>J56=$D$146</formula>
    </cfRule>
    <cfRule type="expression" dxfId="477" priority="302">
      <formula>J56=$D$145</formula>
    </cfRule>
  </conditionalFormatting>
  <conditionalFormatting sqref="N56:O56">
    <cfRule type="expression" dxfId="476" priority="297">
      <formula>N56=$D$147</formula>
    </cfRule>
    <cfRule type="expression" dxfId="475" priority="298">
      <formula>N56=$D$146</formula>
    </cfRule>
    <cfRule type="expression" dxfId="474" priority="299">
      <formula>N56=$D$145</formula>
    </cfRule>
  </conditionalFormatting>
  <conditionalFormatting sqref="R56:S56">
    <cfRule type="expression" dxfId="473" priority="294">
      <formula>R56=$D$147</formula>
    </cfRule>
    <cfRule type="expression" dxfId="472" priority="295">
      <formula>R56=$D$146</formula>
    </cfRule>
    <cfRule type="expression" dxfId="471" priority="296">
      <formula>R56=$D$145</formula>
    </cfRule>
  </conditionalFormatting>
  <conditionalFormatting sqref="V56:W56">
    <cfRule type="expression" dxfId="470" priority="291">
      <formula>V56=$D$147</formula>
    </cfRule>
    <cfRule type="expression" dxfId="469" priority="292">
      <formula>V56=$D$146</formula>
    </cfRule>
    <cfRule type="expression" dxfId="468" priority="293">
      <formula>V56=$D$145</formula>
    </cfRule>
  </conditionalFormatting>
  <conditionalFormatting sqref="Z56:AA56">
    <cfRule type="expression" dxfId="467" priority="288">
      <formula>Z56=$D$147</formula>
    </cfRule>
    <cfRule type="expression" dxfId="466" priority="289">
      <formula>Z56=$D$146</formula>
    </cfRule>
    <cfRule type="expression" dxfId="465" priority="290">
      <formula>Z56=$D$145</formula>
    </cfRule>
  </conditionalFormatting>
  <conditionalFormatting sqref="AD56:AE56">
    <cfRule type="expression" dxfId="464" priority="285">
      <formula>AD56=$D$147</formula>
    </cfRule>
    <cfRule type="expression" dxfId="463" priority="286">
      <formula>AD56=$D$146</formula>
    </cfRule>
    <cfRule type="expression" dxfId="462" priority="287">
      <formula>AD56=$D$145</formula>
    </cfRule>
  </conditionalFormatting>
  <conditionalFormatting sqref="J29:Q29">
    <cfRule type="expression" dxfId="461" priority="282">
      <formula>J29=$D$147</formula>
    </cfRule>
    <cfRule type="expression" dxfId="460" priority="283">
      <formula>J29=$D$146</formula>
    </cfRule>
    <cfRule type="expression" dxfId="459" priority="284">
      <formula>J29=$D$145</formula>
    </cfRule>
  </conditionalFormatting>
  <conditionalFormatting sqref="R29:U29">
    <cfRule type="expression" dxfId="458" priority="279">
      <formula>R29=$D$147</formula>
    </cfRule>
    <cfRule type="expression" dxfId="457" priority="280">
      <formula>R29=$D$146</formula>
    </cfRule>
    <cfRule type="expression" dxfId="456" priority="281">
      <formula>R29=$D$145</formula>
    </cfRule>
  </conditionalFormatting>
  <conditionalFormatting sqref="V29:Y29">
    <cfRule type="expression" dxfId="455" priority="276">
      <formula>V29=$D$147</formula>
    </cfRule>
    <cfRule type="expression" dxfId="454" priority="277">
      <formula>V29=$D$146</formula>
    </cfRule>
    <cfRule type="expression" dxfId="453" priority="278">
      <formula>V29=$D$145</formula>
    </cfRule>
  </conditionalFormatting>
  <conditionalFormatting sqref="J34:Q34">
    <cfRule type="expression" dxfId="452" priority="273">
      <formula>J34=$D$147</formula>
    </cfRule>
    <cfRule type="expression" dxfId="451" priority="274">
      <formula>J34=$D$146</formula>
    </cfRule>
    <cfRule type="expression" dxfId="450" priority="275">
      <formula>J34=$D$145</formula>
    </cfRule>
  </conditionalFormatting>
  <conditionalFormatting sqref="R34:U34">
    <cfRule type="expression" dxfId="449" priority="270">
      <formula>R34=$D$147</formula>
    </cfRule>
    <cfRule type="expression" dxfId="448" priority="271">
      <formula>R34=$D$146</formula>
    </cfRule>
    <cfRule type="expression" dxfId="447" priority="272">
      <formula>R34=$D$145</formula>
    </cfRule>
  </conditionalFormatting>
  <conditionalFormatting sqref="V34:Y34">
    <cfRule type="expression" dxfId="446" priority="267">
      <formula>V34=$D$147</formula>
    </cfRule>
    <cfRule type="expression" dxfId="445" priority="268">
      <formula>V34=$D$146</formula>
    </cfRule>
    <cfRule type="expression" dxfId="444" priority="269">
      <formula>V34=$D$145</formula>
    </cfRule>
  </conditionalFormatting>
  <conditionalFormatting sqref="Z34:AC34">
    <cfRule type="expression" dxfId="443" priority="264">
      <formula>Z34=$D$147</formula>
    </cfRule>
    <cfRule type="expression" dxfId="442" priority="265">
      <formula>Z34=$D$146</formula>
    </cfRule>
    <cfRule type="expression" dxfId="441" priority="266">
      <formula>Z34=$D$145</formula>
    </cfRule>
  </conditionalFormatting>
  <conditionalFormatting sqref="AD34:AG34">
    <cfRule type="expression" dxfId="440" priority="261">
      <formula>AD34=$D$147</formula>
    </cfRule>
    <cfRule type="expression" dxfId="439" priority="262">
      <formula>AD34=$D$146</formula>
    </cfRule>
    <cfRule type="expression" dxfId="438" priority="263">
      <formula>AD34=$D$145</formula>
    </cfRule>
  </conditionalFormatting>
  <conditionalFormatting sqref="R45:U45">
    <cfRule type="expression" dxfId="437" priority="249">
      <formula>R45=$D$147</formula>
    </cfRule>
    <cfRule type="expression" dxfId="436" priority="250">
      <formula>R45=$D$146</formula>
    </cfRule>
    <cfRule type="expression" dxfId="435" priority="251">
      <formula>R45=$D$145</formula>
    </cfRule>
  </conditionalFormatting>
  <conditionalFormatting sqref="V45:Y45">
    <cfRule type="expression" dxfId="434" priority="246">
      <formula>V45=$D$147</formula>
    </cfRule>
    <cfRule type="expression" dxfId="433" priority="247">
      <formula>V45=$D$146</formula>
    </cfRule>
    <cfRule type="expression" dxfId="432" priority="248">
      <formula>V45=$D$145</formula>
    </cfRule>
  </conditionalFormatting>
  <conditionalFormatting sqref="Z45:AC45">
    <cfRule type="expression" dxfId="431" priority="243">
      <formula>Z45=$D$147</formula>
    </cfRule>
    <cfRule type="expression" dxfId="430" priority="244">
      <formula>Z45=$D$146</formula>
    </cfRule>
    <cfRule type="expression" dxfId="429" priority="245">
      <formula>Z45=$D$145</formula>
    </cfRule>
  </conditionalFormatting>
  <conditionalFormatting sqref="AD45:AG45">
    <cfRule type="expression" dxfId="428" priority="240">
      <formula>AD45=$D$147</formula>
    </cfRule>
    <cfRule type="expression" dxfId="427" priority="241">
      <formula>AD45=$D$146</formula>
    </cfRule>
    <cfRule type="expression" dxfId="426" priority="242">
      <formula>AD45=$D$145</formula>
    </cfRule>
  </conditionalFormatting>
  <conditionalFormatting sqref="J45:Q45">
    <cfRule type="expression" dxfId="425" priority="252">
      <formula>J45=$D$147</formula>
    </cfRule>
    <cfRule type="expression" dxfId="424" priority="253">
      <formula>J45=$D$146</formula>
    </cfRule>
    <cfRule type="expression" dxfId="423" priority="254">
      <formula>J45=$D$145</formula>
    </cfRule>
  </conditionalFormatting>
  <conditionalFormatting sqref="J40:Q40">
    <cfRule type="expression" dxfId="422" priority="258">
      <formula>J40=$D$147</formula>
    </cfRule>
    <cfRule type="expression" dxfId="421" priority="259">
      <formula>J40=$D$146</formula>
    </cfRule>
    <cfRule type="expression" dxfId="420" priority="260">
      <formula>J40=$D$145</formula>
    </cfRule>
  </conditionalFormatting>
  <conditionalFormatting sqref="R40:U40">
    <cfRule type="expression" dxfId="419" priority="255">
      <formula>R40=$D$147</formula>
    </cfRule>
    <cfRule type="expression" dxfId="418" priority="256">
      <formula>R40=$D$146</formula>
    </cfRule>
    <cfRule type="expression" dxfId="417" priority="257">
      <formula>R40=$D$145</formula>
    </cfRule>
  </conditionalFormatting>
  <conditionalFormatting sqref="R61:U61">
    <cfRule type="expression" dxfId="416" priority="234">
      <formula>R61=$D$147</formula>
    </cfRule>
    <cfRule type="expression" dxfId="415" priority="235">
      <formula>R61=$D$146</formula>
    </cfRule>
    <cfRule type="expression" dxfId="414" priority="236">
      <formula>R61=$D$145</formula>
    </cfRule>
  </conditionalFormatting>
  <conditionalFormatting sqref="J61:Q61">
    <cfRule type="expression" dxfId="413" priority="237">
      <formula>J61=$D$147</formula>
    </cfRule>
    <cfRule type="expression" dxfId="412" priority="238">
      <formula>J61=$D$146</formula>
    </cfRule>
    <cfRule type="expression" dxfId="411" priority="239">
      <formula>J61=$D$145</formula>
    </cfRule>
  </conditionalFormatting>
  <conditionalFormatting sqref="R66:U66">
    <cfRule type="expression" dxfId="410" priority="228">
      <formula>R66=$D$147</formula>
    </cfRule>
    <cfRule type="expression" dxfId="409" priority="229">
      <formula>R66=$D$146</formula>
    </cfRule>
    <cfRule type="expression" dxfId="408" priority="230">
      <formula>R66=$D$145</formula>
    </cfRule>
  </conditionalFormatting>
  <conditionalFormatting sqref="V66:Y66">
    <cfRule type="expression" dxfId="407" priority="225">
      <formula>V66=$D$147</formula>
    </cfRule>
    <cfRule type="expression" dxfId="406" priority="226">
      <formula>V66=$D$146</formula>
    </cfRule>
    <cfRule type="expression" dxfId="405" priority="227">
      <formula>V66=$D$145</formula>
    </cfRule>
  </conditionalFormatting>
  <conditionalFormatting sqref="Z66:AC66">
    <cfRule type="expression" dxfId="404" priority="222">
      <formula>Z66=$D$147</formula>
    </cfRule>
    <cfRule type="expression" dxfId="403" priority="223">
      <formula>Z66=$D$146</formula>
    </cfRule>
    <cfRule type="expression" dxfId="402" priority="224">
      <formula>Z66=$D$145</formula>
    </cfRule>
  </conditionalFormatting>
  <conditionalFormatting sqref="AD66:AG66">
    <cfRule type="expression" dxfId="401" priority="219">
      <formula>AD66=$D$147</formula>
    </cfRule>
    <cfRule type="expression" dxfId="400" priority="220">
      <formula>AD66=$D$146</formula>
    </cfRule>
    <cfRule type="expression" dxfId="399" priority="221">
      <formula>AD66=$D$145</formula>
    </cfRule>
  </conditionalFormatting>
  <conditionalFormatting sqref="J66:Q66">
    <cfRule type="expression" dxfId="398" priority="231">
      <formula>J66=$D$147</formula>
    </cfRule>
    <cfRule type="expression" dxfId="397" priority="232">
      <formula>J66=$D$146</formula>
    </cfRule>
    <cfRule type="expression" dxfId="396" priority="233">
      <formula>J66=$D$145</formula>
    </cfRule>
  </conditionalFormatting>
  <conditionalFormatting sqref="BV16:CO19">
    <cfRule type="expression" dxfId="395" priority="216">
      <formula>BV16=$D$147</formula>
    </cfRule>
    <cfRule type="expression" dxfId="394" priority="217">
      <formula>BV16=$D$146</formula>
    </cfRule>
    <cfRule type="expression" dxfId="393" priority="218">
      <formula>BV16=$D$145</formula>
    </cfRule>
  </conditionalFormatting>
  <conditionalFormatting sqref="CP16:DI19">
    <cfRule type="expression" dxfId="392" priority="213">
      <formula>CP16=$D$147</formula>
    </cfRule>
    <cfRule type="expression" dxfId="391" priority="214">
      <formula>CP16=$D$146</formula>
    </cfRule>
    <cfRule type="expression" dxfId="390" priority="215">
      <formula>CP16=$D$145</formula>
    </cfRule>
  </conditionalFormatting>
  <conditionalFormatting sqref="DJ16:EC19">
    <cfRule type="expression" dxfId="389" priority="210">
      <formula>DJ16=$D$147</formula>
    </cfRule>
    <cfRule type="expression" dxfId="388" priority="211">
      <formula>DJ16=$D$146</formula>
    </cfRule>
    <cfRule type="expression" dxfId="387" priority="212">
      <formula>DJ16=$D$145</formula>
    </cfRule>
  </conditionalFormatting>
  <conditionalFormatting sqref="ED16:EG19">
    <cfRule type="expression" dxfId="386" priority="207">
      <formula>ED16=$D$147</formula>
    </cfRule>
    <cfRule type="expression" dxfId="385" priority="208">
      <formula>ED16=$D$146</formula>
    </cfRule>
    <cfRule type="expression" dxfId="384" priority="209">
      <formula>ED16=$D$145</formula>
    </cfRule>
  </conditionalFormatting>
  <conditionalFormatting sqref="EX16:FQ19">
    <cfRule type="expression" dxfId="383" priority="204">
      <formula>EX16=$D$147</formula>
    </cfRule>
    <cfRule type="expression" dxfId="382" priority="205">
      <formula>EX16=$D$146</formula>
    </cfRule>
    <cfRule type="expression" dxfId="381" priority="206">
      <formula>EX16=$D$145</formula>
    </cfRule>
  </conditionalFormatting>
  <conditionalFormatting sqref="FR16:GK19">
    <cfRule type="expression" dxfId="380" priority="201">
      <formula>FR16=$D$147</formula>
    </cfRule>
    <cfRule type="expression" dxfId="379" priority="202">
      <formula>FR16=$D$146</formula>
    </cfRule>
    <cfRule type="expression" dxfId="378" priority="203">
      <formula>FR16=$D$145</formula>
    </cfRule>
  </conditionalFormatting>
  <conditionalFormatting sqref="GL16:HE19">
    <cfRule type="expression" dxfId="377" priority="198">
      <formula>GL16=$D$147</formula>
    </cfRule>
    <cfRule type="expression" dxfId="376" priority="199">
      <formula>GL16=$D$146</formula>
    </cfRule>
    <cfRule type="expression" dxfId="375" priority="200">
      <formula>GL16=$D$145</formula>
    </cfRule>
  </conditionalFormatting>
  <conditionalFormatting sqref="HF16:HY19">
    <cfRule type="expression" dxfId="374" priority="195">
      <formula>HF16=$D$147</formula>
    </cfRule>
    <cfRule type="expression" dxfId="373" priority="196">
      <formula>HF16=$D$146</formula>
    </cfRule>
    <cfRule type="expression" dxfId="372" priority="197">
      <formula>HF16=$D$145</formula>
    </cfRule>
  </conditionalFormatting>
  <conditionalFormatting sqref="HZ16:IS19">
    <cfRule type="expression" dxfId="371" priority="192">
      <formula>HZ16=$D$147</formula>
    </cfRule>
    <cfRule type="expression" dxfId="370" priority="193">
      <formula>HZ16=$D$146</formula>
    </cfRule>
    <cfRule type="expression" dxfId="369" priority="194">
      <formula>HZ16=$D$145</formula>
    </cfRule>
  </conditionalFormatting>
  <conditionalFormatting sqref="IT16:JM19">
    <cfRule type="expression" dxfId="368" priority="189">
      <formula>IT16=$D$147</formula>
    </cfRule>
    <cfRule type="expression" dxfId="367" priority="190">
      <formula>IT16=$D$146</formula>
    </cfRule>
    <cfRule type="expression" dxfId="366" priority="191">
      <formula>IT16=$D$145</formula>
    </cfRule>
  </conditionalFormatting>
  <conditionalFormatting sqref="JN16:KG19">
    <cfRule type="expression" dxfId="365" priority="186">
      <formula>JN16=$D$147</formula>
    </cfRule>
    <cfRule type="expression" dxfId="364" priority="187">
      <formula>JN16=$D$146</formula>
    </cfRule>
    <cfRule type="expression" dxfId="363" priority="188">
      <formula>JN16=$D$145</formula>
    </cfRule>
  </conditionalFormatting>
  <conditionalFormatting sqref="KH16:KS19">
    <cfRule type="expression" dxfId="362" priority="183">
      <formula>KH16=$D$147</formula>
    </cfRule>
    <cfRule type="expression" dxfId="361" priority="184">
      <formula>KH16=$D$146</formula>
    </cfRule>
    <cfRule type="expression" dxfId="360" priority="185">
      <formula>KH16=$D$145</formula>
    </cfRule>
  </conditionalFormatting>
  <conditionalFormatting sqref="EH16:EK19">
    <cfRule type="expression" dxfId="359" priority="180">
      <formula>EH16=$D$147</formula>
    </cfRule>
    <cfRule type="expression" dxfId="358" priority="181">
      <formula>EH16=$D$146</formula>
    </cfRule>
    <cfRule type="expression" dxfId="357" priority="182">
      <formula>EH16=$D$145</formula>
    </cfRule>
  </conditionalFormatting>
  <conditionalFormatting sqref="KT16:KW19">
    <cfRule type="expression" dxfId="356" priority="177">
      <formula>KT16=$D$147</formula>
    </cfRule>
    <cfRule type="expression" dxfId="355" priority="178">
      <formula>KT16=$D$146</formula>
    </cfRule>
    <cfRule type="expression" dxfId="354" priority="179">
      <formula>KT16=$D$145</formula>
    </cfRule>
  </conditionalFormatting>
  <conditionalFormatting sqref="AX24:BE24">
    <cfRule type="expression" dxfId="353" priority="174">
      <formula>AX24=$D$147</formula>
    </cfRule>
    <cfRule type="expression" dxfId="352" priority="175">
      <formula>AX24=$D$146</formula>
    </cfRule>
    <cfRule type="expression" dxfId="351" priority="176">
      <formula>AX24=$D$145</formula>
    </cfRule>
  </conditionalFormatting>
  <conditionalFormatting sqref="BF24:BI24">
    <cfRule type="expression" dxfId="350" priority="171">
      <formula>BF24=$D$147</formula>
    </cfRule>
    <cfRule type="expression" dxfId="349" priority="172">
      <formula>BF24=$D$146</formula>
    </cfRule>
    <cfRule type="expression" dxfId="348" priority="173">
      <formula>BF24=$D$145</formula>
    </cfRule>
  </conditionalFormatting>
  <conditionalFormatting sqref="AT24:AW24">
    <cfRule type="expression" dxfId="347" priority="168">
      <formula>AT24=$D$147</formula>
    </cfRule>
    <cfRule type="expression" dxfId="346" priority="169">
      <formula>AT24=$D$146</formula>
    </cfRule>
    <cfRule type="expression" dxfId="345" priority="170">
      <formula>AT24=$D$145</formula>
    </cfRule>
  </conditionalFormatting>
  <conditionalFormatting sqref="AH24:AK24">
    <cfRule type="expression" dxfId="344" priority="165">
      <formula>AH24=$D$147</formula>
    </cfRule>
    <cfRule type="expression" dxfId="343" priority="166">
      <formula>AH24=$D$146</formula>
    </cfRule>
    <cfRule type="expression" dxfId="342" priority="167">
      <formula>AH24=$D$145</formula>
    </cfRule>
  </conditionalFormatting>
  <conditionalFormatting sqref="AL34:AS34">
    <cfRule type="expression" dxfId="341" priority="162">
      <formula>AL34=$D$147</formula>
    </cfRule>
    <cfRule type="expression" dxfId="340" priority="163">
      <formula>AL34=$D$146</formula>
    </cfRule>
    <cfRule type="expression" dxfId="339" priority="164">
      <formula>AL34=$D$145</formula>
    </cfRule>
  </conditionalFormatting>
  <conditionalFormatting sqref="AX34:BE34">
    <cfRule type="expression" dxfId="338" priority="159">
      <formula>AX34=$D$147</formula>
    </cfRule>
    <cfRule type="expression" dxfId="337" priority="160">
      <formula>AX34=$D$146</formula>
    </cfRule>
    <cfRule type="expression" dxfId="336" priority="161">
      <formula>AX34=$D$145</formula>
    </cfRule>
  </conditionalFormatting>
  <conditionalFormatting sqref="AT34:AW34">
    <cfRule type="expression" dxfId="335" priority="156">
      <formula>AT34=$D$147</formula>
    </cfRule>
    <cfRule type="expression" dxfId="334" priority="157">
      <formula>AT34=$D$146</formula>
    </cfRule>
    <cfRule type="expression" dxfId="333" priority="158">
      <formula>AT34=$D$145</formula>
    </cfRule>
  </conditionalFormatting>
  <conditionalFormatting sqref="AH34:AK34">
    <cfRule type="expression" dxfId="332" priority="153">
      <formula>AH34=$D$147</formula>
    </cfRule>
    <cfRule type="expression" dxfId="331" priority="154">
      <formula>AH34=$D$146</formula>
    </cfRule>
    <cfRule type="expression" dxfId="330" priority="155">
      <formula>AH34=$D$145</formula>
    </cfRule>
  </conditionalFormatting>
  <conditionalFormatting sqref="AH50:AO50">
    <cfRule type="expression" dxfId="329" priority="150">
      <formula>AH50=$D$147</formula>
    </cfRule>
    <cfRule type="expression" dxfId="328" priority="151">
      <formula>AH50=$D$146</formula>
    </cfRule>
    <cfRule type="expression" dxfId="327" priority="152">
      <formula>AH50=$D$145</formula>
    </cfRule>
  </conditionalFormatting>
  <conditionalFormatting sqref="AP50:AW50">
    <cfRule type="expression" dxfId="326" priority="147">
      <formula>AP50=$D$147</formula>
    </cfRule>
    <cfRule type="expression" dxfId="325" priority="148">
      <formula>AP50=$D$146</formula>
    </cfRule>
    <cfRule type="expression" dxfId="324" priority="149">
      <formula>AP50=$D$145</formula>
    </cfRule>
  </conditionalFormatting>
  <conditionalFormatting sqref="AX50:BA50">
    <cfRule type="expression" dxfId="323" priority="144">
      <formula>AX50=$D$147</formula>
    </cfRule>
    <cfRule type="expression" dxfId="322" priority="145">
      <formula>AX50=$D$146</formula>
    </cfRule>
    <cfRule type="expression" dxfId="321" priority="146">
      <formula>AX50=$D$145</formula>
    </cfRule>
  </conditionalFormatting>
  <conditionalFormatting sqref="AH56:AO56">
    <cfRule type="expression" dxfId="320" priority="141">
      <formula>AH56=$D$147</formula>
    </cfRule>
    <cfRule type="expression" dxfId="319" priority="142">
      <formula>AH56=$D$146</formula>
    </cfRule>
    <cfRule type="expression" dxfId="318" priority="143">
      <formula>AH56=$D$145</formula>
    </cfRule>
  </conditionalFormatting>
  <conditionalFormatting sqref="AP56:AW56">
    <cfRule type="expression" dxfId="317" priority="138">
      <formula>AP56=$D$147</formula>
    </cfRule>
    <cfRule type="expression" dxfId="316" priority="139">
      <formula>AP56=$D$146</formula>
    </cfRule>
    <cfRule type="expression" dxfId="315" priority="140">
      <formula>AP56=$D$145</formula>
    </cfRule>
  </conditionalFormatting>
  <conditionalFormatting sqref="AX56:BA56">
    <cfRule type="expression" dxfId="314" priority="135">
      <formula>AX56=$D$147</formula>
    </cfRule>
    <cfRule type="expression" dxfId="313" priority="136">
      <formula>AX56=$D$146</formula>
    </cfRule>
    <cfRule type="expression" dxfId="312" priority="137">
      <formula>AX56=$D$145</formula>
    </cfRule>
  </conditionalFormatting>
  <conditionalFormatting sqref="A1:LD1 A3:LD6 A2:LB2 LD2 A8:LD8 A7:LB7 LD7 A10:LD15 A9:LB9 LD9 NW9:OA9 LG16:LG19 LI16:LK19 LM16:LO19 LQ16:LS19 LU16:LW19 LY16:MA19 MC16:ME19 MG16:MI19 MK16:MM19 MO16:MQ19 MS16:MU19 MW16:MY19 NA16:NC19 NE16:NG19 NI16:NK19 NM16:NO19 NQ16:NS19 NU16:NW19 NY16:OA19 LG1:XB1 LG4:XB6 LH2:XB3 LH7:XB8 NW10:XB10 OC16:OE19 OG16:OI19 OK16:OM19 OO16:OQ19 OS16:OU19 OW16:OY19 PA16:PC19 PE16:PG19 PI16:PK19 PM16:PO19 PQ16:PS19 PU16:PW19 PY16:QA19 QC16:QE19 QG16:QI19 QK16:QM19 QO16:QQ19 QS16:QU19 QW16:QY19 RA16:RC19 RE16:RG19 RI16:RK19 RM16:RO19 RQ16:RS19 RU16:RW19 RY16:SA19 SC16:SE19 SG16:SI19 SK16:SM19 LG12:XB15 SO16:SQ19 SS16:SU19 SW16:SY19 TA16:TC19 TE16:TG19 TI16:TK19 TM16:TO19 TQ16:TS19 TU16:TW19 UC16:UE19 TY16:UA19 UG16:UI19 UK16:UM19 UO16:UQ19 US16:UU19 UW16:UY19 VA16:VC19 VE16:VG19 VI16:VK19 VM16:VO19 VQ16:VS19 VU16:VW19 WC16:WE19 VY16:WA19 WW16:WY19 WS16:WU19 WO16:WQ19 WK16:WM19 WG16:WI19 XA16:XB19 XD1:XFD1048576 A20:LD23 A16:LB19 LD16:LD19 LG20:XB23 LG24 LI24:LK24 LM24:LO24 A25:LD28 A24:LB24 LD24 LQ24:LS24 LU24:LW24 LY24:MA24 MC24:ME24 MG24:MI24 MK24:MM24 MO24:MQ24 MS24:MU24 MW24:MY24 NA24:NC24 NE24:NG24 NI24:XB24 LG25:XB28 A30:LD33 LD29 A34:LB34 LD34 A41:LD44 A40:LB40 LD40 LG30:XB33 LG29 LI29:LK29 LG34 LI34:LK34 LG40 LI40:LK40 LM29:LO29 LM34:LO34 LM40:LO40 A35:LD39 LG35:XB39 LQ29:LS29 LU29:LW29 LY29:XB29 LQ34:LS34 LU34:LW34 LY34:MA34 MC34:ME34 MG34:MI34 MK34:MM34 MO34:MQ34 MS34:MU34 MW34:MY34 NA34:NC34 NE34:XB34 LQ40:LS40 LU40:LW40 LY40:MA40 MC40:ME40 MG40:MI40 MK40:MM40 MO40:MQ40 MS40:MU40 MW40:MY40 NA40:NC40 NE40:NG40 NI40:NK40 NM40:NO40 NQ40:NS40 NU40:NW40 NY40:OA40 OC40:OE40 OG40:OI40 OK40:OM40 OO40:OQ40 OS40:OU40 OW40:OY40 PA40:XB40 LG41:XB44 LG45 LI45:XB45 A46:LD49 A45:LB45 LD45 LG46:XB49 A51:LD55 A50:LB50 LD50 LG50 LI50:LK50 LM50:LO50 LQ50:LS50 LU50:LW50 LY50:MA50 MC50:ME50 MG50:MI50 MK50:MM50 MO50:MQ50 MS50:MU50 MW50:MY50 NA50:XB50 LG51:XB55 A57:LD60 A56:LB56 LD56 LG56 LI56:LK56 LM56:LO56 LQ56:LS56 LU56:LW56 LY56:MA56 MC56:ME56 MG56:MI56 MK56:MM56 MO56:MQ56 MS56:MU56 MW56:MY56 NA56:XB56 LG57:XB60 A62:LD65 A61:LB61 LD61 LG61 LI61:LK61 LM61:LO61 LQ61:LS61 LU61:XB61 LG62:XB65 A67:LD1048576 A66:LB66 LD66 LG67:XB1048576 LG66 LI66:XB66 A29:LB29">
    <cfRule type="expression" priority="134">
      <formula>CELL("protect", INDIRECT(ADDRESS(ROW(),COLUMN())))=1</formula>
    </cfRule>
  </conditionalFormatting>
  <conditionalFormatting sqref="KX16:LA19">
    <cfRule type="expression" dxfId="311" priority="131">
      <formula>KX16=$D$147</formula>
    </cfRule>
    <cfRule type="expression" dxfId="310" priority="132">
      <formula>KX16=$D$146</formula>
    </cfRule>
    <cfRule type="expression" dxfId="309" priority="133">
      <formula>KX16=$D$145</formula>
    </cfRule>
  </conditionalFormatting>
  <conditionalFormatting sqref="J40:BU40">
    <cfRule type="expression" dxfId="308" priority="128">
      <formula>J40=$D$147</formula>
    </cfRule>
    <cfRule type="expression" dxfId="307" priority="129">
      <formula>J40=$D$146</formula>
    </cfRule>
    <cfRule type="expression" dxfId="306" priority="130">
      <formula>J40=$D$145</formula>
    </cfRule>
  </conditionalFormatting>
  <conditionalFormatting sqref="BV40:CO40">
    <cfRule type="expression" dxfId="305" priority="125">
      <formula>BV40=$D$147</formula>
    </cfRule>
    <cfRule type="expression" dxfId="304" priority="126">
      <formula>BV40=$D$146</formula>
    </cfRule>
    <cfRule type="expression" dxfId="303" priority="127">
      <formula>BV40=$D$145</formula>
    </cfRule>
  </conditionalFormatting>
  <conditionalFormatting sqref="CP40:DA40">
    <cfRule type="expression" dxfId="302" priority="122">
      <formula>CP40=$D$147</formula>
    </cfRule>
    <cfRule type="expression" dxfId="301" priority="123">
      <formula>CP40=$D$146</formula>
    </cfRule>
    <cfRule type="expression" dxfId="300" priority="124">
      <formula>CP40=$D$145</formula>
    </cfRule>
  </conditionalFormatting>
  <conditionalFormatting sqref="KX16:LA19">
    <cfRule type="expression" dxfId="299" priority="119">
      <formula>KX16=$D$147</formula>
    </cfRule>
    <cfRule type="expression" dxfId="298" priority="120">
      <formula>KX16=$D$146</formula>
    </cfRule>
    <cfRule type="expression" dxfId="297" priority="121">
      <formula>KX16=$D$145</formula>
    </cfRule>
  </conditionalFormatting>
  <conditionalFormatting sqref="V40:Y40">
    <cfRule type="expression" dxfId="296" priority="116">
      <formula>V40=$D$147</formula>
    </cfRule>
    <cfRule type="expression" dxfId="295" priority="117">
      <formula>V40=$D$146</formula>
    </cfRule>
    <cfRule type="expression" dxfId="294" priority="118">
      <formula>V40=$D$145</formula>
    </cfRule>
  </conditionalFormatting>
  <conditionalFormatting sqref="Z40:AC40">
    <cfRule type="expression" dxfId="293" priority="113">
      <formula>Z40=$D$147</formula>
    </cfRule>
    <cfRule type="expression" dxfId="292" priority="114">
      <formula>Z40=$D$146</formula>
    </cfRule>
    <cfRule type="expression" dxfId="291" priority="115">
      <formula>Z40=$D$145</formula>
    </cfRule>
  </conditionalFormatting>
  <conditionalFormatting sqref="AD40:AG40">
    <cfRule type="expression" dxfId="290" priority="110">
      <formula>AD40=$D$147</formula>
    </cfRule>
    <cfRule type="expression" dxfId="289" priority="111">
      <formula>AD40=$D$146</formula>
    </cfRule>
    <cfRule type="expression" dxfId="288" priority="112">
      <formula>AD40=$D$145</formula>
    </cfRule>
  </conditionalFormatting>
  <conditionalFormatting sqref="AH40:AK40">
    <cfRule type="expression" dxfId="287" priority="107">
      <formula>AH40=$D$147</formula>
    </cfRule>
    <cfRule type="expression" dxfId="286" priority="108">
      <formula>AH40=$D$146</formula>
    </cfRule>
    <cfRule type="expression" dxfId="285" priority="109">
      <formula>AH40=$D$145</formula>
    </cfRule>
  </conditionalFormatting>
  <conditionalFormatting sqref="AL40:AO40">
    <cfRule type="expression" dxfId="284" priority="104">
      <formula>AL40=$D$147</formula>
    </cfRule>
    <cfRule type="expression" dxfId="283" priority="105">
      <formula>AL40=$D$146</formula>
    </cfRule>
    <cfRule type="expression" dxfId="282" priority="106">
      <formula>AL40=$D$145</formula>
    </cfRule>
  </conditionalFormatting>
  <conditionalFormatting sqref="AP40:AS40">
    <cfRule type="expression" dxfId="281" priority="101">
      <formula>AP40=$D$147</formula>
    </cfRule>
    <cfRule type="expression" dxfId="280" priority="102">
      <formula>AP40=$D$146</formula>
    </cfRule>
    <cfRule type="expression" dxfId="279" priority="103">
      <formula>AP40=$D$145</formula>
    </cfRule>
  </conditionalFormatting>
  <conditionalFormatting sqref="AT40:AW40">
    <cfRule type="expression" dxfId="278" priority="98">
      <formula>AT40=$D$147</formula>
    </cfRule>
    <cfRule type="expression" dxfId="277" priority="99">
      <formula>AT40=$D$146</formula>
    </cfRule>
    <cfRule type="expression" dxfId="276" priority="100">
      <formula>AT40=$D$145</formula>
    </cfRule>
  </conditionalFormatting>
  <conditionalFormatting sqref="AX40:BA40">
    <cfRule type="expression" dxfId="275" priority="95">
      <formula>AX40=$D$147</formula>
    </cfRule>
    <cfRule type="expression" dxfId="274" priority="96">
      <formula>AX40=$D$146</formula>
    </cfRule>
    <cfRule type="expression" dxfId="273" priority="97">
      <formula>AX40=$D$145</formula>
    </cfRule>
  </conditionalFormatting>
  <conditionalFormatting sqref="BB40:BE40">
    <cfRule type="expression" dxfId="272" priority="92">
      <formula>BB40=$D$147</formula>
    </cfRule>
    <cfRule type="expression" dxfId="271" priority="93">
      <formula>BB40=$D$146</formula>
    </cfRule>
    <cfRule type="expression" dxfId="270" priority="94">
      <formula>BB40=$D$145</formula>
    </cfRule>
  </conditionalFormatting>
  <conditionalFormatting sqref="BF40:BI40">
    <cfRule type="expression" dxfId="269" priority="89">
      <formula>BF40=$D$147</formula>
    </cfRule>
    <cfRule type="expression" dxfId="268" priority="90">
      <formula>BF40=$D$146</formula>
    </cfRule>
    <cfRule type="expression" dxfId="267" priority="91">
      <formula>BF40=$D$145</formula>
    </cfRule>
  </conditionalFormatting>
  <conditionalFormatting sqref="BJ40:BM40">
    <cfRule type="expression" dxfId="266" priority="86">
      <formula>BJ40=$D$147</formula>
    </cfRule>
    <cfRule type="expression" dxfId="265" priority="87">
      <formula>BJ40=$D$146</formula>
    </cfRule>
    <cfRule type="expression" dxfId="264" priority="88">
      <formula>BJ40=$D$145</formula>
    </cfRule>
  </conditionalFormatting>
  <conditionalFormatting sqref="BN40:BQ40">
    <cfRule type="expression" dxfId="263" priority="83">
      <formula>BN40=$D$147</formula>
    </cfRule>
    <cfRule type="expression" dxfId="262" priority="84">
      <formula>BN40=$D$146</formula>
    </cfRule>
    <cfRule type="expression" dxfId="261" priority="85">
      <formula>BN40=$D$145</formula>
    </cfRule>
  </conditionalFormatting>
  <conditionalFormatting sqref="BR40:BU40">
    <cfRule type="expression" dxfId="260" priority="80">
      <formula>BR40=$D$147</formula>
    </cfRule>
    <cfRule type="expression" dxfId="259" priority="81">
      <formula>BR40=$D$146</formula>
    </cfRule>
    <cfRule type="expression" dxfId="258" priority="82">
      <formula>BR40=$D$145</formula>
    </cfRule>
  </conditionalFormatting>
  <conditionalFormatting sqref="BV40:BY40">
    <cfRule type="expression" dxfId="257" priority="77">
      <formula>BV40=$D$147</formula>
    </cfRule>
    <cfRule type="expression" dxfId="256" priority="78">
      <formula>BV40=$D$146</formula>
    </cfRule>
    <cfRule type="expression" dxfId="255" priority="79">
      <formula>BV40=$D$145</formula>
    </cfRule>
  </conditionalFormatting>
  <conditionalFormatting sqref="BV40:BY40">
    <cfRule type="expression" dxfId="254" priority="74">
      <formula>BV40=$D$147</formula>
    </cfRule>
    <cfRule type="expression" dxfId="253" priority="75">
      <formula>BV40=$D$146</formula>
    </cfRule>
    <cfRule type="expression" dxfId="252" priority="76">
      <formula>BV40=$D$145</formula>
    </cfRule>
  </conditionalFormatting>
  <conditionalFormatting sqref="BZ40:CC40">
    <cfRule type="expression" dxfId="251" priority="71">
      <formula>BZ40=$D$147</formula>
    </cfRule>
    <cfRule type="expression" dxfId="250" priority="72">
      <formula>BZ40=$D$146</formula>
    </cfRule>
    <cfRule type="expression" dxfId="249" priority="73">
      <formula>BZ40=$D$145</formula>
    </cfRule>
  </conditionalFormatting>
  <conditionalFormatting sqref="BZ40:CC40">
    <cfRule type="expression" dxfId="248" priority="68">
      <formula>BZ40=$D$147</formula>
    </cfRule>
    <cfRule type="expression" dxfId="247" priority="69">
      <formula>BZ40=$D$146</formula>
    </cfRule>
    <cfRule type="expression" dxfId="246" priority="70">
      <formula>BZ40=$D$145</formula>
    </cfRule>
  </conditionalFormatting>
  <conditionalFormatting sqref="CD40:CG40">
    <cfRule type="expression" dxfId="245" priority="65">
      <formula>CD40=$D$147</formula>
    </cfRule>
    <cfRule type="expression" dxfId="244" priority="66">
      <formula>CD40=$D$146</formula>
    </cfRule>
    <cfRule type="expression" dxfId="243" priority="67">
      <formula>CD40=$D$145</formula>
    </cfRule>
  </conditionalFormatting>
  <conditionalFormatting sqref="CD40:CG40">
    <cfRule type="expression" dxfId="242" priority="62">
      <formula>CD40=$D$147</formula>
    </cfRule>
    <cfRule type="expression" dxfId="241" priority="63">
      <formula>CD40=$D$146</formula>
    </cfRule>
    <cfRule type="expression" dxfId="240" priority="64">
      <formula>CD40=$D$145</formula>
    </cfRule>
  </conditionalFormatting>
  <conditionalFormatting sqref="CH40:CK40">
    <cfRule type="expression" dxfId="239" priority="59">
      <formula>CH40=$D$147</formula>
    </cfRule>
    <cfRule type="expression" dxfId="238" priority="60">
      <formula>CH40=$D$146</formula>
    </cfRule>
    <cfRule type="expression" dxfId="237" priority="61">
      <formula>CH40=$D$145</formula>
    </cfRule>
  </conditionalFormatting>
  <conditionalFormatting sqref="CH40:CK40">
    <cfRule type="expression" dxfId="236" priority="56">
      <formula>CH40=$D$147</formula>
    </cfRule>
    <cfRule type="expression" dxfId="235" priority="57">
      <formula>CH40=$D$146</formula>
    </cfRule>
    <cfRule type="expression" dxfId="234" priority="58">
      <formula>CH40=$D$145</formula>
    </cfRule>
  </conditionalFormatting>
  <conditionalFormatting sqref="CL40:CO40">
    <cfRule type="expression" dxfId="233" priority="53">
      <formula>CL40=$D$147</formula>
    </cfRule>
    <cfRule type="expression" dxfId="232" priority="54">
      <formula>CL40=$D$146</formula>
    </cfRule>
    <cfRule type="expression" dxfId="231" priority="55">
      <formula>CL40=$D$145</formula>
    </cfRule>
  </conditionalFormatting>
  <conditionalFormatting sqref="CL40:CO40">
    <cfRule type="expression" dxfId="230" priority="50">
      <formula>CL40=$D$147</formula>
    </cfRule>
    <cfRule type="expression" dxfId="229" priority="51">
      <formula>CL40=$D$146</formula>
    </cfRule>
    <cfRule type="expression" dxfId="228" priority="52">
      <formula>CL40=$D$145</formula>
    </cfRule>
  </conditionalFormatting>
  <conditionalFormatting sqref="CP40:CS40">
    <cfRule type="expression" dxfId="227" priority="47">
      <formula>CP40=$D$147</formula>
    </cfRule>
    <cfRule type="expression" dxfId="226" priority="48">
      <formula>CP40=$D$146</formula>
    </cfRule>
    <cfRule type="expression" dxfId="225" priority="49">
      <formula>CP40=$D$145</formula>
    </cfRule>
  </conditionalFormatting>
  <conditionalFormatting sqref="CP40:CS40">
    <cfRule type="expression" dxfId="224" priority="44">
      <formula>CP40=$D$147</formula>
    </cfRule>
    <cfRule type="expression" dxfId="223" priority="45">
      <formula>CP40=$D$146</formula>
    </cfRule>
    <cfRule type="expression" dxfId="222" priority="46">
      <formula>CP40=$D$145</formula>
    </cfRule>
  </conditionalFormatting>
  <conditionalFormatting sqref="CT40:CW40">
    <cfRule type="expression" dxfId="221" priority="41">
      <formula>CT40=$D$147</formula>
    </cfRule>
    <cfRule type="expression" dxfId="220" priority="42">
      <formula>CT40=$D$146</formula>
    </cfRule>
    <cfRule type="expression" dxfId="219" priority="43">
      <formula>CT40=$D$145</formula>
    </cfRule>
  </conditionalFormatting>
  <conditionalFormatting sqref="CT40:CW40">
    <cfRule type="expression" dxfId="218" priority="38">
      <formula>CT40=$D$147</formula>
    </cfRule>
    <cfRule type="expression" dxfId="217" priority="39">
      <formula>CT40=$D$146</formula>
    </cfRule>
    <cfRule type="expression" dxfId="216" priority="40">
      <formula>CT40=$D$145</formula>
    </cfRule>
  </conditionalFormatting>
  <conditionalFormatting sqref="CX40:DA40">
    <cfRule type="expression" dxfId="215" priority="35">
      <formula>CX40=$D$147</formula>
    </cfRule>
    <cfRule type="expression" dxfId="214" priority="36">
      <formula>CX40=$D$146</formula>
    </cfRule>
    <cfRule type="expression" dxfId="213" priority="37">
      <formula>CX40=$D$145</formula>
    </cfRule>
  </conditionalFormatting>
  <conditionalFormatting sqref="CX40:DA40">
    <cfRule type="expression" dxfId="212" priority="32">
      <formula>CX40=$D$147</formula>
    </cfRule>
    <cfRule type="expression" dxfId="211" priority="33">
      <formula>CX40=$D$146</formula>
    </cfRule>
    <cfRule type="expression" dxfId="210" priority="34">
      <formula>CX40=$D$145</formula>
    </cfRule>
  </conditionalFormatting>
  <conditionalFormatting sqref="LC7">
    <cfRule type="cellIs" dxfId="209" priority="31" operator="equal">
      <formula>0</formula>
    </cfRule>
  </conditionalFormatting>
  <conditionalFormatting sqref="LC66">
    <cfRule type="cellIs" dxfId="208" priority="18" operator="equal">
      <formula>0</formula>
    </cfRule>
  </conditionalFormatting>
  <conditionalFormatting sqref="LC16">
    <cfRule type="cellIs" dxfId="207" priority="30" operator="equal">
      <formula>0</formula>
    </cfRule>
  </conditionalFormatting>
  <conditionalFormatting sqref="LC17">
    <cfRule type="cellIs" dxfId="206" priority="29" operator="equal">
      <formula>0</formula>
    </cfRule>
  </conditionalFormatting>
  <conditionalFormatting sqref="LC18">
    <cfRule type="cellIs" dxfId="205" priority="28" operator="equal">
      <formula>0</formula>
    </cfRule>
  </conditionalFormatting>
  <conditionalFormatting sqref="LC19">
    <cfRule type="cellIs" dxfId="204" priority="27" operator="equal">
      <formula>0</formula>
    </cfRule>
  </conditionalFormatting>
  <conditionalFormatting sqref="LC24">
    <cfRule type="cellIs" dxfId="203" priority="26" operator="equal">
      <formula>0</formula>
    </cfRule>
  </conditionalFormatting>
  <conditionalFormatting sqref="LC29">
    <cfRule type="cellIs" dxfId="202" priority="25" operator="equal">
      <formula>0</formula>
    </cfRule>
  </conditionalFormatting>
  <conditionalFormatting sqref="LC34">
    <cfRule type="cellIs" dxfId="201" priority="24" operator="equal">
      <formula>0</formula>
    </cfRule>
  </conditionalFormatting>
  <conditionalFormatting sqref="LC40">
    <cfRule type="cellIs" dxfId="200" priority="23" operator="equal">
      <formula>0</formula>
    </cfRule>
  </conditionalFormatting>
  <conditionalFormatting sqref="LC45">
    <cfRule type="cellIs" dxfId="199" priority="22" operator="equal">
      <formula>0</formula>
    </cfRule>
  </conditionalFormatting>
  <conditionalFormatting sqref="LC50">
    <cfRule type="cellIs" dxfId="198" priority="21" operator="equal">
      <formula>0</formula>
    </cfRule>
  </conditionalFormatting>
  <conditionalFormatting sqref="LC56">
    <cfRule type="cellIs" dxfId="197" priority="20" operator="equal">
      <formula>0</formula>
    </cfRule>
  </conditionalFormatting>
  <conditionalFormatting sqref="LC61">
    <cfRule type="cellIs" dxfId="196" priority="19" operator="equal">
      <formula>0</formula>
    </cfRule>
  </conditionalFormatting>
  <conditionalFormatting sqref="LF1:LF14 LF16:LF22 LF24:LF27 LF29:LF32 LF34:LF38 LF40:LF43 LF45:LF48 LF50:LF54 LF56:LF59 LF61:LF64 LF66:LF1048576">
    <cfRule type="expression" priority="17">
      <formula>CELL("protect", INDIRECT(ADDRESS(ROW(),COLUMN())))=1</formula>
    </cfRule>
  </conditionalFormatting>
  <conditionalFormatting sqref="LF15">
    <cfRule type="expression" priority="16">
      <formula>CELL("protect", INDIRECT(ADDRESS(ROW(),COLUMN())))=1</formula>
    </cfRule>
  </conditionalFormatting>
  <conditionalFormatting sqref="LF23">
    <cfRule type="expression" priority="15">
      <formula>CELL("protect", INDIRECT(ADDRESS(ROW(),COLUMN())))=1</formula>
    </cfRule>
  </conditionalFormatting>
  <conditionalFormatting sqref="LF28">
    <cfRule type="expression" priority="14">
      <formula>CELL("protect", INDIRECT(ADDRESS(ROW(),COLUMN())))=1</formula>
    </cfRule>
  </conditionalFormatting>
  <conditionalFormatting sqref="LF33">
    <cfRule type="expression" priority="13">
      <formula>CELL("protect", INDIRECT(ADDRESS(ROW(),COLUMN())))=1</formula>
    </cfRule>
  </conditionalFormatting>
  <conditionalFormatting sqref="LF39">
    <cfRule type="expression" priority="12">
      <formula>CELL("protect", INDIRECT(ADDRESS(ROW(),COLUMN())))=1</formula>
    </cfRule>
  </conditionalFormatting>
  <conditionalFormatting sqref="LF44">
    <cfRule type="expression" priority="11">
      <formula>CELL("protect", INDIRECT(ADDRESS(ROW(),COLUMN())))=1</formula>
    </cfRule>
  </conditionalFormatting>
  <conditionalFormatting sqref="LF49">
    <cfRule type="expression" priority="10">
      <formula>CELL("protect", INDIRECT(ADDRESS(ROW(),COLUMN())))=1</formula>
    </cfRule>
  </conditionalFormatting>
  <conditionalFormatting sqref="LF55">
    <cfRule type="expression" priority="9">
      <formula>CELL("protect", INDIRECT(ADDRESS(ROW(),COLUMN())))=1</formula>
    </cfRule>
  </conditionalFormatting>
  <conditionalFormatting sqref="LF60">
    <cfRule type="expression" priority="8">
      <formula>CELL("protect", INDIRECT(ADDRESS(ROW(),COLUMN())))=1</formula>
    </cfRule>
  </conditionalFormatting>
  <conditionalFormatting sqref="LF65">
    <cfRule type="expression" priority="7">
      <formula>CELL("protect", INDIRECT(ADDRESS(ROW(),COLUMN())))=1</formula>
    </cfRule>
  </conditionalFormatting>
  <conditionalFormatting sqref="S29">
    <cfRule type="expression" dxfId="195" priority="4">
      <formula>S29=$D$147</formula>
    </cfRule>
    <cfRule type="expression" dxfId="194" priority="5">
      <formula>S29=$D$146</formula>
    </cfRule>
    <cfRule type="expression" dxfId="193" priority="6">
      <formula>S29=$D$145</formula>
    </cfRule>
  </conditionalFormatting>
  <conditionalFormatting sqref="W29">
    <cfRule type="expression" dxfId="192" priority="1">
      <formula>W29=$D$147</formula>
    </cfRule>
    <cfRule type="expression" dxfId="191" priority="2">
      <formula>W29=$D$146</formula>
    </cfRule>
    <cfRule type="expression" dxfId="190" priority="3">
      <formula>W29=$D$145</formula>
    </cfRule>
  </conditionalFormatting>
  <dataValidations count="2">
    <dataValidation type="list" allowBlank="1" showInputMessage="1" showErrorMessage="1" sqref="C7" xr:uid="{00000000-0002-0000-1C00-000000000000}">
      <formula1>$F$145:$F$147</formula1>
    </dataValidation>
    <dataValidation type="list" allowBlank="1" showInputMessage="1" showErrorMessage="1" sqref="J40:DA40 J50:BA50 J16:LA19 J24:BI24 J29:Y29 J56:BA56 J34:BE34 J61:U61" xr:uid="{00000000-0002-0000-1C00-000001000000}">
      <formula1>$D$145:$D$148</formula1>
    </dataValidation>
  </dataValidations>
  <hyperlinks>
    <hyperlink ref="C118" r:id="rId1" xr:uid="{00000000-0004-0000-1C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&amp;K8573622017-18 annual performance report tables (TTT) - updated June 2018&amp;R&amp;G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303" id="{45D59E86-F4DD-4A70-977C-28117BEE52D3}">
            <xm:f>Validation!#REF!=1</xm:f>
            <x14:dxf>
              <fill>
                <patternFill>
                  <bgColor rgb="FFE0DCD8"/>
                </patternFill>
              </fill>
            </x14:dxf>
          </x14:cfRule>
          <xm:sqref>F50:AG50 F56:AG56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3479"/>
    <pageSetUpPr fitToPage="1"/>
  </sheetPr>
  <dimension ref="A1:D49"/>
  <sheetViews>
    <sheetView showGridLines="0" zoomScale="80" zoomScaleNormal="80" workbookViewId="0"/>
  </sheetViews>
  <sheetFormatPr defaultColWidth="0" defaultRowHeight="14.25" zeroHeight="1"/>
  <cols>
    <col min="1" max="1" width="2.125" style="2" customWidth="1"/>
    <col min="2" max="2" width="104" customWidth="1"/>
    <col min="3" max="3" width="2.125" style="2" customWidth="1"/>
    <col min="4" max="4" width="8.125" style="2" customWidth="1"/>
    <col min="5" max="16384" width="9" style="2" hidden="1"/>
  </cols>
  <sheetData>
    <row r="1" spans="1:3" ht="20.25">
      <c r="A1" s="1" t="s">
        <v>36</v>
      </c>
      <c r="B1" s="1"/>
      <c r="C1" s="1"/>
    </row>
    <row r="2" spans="1:3" ht="21">
      <c r="A2" s="3"/>
      <c r="B2" s="2"/>
    </row>
    <row r="3" spans="1:3" ht="15">
      <c r="A3" s="333" t="s">
        <v>37</v>
      </c>
      <c r="B3" s="333"/>
      <c r="C3" s="333"/>
    </row>
    <row r="4" spans="1:3">
      <c r="A4" s="4"/>
      <c r="B4" s="2"/>
    </row>
    <row r="5" spans="1:3" ht="51">
      <c r="B5" s="334" t="s">
        <v>38</v>
      </c>
    </row>
    <row r="6" spans="1:3">
      <c r="B6" s="334"/>
    </row>
    <row r="7" spans="1:3">
      <c r="B7" s="2124" t="s">
        <v>39</v>
      </c>
    </row>
    <row r="8" spans="1:3">
      <c r="B8" s="334"/>
    </row>
    <row r="9" spans="1:3" ht="15">
      <c r="A9" s="333" t="s">
        <v>40</v>
      </c>
      <c r="B9" s="333"/>
      <c r="C9" s="333"/>
    </row>
    <row r="10" spans="1:3">
      <c r="B10" s="334"/>
    </row>
    <row r="11" spans="1:3">
      <c r="B11" s="334" t="s">
        <v>41</v>
      </c>
    </row>
    <row r="12" spans="1:3">
      <c r="B12" s="334"/>
    </row>
    <row r="13" spans="1:3">
      <c r="B13" s="334" t="s">
        <v>42</v>
      </c>
    </row>
    <row r="14" spans="1:3">
      <c r="B14" s="334"/>
    </row>
    <row r="15" spans="1:3">
      <c r="B15" s="334" t="s">
        <v>43</v>
      </c>
    </row>
    <row r="16" spans="1:3">
      <c r="B16" s="334"/>
    </row>
    <row r="17" spans="1:3" ht="25.5">
      <c r="B17" s="334" t="s">
        <v>44</v>
      </c>
    </row>
    <row r="18" spans="1:3">
      <c r="B18" s="334"/>
    </row>
    <row r="19" spans="1:3">
      <c r="B19" s="334" t="s">
        <v>45</v>
      </c>
    </row>
    <row r="20" spans="1:3">
      <c r="B20" s="334"/>
    </row>
    <row r="21" spans="1:3" ht="51" customHeight="1">
      <c r="B21" s="584" t="s">
        <v>46</v>
      </c>
    </row>
    <row r="22" spans="1:3" ht="51" customHeight="1">
      <c r="B22" s="584" t="s">
        <v>47</v>
      </c>
    </row>
    <row r="23" spans="1:3">
      <c r="B23" s="334"/>
    </row>
    <row r="24" spans="1:3" ht="15">
      <c r="A24" s="333" t="s">
        <v>48</v>
      </c>
      <c r="B24" s="333"/>
      <c r="C24" s="333"/>
    </row>
    <row r="25" spans="1:3">
      <c r="B25" s="334"/>
    </row>
    <row r="26" spans="1:3">
      <c r="B26" s="334" t="s">
        <v>49</v>
      </c>
    </row>
    <row r="27" spans="1:3">
      <c r="B27" s="334"/>
    </row>
    <row r="28" spans="1:3" ht="25.5">
      <c r="B28" s="334" t="s">
        <v>50</v>
      </c>
    </row>
    <row r="29" spans="1:3">
      <c r="B29" s="334"/>
    </row>
    <row r="30" spans="1:3" ht="25.5">
      <c r="B30" s="334" t="s">
        <v>51</v>
      </c>
    </row>
    <row r="31" spans="1:3">
      <c r="B31" s="334"/>
    </row>
    <row r="32" spans="1:3" ht="25.5">
      <c r="B32" s="334" t="s">
        <v>52</v>
      </c>
    </row>
    <row r="33" spans="1:4">
      <c r="B33" s="2070" t="s">
        <v>53</v>
      </c>
    </row>
    <row r="34" spans="1:4">
      <c r="A34" s="4"/>
      <c r="B34" s="2"/>
    </row>
    <row r="35" spans="1:4" ht="15">
      <c r="A35" s="333" t="s">
        <v>54</v>
      </c>
      <c r="B35" s="333"/>
      <c r="C35" s="333"/>
    </row>
    <row r="36" spans="1:4">
      <c r="A36" s="4"/>
      <c r="B36" s="2"/>
    </row>
    <row r="37" spans="1:4" ht="14.25" customHeight="1">
      <c r="A37" s="5"/>
      <c r="B37" s="633" t="s">
        <v>55</v>
      </c>
    </row>
    <row r="38" spans="1:4" ht="14.25" customHeight="1">
      <c r="A38" s="5"/>
      <c r="B38" s="633" t="s">
        <v>56</v>
      </c>
    </row>
    <row r="39" spans="1:4" ht="14.25" customHeight="1">
      <c r="A39" s="6"/>
      <c r="B39" s="633" t="s">
        <v>57</v>
      </c>
      <c r="C39" s="7"/>
      <c r="D39" s="7"/>
    </row>
    <row r="40" spans="1:4" s="9" customFormat="1" ht="14.25" customHeight="1">
      <c r="A40" s="5"/>
      <c r="B40" s="633" t="s">
        <v>58</v>
      </c>
      <c r="C40" s="8"/>
      <c r="D40" s="8"/>
    </row>
    <row r="41" spans="1:4" s="9" customFormat="1" ht="14.25" customHeight="1">
      <c r="A41" s="6"/>
      <c r="B41" s="335"/>
      <c r="C41" s="8"/>
      <c r="D41" s="8"/>
    </row>
    <row r="42" spans="1:4" ht="14.25" hidden="1" customHeight="1">
      <c r="A42" s="336"/>
      <c r="B42" s="335"/>
      <c r="C42" s="7"/>
      <c r="D42" s="7"/>
    </row>
    <row r="43" spans="1:4" ht="14.25" hidden="1" customHeight="1">
      <c r="A43" s="336"/>
      <c r="B43" s="335"/>
      <c r="C43" s="7"/>
      <c r="D43" s="7"/>
    </row>
    <row r="44" spans="1:4" ht="14.25" hidden="1" customHeight="1">
      <c r="A44" s="336"/>
      <c r="B44" s="335"/>
      <c r="C44" s="7"/>
      <c r="D44" s="7"/>
    </row>
    <row r="45" spans="1:4" ht="14.25" hidden="1" customHeight="1">
      <c r="A45" s="336"/>
      <c r="B45" s="335"/>
      <c r="C45" s="7"/>
      <c r="D45" s="7"/>
    </row>
    <row r="46" spans="1:4" s="9" customFormat="1" ht="14.25" hidden="1" customHeight="1">
      <c r="A46" s="5"/>
      <c r="B46" s="337"/>
      <c r="C46" s="8"/>
      <c r="D46" s="8"/>
    </row>
    <row r="47" spans="1:4" ht="14.25" hidden="1" customHeight="1">
      <c r="A47" s="4"/>
      <c r="B47" s="335"/>
      <c r="C47" s="7"/>
      <c r="D47" s="7"/>
    </row>
    <row r="48" spans="1:4" ht="14.25" hidden="1" customHeight="1">
      <c r="A48" s="4"/>
      <c r="B48" s="335"/>
      <c r="C48" s="7"/>
      <c r="D48" s="7"/>
    </row>
    <row r="49" spans="1:4" ht="14.25" hidden="1" customHeight="1">
      <c r="A49" s="4"/>
      <c r="B49" s="2229"/>
      <c r="C49" s="2229"/>
      <c r="D49" s="2229"/>
    </row>
  </sheetData>
  <sheetProtection algorithmName="SHA-512" hashValue="+Uxjxz2ndkbTxPFK1cLKr543a1OdZ0IKAXr5GvMHZRcp4+GoW1qQwckABLPnWPfANZfBec+hqklcALSlTNh4og==" saltValue="ag7c8nzgAxr04w4h75OAQQ==" spinCount="100000" sheet="1" objects="1" scenarios="1"/>
  <mergeCells count="1">
    <mergeCell ref="B49:D49"/>
  </mergeCells>
  <hyperlinks>
    <hyperlink ref="B38" r:id="rId1" xr:uid="{00000000-0004-0000-0200-000000000000}"/>
    <hyperlink ref="B37" r:id="rId2" xr:uid="{00000000-0004-0000-0200-000001000000}"/>
    <hyperlink ref="B40" r:id="rId3" xr:uid="{00000000-0004-0000-0200-000002000000}"/>
    <hyperlink ref="B33" r:id="rId4" xr:uid="{00000000-0004-0000-0200-000003000000}"/>
    <hyperlink ref="B7" r:id="rId5" xr:uid="{00000000-0004-0000-0200-000004000000}"/>
    <hyperlink ref="B39" r:id="rId6" xr:uid="{00000000-0004-0000-0200-000005000000}"/>
  </hyperlinks>
  <printOptions horizontalCentered="1"/>
  <pageMargins left="0.39370078740157483" right="0.39370078740157483" top="0.78740157480314965" bottom="0.78740157480314965" header="0.31496062992125984" footer="0.31496062992125984"/>
  <pageSetup paperSize="9" scale="81" orientation="portrait" r:id="rId7"/>
  <headerFooter>
    <oddHeader>&amp;L&amp;9&amp;K857362Page &amp;P of &amp;N&amp;C&amp;9 &amp;K8573622017-18 annual performance report tables (TTT) - updated June 2018&amp;R&amp;G</oddHeader>
    <oddFooter>&amp;L&amp;9&amp;K857362&amp;A&amp;R&amp;9&amp;K857362Printed: &amp;D &amp;T</oddFooter>
  </headerFooter>
  <legacyDrawingHF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1" spans="12:12" hidden="1"/>
    <row r="6" spans="12:12" ht="14.25" hidden="1" customHeight="1">
      <c r="L6">
        <f>IF(Validation!$H$3=1,0,IF(ISNUMBER(#REF!),0,1))</f>
        <v>1</v>
      </c>
    </row>
    <row r="35" spans="8:8" ht="14.25" hidden="1" customHeight="1">
      <c r="H35" t="s">
        <v>92</v>
      </c>
    </row>
  </sheetData>
  <sheetProtection algorithmName="SHA-512" hashValue="+VyFNyE5ZTG6aOPyla+6l1gliGUduyLZO4EYLf5hfWSIFggVExEj2m46ghK2DQC6uAcnXor6mDAubTv+J8nXtA==" saltValue="LIapezCi/lrlo9L4eUEPz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pageSetUpPr fitToPage="1"/>
  </sheetPr>
  <dimension ref="A1:AG27"/>
  <sheetViews>
    <sheetView showGridLines="0" zoomScale="80" zoomScaleNormal="80" workbookViewId="0"/>
  </sheetViews>
  <sheetFormatPr defaultColWidth="0" defaultRowHeight="14.25" zeroHeight="1"/>
  <cols>
    <col min="1" max="1" width="0.625" style="69" customWidth="1"/>
    <col min="2" max="2" width="4.125" style="69" customWidth="1"/>
    <col min="3" max="3" width="48.625" style="69" customWidth="1"/>
    <col min="4" max="4" width="1.125" style="69" hidden="1" customWidth="1"/>
    <col min="5" max="6" width="5.625" style="69" customWidth="1"/>
    <col min="7" max="8" width="11.125" style="69" customWidth="1"/>
    <col min="9" max="9" width="6.625" style="65" customWidth="1"/>
    <col min="10" max="10" width="18.625" style="65" bestFit="1" customWidth="1"/>
    <col min="11" max="11" width="1.625" style="65" customWidth="1"/>
    <col min="12" max="12" width="1.125" style="66" hidden="1" customWidth="1"/>
    <col min="13" max="14" width="12.625" style="65" hidden="1" customWidth="1"/>
    <col min="15" max="15" width="1.125" style="66" hidden="1" customWidth="1"/>
    <col min="16" max="16" width="8.625" style="65" hidden="1" customWidth="1"/>
    <col min="17" max="17" width="8.625" style="69" hidden="1" customWidth="1"/>
    <col min="18" max="26" width="8" style="69" hidden="1" customWidth="1"/>
    <col min="27" max="27" width="4.125" style="69" hidden="1" customWidth="1"/>
    <col min="28" max="28" width="48.625" style="69" hidden="1" customWidth="1"/>
    <col min="29" max="29" width="1.125" style="69" hidden="1" customWidth="1"/>
    <col min="30" max="31" width="5.625" style="69" hidden="1" customWidth="1"/>
    <col min="32" max="33" width="11.125" style="69" hidden="1" customWidth="1"/>
    <col min="34" max="16384" width="8" style="69" hidden="1"/>
  </cols>
  <sheetData>
    <row r="1" spans="2:33" ht="20.25">
      <c r="B1" s="61" t="s">
        <v>2689</v>
      </c>
      <c r="C1" s="61"/>
      <c r="D1" s="61"/>
      <c r="E1" s="61"/>
      <c r="F1" s="61"/>
      <c r="G1" s="61"/>
      <c r="H1" s="61" t="str">
        <f>Validation!B3</f>
        <v>Thames Water</v>
      </c>
      <c r="I1" s="61"/>
      <c r="J1" s="64" t="s">
        <v>94</v>
      </c>
      <c r="AA1" s="61" t="s">
        <v>95</v>
      </c>
      <c r="AB1" s="61"/>
      <c r="AC1" s="61"/>
      <c r="AD1" s="61"/>
      <c r="AE1" s="61"/>
      <c r="AF1" s="61"/>
      <c r="AG1" s="61"/>
    </row>
    <row r="2" spans="2:33" ht="15" thickBot="1">
      <c r="B2" s="68" t="s">
        <v>80</v>
      </c>
      <c r="C2" s="219"/>
      <c r="D2" s="219"/>
      <c r="AA2" s="68" t="s">
        <v>80</v>
      </c>
      <c r="AB2" s="219"/>
      <c r="AC2" s="219"/>
    </row>
    <row r="3" spans="2:33" ht="19.5" customHeight="1">
      <c r="B3" s="2261" t="s">
        <v>96</v>
      </c>
      <c r="C3" s="2262"/>
      <c r="D3" s="2197" t="s">
        <v>2690</v>
      </c>
      <c r="E3" s="2265" t="s">
        <v>98</v>
      </c>
      <c r="F3" s="2267" t="s">
        <v>99</v>
      </c>
      <c r="G3" s="2269" t="s">
        <v>217</v>
      </c>
      <c r="H3" s="2270"/>
      <c r="J3" s="2240" t="s">
        <v>103</v>
      </c>
      <c r="AA3" s="2261" t="s">
        <v>96</v>
      </c>
      <c r="AB3" s="2262"/>
      <c r="AC3" s="2197" t="s">
        <v>2690</v>
      </c>
      <c r="AD3" s="2265" t="s">
        <v>98</v>
      </c>
      <c r="AE3" s="2267" t="s">
        <v>99</v>
      </c>
      <c r="AF3" s="2269" t="s">
        <v>217</v>
      </c>
      <c r="AG3" s="2270"/>
    </row>
    <row r="4" spans="2:33" ht="15" thickBot="1">
      <c r="B4" s="2263"/>
      <c r="C4" s="2264"/>
      <c r="D4" s="2198"/>
      <c r="E4" s="2266"/>
      <c r="F4" s="2268"/>
      <c r="G4" s="221" t="s">
        <v>1775</v>
      </c>
      <c r="H4" s="222" t="s">
        <v>1780</v>
      </c>
      <c r="J4" s="2241"/>
      <c r="M4" s="1346" t="s">
        <v>107</v>
      </c>
      <c r="N4" s="1346"/>
      <c r="AA4" s="2263"/>
      <c r="AB4" s="2264"/>
      <c r="AC4" s="2198"/>
      <c r="AD4" s="2266"/>
      <c r="AE4" s="2268"/>
      <c r="AF4" s="221" t="s">
        <v>1775</v>
      </c>
      <c r="AG4" s="222" t="s">
        <v>1780</v>
      </c>
    </row>
    <row r="5" spans="2:33" ht="15" thickBot="1"/>
    <row r="6" spans="2:33" ht="15" thickBot="1">
      <c r="B6" s="248" t="s">
        <v>740</v>
      </c>
      <c r="C6" s="249"/>
      <c r="D6" s="1295"/>
      <c r="J6" s="116"/>
      <c r="AA6" s="248" t="s">
        <v>740</v>
      </c>
      <c r="AB6" s="249"/>
      <c r="AC6" s="1295"/>
    </row>
    <row r="7" spans="2:33" ht="15" thickBot="1">
      <c r="B7" s="2211" t="s">
        <v>214</v>
      </c>
      <c r="C7" s="254" t="s">
        <v>743</v>
      </c>
      <c r="D7" s="1295"/>
      <c r="J7" s="116"/>
      <c r="M7" s="78" t="s">
        <v>108</v>
      </c>
      <c r="N7" s="113"/>
      <c r="AA7" s="2211" t="s">
        <v>214</v>
      </c>
      <c r="AB7" s="254" t="s">
        <v>743</v>
      </c>
      <c r="AC7" s="1295"/>
    </row>
    <row r="8" spans="2:33">
      <c r="B8" s="245" t="s">
        <v>2691</v>
      </c>
      <c r="C8" s="233" t="s">
        <v>2692</v>
      </c>
      <c r="D8" s="233"/>
      <c r="E8" s="234" t="s">
        <v>13</v>
      </c>
      <c r="F8" s="235">
        <v>3</v>
      </c>
      <c r="G8" s="357">
        <v>105.741</v>
      </c>
      <c r="H8" s="358">
        <v>83.415000000000006</v>
      </c>
      <c r="J8" s="25">
        <f t="shared" ref="J8:J9" si="0" xml:space="preserve"> IF( SUM( L8:O8 ) = 0, 0, $M$7 )</f>
        <v>0</v>
      </c>
      <c r="M8" s="86">
        <f xml:space="preserve"> IF( ISNUMBER( G8 ), 0, 1 )</f>
        <v>0</v>
      </c>
      <c r="N8" s="86">
        <f xml:space="preserve"> IF( ISNUMBER( H8 ), 0, 1 )</f>
        <v>0</v>
      </c>
      <c r="AA8" s="245" t="s">
        <v>2691</v>
      </c>
      <c r="AB8" s="233" t="s">
        <v>2692</v>
      </c>
      <c r="AC8" s="233"/>
      <c r="AD8" s="234" t="s">
        <v>13</v>
      </c>
      <c r="AE8" s="235">
        <v>3</v>
      </c>
      <c r="AF8" s="357" t="s">
        <v>2693</v>
      </c>
      <c r="AG8" s="358" t="s">
        <v>2694</v>
      </c>
    </row>
    <row r="9" spans="2:33" ht="15" thickBot="1">
      <c r="B9" s="247" t="s">
        <v>2695</v>
      </c>
      <c r="C9" s="242" t="s">
        <v>2696</v>
      </c>
      <c r="D9" s="242"/>
      <c r="E9" s="243" t="s">
        <v>14</v>
      </c>
      <c r="F9" s="244">
        <v>2</v>
      </c>
      <c r="G9" s="403">
        <v>157.52000000000001</v>
      </c>
      <c r="H9" s="404">
        <v>123.32</v>
      </c>
      <c r="J9" s="25">
        <f t="shared" si="0"/>
        <v>0</v>
      </c>
      <c r="M9" s="86">
        <f xml:space="preserve"> IF( ISNUMBER( G9 ), 0, 1 )</f>
        <v>0</v>
      </c>
      <c r="N9" s="86">
        <f xml:space="preserve"> IF( ISNUMBER( H9 ), 0, 1 )</f>
        <v>0</v>
      </c>
      <c r="AA9" s="247" t="s">
        <v>2695</v>
      </c>
      <c r="AB9" s="242" t="s">
        <v>2696</v>
      </c>
      <c r="AC9" s="242"/>
      <c r="AD9" s="243" t="s">
        <v>14</v>
      </c>
      <c r="AE9" s="244">
        <v>2</v>
      </c>
      <c r="AF9" s="403" t="s">
        <v>2697</v>
      </c>
      <c r="AG9" s="404" t="s">
        <v>2698</v>
      </c>
    </row>
    <row r="10" spans="2:33">
      <c r="B10" s="250"/>
      <c r="C10" s="141"/>
      <c r="D10" s="141"/>
      <c r="E10" s="229"/>
      <c r="F10" s="229"/>
      <c r="G10" s="251"/>
      <c r="H10" s="251"/>
      <c r="J10" s="116"/>
      <c r="M10" s="240"/>
      <c r="N10" s="103"/>
      <c r="AA10" s="250"/>
      <c r="AB10" s="141"/>
      <c r="AC10" s="141"/>
      <c r="AD10" s="229"/>
      <c r="AE10" s="229"/>
      <c r="AF10" s="251"/>
      <c r="AG10" s="251"/>
    </row>
    <row r="11" spans="2:33" ht="15" thickBot="1">
      <c r="B11" s="250"/>
      <c r="C11" s="141"/>
      <c r="D11" s="141"/>
      <c r="E11" s="229"/>
      <c r="F11" s="229"/>
      <c r="G11" s="251"/>
      <c r="H11" s="251"/>
      <c r="J11" s="116"/>
      <c r="M11" s="240"/>
      <c r="N11" s="103"/>
      <c r="AA11" s="250"/>
      <c r="AB11" s="141"/>
      <c r="AC11" s="141"/>
      <c r="AD11" s="229"/>
      <c r="AE11" s="229"/>
      <c r="AF11" s="251"/>
      <c r="AG11" s="251"/>
    </row>
    <row r="12" spans="2:33" ht="15" thickBot="1">
      <c r="B12" s="250"/>
      <c r="C12" s="141"/>
      <c r="D12" s="141"/>
      <c r="E12" s="229"/>
      <c r="F12" s="229"/>
      <c r="G12" s="252" t="s">
        <v>1383</v>
      </c>
      <c r="H12" s="253" t="s">
        <v>1384</v>
      </c>
      <c r="J12" s="116"/>
      <c r="M12" s="240"/>
      <c r="N12" s="103"/>
      <c r="AA12" s="250"/>
      <c r="AB12" s="141"/>
      <c r="AC12" s="141"/>
      <c r="AD12" s="229"/>
      <c r="AE12" s="229"/>
      <c r="AF12" s="252" t="s">
        <v>1383</v>
      </c>
      <c r="AG12" s="253" t="s">
        <v>1384</v>
      </c>
    </row>
    <row r="13" spans="2:33" ht="15" thickBot="1">
      <c r="B13" s="248" t="s">
        <v>741</v>
      </c>
      <c r="C13" s="249"/>
      <c r="D13" s="1295"/>
      <c r="E13" s="229"/>
      <c r="F13" s="229"/>
      <c r="G13" s="521"/>
      <c r="H13" s="521"/>
      <c r="J13" s="116"/>
      <c r="M13" s="240"/>
      <c r="N13" s="103"/>
      <c r="AA13" s="248" t="s">
        <v>741</v>
      </c>
      <c r="AB13" s="249"/>
      <c r="AC13" s="1295"/>
      <c r="AD13" s="229"/>
      <c r="AE13" s="229"/>
      <c r="AF13" s="521"/>
      <c r="AG13" s="521"/>
    </row>
    <row r="14" spans="2:33" ht="15" thickBot="1">
      <c r="B14" s="2211" t="s">
        <v>236</v>
      </c>
      <c r="C14" s="254" t="s">
        <v>2699</v>
      </c>
      <c r="D14" s="1295"/>
      <c r="E14" s="231"/>
      <c r="F14" s="231"/>
      <c r="J14" s="116"/>
      <c r="M14" s="240"/>
      <c r="N14" s="103"/>
      <c r="AA14" s="2211" t="s">
        <v>236</v>
      </c>
      <c r="AB14" s="254" t="s">
        <v>2699</v>
      </c>
      <c r="AC14" s="1295"/>
      <c r="AD14" s="231"/>
      <c r="AE14" s="231"/>
    </row>
    <row r="15" spans="2:33">
      <c r="B15" s="245" t="s">
        <v>2700</v>
      </c>
      <c r="C15" s="233" t="s">
        <v>2701</v>
      </c>
      <c r="D15" s="233"/>
      <c r="E15" s="255" t="s">
        <v>15</v>
      </c>
      <c r="F15" s="235">
        <v>3</v>
      </c>
      <c r="G15" s="359">
        <v>93.555000000000007</v>
      </c>
      <c r="H15" s="360">
        <v>10.834</v>
      </c>
      <c r="J15" s="25">
        <f t="shared" ref="J15:J16" si="1" xml:space="preserve"> IF( SUM( L15:O15 ) = 0, 0, $M$7 )</f>
        <v>0</v>
      </c>
      <c r="M15" s="86">
        <f t="shared" ref="M15:M17" si="2" xml:space="preserve"> IF( ISNUMBER( G15 ), 0, 1 )</f>
        <v>0</v>
      </c>
      <c r="N15" s="86">
        <f>IF(Validation!$H$3=1,0,IF(ISNUMBER(H15),0,1))</f>
        <v>0</v>
      </c>
      <c r="AA15" s="245" t="s">
        <v>2700</v>
      </c>
      <c r="AB15" s="233" t="s">
        <v>2701</v>
      </c>
      <c r="AC15" s="233"/>
      <c r="AD15" s="255" t="s">
        <v>15</v>
      </c>
      <c r="AE15" s="235">
        <v>3</v>
      </c>
      <c r="AF15" s="359" t="s">
        <v>2702</v>
      </c>
      <c r="AG15" s="360" t="s">
        <v>2703</v>
      </c>
    </row>
    <row r="16" spans="2:33" ht="15" thickBot="1">
      <c r="B16" s="246" t="s">
        <v>2704</v>
      </c>
      <c r="C16" s="237" t="s">
        <v>2705</v>
      </c>
      <c r="D16" s="237"/>
      <c r="E16" s="256" t="s">
        <v>15</v>
      </c>
      <c r="F16" s="239">
        <v>3</v>
      </c>
      <c r="G16" s="361">
        <v>0.39</v>
      </c>
      <c r="H16" s="362">
        <v>4.4909999999999997</v>
      </c>
      <c r="J16" s="25">
        <f t="shared" si="1"/>
        <v>0</v>
      </c>
      <c r="M16" s="86">
        <f t="shared" si="2"/>
        <v>0</v>
      </c>
      <c r="N16" s="86">
        <f>IF(Validation!$H$3=1,0,IF(ISNUMBER(H16),0,1))</f>
        <v>0</v>
      </c>
      <c r="AA16" s="246" t="s">
        <v>2704</v>
      </c>
      <c r="AB16" s="237" t="s">
        <v>2705</v>
      </c>
      <c r="AC16" s="237"/>
      <c r="AD16" s="256" t="s">
        <v>15</v>
      </c>
      <c r="AE16" s="239">
        <v>3</v>
      </c>
      <c r="AF16" s="361" t="s">
        <v>2706</v>
      </c>
      <c r="AG16" s="362" t="s">
        <v>2707</v>
      </c>
    </row>
    <row r="17" spans="2:33" ht="15" thickBot="1">
      <c r="B17" s="247" t="s">
        <v>2708</v>
      </c>
      <c r="C17" s="242" t="s">
        <v>2709</v>
      </c>
      <c r="D17" s="242"/>
      <c r="E17" s="243" t="s">
        <v>15</v>
      </c>
      <c r="F17" s="244">
        <v>3</v>
      </c>
      <c r="G17" s="363">
        <v>2680.8780000000002</v>
      </c>
      <c r="H17" s="142"/>
      <c r="J17" s="25">
        <f xml:space="preserve"> IF( SUM( L17:O17 ) = 0, 0, $M$7 )</f>
        <v>0</v>
      </c>
      <c r="M17" s="86">
        <f t="shared" si="2"/>
        <v>0</v>
      </c>
      <c r="N17" s="103"/>
      <c r="AA17" s="247" t="s">
        <v>2708</v>
      </c>
      <c r="AB17" s="242" t="s">
        <v>2709</v>
      </c>
      <c r="AC17" s="242"/>
      <c r="AD17" s="243" t="s">
        <v>15</v>
      </c>
      <c r="AE17" s="244">
        <v>3</v>
      </c>
      <c r="AF17" s="363" t="s">
        <v>2710</v>
      </c>
      <c r="AG17" s="142"/>
    </row>
    <row r="18" spans="2:33" s="65" customFormat="1">
      <c r="E18" s="78"/>
      <c r="F18" s="78"/>
      <c r="H18" s="142"/>
      <c r="J18" s="116"/>
      <c r="L18" s="66"/>
      <c r="M18" s="240"/>
      <c r="N18" s="103"/>
      <c r="O18" s="66"/>
      <c r="AD18" s="78"/>
      <c r="AE18" s="78"/>
      <c r="AG18" s="142"/>
    </row>
    <row r="19" spans="2:33" s="142" customFormat="1">
      <c r="B19" s="2256" t="s">
        <v>275</v>
      </c>
      <c r="C19" s="2256"/>
      <c r="D19" s="2195"/>
      <c r="I19" s="65"/>
      <c r="J19" s="116"/>
      <c r="K19" s="65"/>
      <c r="L19" s="66"/>
      <c r="M19" s="240"/>
      <c r="N19" s="103"/>
      <c r="O19" s="66"/>
      <c r="P19" s="65"/>
    </row>
    <row r="20" spans="2:33" s="142" customFormat="1">
      <c r="B20" s="127"/>
      <c r="C20" s="128"/>
      <c r="D20" s="128"/>
      <c r="I20" s="110"/>
      <c r="J20" s="116"/>
      <c r="K20" s="110"/>
      <c r="L20" s="114"/>
      <c r="M20" s="240"/>
      <c r="N20" s="103"/>
      <c r="O20" s="114"/>
      <c r="P20" s="103"/>
    </row>
    <row r="21" spans="2:33" s="142" customFormat="1" ht="12">
      <c r="B21" s="26"/>
      <c r="C21" s="129" t="s">
        <v>249</v>
      </c>
      <c r="D21" s="129"/>
      <c r="I21" s="116"/>
      <c r="J21" s="116"/>
      <c r="K21" s="116"/>
      <c r="L21" s="111"/>
      <c r="M21" s="177"/>
      <c r="O21" s="111"/>
    </row>
    <row r="22" spans="2:33" s="142" customFormat="1" ht="12">
      <c r="B22" s="127"/>
      <c r="C22" s="128"/>
      <c r="D22" s="128"/>
      <c r="I22" s="116"/>
      <c r="J22" s="116"/>
      <c r="K22" s="116"/>
      <c r="L22" s="111"/>
      <c r="M22" s="177"/>
      <c r="O22" s="111"/>
    </row>
    <row r="23" spans="2:33" s="142" customFormat="1" ht="12">
      <c r="B23" s="130"/>
      <c r="C23" s="129" t="s">
        <v>250</v>
      </c>
      <c r="D23" s="129"/>
      <c r="I23" s="116"/>
      <c r="J23" s="116"/>
      <c r="K23" s="116"/>
      <c r="L23" s="111"/>
      <c r="M23" s="177"/>
      <c r="O23" s="111"/>
    </row>
    <row r="24" spans="2:33" s="142" customFormat="1" ht="12">
      <c r="B24" s="131"/>
      <c r="C24" s="129"/>
      <c r="D24" s="129"/>
      <c r="I24" s="116"/>
      <c r="J24" s="116"/>
      <c r="K24" s="116"/>
      <c r="L24" s="111"/>
      <c r="M24" s="177"/>
      <c r="O24" s="111"/>
    </row>
    <row r="25" spans="2:33" s="103" customFormat="1" ht="15" thickBot="1">
      <c r="C25" s="138"/>
      <c r="D25" s="138"/>
      <c r="I25" s="116"/>
      <c r="J25" s="116"/>
      <c r="K25" s="116"/>
      <c r="L25" s="111"/>
      <c r="M25" s="177"/>
      <c r="N25" s="142"/>
      <c r="O25" s="111"/>
      <c r="P25" s="142"/>
    </row>
    <row r="26" spans="2:33" s="103" customFormat="1" ht="35.25" customHeight="1" thickBot="1">
      <c r="B26" s="2301" t="s">
        <v>251</v>
      </c>
      <c r="C26" s="2302"/>
      <c r="D26" s="2302"/>
      <c r="E26" s="2302"/>
      <c r="F26" s="2302"/>
      <c r="G26" s="2302"/>
      <c r="H26" s="2303"/>
      <c r="I26" s="116"/>
      <c r="J26" s="116"/>
      <c r="K26" s="116"/>
      <c r="L26" s="111"/>
      <c r="M26" s="1167" t="s">
        <v>2059</v>
      </c>
      <c r="N26" s="142"/>
      <c r="O26" s="111"/>
      <c r="P26" s="142"/>
    </row>
    <row r="27" spans="2:33" s="103" customFormat="1">
      <c r="C27" s="138"/>
      <c r="D27" s="138"/>
      <c r="I27" s="116"/>
      <c r="J27" s="116"/>
      <c r="K27" s="116"/>
      <c r="L27" s="111"/>
      <c r="M27" s="177"/>
      <c r="N27" s="142"/>
      <c r="O27" s="111"/>
      <c r="P27" s="142"/>
    </row>
  </sheetData>
  <sheetProtection algorithmName="SHA-512" hashValue="gPYHo9hir+W4aOTANLRPjQ3LfYyX8JVkSE9N8mvOYUbEYhj1jFkk2NXVNfi3tdOdI55+g+idE3eG0rMsetJsvQ==" saltValue="WAT1a3EYa+WkjYaLpIjzXA==" spinCount="100000" sheet="1" objects="1" scenarios="1"/>
  <mergeCells count="11">
    <mergeCell ref="B26:H26"/>
    <mergeCell ref="AA3:AB4"/>
    <mergeCell ref="AD3:AD4"/>
    <mergeCell ref="AE3:AE4"/>
    <mergeCell ref="AF3:AG3"/>
    <mergeCell ref="J3:J4"/>
    <mergeCell ref="B3:C4"/>
    <mergeCell ref="E3:E4"/>
    <mergeCell ref="F3:F4"/>
    <mergeCell ref="G3:H3"/>
    <mergeCell ref="B19:C19"/>
  </mergeCells>
  <conditionalFormatting sqref="J8:J9">
    <cfRule type="cellIs" dxfId="188" priority="4" operator="equal">
      <formula>0</formula>
    </cfRule>
  </conditionalFormatting>
  <conditionalFormatting sqref="J15:J17">
    <cfRule type="cellIs" dxfId="187"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pageSetUpPr fitToPage="1"/>
  </sheetPr>
  <dimension ref="A1:AO33"/>
  <sheetViews>
    <sheetView showGridLines="0" zoomScale="80" zoomScaleNormal="80" workbookViewId="0"/>
  </sheetViews>
  <sheetFormatPr defaultColWidth="0" defaultRowHeight="14.25" zeroHeight="1"/>
  <cols>
    <col min="1" max="1" width="0.625" style="69" customWidth="1"/>
    <col min="2" max="2" width="5.125" style="69" customWidth="1"/>
    <col min="3" max="3" width="46.625" style="69" bestFit="1" customWidth="1"/>
    <col min="4" max="4" width="1.125" style="69" hidden="1" customWidth="1"/>
    <col min="5" max="6" width="5.625" style="69" customWidth="1"/>
    <col min="7" max="12" width="11.125" style="69" customWidth="1"/>
    <col min="13" max="13" width="2.625" style="65" customWidth="1"/>
    <col min="14" max="14" width="18.625" style="65" bestFit="1" customWidth="1"/>
    <col min="15" max="15" width="1.625" style="65" customWidth="1"/>
    <col min="16" max="16" width="1.625" style="66" hidden="1" customWidth="1"/>
    <col min="17" max="22" width="8.625" style="65" hidden="1" customWidth="1"/>
    <col min="23" max="23" width="1.625" style="66" hidden="1" customWidth="1"/>
    <col min="24" max="24" width="8.625" style="65" hidden="1" customWidth="1"/>
    <col min="25" max="30" width="8" style="69" hidden="1" customWidth="1"/>
    <col min="31" max="31" width="5.125" style="69" hidden="1" customWidth="1"/>
    <col min="32" max="32" width="46.625" style="69" hidden="1" customWidth="1"/>
    <col min="33" max="33" width="1.125" style="69" hidden="1" customWidth="1"/>
    <col min="34" max="35" width="5.625" style="69" hidden="1" customWidth="1"/>
    <col min="36" max="38" width="11.125" style="69" hidden="1" customWidth="1"/>
    <col min="39" max="40" width="11.625" style="69" hidden="1" customWidth="1"/>
    <col min="41" max="41" width="13.625" style="69" hidden="1" customWidth="1"/>
    <col min="42" max="16384" width="8" style="69" hidden="1"/>
  </cols>
  <sheetData>
    <row r="1" spans="2:41" ht="20.25">
      <c r="B1" s="61" t="s">
        <v>2711</v>
      </c>
      <c r="C1" s="61"/>
      <c r="D1" s="61"/>
      <c r="E1" s="61"/>
      <c r="F1" s="61"/>
      <c r="G1" s="61"/>
      <c r="H1" s="61"/>
      <c r="I1" s="61"/>
      <c r="J1" s="61"/>
      <c r="K1" s="61"/>
      <c r="L1" s="63" t="str">
        <f>Validation!B3</f>
        <v>Thames Water</v>
      </c>
      <c r="M1" s="61"/>
      <c r="N1" s="64" t="s">
        <v>94</v>
      </c>
      <c r="AE1" s="61" t="s">
        <v>95</v>
      </c>
      <c r="AF1" s="61"/>
      <c r="AG1" s="61"/>
      <c r="AH1" s="61"/>
      <c r="AI1" s="61"/>
      <c r="AJ1" s="61"/>
      <c r="AK1" s="61"/>
      <c r="AL1" s="61"/>
      <c r="AM1" s="61"/>
      <c r="AN1" s="61"/>
      <c r="AO1" s="63"/>
    </row>
    <row r="2" spans="2:41" ht="15" thickBot="1">
      <c r="B2" s="68" t="s">
        <v>80</v>
      </c>
      <c r="C2" s="219"/>
      <c r="D2" s="219"/>
      <c r="L2" s="220"/>
      <c r="AE2" s="68" t="s">
        <v>80</v>
      </c>
      <c r="AF2" s="219"/>
      <c r="AG2" s="219"/>
      <c r="AO2" s="220"/>
    </row>
    <row r="3" spans="2:41" ht="19.5" customHeight="1" thickBot="1">
      <c r="B3" s="2321" t="s">
        <v>96</v>
      </c>
      <c r="C3" s="2265"/>
      <c r="D3" s="2199" t="s">
        <v>2690</v>
      </c>
      <c r="E3" s="2265" t="s">
        <v>98</v>
      </c>
      <c r="F3" s="2323" t="s">
        <v>99</v>
      </c>
      <c r="G3" s="2318" t="s">
        <v>217</v>
      </c>
      <c r="H3" s="2319"/>
      <c r="I3" s="2319"/>
      <c r="J3" s="2318" t="s">
        <v>2712</v>
      </c>
      <c r="K3" s="2319"/>
      <c r="L3" s="2320"/>
      <c r="N3" s="162" t="s">
        <v>103</v>
      </c>
      <c r="Q3" s="2255" t="s">
        <v>107</v>
      </c>
      <c r="R3" s="2255"/>
      <c r="S3" s="2194"/>
      <c r="T3" s="2194"/>
      <c r="U3" s="2194"/>
      <c r="V3" s="2194"/>
      <c r="AE3" s="2321" t="s">
        <v>96</v>
      </c>
      <c r="AF3" s="2265"/>
      <c r="AG3" s="2199" t="s">
        <v>2690</v>
      </c>
      <c r="AH3" s="2265" t="s">
        <v>98</v>
      </c>
      <c r="AI3" s="2323" t="s">
        <v>99</v>
      </c>
      <c r="AJ3" s="2318" t="s">
        <v>217</v>
      </c>
      <c r="AK3" s="2319"/>
      <c r="AL3" s="2319"/>
      <c r="AM3" s="2318" t="s">
        <v>2712</v>
      </c>
      <c r="AN3" s="2319"/>
      <c r="AO3" s="2320"/>
    </row>
    <row r="4" spans="2:41" ht="15" thickBot="1">
      <c r="B4" s="2322"/>
      <c r="C4" s="2266"/>
      <c r="D4" s="2200"/>
      <c r="E4" s="2266"/>
      <c r="F4" s="2324"/>
      <c r="G4" s="221" t="s">
        <v>1383</v>
      </c>
      <c r="H4" s="2078" t="s">
        <v>1384</v>
      </c>
      <c r="I4" s="222" t="s">
        <v>751</v>
      </c>
      <c r="J4" s="221" t="s">
        <v>1383</v>
      </c>
      <c r="K4" s="2078" t="s">
        <v>1384</v>
      </c>
      <c r="L4" s="222" t="s">
        <v>751</v>
      </c>
      <c r="Q4" s="78" t="s">
        <v>108</v>
      </c>
      <c r="R4" s="113"/>
      <c r="S4" s="113"/>
      <c r="T4" s="113"/>
      <c r="U4" s="113"/>
      <c r="V4" s="113"/>
      <c r="AE4" s="2322"/>
      <c r="AF4" s="2266"/>
      <c r="AG4" s="2200"/>
      <c r="AH4" s="2266"/>
      <c r="AI4" s="2324"/>
      <c r="AJ4" s="221" t="s">
        <v>1383</v>
      </c>
      <c r="AK4" s="222" t="s">
        <v>1384</v>
      </c>
      <c r="AL4" s="222" t="s">
        <v>751</v>
      </c>
      <c r="AM4" s="221" t="s">
        <v>1383</v>
      </c>
      <c r="AN4" s="221" t="s">
        <v>1384</v>
      </c>
      <c r="AO4" s="222" t="s">
        <v>751</v>
      </c>
    </row>
    <row r="5" spans="2:41" ht="15" thickBot="1"/>
    <row r="6" spans="2:41" ht="15" thickBot="1">
      <c r="B6" s="223" t="s">
        <v>214</v>
      </c>
      <c r="C6" s="27" t="s">
        <v>2713</v>
      </c>
      <c r="D6" s="1295"/>
      <c r="AE6" s="223" t="s">
        <v>214</v>
      </c>
      <c r="AF6" s="27" t="s">
        <v>2713</v>
      </c>
      <c r="AG6" s="1295"/>
    </row>
    <row r="7" spans="2:41" ht="15" thickBot="1">
      <c r="B7" s="224" t="s">
        <v>2714</v>
      </c>
      <c r="C7" s="225" t="s">
        <v>2713</v>
      </c>
      <c r="D7" s="225"/>
      <c r="E7" s="226" t="s">
        <v>8</v>
      </c>
      <c r="F7" s="227">
        <v>3</v>
      </c>
      <c r="G7" s="284">
        <f xml:space="preserve"> '2B'!G39 + '2B'!H39</f>
        <v>895.28199999999981</v>
      </c>
      <c r="H7" s="285">
        <f xml:space="preserve"> '2B'!I39 + '2B'!J39</f>
        <v>914.29967645441388</v>
      </c>
      <c r="I7" s="2071">
        <f xml:space="preserve"> '2B'!K39</f>
        <v>38.725999999999999</v>
      </c>
      <c r="J7" s="1381">
        <v>2440.9870000000001</v>
      </c>
      <c r="K7" s="2079">
        <v>2714.828</v>
      </c>
      <c r="L7" s="1382">
        <v>243.995</v>
      </c>
      <c r="N7" s="25">
        <f xml:space="preserve"> IF( SUM( P7:W7 ) = 0, 0, $Q$4 )</f>
        <v>0</v>
      </c>
      <c r="T7" s="86">
        <f xml:space="preserve"> IF( ISNUMBER( J7 ), 0, 1 )</f>
        <v>0</v>
      </c>
      <c r="U7" s="86">
        <f>IF(Validation!$H$3=1,0,IF(ISNUMBER(K7),0,1))</f>
        <v>0</v>
      </c>
      <c r="V7" s="86">
        <f>IF(Validation!$H$3=1,0,IF(ISNUMBER(L7),0,1))</f>
        <v>0</v>
      </c>
      <c r="AE7" s="224" t="s">
        <v>2714</v>
      </c>
      <c r="AF7" s="225" t="s">
        <v>2713</v>
      </c>
      <c r="AG7" s="225"/>
      <c r="AH7" s="226" t="s">
        <v>8</v>
      </c>
      <c r="AI7" s="227">
        <v>3</v>
      </c>
      <c r="AJ7" s="284" t="s">
        <v>2715</v>
      </c>
      <c r="AK7" s="286" t="s">
        <v>2716</v>
      </c>
      <c r="AL7" s="2071" t="s">
        <v>1060</v>
      </c>
      <c r="AM7" s="2081" t="s">
        <v>2717</v>
      </c>
      <c r="AN7" s="1381" t="s">
        <v>2718</v>
      </c>
      <c r="AO7" s="1382" t="s">
        <v>2719</v>
      </c>
    </row>
    <row r="8" spans="2:41" ht="15" thickBot="1">
      <c r="B8" s="141"/>
      <c r="C8" s="141"/>
      <c r="D8" s="141"/>
      <c r="E8" s="228"/>
      <c r="F8" s="229"/>
      <c r="G8" s="141"/>
      <c r="H8" s="141"/>
      <c r="I8" s="230"/>
      <c r="J8" s="230"/>
      <c r="K8" s="230"/>
      <c r="L8" s="230"/>
      <c r="AE8" s="141"/>
      <c r="AF8" s="141"/>
      <c r="AG8" s="141"/>
      <c r="AH8" s="228"/>
      <c r="AI8" s="229"/>
      <c r="AJ8" s="141"/>
      <c r="AK8" s="230"/>
      <c r="AL8" s="230"/>
      <c r="AM8" s="230"/>
      <c r="AN8" s="230"/>
      <c r="AO8" s="230"/>
    </row>
    <row r="9" spans="2:41" ht="15" thickBot="1">
      <c r="B9" s="223" t="s">
        <v>236</v>
      </c>
      <c r="C9" s="27" t="s">
        <v>2720</v>
      </c>
      <c r="D9" s="1295"/>
      <c r="E9" s="231"/>
      <c r="F9" s="231"/>
      <c r="G9" s="141"/>
      <c r="H9" s="141"/>
      <c r="I9" s="127"/>
      <c r="J9" s="127"/>
      <c r="K9" s="127"/>
      <c r="L9" s="127"/>
      <c r="AE9" s="223" t="s">
        <v>236</v>
      </c>
      <c r="AF9" s="27" t="s">
        <v>2720</v>
      </c>
      <c r="AG9" s="1295"/>
      <c r="AH9" s="231"/>
      <c r="AI9" s="231"/>
      <c r="AJ9" s="141"/>
      <c r="AK9" s="127"/>
      <c r="AL9" s="127"/>
      <c r="AM9" s="127"/>
      <c r="AN9" s="127"/>
      <c r="AO9" s="127"/>
    </row>
    <row r="10" spans="2:41">
      <c r="B10" s="232" t="s">
        <v>2721</v>
      </c>
      <c r="C10" s="233" t="s">
        <v>2722</v>
      </c>
      <c r="D10" s="233"/>
      <c r="E10" s="234" t="s">
        <v>8</v>
      </c>
      <c r="F10" s="235">
        <v>3</v>
      </c>
      <c r="G10" s="366">
        <v>6.093</v>
      </c>
      <c r="H10" s="367">
        <v>4.1369999999999996</v>
      </c>
      <c r="I10" s="2072">
        <v>0</v>
      </c>
      <c r="J10" s="366">
        <v>19.510999999999999</v>
      </c>
      <c r="K10" s="367">
        <v>12.488</v>
      </c>
      <c r="L10" s="727">
        <v>0</v>
      </c>
      <c r="N10" s="25">
        <f xml:space="preserve"> IF( SUM( P10:W10 ) = 0, 0, $Q$4 )</f>
        <v>0</v>
      </c>
      <c r="Q10" s="86">
        <f xml:space="preserve"> IF( ISNUMBER( G10 ), 0, 1 )</f>
        <v>0</v>
      </c>
      <c r="R10" s="86">
        <f>IF(Validation!$H$3=1,0,IF(ISNUMBER(H10),0,1))</f>
        <v>0</v>
      </c>
      <c r="S10" s="86">
        <f>IF(Validation!$H$3=1,0,IF(ISNUMBER(I10),0,1))</f>
        <v>0</v>
      </c>
      <c r="T10" s="86">
        <f xml:space="preserve"> IF( ISNUMBER( J10 ), 0, 1 )</f>
        <v>0</v>
      </c>
      <c r="U10" s="86">
        <f>IF(Validation!$H$3=1,0,IF(ISNUMBER(K10),0,1))</f>
        <v>0</v>
      </c>
      <c r="V10" s="86">
        <f>IF(Validation!$H$3=1,0,IF(ISNUMBER(L10),0,1))</f>
        <v>0</v>
      </c>
      <c r="AE10" s="232" t="s">
        <v>2721</v>
      </c>
      <c r="AF10" s="233" t="s">
        <v>2722</v>
      </c>
      <c r="AG10" s="233"/>
      <c r="AH10" s="234" t="s">
        <v>8</v>
      </c>
      <c r="AI10" s="235">
        <v>3</v>
      </c>
      <c r="AJ10" s="366" t="s">
        <v>2723</v>
      </c>
      <c r="AK10" s="727" t="s">
        <v>2724</v>
      </c>
      <c r="AL10" s="2072" t="s">
        <v>2725</v>
      </c>
      <c r="AM10" s="366" t="s">
        <v>2726</v>
      </c>
      <c r="AN10" s="366" t="s">
        <v>2727</v>
      </c>
      <c r="AO10" s="727" t="s">
        <v>2728</v>
      </c>
    </row>
    <row r="11" spans="2:41">
      <c r="B11" s="236" t="s">
        <v>2729</v>
      </c>
      <c r="C11" s="237" t="s">
        <v>1039</v>
      </c>
      <c r="D11" s="237"/>
      <c r="E11" s="238" t="s">
        <v>8</v>
      </c>
      <c r="F11" s="239">
        <v>3</v>
      </c>
      <c r="G11" s="368">
        <v>10.35</v>
      </c>
      <c r="H11" s="369">
        <v>9.44</v>
      </c>
      <c r="I11" s="2073">
        <v>0</v>
      </c>
      <c r="J11" s="368">
        <v>29.792999999999999</v>
      </c>
      <c r="K11" s="369">
        <v>27.173999999999999</v>
      </c>
      <c r="L11" s="728">
        <v>0</v>
      </c>
      <c r="N11" s="25">
        <f xml:space="preserve"> IF( SUM( P11:W11 ) = 0, 0, $Q$4 )</f>
        <v>0</v>
      </c>
      <c r="Q11" s="86">
        <f t="shared" ref="Q11:Q12" si="0" xml:space="preserve"> IF( ISNUMBER( G11 ), 0, 1 )</f>
        <v>0</v>
      </c>
      <c r="R11" s="86">
        <f>IF(Validation!$H$3=1,0,IF(ISNUMBER(H11),0,1))</f>
        <v>0</v>
      </c>
      <c r="S11" s="86">
        <f>IF(Validation!$H$3=1,0,IF(ISNUMBER(I11),0,1))</f>
        <v>0</v>
      </c>
      <c r="T11" s="86">
        <f t="shared" ref="T11:T12" si="1" xml:space="preserve"> IF( ISNUMBER( J11 ), 0, 1 )</f>
        <v>0</v>
      </c>
      <c r="U11" s="86">
        <f>IF(Validation!$H$3=1,0,IF(ISNUMBER(K11),0,1))</f>
        <v>0</v>
      </c>
      <c r="V11" s="86">
        <f>IF(Validation!$H$3=1,0,IF(ISNUMBER(L11),0,1))</f>
        <v>0</v>
      </c>
      <c r="AE11" s="236" t="s">
        <v>2729</v>
      </c>
      <c r="AF11" s="237" t="s">
        <v>1039</v>
      </c>
      <c r="AG11" s="237"/>
      <c r="AH11" s="238" t="s">
        <v>8</v>
      </c>
      <c r="AI11" s="239">
        <v>3</v>
      </c>
      <c r="AJ11" s="368" t="s">
        <v>2730</v>
      </c>
      <c r="AK11" s="728" t="s">
        <v>2731</v>
      </c>
      <c r="AL11" s="2073" t="s">
        <v>2732</v>
      </c>
      <c r="AM11" s="368" t="s">
        <v>2733</v>
      </c>
      <c r="AN11" s="368" t="s">
        <v>2734</v>
      </c>
      <c r="AO11" s="728" t="s">
        <v>2735</v>
      </c>
    </row>
    <row r="12" spans="2:41">
      <c r="B12" s="236" t="s">
        <v>2736</v>
      </c>
      <c r="C12" s="237" t="s">
        <v>2737</v>
      </c>
      <c r="D12" s="237"/>
      <c r="E12" s="238" t="s">
        <v>8</v>
      </c>
      <c r="F12" s="239">
        <v>3</v>
      </c>
      <c r="G12" s="368">
        <v>0</v>
      </c>
      <c r="H12" s="369">
        <v>0.34200000000000003</v>
      </c>
      <c r="I12" s="2073">
        <v>-2</v>
      </c>
      <c r="J12" s="368">
        <v>0</v>
      </c>
      <c r="K12" s="369">
        <v>22.623000000000001</v>
      </c>
      <c r="L12" s="728">
        <v>55.9</v>
      </c>
      <c r="N12" s="25">
        <f xml:space="preserve"> IF( SUM( P12:W12 ) = 0, 0, $Q$4 )</f>
        <v>0</v>
      </c>
      <c r="Q12" s="86">
        <f t="shared" si="0"/>
        <v>0</v>
      </c>
      <c r="R12" s="86">
        <f>IF(Validation!$H$3=1,0,IF(ISNUMBER(H12),0,1))</f>
        <v>0</v>
      </c>
      <c r="S12" s="86">
        <f>IF(Validation!$H$3=1,0,IF(ISNUMBER(I12),0,1))</f>
        <v>0</v>
      </c>
      <c r="T12" s="86">
        <f t="shared" si="1"/>
        <v>0</v>
      </c>
      <c r="U12" s="86">
        <f>IF(Validation!$H$3=1,0,IF(ISNUMBER(K12),0,1))</f>
        <v>0</v>
      </c>
      <c r="V12" s="86">
        <f>IF(Validation!$H$3=1,0,IF(ISNUMBER(L12),0,1))</f>
        <v>0</v>
      </c>
      <c r="AE12" s="236" t="s">
        <v>2736</v>
      </c>
      <c r="AF12" s="237" t="s">
        <v>2737</v>
      </c>
      <c r="AG12" s="237"/>
      <c r="AH12" s="238" t="s">
        <v>8</v>
      </c>
      <c r="AI12" s="239">
        <v>3</v>
      </c>
      <c r="AJ12" s="368" t="s">
        <v>2738</v>
      </c>
      <c r="AK12" s="728" t="s">
        <v>2739</v>
      </c>
      <c r="AL12" s="2073" t="s">
        <v>2740</v>
      </c>
      <c r="AM12" s="368" t="s">
        <v>2741</v>
      </c>
      <c r="AN12" s="368" t="s">
        <v>2742</v>
      </c>
      <c r="AO12" s="728" t="s">
        <v>2743</v>
      </c>
    </row>
    <row r="13" spans="2:41" ht="15" thickBot="1">
      <c r="B13" s="241" t="s">
        <v>2744</v>
      </c>
      <c r="C13" s="242" t="s">
        <v>2745</v>
      </c>
      <c r="D13" s="242"/>
      <c r="E13" s="539" t="s">
        <v>8</v>
      </c>
      <c r="F13" s="244">
        <v>3</v>
      </c>
      <c r="G13" s="277">
        <f>SUM(G10:G12)</f>
        <v>16.442999999999998</v>
      </c>
      <c r="H13" s="278">
        <f t="shared" ref="H13:L13" si="2">SUM(H10:H12)</f>
        <v>13.918999999999999</v>
      </c>
      <c r="I13" s="2074">
        <f t="shared" si="2"/>
        <v>-2</v>
      </c>
      <c r="J13" s="277">
        <f t="shared" si="2"/>
        <v>49.304000000000002</v>
      </c>
      <c r="K13" s="278">
        <f t="shared" si="2"/>
        <v>62.284999999999997</v>
      </c>
      <c r="L13" s="279">
        <f t="shared" si="2"/>
        <v>55.9</v>
      </c>
      <c r="Q13" s="113"/>
      <c r="R13" s="113"/>
      <c r="S13" s="113"/>
      <c r="T13" s="113"/>
      <c r="U13" s="113"/>
      <c r="V13" s="113"/>
      <c r="AE13" s="241" t="s">
        <v>2744</v>
      </c>
      <c r="AF13" s="242" t="s">
        <v>2745</v>
      </c>
      <c r="AG13" s="242"/>
      <c r="AH13" s="539" t="s">
        <v>8</v>
      </c>
      <c r="AI13" s="244">
        <v>3</v>
      </c>
      <c r="AJ13" s="277" t="s">
        <v>2746</v>
      </c>
      <c r="AK13" s="279" t="s">
        <v>2747</v>
      </c>
      <c r="AL13" s="2074" t="s">
        <v>2748</v>
      </c>
      <c r="AM13" s="277" t="s">
        <v>2749</v>
      </c>
      <c r="AN13" s="277" t="s">
        <v>2750</v>
      </c>
      <c r="AO13" s="279" t="s">
        <v>2751</v>
      </c>
    </row>
    <row r="14" spans="2:41" ht="15" thickBot="1">
      <c r="B14" s="141"/>
      <c r="C14" s="141"/>
      <c r="D14" s="141"/>
      <c r="E14" s="228"/>
      <c r="F14" s="229"/>
      <c r="G14" s="141"/>
      <c r="H14" s="141"/>
      <c r="I14" s="141"/>
      <c r="J14" s="141"/>
      <c r="K14" s="141"/>
      <c r="L14" s="230"/>
      <c r="Q14" s="240"/>
      <c r="R14" s="103"/>
      <c r="S14" s="103"/>
      <c r="T14" s="103"/>
      <c r="U14" s="103"/>
      <c r="V14" s="103"/>
      <c r="AE14" s="141"/>
      <c r="AF14" s="141"/>
      <c r="AG14" s="141"/>
      <c r="AH14" s="228"/>
      <c r="AI14" s="229"/>
      <c r="AJ14" s="141"/>
      <c r="AK14" s="230"/>
      <c r="AL14" s="230"/>
      <c r="AM14" s="230"/>
      <c r="AN14" s="230"/>
      <c r="AO14" s="230"/>
    </row>
    <row r="15" spans="2:41" ht="15" thickBot="1">
      <c r="B15" s="223" t="s">
        <v>362</v>
      </c>
      <c r="C15" s="27" t="s">
        <v>2752</v>
      </c>
      <c r="D15" s="1295"/>
      <c r="E15" s="231"/>
      <c r="F15" s="231"/>
      <c r="G15" s="141"/>
      <c r="H15" s="141"/>
      <c r="I15" s="141"/>
      <c r="J15" s="141"/>
      <c r="K15" s="141"/>
      <c r="L15" s="127"/>
      <c r="Q15" s="240"/>
      <c r="R15" s="103"/>
      <c r="S15" s="103"/>
      <c r="T15" s="103"/>
      <c r="U15" s="103"/>
      <c r="V15" s="103"/>
      <c r="AE15" s="223" t="s">
        <v>362</v>
      </c>
      <c r="AF15" s="27" t="s">
        <v>2752</v>
      </c>
      <c r="AG15" s="1295"/>
      <c r="AH15" s="231"/>
      <c r="AI15" s="231"/>
      <c r="AJ15" s="141"/>
      <c r="AK15" s="127"/>
      <c r="AL15" s="127"/>
      <c r="AM15" s="127"/>
      <c r="AN15" s="127"/>
      <c r="AO15" s="127"/>
    </row>
    <row r="16" spans="2:41" ht="15" thickBot="1">
      <c r="B16" s="224" t="s">
        <v>2753</v>
      </c>
      <c r="C16" s="225" t="s">
        <v>2752</v>
      </c>
      <c r="D16" s="225"/>
      <c r="E16" s="226" t="s">
        <v>8</v>
      </c>
      <c r="F16" s="227">
        <v>3</v>
      </c>
      <c r="G16" s="1381">
        <v>0</v>
      </c>
      <c r="H16" s="2079">
        <v>0</v>
      </c>
      <c r="I16" s="2075">
        <v>0</v>
      </c>
      <c r="J16" s="1381">
        <v>26.14</v>
      </c>
      <c r="K16" s="2079">
        <v>54.597000000000001</v>
      </c>
      <c r="L16" s="1382">
        <v>0</v>
      </c>
      <c r="N16" s="25">
        <f xml:space="preserve"> IF( SUM( P16:W16 ) = 0, 0, $Q$4 )</f>
        <v>0</v>
      </c>
      <c r="Q16" s="86">
        <f t="shared" ref="Q16" si="3" xml:space="preserve"> IF( ISNUMBER( G16 ), 0, 1 )</f>
        <v>0</v>
      </c>
      <c r="R16" s="86">
        <f>IF(Validation!$H$3=1,0,IF(ISNUMBER(H16),0,1))</f>
        <v>0</v>
      </c>
      <c r="S16" s="86">
        <f>IF(Validation!$H$3=1,0,IF(ISNUMBER(I16),0,1))</f>
        <v>0</v>
      </c>
      <c r="T16" s="86">
        <f t="shared" ref="T16" si="4" xml:space="preserve"> IF( ISNUMBER( J16 ), 0, 1 )</f>
        <v>0</v>
      </c>
      <c r="U16" s="86">
        <f>IF(Validation!$H$3=1,0,IF(ISNUMBER(K16),0,1))</f>
        <v>0</v>
      </c>
      <c r="V16" s="86">
        <f>IF(Validation!$H$3=1,0,IF(ISNUMBER(L16),0,1))</f>
        <v>0</v>
      </c>
      <c r="AE16" s="224" t="s">
        <v>2753</v>
      </c>
      <c r="AF16" s="225" t="s">
        <v>2752</v>
      </c>
      <c r="AG16" s="225"/>
      <c r="AH16" s="226" t="s">
        <v>8</v>
      </c>
      <c r="AI16" s="227">
        <v>3</v>
      </c>
      <c r="AJ16" s="1381" t="s">
        <v>2754</v>
      </c>
      <c r="AK16" s="1382" t="s">
        <v>2755</v>
      </c>
      <c r="AL16" s="2075" t="s">
        <v>2756</v>
      </c>
      <c r="AM16" s="1381" t="s">
        <v>2757</v>
      </c>
      <c r="AN16" s="1381" t="s">
        <v>2758</v>
      </c>
      <c r="AO16" s="1382" t="s">
        <v>2759</v>
      </c>
    </row>
    <row r="17" spans="2:41" ht="15" thickBot="1">
      <c r="B17" s="141"/>
      <c r="C17" s="141"/>
      <c r="D17" s="141"/>
      <c r="E17" s="228"/>
      <c r="F17" s="229"/>
      <c r="G17" s="141"/>
      <c r="H17" s="141"/>
      <c r="I17" s="141"/>
      <c r="J17" s="141"/>
      <c r="K17" s="141"/>
      <c r="L17" s="230"/>
      <c r="Q17" s="240"/>
      <c r="R17" s="103"/>
      <c r="S17" s="103"/>
      <c r="T17" s="103"/>
      <c r="U17" s="103"/>
      <c r="V17" s="103"/>
      <c r="AE17" s="141"/>
      <c r="AF17" s="141"/>
      <c r="AG17" s="141"/>
      <c r="AH17" s="228"/>
      <c r="AI17" s="229"/>
      <c r="AJ17" s="141"/>
      <c r="AK17" s="230"/>
      <c r="AL17" s="230"/>
      <c r="AM17" s="230"/>
      <c r="AN17" s="230"/>
      <c r="AO17" s="230"/>
    </row>
    <row r="18" spans="2:41" ht="15" thickBot="1">
      <c r="B18" s="2211" t="s">
        <v>419</v>
      </c>
      <c r="C18" s="254" t="s">
        <v>2760</v>
      </c>
      <c r="D18" s="1295"/>
      <c r="E18" s="231"/>
      <c r="F18" s="231"/>
      <c r="G18" s="141"/>
      <c r="H18" s="141"/>
      <c r="I18" s="141"/>
      <c r="J18" s="141"/>
      <c r="K18" s="141"/>
      <c r="L18" s="127"/>
      <c r="Q18" s="240"/>
      <c r="R18" s="103"/>
      <c r="S18" s="103"/>
      <c r="T18" s="103"/>
      <c r="U18" s="103"/>
      <c r="V18" s="103"/>
      <c r="AE18" s="2211" t="s">
        <v>419</v>
      </c>
      <c r="AF18" s="254" t="s">
        <v>2760</v>
      </c>
      <c r="AG18" s="1295"/>
      <c r="AH18" s="231"/>
      <c r="AI18" s="231"/>
      <c r="AJ18" s="141"/>
      <c r="AK18" s="127"/>
      <c r="AL18" s="127"/>
      <c r="AM18" s="127"/>
      <c r="AN18" s="127"/>
      <c r="AO18" s="127"/>
    </row>
    <row r="19" spans="2:41">
      <c r="B19" s="232" t="s">
        <v>2761</v>
      </c>
      <c r="C19" s="233" t="s">
        <v>2760</v>
      </c>
      <c r="D19" s="233"/>
      <c r="E19" s="234" t="s">
        <v>8</v>
      </c>
      <c r="F19" s="540">
        <v>3</v>
      </c>
      <c r="G19" s="639">
        <f xml:space="preserve"> G7 - G13 + G16</f>
        <v>878.83899999999983</v>
      </c>
      <c r="H19" s="580">
        <f t="shared" ref="H19:L19" si="5" xml:space="preserve"> H7 - H13 + H16</f>
        <v>900.3806764544139</v>
      </c>
      <c r="I19" s="2076">
        <f t="shared" si="5"/>
        <v>40.725999999999999</v>
      </c>
      <c r="J19" s="639">
        <f t="shared" si="5"/>
        <v>2417.8229999999999</v>
      </c>
      <c r="K19" s="580">
        <f t="shared" si="5"/>
        <v>2707.1400000000003</v>
      </c>
      <c r="L19" s="275">
        <f t="shared" si="5"/>
        <v>188.095</v>
      </c>
      <c r="Q19" s="240"/>
      <c r="R19" s="103"/>
      <c r="S19" s="103"/>
      <c r="T19" s="103"/>
      <c r="U19" s="103"/>
      <c r="V19" s="103"/>
      <c r="AE19" s="232" t="s">
        <v>2761</v>
      </c>
      <c r="AF19" s="233" t="s">
        <v>2760</v>
      </c>
      <c r="AG19" s="233"/>
      <c r="AH19" s="234" t="s">
        <v>8</v>
      </c>
      <c r="AI19" s="540">
        <v>3</v>
      </c>
      <c r="AJ19" s="639" t="s">
        <v>2762</v>
      </c>
      <c r="AK19" s="275" t="s">
        <v>2763</v>
      </c>
      <c r="AL19" s="2076" t="s">
        <v>2764</v>
      </c>
      <c r="AM19" s="639" t="s">
        <v>2765</v>
      </c>
      <c r="AN19" s="639" t="s">
        <v>2766</v>
      </c>
      <c r="AO19" s="275" t="s">
        <v>2767</v>
      </c>
    </row>
    <row r="20" spans="2:41" ht="15" thickBot="1">
      <c r="B20" s="241" t="s">
        <v>2768</v>
      </c>
      <c r="C20" s="242" t="s">
        <v>2769</v>
      </c>
      <c r="D20" s="242"/>
      <c r="E20" s="539" t="s">
        <v>8</v>
      </c>
      <c r="F20" s="541">
        <v>3</v>
      </c>
      <c r="G20" s="1383">
        <v>782.18799999999999</v>
      </c>
      <c r="H20" s="2080">
        <v>778.19</v>
      </c>
      <c r="I20" s="2077">
        <v>36.247</v>
      </c>
      <c r="J20" s="1383">
        <v>2217.7840000000001</v>
      </c>
      <c r="K20" s="2080">
        <v>2489.375</v>
      </c>
      <c r="L20" s="1384">
        <v>174.29599999999999</v>
      </c>
      <c r="N20" s="25">
        <f xml:space="preserve"> IF( SUM( P20:W20 ) = 0, 0, $Q$4 )</f>
        <v>0</v>
      </c>
      <c r="Q20" s="86">
        <f t="shared" ref="Q20:Q23" si="6" xml:space="preserve"> IF( ISNUMBER( G20 ), 0, 1 )</f>
        <v>0</v>
      </c>
      <c r="R20" s="86">
        <f>IF(Validation!$H$3=1,0,IF(ISNUMBER(H20),0,1))</f>
        <v>0</v>
      </c>
      <c r="S20" s="86">
        <f>IF(Validation!$H$3=1,0,IF(ISNUMBER(I20),0,1))</f>
        <v>0</v>
      </c>
      <c r="T20" s="86">
        <f t="shared" ref="T20" si="7" xml:space="preserve"> IF( ISNUMBER( J20 ), 0, 1 )</f>
        <v>0</v>
      </c>
      <c r="U20" s="86">
        <f>IF(Validation!$H$3=1,0,IF(ISNUMBER(K20),0,1))</f>
        <v>0</v>
      </c>
      <c r="V20" s="86">
        <f>IF(Validation!$H$3=1,0,IF(ISNUMBER(L20),0,1))</f>
        <v>0</v>
      </c>
      <c r="AE20" s="241" t="s">
        <v>2768</v>
      </c>
      <c r="AF20" s="242" t="s">
        <v>2769</v>
      </c>
      <c r="AG20" s="242"/>
      <c r="AH20" s="539" t="s">
        <v>8</v>
      </c>
      <c r="AI20" s="541">
        <v>3</v>
      </c>
      <c r="AJ20" s="1383" t="s">
        <v>2770</v>
      </c>
      <c r="AK20" s="1384" t="s">
        <v>2771</v>
      </c>
      <c r="AL20" s="2077" t="s">
        <v>2772</v>
      </c>
      <c r="AM20" s="1383" t="s">
        <v>2773</v>
      </c>
      <c r="AN20" s="1383" t="s">
        <v>2774</v>
      </c>
      <c r="AO20" s="1384" t="s">
        <v>2775</v>
      </c>
    </row>
    <row r="21" spans="2:41" ht="15" thickBot="1">
      <c r="B21" s="141"/>
      <c r="C21" s="141"/>
      <c r="D21" s="141"/>
      <c r="E21" s="228"/>
      <c r="F21" s="229"/>
      <c r="G21" s="141"/>
      <c r="H21" s="141"/>
      <c r="I21" s="141"/>
      <c r="J21" s="141"/>
      <c r="K21" s="141"/>
      <c r="L21" s="230"/>
      <c r="Q21" s="240"/>
      <c r="R21" s="103"/>
      <c r="S21" s="103"/>
      <c r="T21" s="103"/>
      <c r="U21" s="103"/>
      <c r="V21" s="103"/>
      <c r="AE21" s="141"/>
      <c r="AF21" s="141"/>
      <c r="AG21" s="141"/>
      <c r="AH21" s="228"/>
      <c r="AI21" s="229"/>
      <c r="AJ21" s="141"/>
      <c r="AK21" s="230"/>
      <c r="AL21" s="230"/>
      <c r="AM21" s="230"/>
      <c r="AN21" s="230"/>
      <c r="AO21" s="230"/>
    </row>
    <row r="22" spans="2:41" ht="15" thickBot="1">
      <c r="B22" s="223" t="s">
        <v>493</v>
      </c>
      <c r="C22" s="27" t="s">
        <v>2776</v>
      </c>
      <c r="D22" s="1295"/>
      <c r="E22" s="231"/>
      <c r="F22" s="231"/>
      <c r="G22" s="141"/>
      <c r="H22" s="141"/>
      <c r="I22" s="141"/>
      <c r="J22" s="141"/>
      <c r="K22" s="141"/>
      <c r="L22" s="127"/>
      <c r="Q22" s="240"/>
      <c r="R22" s="103"/>
      <c r="S22" s="103"/>
      <c r="T22" s="103"/>
      <c r="U22" s="103"/>
      <c r="V22" s="103"/>
      <c r="AE22" s="223" t="s">
        <v>493</v>
      </c>
      <c r="AF22" s="27" t="s">
        <v>2776</v>
      </c>
      <c r="AG22" s="1295"/>
      <c r="AH22" s="231"/>
      <c r="AI22" s="231"/>
      <c r="AJ22" s="141"/>
      <c r="AK22" s="127"/>
      <c r="AL22" s="127"/>
      <c r="AM22" s="127"/>
      <c r="AN22" s="127"/>
      <c r="AO22" s="127"/>
    </row>
    <row r="23" spans="2:41" ht="15" thickBot="1">
      <c r="B23" s="241" t="s">
        <v>2777</v>
      </c>
      <c r="C23" s="242" t="s">
        <v>2778</v>
      </c>
      <c r="D23" s="1293"/>
      <c r="E23" s="226" t="s">
        <v>8</v>
      </c>
      <c r="F23" s="227">
        <v>3</v>
      </c>
      <c r="G23" s="1381">
        <v>687.93600000000004</v>
      </c>
      <c r="H23" s="2079">
        <v>792.46</v>
      </c>
      <c r="I23" s="2075">
        <v>54.393000000000001</v>
      </c>
      <c r="J23" s="1381">
        <v>1984.123</v>
      </c>
      <c r="K23" s="2079">
        <v>2428.7269999999999</v>
      </c>
      <c r="L23" s="1382">
        <v>274.21499999999997</v>
      </c>
      <c r="N23" s="25">
        <f xml:space="preserve"> IF( SUM( P23:W23 ) = 0, 0, $Q$4 )</f>
        <v>0</v>
      </c>
      <c r="Q23" s="86">
        <f t="shared" si="6"/>
        <v>0</v>
      </c>
      <c r="R23" s="86">
        <f>IF(Validation!$H$3=1,0,IF(ISNUMBER(H23),0,1))</f>
        <v>0</v>
      </c>
      <c r="S23" s="86">
        <f>IF(Validation!$H$3=1,0,IF(ISNUMBER(I23),0,1))</f>
        <v>0</v>
      </c>
      <c r="T23" s="86">
        <f t="shared" ref="T23" si="8" xml:space="preserve"> IF( ISNUMBER( J23 ), 0, 1 )</f>
        <v>0</v>
      </c>
      <c r="U23" s="86">
        <f>IF(Validation!$H$3=1,0,IF(ISNUMBER(K23),0,1))</f>
        <v>0</v>
      </c>
      <c r="V23" s="86">
        <f>IF(Validation!$H$3=1,0,IF(ISNUMBER(L23),0,1))</f>
        <v>0</v>
      </c>
      <c r="AE23" s="241" t="s">
        <v>2777</v>
      </c>
      <c r="AF23" s="242" t="s">
        <v>2778</v>
      </c>
      <c r="AG23" s="1293"/>
      <c r="AH23" s="226" t="s">
        <v>8</v>
      </c>
      <c r="AI23" s="227">
        <v>3</v>
      </c>
      <c r="AJ23" s="1381" t="s">
        <v>2779</v>
      </c>
      <c r="AK23" s="1382" t="s">
        <v>2780</v>
      </c>
      <c r="AL23" s="2075" t="s">
        <v>2781</v>
      </c>
      <c r="AM23" s="1381" t="s">
        <v>2782</v>
      </c>
      <c r="AN23" s="1381" t="s">
        <v>2783</v>
      </c>
      <c r="AO23" s="1382" t="s">
        <v>2784</v>
      </c>
    </row>
    <row r="24" spans="2:41" s="65" customFormat="1">
      <c r="E24" s="78"/>
      <c r="F24" s="78"/>
      <c r="H24" s="142"/>
      <c r="I24" s="142"/>
      <c r="J24" s="142"/>
      <c r="L24" s="116"/>
      <c r="P24" s="66"/>
      <c r="Q24" s="240"/>
      <c r="R24" s="103"/>
      <c r="S24" s="103"/>
      <c r="T24" s="103"/>
      <c r="U24" s="103"/>
      <c r="V24" s="103"/>
      <c r="W24" s="66"/>
      <c r="AH24" s="78"/>
      <c r="AI24" s="78"/>
      <c r="AK24" s="142"/>
      <c r="AL24" s="142"/>
      <c r="AM24" s="142"/>
      <c r="AO24" s="116"/>
    </row>
    <row r="25" spans="2:41" s="142" customFormat="1">
      <c r="B25" s="2256" t="s">
        <v>275</v>
      </c>
      <c r="C25" s="2256"/>
      <c r="D25" s="2195"/>
      <c r="L25" s="116"/>
      <c r="M25" s="65"/>
      <c r="N25" s="65"/>
      <c r="O25" s="65"/>
      <c r="P25" s="66"/>
      <c r="Q25" s="113"/>
      <c r="R25" s="113"/>
      <c r="S25" s="113"/>
      <c r="T25" s="113"/>
      <c r="U25" s="113"/>
      <c r="V25" s="113"/>
      <c r="W25" s="66"/>
      <c r="X25" s="65"/>
    </row>
    <row r="26" spans="2:41" s="142" customFormat="1">
      <c r="B26" s="127"/>
      <c r="C26" s="128"/>
      <c r="D26" s="128"/>
      <c r="L26" s="116"/>
      <c r="M26" s="65"/>
      <c r="N26" s="65"/>
      <c r="O26" s="65"/>
      <c r="P26" s="66"/>
      <c r="Q26" s="113"/>
      <c r="R26" s="113"/>
      <c r="S26" s="113"/>
      <c r="T26" s="113"/>
      <c r="U26" s="113"/>
      <c r="V26" s="113"/>
      <c r="W26" s="66"/>
      <c r="X26" s="65"/>
    </row>
    <row r="27" spans="2:41" s="142" customFormat="1">
      <c r="B27" s="26"/>
      <c r="C27" s="129" t="s">
        <v>249</v>
      </c>
      <c r="D27" s="129"/>
      <c r="L27" s="116"/>
      <c r="M27" s="65"/>
      <c r="N27" s="65"/>
      <c r="O27" s="65"/>
      <c r="P27" s="66"/>
      <c r="Q27" s="113"/>
      <c r="R27" s="113"/>
      <c r="S27" s="113"/>
      <c r="T27" s="113"/>
      <c r="U27" s="113"/>
      <c r="V27" s="113"/>
      <c r="W27" s="66"/>
      <c r="X27" s="65"/>
    </row>
    <row r="28" spans="2:41" s="142" customFormat="1">
      <c r="B28" s="127"/>
      <c r="C28" s="128"/>
      <c r="D28" s="128"/>
      <c r="L28" s="116"/>
      <c r="M28" s="65"/>
      <c r="N28" s="65"/>
      <c r="O28" s="65"/>
      <c r="P28" s="66"/>
      <c r="Q28" s="240"/>
      <c r="R28" s="103"/>
      <c r="S28" s="103"/>
      <c r="T28" s="103"/>
      <c r="U28" s="103"/>
      <c r="V28" s="103"/>
      <c r="W28" s="66"/>
      <c r="X28" s="65"/>
    </row>
    <row r="29" spans="2:41" s="142" customFormat="1">
      <c r="B29" s="130"/>
      <c r="C29" s="129" t="s">
        <v>250</v>
      </c>
      <c r="D29" s="129"/>
      <c r="L29" s="116"/>
      <c r="M29" s="65"/>
      <c r="N29" s="65"/>
      <c r="O29" s="65"/>
      <c r="P29" s="66"/>
      <c r="Q29" s="240"/>
      <c r="R29" s="103"/>
      <c r="S29" s="103"/>
      <c r="T29" s="103"/>
      <c r="U29" s="103"/>
      <c r="V29" s="103"/>
      <c r="W29" s="66"/>
      <c r="X29" s="65"/>
    </row>
    <row r="30" spans="2:41" s="142" customFormat="1">
      <c r="B30" s="131"/>
      <c r="C30" s="129"/>
      <c r="D30" s="129"/>
      <c r="L30" s="116"/>
      <c r="M30" s="110"/>
      <c r="N30" s="112"/>
      <c r="O30" s="110"/>
      <c r="P30" s="114"/>
      <c r="Q30" s="240"/>
      <c r="R30" s="103"/>
      <c r="S30" s="103"/>
      <c r="T30" s="103"/>
      <c r="U30" s="103"/>
      <c r="V30" s="103"/>
      <c r="W30" s="114"/>
      <c r="X30" s="103"/>
    </row>
    <row r="31" spans="2:41" s="155" customFormat="1" ht="13.5" thickBot="1">
      <c r="C31" s="156"/>
      <c r="D31" s="156"/>
      <c r="L31" s="118"/>
      <c r="M31" s="116"/>
      <c r="N31" s="116"/>
      <c r="O31" s="116"/>
      <c r="P31" s="111"/>
      <c r="Q31" s="177"/>
      <c r="R31" s="142"/>
      <c r="S31" s="142"/>
      <c r="T31" s="142"/>
      <c r="U31" s="142"/>
      <c r="V31" s="142"/>
      <c r="W31" s="111"/>
      <c r="X31" s="142"/>
    </row>
    <row r="32" spans="2:41" s="155" customFormat="1" ht="16.5" thickBot="1">
      <c r="B32" s="1166" t="s">
        <v>251</v>
      </c>
      <c r="C32" s="133"/>
      <c r="D32" s="133"/>
      <c r="E32" s="134"/>
      <c r="F32" s="134"/>
      <c r="G32" s="134"/>
      <c r="H32" s="134"/>
      <c r="I32" s="134"/>
      <c r="J32" s="134"/>
      <c r="K32" s="134"/>
      <c r="L32" s="216"/>
      <c r="M32" s="116"/>
      <c r="N32" s="116"/>
      <c r="O32" s="116"/>
      <c r="P32" s="111"/>
      <c r="Q32" s="177"/>
      <c r="R32" s="142"/>
      <c r="S32" s="142"/>
      <c r="T32" s="142"/>
      <c r="U32" s="142"/>
      <c r="V32" s="142"/>
      <c r="W32" s="111"/>
      <c r="X32" s="142"/>
    </row>
    <row r="33" spans="3:24" s="155" customFormat="1" ht="12.75">
      <c r="C33" s="156"/>
      <c r="D33" s="156"/>
      <c r="L33" s="118"/>
      <c r="M33" s="116"/>
      <c r="N33" s="116"/>
      <c r="O33" s="116"/>
      <c r="P33" s="111"/>
      <c r="Q33" s="177"/>
      <c r="R33" s="142"/>
      <c r="S33" s="142"/>
      <c r="T33" s="142"/>
      <c r="U33" s="142"/>
      <c r="V33" s="142"/>
      <c r="W33" s="111"/>
      <c r="X33" s="142"/>
    </row>
  </sheetData>
  <sheetProtection algorithmName="SHA-512" hashValue="olNSERtm8dAaFqHAWJI70r2h/QUfjy612BQNag8l5sG4/bD2oAQ0W780+TsBKoHW12QLtxlEZPMAMOlFfs/v9g==" saltValue="V2v78MKkwlB1PiTBqZsx/w==" spinCount="100000" sheet="1" objects="1" scenarios="1"/>
  <mergeCells count="12">
    <mergeCell ref="AM3:AO3"/>
    <mergeCell ref="B25:C25"/>
    <mergeCell ref="Q3:R3"/>
    <mergeCell ref="B3:C4"/>
    <mergeCell ref="E3:E4"/>
    <mergeCell ref="F3:F4"/>
    <mergeCell ref="G3:I3"/>
    <mergeCell ref="J3:L3"/>
    <mergeCell ref="AE3:AF4"/>
    <mergeCell ref="AH3:AH4"/>
    <mergeCell ref="AI3:AI4"/>
    <mergeCell ref="AJ3:AL3"/>
  </mergeCells>
  <conditionalFormatting sqref="N7">
    <cfRule type="cellIs" dxfId="184" priority="8" operator="equal">
      <formula>0</formula>
    </cfRule>
  </conditionalFormatting>
  <conditionalFormatting sqref="N10:N12">
    <cfRule type="cellIs" dxfId="183" priority="20" operator="equal">
      <formula>0</formula>
    </cfRule>
  </conditionalFormatting>
  <conditionalFormatting sqref="N16">
    <cfRule type="cellIs" dxfId="182" priority="15" operator="equal">
      <formula>0</formula>
    </cfRule>
  </conditionalFormatting>
  <conditionalFormatting sqref="N20 N23">
    <cfRule type="cellIs" dxfId="181" priority="19" operator="equal">
      <formula>0</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5D4D742F-8B4F-467D-9ADA-7E8E70916FCC}">
            <xm:f>Validation!$H$3=1</xm:f>
            <x14:dxf>
              <fill>
                <patternFill>
                  <bgColor theme="2"/>
                </patternFill>
              </fill>
            </x14:dxf>
          </x14:cfRule>
          <xm:sqref>H7 H10:H13 H19 K10:K13 K19</xm:sqref>
        </x14:conditionalFormatting>
        <x14:conditionalFormatting xmlns:xm="http://schemas.microsoft.com/office/excel/2006/main">
          <x14:cfRule type="expression" priority="4" id="{47A73010-EC12-4976-BEEF-226F44AC12D4}">
            <xm:f>Validation!$H$3=1</xm:f>
            <x14:dxf>
              <fill>
                <patternFill>
                  <bgColor rgb="FFE0DCD8"/>
                </patternFill>
              </fill>
            </x14:dxf>
          </x14:cfRule>
          <xm:sqref>I7 I10:I13 I19</xm:sqref>
        </x14:conditionalFormatting>
        <x14:conditionalFormatting xmlns:xm="http://schemas.microsoft.com/office/excel/2006/main">
          <x14:cfRule type="expression" priority="9" id="{9ED42E6A-E265-49B5-B1B8-D5352CAC0733}">
            <xm:f>Validation!$H$3=1</xm:f>
            <x14:dxf>
              <fill>
                <patternFill>
                  <bgColor rgb="FFE0DCD8"/>
                </patternFill>
              </fill>
            </x14:dxf>
          </x14:cfRule>
          <xm:sqref>L10:L13 L19</xm:sqref>
        </x14:conditionalFormatting>
        <x14:conditionalFormatting xmlns:xm="http://schemas.microsoft.com/office/excel/2006/main">
          <x14:cfRule type="expression" priority="2" id="{E1F31A8B-7655-40FD-96A6-210DCC17400B}">
            <xm:f>Validation!$H$3=1</xm:f>
            <x14:dxf>
              <fill>
                <patternFill>
                  <bgColor rgb="FFE0DCD8"/>
                </patternFill>
              </fill>
            </x14:dxf>
          </x14:cfRule>
          <xm:sqref>AK7:AM7 AK10:AM13 AK16:AM16 AK19:AM20 AK23:AM23</xm:sqref>
        </x14:conditionalFormatting>
        <x14:conditionalFormatting xmlns:xm="http://schemas.microsoft.com/office/excel/2006/main">
          <x14:cfRule type="expression" priority="5" id="{88F4BC8D-BB70-4E25-BD2C-B2B75D6371AD}">
            <xm:f>Validation!$H$3=1</xm:f>
            <x14:dxf>
              <fill>
                <patternFill>
                  <bgColor rgb="FFE0DCD8"/>
                </patternFill>
              </fill>
            </x14:dxf>
          </x14:cfRule>
          <xm:sqref>AO7 AO10:AO13 AO16 AO19:AO20 AO23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pageSetUpPr fitToPage="1"/>
  </sheetPr>
  <dimension ref="A1:AJ21"/>
  <sheetViews>
    <sheetView showGridLines="0" zoomScale="80" zoomScaleNormal="80" workbookViewId="0">
      <selection activeCell="H8" sqref="H8"/>
    </sheetView>
  </sheetViews>
  <sheetFormatPr defaultColWidth="0" defaultRowHeight="14.25" zeroHeight="1"/>
  <cols>
    <col min="1" max="1" width="0.625" customWidth="1"/>
    <col min="2" max="2" width="4.125" customWidth="1"/>
    <col min="3" max="3" width="60.125" customWidth="1"/>
    <col min="4" max="4" width="1.125" hidden="1" customWidth="1"/>
    <col min="5" max="6" width="5.125" customWidth="1"/>
    <col min="7" max="8" width="14.5" customWidth="1"/>
    <col min="9" max="9" width="14.625" customWidth="1"/>
    <col min="10" max="10" width="2.625" style="65" customWidth="1"/>
    <col min="11" max="11" width="18.625" style="65" bestFit="1" customWidth="1"/>
    <col min="12" max="12" width="1.625" style="65" customWidth="1"/>
    <col min="13" max="13" width="1.625" style="66" hidden="1" customWidth="1"/>
    <col min="14" max="16" width="11.125" style="65" hidden="1" customWidth="1"/>
    <col min="17" max="17" width="1.625" style="66" hidden="1" customWidth="1"/>
    <col min="18" max="28" width="8.625" hidden="1" customWidth="1"/>
    <col min="29" max="29" width="4.125" hidden="1" customWidth="1"/>
    <col min="30" max="30" width="60.125" hidden="1" customWidth="1"/>
    <col min="31" max="31" width="1.125" hidden="1" customWidth="1"/>
    <col min="32" max="33" width="5.125" hidden="1" customWidth="1"/>
    <col min="34" max="34" width="14.5" hidden="1" customWidth="1"/>
    <col min="35" max="35" width="14.625" hidden="1" customWidth="1"/>
    <col min="36" max="36" width="14" hidden="1" customWidth="1"/>
    <col min="37" max="16384" width="8.625" hidden="1"/>
  </cols>
  <sheetData>
    <row r="1" spans="2:36" ht="20.25">
      <c r="B1" s="61" t="s">
        <v>2785</v>
      </c>
      <c r="C1" s="61"/>
      <c r="D1" s="61"/>
      <c r="E1" s="61"/>
      <c r="F1" s="61"/>
      <c r="G1" s="61"/>
      <c r="H1" s="61"/>
      <c r="I1" s="63" t="str">
        <f>Validation!B3</f>
        <v>Thames Water</v>
      </c>
      <c r="J1" s="61"/>
      <c r="K1" s="64" t="s">
        <v>94</v>
      </c>
      <c r="AC1" s="61" t="s">
        <v>95</v>
      </c>
      <c r="AD1" s="61"/>
      <c r="AE1" s="61"/>
      <c r="AF1" s="61"/>
      <c r="AG1" s="61"/>
      <c r="AH1" s="61"/>
      <c r="AI1" s="63"/>
      <c r="AJ1" s="63"/>
    </row>
    <row r="2" spans="2:36" ht="15" thickBot="1">
      <c r="B2" s="68" t="s">
        <v>80</v>
      </c>
      <c r="C2" s="65"/>
      <c r="D2" s="65"/>
      <c r="E2" s="65"/>
      <c r="F2" s="65"/>
      <c r="G2" s="65"/>
      <c r="H2" s="65"/>
      <c r="I2" s="65"/>
      <c r="AC2" s="68" t="s">
        <v>80</v>
      </c>
      <c r="AD2" s="65"/>
      <c r="AE2" s="65"/>
      <c r="AF2" s="65"/>
      <c r="AG2" s="65"/>
      <c r="AH2" s="65"/>
      <c r="AI2" s="65"/>
      <c r="AJ2" s="65"/>
    </row>
    <row r="3" spans="2:36" ht="15" customHeight="1">
      <c r="B3" s="2242" t="s">
        <v>96</v>
      </c>
      <c r="C3" s="2243"/>
      <c r="D3" s="2192" t="s">
        <v>2690</v>
      </c>
      <c r="E3" s="2246" t="s">
        <v>98</v>
      </c>
      <c r="F3" s="2248" t="s">
        <v>99</v>
      </c>
      <c r="G3" s="2325" t="s">
        <v>1383</v>
      </c>
      <c r="H3" s="2327" t="s">
        <v>1384</v>
      </c>
      <c r="I3" s="2250" t="s">
        <v>751</v>
      </c>
      <c r="K3" s="2240" t="s">
        <v>103</v>
      </c>
      <c r="AC3" s="2242" t="s">
        <v>96</v>
      </c>
      <c r="AD3" s="2243"/>
      <c r="AE3" s="2192" t="s">
        <v>2690</v>
      </c>
      <c r="AF3" s="2246" t="s">
        <v>98</v>
      </c>
      <c r="AG3" s="2248" t="s">
        <v>99</v>
      </c>
      <c r="AH3" s="2250" t="s">
        <v>1383</v>
      </c>
      <c r="AI3" s="2250" t="s">
        <v>1384</v>
      </c>
      <c r="AJ3" s="2250" t="s">
        <v>751</v>
      </c>
    </row>
    <row r="4" spans="2:36" ht="24.75" thickBot="1">
      <c r="B4" s="2244"/>
      <c r="C4" s="2245"/>
      <c r="D4" s="2193"/>
      <c r="E4" s="2247"/>
      <c r="F4" s="2249"/>
      <c r="G4" s="2326"/>
      <c r="H4" s="2328"/>
      <c r="I4" s="2251"/>
      <c r="K4" s="2241"/>
      <c r="N4" s="2194" t="s">
        <v>107</v>
      </c>
      <c r="O4" s="2194"/>
      <c r="P4" s="2194"/>
      <c r="AC4" s="2244"/>
      <c r="AD4" s="2245"/>
      <c r="AE4" s="2193"/>
      <c r="AF4" s="2247"/>
      <c r="AG4" s="2249"/>
      <c r="AH4" s="2251"/>
      <c r="AI4" s="2251"/>
      <c r="AJ4" s="2251"/>
    </row>
    <row r="5" spans="2:36" ht="15" thickBot="1">
      <c r="B5" s="65"/>
      <c r="C5" s="65"/>
      <c r="D5" s="65"/>
      <c r="E5" s="65"/>
      <c r="F5" s="65"/>
      <c r="G5" s="65"/>
      <c r="H5" s="65"/>
      <c r="I5" s="65"/>
      <c r="K5" s="217"/>
      <c r="N5" s="78" t="s">
        <v>108</v>
      </c>
      <c r="O5" s="78"/>
      <c r="P5" s="78"/>
      <c r="AC5" s="65"/>
      <c r="AD5" s="65"/>
      <c r="AE5" s="65"/>
      <c r="AF5" s="65"/>
      <c r="AG5" s="65"/>
      <c r="AH5" s="65"/>
      <c r="AI5" s="65"/>
      <c r="AJ5" s="65"/>
    </row>
    <row r="6" spans="2:36">
      <c r="B6" s="79" t="s">
        <v>2786</v>
      </c>
      <c r="C6" s="109" t="s">
        <v>2787</v>
      </c>
      <c r="D6" s="109"/>
      <c r="E6" s="81" t="s">
        <v>8</v>
      </c>
      <c r="F6" s="82">
        <v>3</v>
      </c>
      <c r="G6" s="356">
        <v>233.66</v>
      </c>
      <c r="H6" s="356">
        <v>60.648000000000003</v>
      </c>
      <c r="I6" s="1385">
        <v>-99.918999999999997</v>
      </c>
      <c r="K6" s="25">
        <f xml:space="preserve"> IF( SUM( M6:Q6 ) = 0, 0, $N$5 )</f>
        <v>0</v>
      </c>
      <c r="N6" s="86">
        <f xml:space="preserve"> IF( ISNUMBER( G6 ), 0, 1 )</f>
        <v>0</v>
      </c>
      <c r="O6" s="86">
        <f>IF(Validation!$H$3=1,0,IF(ISNUMBER(H6),0,1))</f>
        <v>0</v>
      </c>
      <c r="P6" s="86">
        <f>IF(Validation!$H$3=1,0,IF(ISNUMBER(I6),0,1))</f>
        <v>0</v>
      </c>
      <c r="AC6" s="79" t="s">
        <v>2786</v>
      </c>
      <c r="AD6" s="109" t="s">
        <v>2787</v>
      </c>
      <c r="AE6" s="109"/>
      <c r="AF6" s="81" t="s">
        <v>8</v>
      </c>
      <c r="AG6" s="82">
        <v>3</v>
      </c>
      <c r="AH6" s="1408" t="s">
        <v>2788</v>
      </c>
      <c r="AI6" s="1623" t="s">
        <v>2789</v>
      </c>
      <c r="AJ6" s="1623" t="s">
        <v>2790</v>
      </c>
    </row>
    <row r="7" spans="2:36">
      <c r="B7" s="87" t="s">
        <v>2791</v>
      </c>
      <c r="C7" s="80" t="s">
        <v>2792</v>
      </c>
      <c r="D7" s="80"/>
      <c r="E7" s="88" t="s">
        <v>8</v>
      </c>
      <c r="F7" s="89">
        <v>3</v>
      </c>
      <c r="G7" s="339">
        <v>149.11699999999999</v>
      </c>
      <c r="H7" s="339">
        <v>42.21</v>
      </c>
      <c r="I7" s="1386">
        <v>-60.161000000000001</v>
      </c>
      <c r="K7" s="25">
        <f xml:space="preserve"> IF( SUM( M7:Q7 ) = 0, 0, $N$5 )</f>
        <v>0</v>
      </c>
      <c r="N7" s="86">
        <f t="shared" ref="N7:N10" si="0" xml:space="preserve"> IF( ISNUMBER( G7 ), 0, 1 )</f>
        <v>0</v>
      </c>
      <c r="O7" s="86">
        <f>IF(Validation!$H$3=1,0,IF(ISNUMBER(H7),0,1))</f>
        <v>0</v>
      </c>
      <c r="P7" s="86">
        <f>IF(Validation!$H$3=1,0,IF(ISNUMBER(I7),0,1))</f>
        <v>0</v>
      </c>
      <c r="AC7" s="87" t="s">
        <v>2791</v>
      </c>
      <c r="AD7" s="80" t="s">
        <v>2792</v>
      </c>
      <c r="AE7" s="80"/>
      <c r="AF7" s="88" t="s">
        <v>8</v>
      </c>
      <c r="AG7" s="89">
        <v>3</v>
      </c>
      <c r="AH7" s="1409" t="s">
        <v>2793</v>
      </c>
      <c r="AI7" s="1624" t="s">
        <v>2794</v>
      </c>
      <c r="AJ7" s="1624" t="s">
        <v>2795</v>
      </c>
    </row>
    <row r="8" spans="2:36" ht="14.25" customHeight="1">
      <c r="B8" s="87" t="s">
        <v>2796</v>
      </c>
      <c r="C8" s="80" t="s">
        <v>2797</v>
      </c>
      <c r="D8" s="80"/>
      <c r="E8" s="88" t="s">
        <v>8</v>
      </c>
      <c r="F8" s="89">
        <v>3</v>
      </c>
      <c r="G8" s="339">
        <v>123.825</v>
      </c>
      <c r="H8" s="339">
        <v>39.874000000000002</v>
      </c>
      <c r="I8" s="371">
        <v>-123.875</v>
      </c>
      <c r="K8" s="25">
        <f xml:space="preserve"> IF( SUM( M8:Q8 ) = 0, 0, $N$5 )</f>
        <v>0</v>
      </c>
      <c r="N8" s="86">
        <f t="shared" si="0"/>
        <v>0</v>
      </c>
      <c r="O8" s="86">
        <f>IF(Validation!$H$3=1,0,IF(ISNUMBER(H8),0,1))</f>
        <v>0</v>
      </c>
      <c r="P8" s="86">
        <f>IF(Validation!$H$3=1,0,IF(ISNUMBER(I8),0,1))</f>
        <v>0</v>
      </c>
      <c r="AC8" s="87" t="s">
        <v>2796</v>
      </c>
      <c r="AD8" s="80" t="s">
        <v>2797</v>
      </c>
      <c r="AE8" s="80"/>
      <c r="AF8" s="88" t="s">
        <v>8</v>
      </c>
      <c r="AG8" s="89">
        <v>3</v>
      </c>
      <c r="AH8" s="1409" t="s">
        <v>2798</v>
      </c>
      <c r="AI8" s="1625" t="s">
        <v>2799</v>
      </c>
      <c r="AJ8" s="1625" t="s">
        <v>2800</v>
      </c>
    </row>
    <row r="9" spans="2:36" ht="14.25" customHeight="1">
      <c r="B9" s="87" t="s">
        <v>2801</v>
      </c>
      <c r="C9" s="189" t="s">
        <v>2802</v>
      </c>
      <c r="D9" s="189"/>
      <c r="E9" s="88" t="s">
        <v>8</v>
      </c>
      <c r="F9" s="89">
        <v>3</v>
      </c>
      <c r="G9" s="634">
        <v>0</v>
      </c>
      <c r="H9" s="634">
        <v>0</v>
      </c>
      <c r="I9" s="1387">
        <v>0</v>
      </c>
      <c r="K9" s="25">
        <f xml:space="preserve"> IF( SUM( M9:Q9 ) = 0, 0, $N$5 )</f>
        <v>0</v>
      </c>
      <c r="N9" s="86">
        <f t="shared" si="0"/>
        <v>0</v>
      </c>
      <c r="O9" s="86">
        <f>IF(Validation!$H$3=1,0,IF(ISNUMBER(H9),0,1))</f>
        <v>0</v>
      </c>
      <c r="P9" s="86">
        <f>IF(Validation!$H$3=1,0,IF(ISNUMBER(I9),0,1))</f>
        <v>0</v>
      </c>
      <c r="AC9" s="87" t="s">
        <v>2801</v>
      </c>
      <c r="AD9" s="189" t="s">
        <v>2802</v>
      </c>
      <c r="AE9" s="189"/>
      <c r="AF9" s="88" t="s">
        <v>8</v>
      </c>
      <c r="AG9" s="89">
        <v>3</v>
      </c>
      <c r="AH9" s="634" t="s">
        <v>2803</v>
      </c>
      <c r="AI9" s="1387" t="s">
        <v>2804</v>
      </c>
      <c r="AJ9" s="1387" t="s">
        <v>2805</v>
      </c>
    </row>
    <row r="10" spans="2:36" ht="14.25" customHeight="1">
      <c r="B10" s="87" t="s">
        <v>2806</v>
      </c>
      <c r="C10" s="189" t="s">
        <v>2807</v>
      </c>
      <c r="D10" s="189"/>
      <c r="E10" s="88" t="s">
        <v>8</v>
      </c>
      <c r="F10" s="89">
        <v>3</v>
      </c>
      <c r="G10" s="634">
        <v>5682.6890000000003</v>
      </c>
      <c r="H10" s="634">
        <v>6664.84</v>
      </c>
      <c r="I10" s="1387">
        <v>1357.277</v>
      </c>
      <c r="K10" s="25">
        <f xml:space="preserve"> IF( SUM( M10:Q10 ) = 0, 0, $N$5 )</f>
        <v>0</v>
      </c>
      <c r="N10" s="86">
        <f t="shared" si="0"/>
        <v>0</v>
      </c>
      <c r="O10" s="86">
        <f>IF(Validation!$H$3=1,0,IF(ISNUMBER(H10),0,1))</f>
        <v>0</v>
      </c>
      <c r="P10" s="86">
        <f>IF(Validation!$H$3=1,0,IF(ISNUMBER(I10),0,1))</f>
        <v>0</v>
      </c>
      <c r="AC10" s="87" t="s">
        <v>2806</v>
      </c>
      <c r="AD10" s="189" t="s">
        <v>2807</v>
      </c>
      <c r="AE10" s="189"/>
      <c r="AF10" s="88" t="s">
        <v>8</v>
      </c>
      <c r="AG10" s="89">
        <v>3</v>
      </c>
      <c r="AH10" s="634" t="s">
        <v>2808</v>
      </c>
      <c r="AI10" s="1387" t="s">
        <v>2809</v>
      </c>
      <c r="AJ10" s="1387" t="s">
        <v>2810</v>
      </c>
    </row>
    <row r="11" spans="2:36" ht="15" thickBot="1">
      <c r="B11" s="94" t="s">
        <v>2811</v>
      </c>
      <c r="C11" s="95" t="s">
        <v>2812</v>
      </c>
      <c r="D11" s="95"/>
      <c r="E11" s="96" t="s">
        <v>8</v>
      </c>
      <c r="F11" s="93">
        <v>3</v>
      </c>
      <c r="G11" s="174">
        <f xml:space="preserve"> SUM( G8:G10 )</f>
        <v>5806.5140000000001</v>
      </c>
      <c r="H11" s="172">
        <f xml:space="preserve"> SUM( H8:H10 )</f>
        <v>6704.7139999999999</v>
      </c>
      <c r="I11" s="279">
        <f xml:space="preserve"> SUM( I8:I10 )</f>
        <v>1233.402</v>
      </c>
      <c r="AC11" s="94" t="s">
        <v>2811</v>
      </c>
      <c r="AD11" s="95" t="s">
        <v>2812</v>
      </c>
      <c r="AE11" s="95"/>
      <c r="AF11" s="96" t="s">
        <v>8</v>
      </c>
      <c r="AG11" s="93">
        <v>3</v>
      </c>
      <c r="AH11" s="174" t="s">
        <v>2813</v>
      </c>
      <c r="AI11" s="279" t="s">
        <v>2814</v>
      </c>
      <c r="AJ11" s="279" t="s">
        <v>2815</v>
      </c>
    </row>
    <row r="12" spans="2:36"/>
    <row r="13" spans="2:36">
      <c r="B13" s="2256" t="s">
        <v>275</v>
      </c>
      <c r="C13" s="2256"/>
      <c r="D13" s="2195"/>
      <c r="E13" s="142"/>
      <c r="F13" s="142"/>
      <c r="G13" s="142"/>
      <c r="H13" s="142"/>
      <c r="I13" s="142"/>
    </row>
    <row r="14" spans="2:36">
      <c r="B14" s="127"/>
      <c r="C14" s="128"/>
      <c r="D14" s="128"/>
      <c r="E14" s="142"/>
      <c r="F14" s="142"/>
      <c r="G14" s="142"/>
      <c r="H14" s="142"/>
      <c r="I14" s="142"/>
    </row>
    <row r="15" spans="2:36">
      <c r="B15" s="26"/>
      <c r="C15" s="129" t="s">
        <v>249</v>
      </c>
      <c r="D15" s="129"/>
      <c r="E15" s="142"/>
      <c r="F15" s="142"/>
      <c r="G15" s="142"/>
      <c r="H15" s="142"/>
      <c r="I15" s="142"/>
    </row>
    <row r="16" spans="2:36">
      <c r="B16" s="127"/>
      <c r="C16" s="128"/>
      <c r="D16" s="128"/>
      <c r="E16" s="142"/>
      <c r="F16" s="142"/>
      <c r="G16" s="142"/>
      <c r="H16" s="142"/>
      <c r="I16" s="142"/>
    </row>
    <row r="17" spans="2:9">
      <c r="B17" s="130"/>
      <c r="C17" s="129" t="s">
        <v>250</v>
      </c>
      <c r="D17" s="129"/>
      <c r="E17" s="142"/>
      <c r="F17" s="142"/>
      <c r="G17" s="142"/>
      <c r="H17" s="142"/>
      <c r="I17" s="142"/>
    </row>
    <row r="18" spans="2:9">
      <c r="B18" s="131"/>
      <c r="C18" s="129"/>
      <c r="D18" s="129"/>
      <c r="E18" s="142"/>
      <c r="F18" s="142"/>
      <c r="G18" s="142"/>
      <c r="H18" s="142"/>
      <c r="I18" s="142"/>
    </row>
    <row r="19" spans="2:9" ht="15" thickBot="1">
      <c r="B19" s="155"/>
      <c r="C19" s="156"/>
      <c r="D19" s="156"/>
      <c r="E19" s="155"/>
      <c r="F19" s="155"/>
      <c r="G19" s="155"/>
      <c r="H19" s="155"/>
      <c r="I19" s="155"/>
    </row>
    <row r="20" spans="2:9" ht="16.5" thickBot="1">
      <c r="B20" s="1166" t="s">
        <v>251</v>
      </c>
      <c r="C20" s="133"/>
      <c r="D20" s="133"/>
      <c r="E20" s="134"/>
      <c r="F20" s="134"/>
      <c r="G20" s="134"/>
      <c r="H20" s="134"/>
      <c r="I20" s="216"/>
    </row>
    <row r="21" spans="2:9">
      <c r="B21" s="155"/>
      <c r="C21" s="156"/>
      <c r="D21" s="156"/>
      <c r="E21" s="155"/>
      <c r="F21" s="155"/>
      <c r="G21" s="155"/>
      <c r="H21" s="155"/>
      <c r="I21" s="155"/>
    </row>
  </sheetData>
  <sheetProtection algorithmName="SHA-512" hashValue="tqAHSfr+41esD3rcXmDubaZvzt5LQAheH/WXN6gABW+H4s9vXJ3BmDpfyMzw8Sp3j5Gxx2+8tV7lB37RAlaOlQ==" saltValue="axkZkczk81zMoq3qQl4ZHg==" spinCount="100000" sheet="1" objects="1" scenarios="1"/>
  <mergeCells count="14">
    <mergeCell ref="AJ3:AJ4"/>
    <mergeCell ref="K3:K4"/>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175"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1347093D-B56F-42BA-B3ED-3B3B7089CBED}">
            <xm:f>Validation!$H$3=1</xm:f>
            <x14:dxf>
              <fill>
                <patternFill>
                  <bgColor theme="2"/>
                </patternFill>
              </fill>
            </x14:dxf>
          </x14:cfRule>
          <xm:sqref>H11</xm:sqref>
        </x14:conditionalFormatting>
        <x14:conditionalFormatting xmlns:xm="http://schemas.microsoft.com/office/excel/2006/main">
          <x14:cfRule type="expression" priority="6"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2" id="{8D752325-A396-4B0F-95B5-BF4EC26D7027}">
            <xm:f>Validation!$H$3=1</xm:f>
            <x14:dxf>
              <fill>
                <patternFill>
                  <bgColor rgb="FFE0DCD8"/>
                </patternFill>
              </fill>
            </x14:dxf>
          </x14:cfRule>
          <xm:sqref>AI6:AJ11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pageSetUpPr fitToPage="1"/>
  </sheetPr>
  <dimension ref="A1:BL60"/>
  <sheetViews>
    <sheetView showGridLines="0" topLeftCell="A10" zoomScale="80" zoomScaleNormal="80" workbookViewId="0">
      <selection activeCell="K31" sqref="K31"/>
    </sheetView>
  </sheetViews>
  <sheetFormatPr defaultColWidth="0" defaultRowHeight="14.25" zeroHeight="1"/>
  <cols>
    <col min="1" max="1" width="0.625" customWidth="1"/>
    <col min="2" max="2" width="6" customWidth="1"/>
    <col min="3" max="3" width="59.5" bestFit="1" customWidth="1"/>
    <col min="4" max="4" width="1.125" hidden="1" customWidth="1"/>
    <col min="5" max="6" width="5.125" customWidth="1"/>
    <col min="7" max="12" width="12.125" customWidth="1"/>
    <col min="13" max="13" width="12.5" customWidth="1"/>
    <col min="14" max="14" width="2.625" style="65" customWidth="1"/>
    <col min="15" max="15" width="34.625" style="65" customWidth="1"/>
    <col min="16" max="16" width="18.625" style="65" bestFit="1" customWidth="1"/>
    <col min="17" max="17" width="1.625" style="65" customWidth="1"/>
    <col min="18" max="18" width="1.625" style="66" hidden="1" customWidth="1"/>
    <col min="19" max="24" width="4.625" style="65" hidden="1" customWidth="1"/>
    <col min="25" max="25" width="1.625" style="66" hidden="1" customWidth="1"/>
    <col min="26" max="26" width="10.125" hidden="1" customWidth="1"/>
    <col min="27" max="27" width="1.625" style="66" hidden="1" customWidth="1"/>
    <col min="28" max="29" width="7.5" hidden="1" customWidth="1"/>
    <col min="30" max="30" width="64.125" hidden="1" customWidth="1"/>
    <col min="31" max="31" width="1.625" style="66" hidden="1" customWidth="1"/>
    <col min="32" max="52" width="8.625" hidden="1" customWidth="1"/>
    <col min="53" max="53" width="6" hidden="1" customWidth="1"/>
    <col min="54" max="54" width="59.5" hidden="1" customWidth="1"/>
    <col min="55" max="55" width="1.125" hidden="1" customWidth="1"/>
    <col min="56" max="57" width="5.125" hidden="1" customWidth="1"/>
    <col min="58" max="63" width="12.125" hidden="1" customWidth="1"/>
    <col min="64" max="64" width="12.5" hidden="1" customWidth="1"/>
    <col min="65" max="16384" width="8.625" hidden="1"/>
  </cols>
  <sheetData>
    <row r="1" spans="2:64" ht="20.25">
      <c r="B1" s="61" t="s">
        <v>2816</v>
      </c>
      <c r="C1" s="61"/>
      <c r="D1" s="61"/>
      <c r="E1" s="61"/>
      <c r="F1" s="61"/>
      <c r="G1" s="61"/>
      <c r="H1" s="61"/>
      <c r="I1" s="61"/>
      <c r="J1" s="61"/>
      <c r="K1" s="61"/>
      <c r="L1" s="61"/>
      <c r="M1" s="63" t="str">
        <f>Validation!B3</f>
        <v>Thames Water</v>
      </c>
      <c r="N1" s="61"/>
      <c r="O1" s="61"/>
      <c r="P1" s="64" t="s">
        <v>94</v>
      </c>
      <c r="BA1" s="61" t="s">
        <v>95</v>
      </c>
      <c r="BB1" s="61"/>
      <c r="BC1" s="61"/>
      <c r="BD1" s="61"/>
      <c r="BE1" s="61"/>
      <c r="BF1" s="61"/>
      <c r="BG1" s="61"/>
      <c r="BH1" s="61"/>
      <c r="BI1" s="61"/>
      <c r="BJ1" s="61"/>
      <c r="BK1" s="61"/>
      <c r="BL1" s="63"/>
    </row>
    <row r="2" spans="2:64" ht="15" thickBot="1">
      <c r="B2" s="68" t="s">
        <v>80</v>
      </c>
      <c r="C2" s="65"/>
      <c r="D2" s="65"/>
      <c r="E2" s="65"/>
      <c r="F2" s="65"/>
      <c r="G2" s="65"/>
      <c r="H2" s="65"/>
      <c r="I2" s="65"/>
      <c r="J2" s="65"/>
      <c r="K2" s="65"/>
      <c r="L2" s="65"/>
      <c r="M2" s="65"/>
      <c r="BA2" s="68" t="s">
        <v>80</v>
      </c>
      <c r="BB2" s="65"/>
      <c r="BC2" s="65"/>
      <c r="BD2" s="65"/>
      <c r="BE2" s="65"/>
      <c r="BF2" s="65"/>
      <c r="BG2" s="65"/>
      <c r="BH2" s="65"/>
      <c r="BI2" s="65"/>
      <c r="BJ2" s="65"/>
      <c r="BK2" s="65"/>
      <c r="BL2" s="65"/>
    </row>
    <row r="3" spans="2:64" ht="15" customHeight="1">
      <c r="B3" s="2287" t="s">
        <v>96</v>
      </c>
      <c r="C3" s="2288"/>
      <c r="D3" s="2208" t="s">
        <v>2690</v>
      </c>
      <c r="E3" s="2291" t="s">
        <v>98</v>
      </c>
      <c r="F3" s="2293" t="s">
        <v>99</v>
      </c>
      <c r="G3" s="2336" t="s">
        <v>745</v>
      </c>
      <c r="H3" s="2337"/>
      <c r="I3" s="2332" t="s">
        <v>2817</v>
      </c>
      <c r="J3" s="2333"/>
      <c r="K3" s="2334"/>
      <c r="L3" s="2335"/>
      <c r="M3" s="2329" t="s">
        <v>680</v>
      </c>
      <c r="O3" s="2240" t="s">
        <v>675</v>
      </c>
      <c r="P3" s="2240" t="s">
        <v>103</v>
      </c>
      <c r="BA3" s="2287" t="s">
        <v>96</v>
      </c>
      <c r="BB3" s="2288"/>
      <c r="BC3" s="2208" t="s">
        <v>2690</v>
      </c>
      <c r="BD3" s="2291" t="s">
        <v>98</v>
      </c>
      <c r="BE3" s="2293" t="s">
        <v>99</v>
      </c>
      <c r="BF3" s="2336" t="s">
        <v>745</v>
      </c>
      <c r="BG3" s="2337"/>
      <c r="BH3" s="2332" t="s">
        <v>2817</v>
      </c>
      <c r="BI3" s="2333"/>
      <c r="BJ3" s="2334"/>
      <c r="BK3" s="2335"/>
      <c r="BL3" s="2329" t="s">
        <v>680</v>
      </c>
    </row>
    <row r="4" spans="2:64" ht="27.75" thickBot="1">
      <c r="B4" s="2289"/>
      <c r="C4" s="2290"/>
      <c r="D4" s="2209"/>
      <c r="E4" s="2292"/>
      <c r="F4" s="2294"/>
      <c r="G4" s="181" t="s">
        <v>2818</v>
      </c>
      <c r="H4" s="182" t="s">
        <v>2819</v>
      </c>
      <c r="I4" s="184" t="s">
        <v>2820</v>
      </c>
      <c r="J4" s="182" t="s">
        <v>2821</v>
      </c>
      <c r="K4" s="181" t="s">
        <v>2822</v>
      </c>
      <c r="L4" s="183" t="s">
        <v>2823</v>
      </c>
      <c r="M4" s="2330"/>
      <c r="O4" s="2241"/>
      <c r="P4" s="2241"/>
      <c r="S4" s="2255" t="s">
        <v>107</v>
      </c>
      <c r="T4" s="2255"/>
      <c r="U4" s="2255"/>
      <c r="V4" s="2255"/>
      <c r="W4" s="2255"/>
      <c r="X4" s="2255"/>
      <c r="Z4" s="2194" t="s">
        <v>86</v>
      </c>
      <c r="AB4" s="71" t="s">
        <v>742</v>
      </c>
      <c r="AC4" s="583"/>
      <c r="AD4" s="583"/>
      <c r="BA4" s="2289"/>
      <c r="BB4" s="2290"/>
      <c r="BC4" s="2209"/>
      <c r="BD4" s="2292"/>
      <c r="BE4" s="2294"/>
      <c r="BF4" s="181" t="s">
        <v>2818</v>
      </c>
      <c r="BG4" s="182" t="s">
        <v>2819</v>
      </c>
      <c r="BH4" s="184" t="s">
        <v>2820</v>
      </c>
      <c r="BI4" s="182" t="s">
        <v>2821</v>
      </c>
      <c r="BJ4" s="181" t="s">
        <v>2822</v>
      </c>
      <c r="BK4" s="183" t="s">
        <v>2823</v>
      </c>
      <c r="BL4" s="2330"/>
    </row>
    <row r="5" spans="2:64" ht="15" thickBot="1">
      <c r="B5" s="65"/>
      <c r="C5" s="65"/>
      <c r="D5" s="65"/>
      <c r="E5" s="65"/>
      <c r="F5" s="65"/>
      <c r="G5" s="65"/>
      <c r="H5" s="65"/>
      <c r="I5" s="65"/>
      <c r="J5" s="65"/>
      <c r="K5" s="65"/>
      <c r="L5" s="65"/>
      <c r="M5" s="65"/>
      <c r="S5" s="2331"/>
      <c r="T5" s="2331"/>
      <c r="U5" s="2331"/>
      <c r="V5" s="2331"/>
      <c r="W5" s="2331"/>
      <c r="X5" s="2331"/>
      <c r="Z5" s="211"/>
      <c r="AB5" s="211"/>
      <c r="BA5" s="65"/>
      <c r="BB5" s="65"/>
      <c r="BC5" s="65"/>
      <c r="BD5" s="65"/>
      <c r="BE5" s="65"/>
      <c r="BF5" s="65"/>
      <c r="BG5" s="65"/>
      <c r="BH5" s="65"/>
      <c r="BI5" s="65"/>
      <c r="BJ5" s="65"/>
      <c r="BK5" s="65"/>
      <c r="BL5" s="65"/>
    </row>
    <row r="6" spans="2:64" ht="15" thickBot="1">
      <c r="B6" s="106" t="s">
        <v>214</v>
      </c>
      <c r="C6" s="107" t="s">
        <v>779</v>
      </c>
      <c r="D6" s="1292"/>
      <c r="E6" s="65"/>
      <c r="F6" s="65"/>
      <c r="G6" s="65"/>
      <c r="H6" s="65"/>
      <c r="I6" s="65"/>
      <c r="J6" s="65"/>
      <c r="K6" s="65"/>
      <c r="L6" s="65"/>
      <c r="M6" s="65"/>
      <c r="P6" s="25">
        <f xml:space="preserve"> IF( SUM( R6:Y6 ) = 0, 0, $P$9 )</f>
        <v>0</v>
      </c>
      <c r="S6" s="78" t="s">
        <v>108</v>
      </c>
      <c r="T6" s="78"/>
      <c r="U6" s="78"/>
      <c r="V6" s="78"/>
      <c r="W6" s="78"/>
      <c r="X6" s="78"/>
      <c r="BA6" s="106" t="s">
        <v>214</v>
      </c>
      <c r="BB6" s="107" t="s">
        <v>779</v>
      </c>
      <c r="BC6" s="1292"/>
      <c r="BD6" s="65"/>
      <c r="BE6" s="65"/>
      <c r="BF6" s="65"/>
      <c r="BG6" s="65"/>
      <c r="BH6" s="65"/>
      <c r="BI6" s="65"/>
      <c r="BJ6" s="65"/>
      <c r="BK6" s="65"/>
      <c r="BL6" s="65"/>
    </row>
    <row r="7" spans="2:64">
      <c r="B7" s="79" t="s">
        <v>2824</v>
      </c>
      <c r="C7" s="109" t="s">
        <v>869</v>
      </c>
      <c r="D7" s="109"/>
      <c r="E7" s="81" t="s">
        <v>8</v>
      </c>
      <c r="F7" s="185">
        <v>3</v>
      </c>
      <c r="G7" s="342">
        <v>0</v>
      </c>
      <c r="H7" s="343">
        <v>13.356</v>
      </c>
      <c r="I7" s="342">
        <v>0.318</v>
      </c>
      <c r="J7" s="353">
        <v>0</v>
      </c>
      <c r="K7" s="352">
        <v>9.5009999999999994</v>
      </c>
      <c r="L7" s="343">
        <v>31.361999999999998</v>
      </c>
      <c r="M7" s="173">
        <f t="shared" ref="M7:M15" si="0">SUM(G7:L7)</f>
        <v>54.536999999999992</v>
      </c>
      <c r="P7" s="25">
        <f xml:space="preserve"> IF( SUM( R7:Y7 ) = 0, 0, $S$6 )</f>
        <v>0</v>
      </c>
      <c r="S7" s="86">
        <f t="shared" ref="S7:X14" si="1" xml:space="preserve"> IF( ISNUMBER( G7 ), 0, 1 )</f>
        <v>0</v>
      </c>
      <c r="T7" s="86">
        <f t="shared" si="1"/>
        <v>0</v>
      </c>
      <c r="U7" s="86">
        <f t="shared" si="1"/>
        <v>0</v>
      </c>
      <c r="V7" s="86">
        <f t="shared" si="1"/>
        <v>0</v>
      </c>
      <c r="W7" s="86">
        <f t="shared" si="1"/>
        <v>0</v>
      </c>
      <c r="X7" s="86">
        <f t="shared" si="1"/>
        <v>0</v>
      </c>
      <c r="BA7" s="79" t="s">
        <v>2824</v>
      </c>
      <c r="BB7" s="109" t="s">
        <v>869</v>
      </c>
      <c r="BC7" s="109"/>
      <c r="BD7" s="81" t="s">
        <v>8</v>
      </c>
      <c r="BE7" s="185">
        <v>3</v>
      </c>
      <c r="BF7" s="342" t="s">
        <v>2825</v>
      </c>
      <c r="BG7" s="343" t="s">
        <v>2826</v>
      </c>
      <c r="BH7" s="342" t="s">
        <v>2827</v>
      </c>
      <c r="BI7" s="353" t="s">
        <v>2828</v>
      </c>
      <c r="BJ7" s="352" t="s">
        <v>2829</v>
      </c>
      <c r="BK7" s="343" t="s">
        <v>2830</v>
      </c>
      <c r="BL7" s="173" t="s">
        <v>2831</v>
      </c>
    </row>
    <row r="8" spans="2:64">
      <c r="B8" s="87" t="s">
        <v>2832</v>
      </c>
      <c r="C8" s="80" t="s">
        <v>877</v>
      </c>
      <c r="D8" s="80"/>
      <c r="E8" s="88" t="s">
        <v>8</v>
      </c>
      <c r="F8" s="187">
        <v>3</v>
      </c>
      <c r="G8" s="340">
        <v>0</v>
      </c>
      <c r="H8" s="344">
        <v>-0.122</v>
      </c>
      <c r="I8" s="340">
        <v>-0.01</v>
      </c>
      <c r="J8" s="341">
        <v>0</v>
      </c>
      <c r="K8" s="354">
        <v>-0.11799999999999999</v>
      </c>
      <c r="L8" s="344">
        <v>-1.4E-2</v>
      </c>
      <c r="M8" s="206">
        <f t="shared" si="0"/>
        <v>-0.26400000000000001</v>
      </c>
      <c r="P8" s="25">
        <f t="shared" ref="P8:P46" si="2" xml:space="preserve"> IF( SUM( R8:Y8 ) = 0, 0, $S$6 )</f>
        <v>0</v>
      </c>
      <c r="S8" s="86">
        <f t="shared" si="1"/>
        <v>0</v>
      </c>
      <c r="T8" s="86">
        <f t="shared" si="1"/>
        <v>0</v>
      </c>
      <c r="U8" s="86">
        <f t="shared" si="1"/>
        <v>0</v>
      </c>
      <c r="V8" s="86">
        <f t="shared" si="1"/>
        <v>0</v>
      </c>
      <c r="W8" s="86">
        <f t="shared" si="1"/>
        <v>0</v>
      </c>
      <c r="X8" s="86">
        <f t="shared" si="1"/>
        <v>0</v>
      </c>
      <c r="BA8" s="87" t="s">
        <v>2832</v>
      </c>
      <c r="BB8" s="80" t="s">
        <v>877</v>
      </c>
      <c r="BC8" s="80"/>
      <c r="BD8" s="88" t="s">
        <v>8</v>
      </c>
      <c r="BE8" s="187">
        <v>3</v>
      </c>
      <c r="BF8" s="340" t="s">
        <v>2833</v>
      </c>
      <c r="BG8" s="344" t="s">
        <v>2834</v>
      </c>
      <c r="BH8" s="340" t="s">
        <v>2835</v>
      </c>
      <c r="BI8" s="341" t="s">
        <v>2836</v>
      </c>
      <c r="BJ8" s="354" t="s">
        <v>2837</v>
      </c>
      <c r="BK8" s="344" t="s">
        <v>2838</v>
      </c>
      <c r="BL8" s="206" t="s">
        <v>2839</v>
      </c>
    </row>
    <row r="9" spans="2:64">
      <c r="B9" s="87" t="s">
        <v>2840</v>
      </c>
      <c r="C9" s="80" t="s">
        <v>885</v>
      </c>
      <c r="D9" s="80"/>
      <c r="E9" s="88" t="s">
        <v>8</v>
      </c>
      <c r="F9" s="187">
        <v>3</v>
      </c>
      <c r="G9" s="340">
        <v>13.113</v>
      </c>
      <c r="H9" s="344">
        <v>3.0000000000000001E-3</v>
      </c>
      <c r="I9" s="340">
        <v>0</v>
      </c>
      <c r="J9" s="341">
        <v>0</v>
      </c>
      <c r="K9" s="354">
        <v>0</v>
      </c>
      <c r="L9" s="344">
        <v>0</v>
      </c>
      <c r="M9" s="206">
        <f t="shared" si="0"/>
        <v>13.116</v>
      </c>
      <c r="P9" s="25">
        <f t="shared" si="2"/>
        <v>0</v>
      </c>
      <c r="S9" s="86">
        <f t="shared" si="1"/>
        <v>0</v>
      </c>
      <c r="T9" s="86">
        <f t="shared" si="1"/>
        <v>0</v>
      </c>
      <c r="U9" s="86">
        <f t="shared" si="1"/>
        <v>0</v>
      </c>
      <c r="V9" s="86">
        <f t="shared" si="1"/>
        <v>0</v>
      </c>
      <c r="W9" s="86">
        <f t="shared" si="1"/>
        <v>0</v>
      </c>
      <c r="X9" s="86">
        <f t="shared" si="1"/>
        <v>0</v>
      </c>
      <c r="BA9" s="87" t="s">
        <v>2840</v>
      </c>
      <c r="BB9" s="80" t="s">
        <v>885</v>
      </c>
      <c r="BC9" s="80"/>
      <c r="BD9" s="88" t="s">
        <v>8</v>
      </c>
      <c r="BE9" s="187">
        <v>3</v>
      </c>
      <c r="BF9" s="340" t="s">
        <v>2841</v>
      </c>
      <c r="BG9" s="344" t="s">
        <v>2842</v>
      </c>
      <c r="BH9" s="340" t="s">
        <v>2843</v>
      </c>
      <c r="BI9" s="341" t="s">
        <v>2844</v>
      </c>
      <c r="BJ9" s="354" t="s">
        <v>2845</v>
      </c>
      <c r="BK9" s="344" t="s">
        <v>2846</v>
      </c>
      <c r="BL9" s="206" t="s">
        <v>2847</v>
      </c>
    </row>
    <row r="10" spans="2:64">
      <c r="B10" s="87" t="s">
        <v>2848</v>
      </c>
      <c r="C10" s="80" t="s">
        <v>2849</v>
      </c>
      <c r="D10" s="80"/>
      <c r="E10" s="88" t="s">
        <v>8</v>
      </c>
      <c r="F10" s="187">
        <v>3</v>
      </c>
      <c r="G10" s="340">
        <v>0</v>
      </c>
      <c r="H10" s="344">
        <v>2.5760000000000001</v>
      </c>
      <c r="I10" s="340">
        <v>0</v>
      </c>
      <c r="J10" s="341">
        <v>0</v>
      </c>
      <c r="K10" s="354">
        <v>0</v>
      </c>
      <c r="L10" s="344">
        <v>0.107</v>
      </c>
      <c r="M10" s="206">
        <f t="shared" si="0"/>
        <v>2.6830000000000003</v>
      </c>
      <c r="P10" s="25">
        <f t="shared" si="2"/>
        <v>0</v>
      </c>
      <c r="S10" s="86">
        <f t="shared" si="1"/>
        <v>0</v>
      </c>
      <c r="T10" s="86">
        <f t="shared" si="1"/>
        <v>0</v>
      </c>
      <c r="U10" s="86">
        <f t="shared" si="1"/>
        <v>0</v>
      </c>
      <c r="V10" s="86">
        <f t="shared" si="1"/>
        <v>0</v>
      </c>
      <c r="W10" s="86">
        <f t="shared" si="1"/>
        <v>0</v>
      </c>
      <c r="X10" s="86">
        <f t="shared" si="1"/>
        <v>0</v>
      </c>
      <c r="BA10" s="87" t="s">
        <v>2848</v>
      </c>
      <c r="BB10" s="80" t="s">
        <v>2849</v>
      </c>
      <c r="BC10" s="80"/>
      <c r="BD10" s="88" t="s">
        <v>8</v>
      </c>
      <c r="BE10" s="187">
        <v>3</v>
      </c>
      <c r="BF10" s="340" t="s">
        <v>2850</v>
      </c>
      <c r="BG10" s="344" t="s">
        <v>2851</v>
      </c>
      <c r="BH10" s="340" t="s">
        <v>2852</v>
      </c>
      <c r="BI10" s="341" t="s">
        <v>2853</v>
      </c>
      <c r="BJ10" s="354" t="s">
        <v>2854</v>
      </c>
      <c r="BK10" s="344" t="s">
        <v>2855</v>
      </c>
      <c r="BL10" s="206" t="s">
        <v>2856</v>
      </c>
    </row>
    <row r="11" spans="2:64">
      <c r="B11" s="87" t="s">
        <v>2857</v>
      </c>
      <c r="C11" s="237" t="s">
        <v>901</v>
      </c>
      <c r="D11" s="237"/>
      <c r="E11" s="256" t="s">
        <v>8</v>
      </c>
      <c r="F11" s="239">
        <v>3</v>
      </c>
      <c r="G11" s="340">
        <v>0</v>
      </c>
      <c r="H11" s="344">
        <v>0</v>
      </c>
      <c r="I11" s="340">
        <v>0</v>
      </c>
      <c r="J11" s="341">
        <v>0</v>
      </c>
      <c r="K11" s="354">
        <v>0</v>
      </c>
      <c r="L11" s="344">
        <v>63.095999999999997</v>
      </c>
      <c r="M11" s="206">
        <f t="shared" si="0"/>
        <v>63.095999999999997</v>
      </c>
      <c r="P11" s="25">
        <f t="shared" si="2"/>
        <v>0</v>
      </c>
      <c r="S11" s="86">
        <f t="shared" si="1"/>
        <v>0</v>
      </c>
      <c r="T11" s="86">
        <f t="shared" si="1"/>
        <v>0</v>
      </c>
      <c r="U11" s="86">
        <f t="shared" si="1"/>
        <v>0</v>
      </c>
      <c r="V11" s="86">
        <f t="shared" si="1"/>
        <v>0</v>
      </c>
      <c r="W11" s="86">
        <f t="shared" si="1"/>
        <v>0</v>
      </c>
      <c r="X11" s="86">
        <f t="shared" si="1"/>
        <v>0</v>
      </c>
      <c r="BA11" s="87" t="s">
        <v>2857</v>
      </c>
      <c r="BB11" s="237" t="s">
        <v>901</v>
      </c>
      <c r="BC11" s="237"/>
      <c r="BD11" s="256" t="s">
        <v>8</v>
      </c>
      <c r="BE11" s="239">
        <v>3</v>
      </c>
      <c r="BF11" s="1400" t="s">
        <v>2858</v>
      </c>
      <c r="BG11" s="1612" t="s">
        <v>2859</v>
      </c>
      <c r="BH11" s="1400" t="s">
        <v>2860</v>
      </c>
      <c r="BI11" s="1401" t="s">
        <v>2861</v>
      </c>
      <c r="BJ11" s="1596" t="s">
        <v>2862</v>
      </c>
      <c r="BK11" s="1612" t="s">
        <v>2863</v>
      </c>
      <c r="BL11" s="1504" t="s">
        <v>2864</v>
      </c>
    </row>
    <row r="12" spans="2:64">
      <c r="B12" s="87" t="s">
        <v>2865</v>
      </c>
      <c r="C12" s="237" t="s">
        <v>909</v>
      </c>
      <c r="D12" s="237"/>
      <c r="E12" s="256" t="s">
        <v>8</v>
      </c>
      <c r="F12" s="239">
        <v>3</v>
      </c>
      <c r="G12" s="340">
        <v>0</v>
      </c>
      <c r="H12" s="344">
        <v>0</v>
      </c>
      <c r="I12" s="340">
        <v>0</v>
      </c>
      <c r="J12" s="341">
        <v>0</v>
      </c>
      <c r="K12" s="354">
        <v>0</v>
      </c>
      <c r="L12" s="344">
        <v>0</v>
      </c>
      <c r="M12" s="206">
        <f t="shared" si="0"/>
        <v>0</v>
      </c>
      <c r="P12" s="25">
        <f t="shared" ref="P12:P13" si="3" xml:space="preserve"> IF( SUM( R12:Y12 ) = 0, 0, $S$6 )</f>
        <v>0</v>
      </c>
      <c r="S12" s="86">
        <f t="shared" si="1"/>
        <v>0</v>
      </c>
      <c r="T12" s="86">
        <f t="shared" si="1"/>
        <v>0</v>
      </c>
      <c r="U12" s="86">
        <f t="shared" si="1"/>
        <v>0</v>
      </c>
      <c r="V12" s="86">
        <f t="shared" si="1"/>
        <v>0</v>
      </c>
      <c r="W12" s="86">
        <f t="shared" si="1"/>
        <v>0</v>
      </c>
      <c r="X12" s="86">
        <f t="shared" si="1"/>
        <v>0</v>
      </c>
      <c r="BA12" s="87" t="s">
        <v>2865</v>
      </c>
      <c r="BB12" s="237" t="s">
        <v>909</v>
      </c>
      <c r="BC12" s="237"/>
      <c r="BD12" s="256" t="s">
        <v>8</v>
      </c>
      <c r="BE12" s="239">
        <v>3</v>
      </c>
      <c r="BF12" s="1400" t="s">
        <v>2866</v>
      </c>
      <c r="BG12" s="1612" t="s">
        <v>2867</v>
      </c>
      <c r="BH12" s="1400" t="s">
        <v>2868</v>
      </c>
      <c r="BI12" s="1401" t="s">
        <v>2869</v>
      </c>
      <c r="BJ12" s="1596" t="s">
        <v>2870</v>
      </c>
      <c r="BK12" s="1612" t="s">
        <v>2871</v>
      </c>
      <c r="BL12" s="1504" t="s">
        <v>2872</v>
      </c>
    </row>
    <row r="13" spans="2:64">
      <c r="B13" s="87" t="s">
        <v>2873</v>
      </c>
      <c r="C13" s="237" t="s">
        <v>917</v>
      </c>
      <c r="D13" s="237"/>
      <c r="E13" s="256" t="s">
        <v>8</v>
      </c>
      <c r="F13" s="239">
        <v>3</v>
      </c>
      <c r="G13" s="340">
        <v>0.873</v>
      </c>
      <c r="H13" s="344">
        <v>26.571999999999999</v>
      </c>
      <c r="I13" s="340">
        <v>1.6919999999999999</v>
      </c>
      <c r="J13" s="341">
        <v>0</v>
      </c>
      <c r="K13" s="354">
        <v>62.514000000000003</v>
      </c>
      <c r="L13" s="344">
        <v>163.755</v>
      </c>
      <c r="M13" s="206">
        <f t="shared" si="0"/>
        <v>255.40600000000001</v>
      </c>
      <c r="P13" s="25">
        <f t="shared" si="3"/>
        <v>0</v>
      </c>
      <c r="S13" s="86">
        <f t="shared" si="1"/>
        <v>0</v>
      </c>
      <c r="T13" s="86">
        <f t="shared" si="1"/>
        <v>0</v>
      </c>
      <c r="U13" s="86">
        <f t="shared" si="1"/>
        <v>0</v>
      </c>
      <c r="V13" s="86">
        <f t="shared" si="1"/>
        <v>0</v>
      </c>
      <c r="W13" s="86">
        <f t="shared" si="1"/>
        <v>0</v>
      </c>
      <c r="X13" s="86">
        <f t="shared" si="1"/>
        <v>0</v>
      </c>
      <c r="BA13" s="87" t="s">
        <v>2873</v>
      </c>
      <c r="BB13" s="237" t="s">
        <v>917</v>
      </c>
      <c r="BC13" s="237"/>
      <c r="BD13" s="256" t="s">
        <v>8</v>
      </c>
      <c r="BE13" s="239">
        <v>3</v>
      </c>
      <c r="BF13" s="1400" t="s">
        <v>2874</v>
      </c>
      <c r="BG13" s="1612" t="s">
        <v>2875</v>
      </c>
      <c r="BH13" s="1400" t="s">
        <v>2876</v>
      </c>
      <c r="BI13" s="1401" t="s">
        <v>2877</v>
      </c>
      <c r="BJ13" s="1596" t="s">
        <v>2878</v>
      </c>
      <c r="BK13" s="1612" t="s">
        <v>2879</v>
      </c>
      <c r="BL13" s="1504" t="s">
        <v>2880</v>
      </c>
    </row>
    <row r="14" spans="2:64">
      <c r="B14" s="87" t="s">
        <v>2881</v>
      </c>
      <c r="C14" s="80" t="s">
        <v>925</v>
      </c>
      <c r="D14" s="80"/>
      <c r="E14" s="88" t="s">
        <v>8</v>
      </c>
      <c r="F14" s="187">
        <v>3</v>
      </c>
      <c r="G14" s="340">
        <v>0</v>
      </c>
      <c r="H14" s="344">
        <v>3.4950000000000001</v>
      </c>
      <c r="I14" s="340">
        <v>6.3019999999999996</v>
      </c>
      <c r="J14" s="341">
        <v>0</v>
      </c>
      <c r="K14" s="354">
        <v>5.734</v>
      </c>
      <c r="L14" s="344">
        <v>60.44</v>
      </c>
      <c r="M14" s="206">
        <f t="shared" si="0"/>
        <v>75.971000000000004</v>
      </c>
      <c r="P14" s="25">
        <f t="shared" si="2"/>
        <v>0</v>
      </c>
      <c r="S14" s="86">
        <f t="shared" si="1"/>
        <v>0</v>
      </c>
      <c r="T14" s="86">
        <f t="shared" si="1"/>
        <v>0</v>
      </c>
      <c r="U14" s="86">
        <f t="shared" si="1"/>
        <v>0</v>
      </c>
      <c r="V14" s="86">
        <f t="shared" si="1"/>
        <v>0</v>
      </c>
      <c r="W14" s="86">
        <f t="shared" si="1"/>
        <v>0</v>
      </c>
      <c r="X14" s="86">
        <f t="shared" si="1"/>
        <v>0</v>
      </c>
      <c r="BA14" s="87" t="s">
        <v>2881</v>
      </c>
      <c r="BB14" s="80" t="s">
        <v>925</v>
      </c>
      <c r="BC14" s="80"/>
      <c r="BD14" s="88" t="s">
        <v>8</v>
      </c>
      <c r="BE14" s="187">
        <v>3</v>
      </c>
      <c r="BF14" s="340" t="s">
        <v>2882</v>
      </c>
      <c r="BG14" s="344" t="s">
        <v>2883</v>
      </c>
      <c r="BH14" s="340" t="s">
        <v>2884</v>
      </c>
      <c r="BI14" s="341" t="s">
        <v>2885</v>
      </c>
      <c r="BJ14" s="354" t="s">
        <v>2886</v>
      </c>
      <c r="BK14" s="344" t="s">
        <v>2887</v>
      </c>
      <c r="BL14" s="206" t="s">
        <v>2888</v>
      </c>
    </row>
    <row r="15" spans="2:64" ht="15" thickBot="1">
      <c r="B15" s="94" t="s">
        <v>2889</v>
      </c>
      <c r="C15" s="95" t="s">
        <v>933</v>
      </c>
      <c r="D15" s="95"/>
      <c r="E15" s="96" t="s">
        <v>8</v>
      </c>
      <c r="F15" s="194">
        <v>3</v>
      </c>
      <c r="G15" s="167">
        <f>SUM(G7:G14)</f>
        <v>13.985999999999999</v>
      </c>
      <c r="H15" s="169">
        <f t="shared" ref="H15:L15" si="4">SUM(H7:H14)</f>
        <v>45.879999999999995</v>
      </c>
      <c r="I15" s="167">
        <f t="shared" si="4"/>
        <v>8.3019999999999996</v>
      </c>
      <c r="J15" s="168">
        <f t="shared" si="4"/>
        <v>0</v>
      </c>
      <c r="K15" s="207">
        <f t="shared" si="4"/>
        <v>77.631</v>
      </c>
      <c r="L15" s="169">
        <f t="shared" si="4"/>
        <v>318.74599999999998</v>
      </c>
      <c r="M15" s="174">
        <f t="shared" si="0"/>
        <v>464.54499999999996</v>
      </c>
      <c r="P15"/>
      <c r="BA15" s="94" t="s">
        <v>2889</v>
      </c>
      <c r="BB15" s="95" t="s">
        <v>933</v>
      </c>
      <c r="BC15" s="95"/>
      <c r="BD15" s="96" t="s">
        <v>8</v>
      </c>
      <c r="BE15" s="194">
        <v>3</v>
      </c>
      <c r="BF15" s="167" t="s">
        <v>2890</v>
      </c>
      <c r="BG15" s="169" t="s">
        <v>2891</v>
      </c>
      <c r="BH15" s="167" t="s">
        <v>2892</v>
      </c>
      <c r="BI15" s="168" t="s">
        <v>2893</v>
      </c>
      <c r="BJ15" s="207" t="s">
        <v>2894</v>
      </c>
      <c r="BK15" s="169" t="s">
        <v>2895</v>
      </c>
      <c r="BL15" s="174" t="s">
        <v>2896</v>
      </c>
    </row>
    <row r="16" spans="2:64" ht="15" thickBot="1">
      <c r="P16"/>
    </row>
    <row r="17" spans="2:64">
      <c r="B17" s="79" t="s">
        <v>2897</v>
      </c>
      <c r="C17" s="109" t="s">
        <v>941</v>
      </c>
      <c r="D17" s="109"/>
      <c r="E17" s="81" t="s">
        <v>8</v>
      </c>
      <c r="F17" s="82">
        <v>3</v>
      </c>
      <c r="G17" s="342">
        <v>0</v>
      </c>
      <c r="H17" s="343">
        <v>2.3340000000000001</v>
      </c>
      <c r="I17" s="342">
        <v>0</v>
      </c>
      <c r="J17" s="353">
        <v>0</v>
      </c>
      <c r="K17" s="352">
        <v>0</v>
      </c>
      <c r="L17" s="343">
        <v>3.722</v>
      </c>
      <c r="M17" s="173">
        <f>SUM(G17:L17)</f>
        <v>6.056</v>
      </c>
      <c r="P17" s="25">
        <f t="shared" si="2"/>
        <v>0</v>
      </c>
      <c r="S17" s="86">
        <f t="shared" ref="S17:X17" si="5" xml:space="preserve"> IF( ISNUMBER( G17 ), 0, 1 )</f>
        <v>0</v>
      </c>
      <c r="T17" s="86">
        <f t="shared" si="5"/>
        <v>0</v>
      </c>
      <c r="U17" s="86">
        <f t="shared" si="5"/>
        <v>0</v>
      </c>
      <c r="V17" s="86">
        <f t="shared" si="5"/>
        <v>0</v>
      </c>
      <c r="W17" s="86">
        <f t="shared" si="5"/>
        <v>0</v>
      </c>
      <c r="X17" s="86">
        <f t="shared" si="5"/>
        <v>0</v>
      </c>
      <c r="BA17" s="79" t="s">
        <v>2897</v>
      </c>
      <c r="BB17" s="109" t="s">
        <v>941</v>
      </c>
      <c r="BC17" s="109"/>
      <c r="BD17" s="81" t="s">
        <v>8</v>
      </c>
      <c r="BE17" s="82">
        <v>3</v>
      </c>
      <c r="BF17" s="342" t="s">
        <v>2898</v>
      </c>
      <c r="BG17" s="343" t="s">
        <v>2899</v>
      </c>
      <c r="BH17" s="342" t="s">
        <v>2900</v>
      </c>
      <c r="BI17" s="353" t="s">
        <v>2901</v>
      </c>
      <c r="BJ17" s="352" t="s">
        <v>2902</v>
      </c>
      <c r="BK17" s="343" t="s">
        <v>2903</v>
      </c>
      <c r="BL17" s="173" t="s">
        <v>2904</v>
      </c>
    </row>
    <row r="18" spans="2:64" ht="15" thickBot="1">
      <c r="B18" s="94" t="s">
        <v>2905</v>
      </c>
      <c r="C18" s="95" t="s">
        <v>949</v>
      </c>
      <c r="D18" s="95"/>
      <c r="E18" s="96" t="s">
        <v>8</v>
      </c>
      <c r="F18" s="93">
        <v>3</v>
      </c>
      <c r="G18" s="167">
        <f t="shared" ref="G18:L18" si="6">G15 + G17</f>
        <v>13.985999999999999</v>
      </c>
      <c r="H18" s="169">
        <f t="shared" si="6"/>
        <v>48.213999999999999</v>
      </c>
      <c r="I18" s="167">
        <f t="shared" si="6"/>
        <v>8.3019999999999996</v>
      </c>
      <c r="J18" s="168">
        <f t="shared" si="6"/>
        <v>0</v>
      </c>
      <c r="K18" s="207">
        <f t="shared" si="6"/>
        <v>77.631</v>
      </c>
      <c r="L18" s="169">
        <f t="shared" si="6"/>
        <v>322.46799999999996</v>
      </c>
      <c r="M18" s="174">
        <f>SUM(G18:L18)</f>
        <v>470.60099999999994</v>
      </c>
      <c r="P18"/>
      <c r="BA18" s="94" t="s">
        <v>2905</v>
      </c>
      <c r="BB18" s="95" t="s">
        <v>949</v>
      </c>
      <c r="BC18" s="95"/>
      <c r="BD18" s="96" t="s">
        <v>8</v>
      </c>
      <c r="BE18" s="93">
        <v>3</v>
      </c>
      <c r="BF18" s="167" t="s">
        <v>2906</v>
      </c>
      <c r="BG18" s="169" t="s">
        <v>2907</v>
      </c>
      <c r="BH18" s="167" t="s">
        <v>2908</v>
      </c>
      <c r="BI18" s="168" t="s">
        <v>2909</v>
      </c>
      <c r="BJ18" s="207" t="s">
        <v>2910</v>
      </c>
      <c r="BK18" s="169" t="s">
        <v>2911</v>
      </c>
      <c r="BL18" s="174" t="s">
        <v>2912</v>
      </c>
    </row>
    <row r="19" spans="2:64" ht="15" thickBot="1">
      <c r="P19"/>
    </row>
    <row r="20" spans="2:64" ht="15" thickBot="1">
      <c r="B20" s="106" t="s">
        <v>236</v>
      </c>
      <c r="C20" s="107" t="s">
        <v>956</v>
      </c>
      <c r="D20" s="1292"/>
      <c r="E20" s="65"/>
      <c r="F20" s="65"/>
      <c r="G20" s="65"/>
      <c r="H20" s="65"/>
      <c r="I20" s="65"/>
      <c r="J20" s="65"/>
      <c r="K20" s="65"/>
      <c r="L20" s="65"/>
      <c r="M20" s="65"/>
      <c r="P20"/>
      <c r="BA20" s="106" t="s">
        <v>236</v>
      </c>
      <c r="BB20" s="107" t="s">
        <v>956</v>
      </c>
      <c r="BC20" s="1292"/>
      <c r="BD20" s="65"/>
      <c r="BE20" s="65"/>
      <c r="BF20" s="65"/>
      <c r="BG20" s="65"/>
      <c r="BH20" s="65"/>
      <c r="BI20" s="65"/>
      <c r="BJ20" s="65"/>
      <c r="BK20" s="65"/>
      <c r="BL20" s="65"/>
    </row>
    <row r="21" spans="2:64">
      <c r="B21" s="79" t="s">
        <v>2913</v>
      </c>
      <c r="C21" s="109" t="s">
        <v>958</v>
      </c>
      <c r="D21" s="109"/>
      <c r="E21" s="81" t="s">
        <v>8</v>
      </c>
      <c r="F21" s="185">
        <v>3</v>
      </c>
      <c r="G21" s="342">
        <v>0</v>
      </c>
      <c r="H21" s="343">
        <v>6.2859999999999996</v>
      </c>
      <c r="I21" s="342">
        <v>4.72</v>
      </c>
      <c r="J21" s="353">
        <v>0</v>
      </c>
      <c r="K21" s="352">
        <v>0</v>
      </c>
      <c r="L21" s="343">
        <v>134.57499999999999</v>
      </c>
      <c r="M21" s="213">
        <f t="shared" ref="M21:M33" si="7">SUM(G21:L21)</f>
        <v>145.58099999999999</v>
      </c>
      <c r="P21" s="25">
        <f t="shared" si="2"/>
        <v>0</v>
      </c>
      <c r="S21" s="86">
        <f t="shared" ref="S21:X24" si="8" xml:space="preserve"> IF( ISNUMBER( G21 ), 0, 1 )</f>
        <v>0</v>
      </c>
      <c r="T21" s="86">
        <f t="shared" si="8"/>
        <v>0</v>
      </c>
      <c r="U21" s="86">
        <f t="shared" si="8"/>
        <v>0</v>
      </c>
      <c r="V21" s="86">
        <f t="shared" si="8"/>
        <v>0</v>
      </c>
      <c r="W21" s="86">
        <f t="shared" si="8"/>
        <v>0</v>
      </c>
      <c r="X21" s="86">
        <f t="shared" si="8"/>
        <v>0</v>
      </c>
      <c r="BA21" s="79" t="s">
        <v>2913</v>
      </c>
      <c r="BB21" s="109" t="s">
        <v>958</v>
      </c>
      <c r="BC21" s="109"/>
      <c r="BD21" s="81" t="s">
        <v>8</v>
      </c>
      <c r="BE21" s="185">
        <v>3</v>
      </c>
      <c r="BF21" s="342" t="s">
        <v>2914</v>
      </c>
      <c r="BG21" s="343" t="s">
        <v>2915</v>
      </c>
      <c r="BH21" s="342" t="s">
        <v>2916</v>
      </c>
      <c r="BI21" s="353" t="s">
        <v>2917</v>
      </c>
      <c r="BJ21" s="352" t="s">
        <v>2918</v>
      </c>
      <c r="BK21" s="343" t="s">
        <v>2919</v>
      </c>
      <c r="BL21" s="213" t="s">
        <v>2920</v>
      </c>
    </row>
    <row r="22" spans="2:64">
      <c r="B22" s="87" t="s">
        <v>2921</v>
      </c>
      <c r="C22" s="80" t="s">
        <v>2922</v>
      </c>
      <c r="D22" s="80"/>
      <c r="E22" s="88" t="s">
        <v>8</v>
      </c>
      <c r="F22" s="187">
        <v>3</v>
      </c>
      <c r="G22" s="340">
        <v>2.1000000000000001E-2</v>
      </c>
      <c r="H22" s="344">
        <v>15.523</v>
      </c>
      <c r="I22" s="340">
        <v>1.6180000000000001</v>
      </c>
      <c r="J22" s="341">
        <v>0</v>
      </c>
      <c r="K22" s="354">
        <v>76.191999999999993</v>
      </c>
      <c r="L22" s="344">
        <v>92.403000000000006</v>
      </c>
      <c r="M22" s="214">
        <f t="shared" si="7"/>
        <v>185.75700000000001</v>
      </c>
      <c r="P22" s="25">
        <f t="shared" si="2"/>
        <v>0</v>
      </c>
      <c r="S22" s="86">
        <f t="shared" si="8"/>
        <v>0</v>
      </c>
      <c r="T22" s="86">
        <f t="shared" si="8"/>
        <v>0</v>
      </c>
      <c r="U22" s="86">
        <f t="shared" si="8"/>
        <v>0</v>
      </c>
      <c r="V22" s="86">
        <f t="shared" si="8"/>
        <v>0</v>
      </c>
      <c r="W22" s="86">
        <f t="shared" si="8"/>
        <v>0</v>
      </c>
      <c r="X22" s="86">
        <f t="shared" si="8"/>
        <v>0</v>
      </c>
      <c r="BA22" s="87" t="s">
        <v>2921</v>
      </c>
      <c r="BB22" s="80" t="s">
        <v>2922</v>
      </c>
      <c r="BC22" s="80"/>
      <c r="BD22" s="88" t="s">
        <v>8</v>
      </c>
      <c r="BE22" s="187">
        <v>3</v>
      </c>
      <c r="BF22" s="340" t="s">
        <v>2923</v>
      </c>
      <c r="BG22" s="344" t="s">
        <v>2924</v>
      </c>
      <c r="BH22" s="340" t="s">
        <v>2925</v>
      </c>
      <c r="BI22" s="341" t="s">
        <v>2926</v>
      </c>
      <c r="BJ22" s="354" t="s">
        <v>2927</v>
      </c>
      <c r="BK22" s="344" t="s">
        <v>2928</v>
      </c>
      <c r="BL22" s="214" t="s">
        <v>2929</v>
      </c>
    </row>
    <row r="23" spans="2:64">
      <c r="B23" s="87" t="s">
        <v>2930</v>
      </c>
      <c r="C23" s="80" t="s">
        <v>974</v>
      </c>
      <c r="D23" s="80"/>
      <c r="E23" s="88" t="s">
        <v>8</v>
      </c>
      <c r="F23" s="187">
        <v>3</v>
      </c>
      <c r="G23" s="340">
        <v>0</v>
      </c>
      <c r="H23" s="344">
        <v>1.954</v>
      </c>
      <c r="I23" s="340">
        <v>0.33500000000000002</v>
      </c>
      <c r="J23" s="341">
        <v>0</v>
      </c>
      <c r="K23" s="354">
        <v>0</v>
      </c>
      <c r="L23" s="344">
        <v>64.914000000000001</v>
      </c>
      <c r="M23" s="214">
        <f t="shared" si="7"/>
        <v>67.203000000000003</v>
      </c>
      <c r="P23" s="25">
        <f t="shared" si="2"/>
        <v>0</v>
      </c>
      <c r="S23" s="86">
        <f t="shared" si="8"/>
        <v>0</v>
      </c>
      <c r="T23" s="86">
        <f t="shared" si="8"/>
        <v>0</v>
      </c>
      <c r="U23" s="86">
        <f t="shared" si="8"/>
        <v>0</v>
      </c>
      <c r="V23" s="86">
        <f t="shared" si="8"/>
        <v>0</v>
      </c>
      <c r="W23" s="86">
        <f t="shared" si="8"/>
        <v>0</v>
      </c>
      <c r="X23" s="86">
        <f t="shared" si="8"/>
        <v>0</v>
      </c>
      <c r="BA23" s="87" t="s">
        <v>2930</v>
      </c>
      <c r="BB23" s="80" t="s">
        <v>974</v>
      </c>
      <c r="BC23" s="80"/>
      <c r="BD23" s="88" t="s">
        <v>8</v>
      </c>
      <c r="BE23" s="187">
        <v>3</v>
      </c>
      <c r="BF23" s="340" t="s">
        <v>2931</v>
      </c>
      <c r="BG23" s="344" t="s">
        <v>2932</v>
      </c>
      <c r="BH23" s="340" t="s">
        <v>2933</v>
      </c>
      <c r="BI23" s="341" t="s">
        <v>2934</v>
      </c>
      <c r="BJ23" s="354" t="s">
        <v>2935</v>
      </c>
      <c r="BK23" s="344" t="s">
        <v>2936</v>
      </c>
      <c r="BL23" s="214" t="s">
        <v>2937</v>
      </c>
    </row>
    <row r="24" spans="2:64">
      <c r="B24" s="87" t="s">
        <v>2938</v>
      </c>
      <c r="C24" s="80" t="s">
        <v>982</v>
      </c>
      <c r="D24" s="80"/>
      <c r="E24" s="88" t="s">
        <v>8</v>
      </c>
      <c r="F24" s="187">
        <v>3</v>
      </c>
      <c r="G24" s="340">
        <v>0</v>
      </c>
      <c r="H24" s="344">
        <v>-1.381</v>
      </c>
      <c r="I24" s="340">
        <v>2.7E-2</v>
      </c>
      <c r="J24" s="341">
        <v>0</v>
      </c>
      <c r="K24" s="354">
        <v>7.5179999999999998</v>
      </c>
      <c r="L24" s="344">
        <v>59.744999999999997</v>
      </c>
      <c r="M24" s="214">
        <f t="shared" si="7"/>
        <v>65.908999999999992</v>
      </c>
      <c r="P24" s="25">
        <f t="shared" si="2"/>
        <v>0</v>
      </c>
      <c r="S24" s="86">
        <f t="shared" si="8"/>
        <v>0</v>
      </c>
      <c r="T24" s="86">
        <f t="shared" si="8"/>
        <v>0</v>
      </c>
      <c r="U24" s="86">
        <f t="shared" si="8"/>
        <v>0</v>
      </c>
      <c r="V24" s="86">
        <f t="shared" si="8"/>
        <v>0</v>
      </c>
      <c r="W24" s="86">
        <f t="shared" si="8"/>
        <v>0</v>
      </c>
      <c r="X24" s="86">
        <f t="shared" si="8"/>
        <v>0</v>
      </c>
      <c r="BA24" s="87" t="s">
        <v>2938</v>
      </c>
      <c r="BB24" s="80" t="s">
        <v>982</v>
      </c>
      <c r="BC24" s="80"/>
      <c r="BD24" s="88" t="s">
        <v>8</v>
      </c>
      <c r="BE24" s="187">
        <v>3</v>
      </c>
      <c r="BF24" s="340" t="s">
        <v>2939</v>
      </c>
      <c r="BG24" s="344" t="s">
        <v>2940</v>
      </c>
      <c r="BH24" s="340" t="s">
        <v>2941</v>
      </c>
      <c r="BI24" s="341" t="s">
        <v>2942</v>
      </c>
      <c r="BJ24" s="354" t="s">
        <v>2943</v>
      </c>
      <c r="BK24" s="344" t="s">
        <v>2944</v>
      </c>
      <c r="BL24" s="214" t="s">
        <v>2945</v>
      </c>
    </row>
    <row r="25" spans="2:64">
      <c r="B25" s="87" t="s">
        <v>2946</v>
      </c>
      <c r="C25" s="315" t="s">
        <v>990</v>
      </c>
      <c r="D25" s="315"/>
      <c r="E25" s="256" t="s">
        <v>8</v>
      </c>
      <c r="F25" s="239">
        <v>3</v>
      </c>
      <c r="G25" s="340">
        <v>0</v>
      </c>
      <c r="H25" s="344">
        <v>0</v>
      </c>
      <c r="I25" s="340">
        <v>6.4000000000000001E-2</v>
      </c>
      <c r="J25" s="341">
        <v>0</v>
      </c>
      <c r="K25" s="354">
        <v>0</v>
      </c>
      <c r="L25" s="344">
        <v>8.2260000000000009</v>
      </c>
      <c r="M25" s="214">
        <f t="shared" si="7"/>
        <v>8.2900000000000009</v>
      </c>
      <c r="P25" s="25">
        <f t="shared" si="2"/>
        <v>0</v>
      </c>
      <c r="S25" s="86">
        <f t="shared" ref="S25" si="9" xml:space="preserve"> IF( ISNUMBER( G25 ), 0, 1 )</f>
        <v>0</v>
      </c>
      <c r="T25" s="86">
        <f t="shared" ref="T25" si="10" xml:space="preserve"> IF( ISNUMBER( H25 ), 0, 1 )</f>
        <v>0</v>
      </c>
      <c r="U25" s="86">
        <f t="shared" ref="U25" si="11" xml:space="preserve"> IF( ISNUMBER( I25 ), 0, 1 )</f>
        <v>0</v>
      </c>
      <c r="V25" s="86">
        <f t="shared" ref="V25" si="12" xml:space="preserve"> IF( ISNUMBER( J25 ), 0, 1 )</f>
        <v>0</v>
      </c>
      <c r="W25" s="86">
        <f t="shared" ref="W25" si="13" xml:space="preserve"> IF( ISNUMBER( K25 ), 0, 1 )</f>
        <v>0</v>
      </c>
      <c r="X25" s="86">
        <f t="shared" ref="X25" si="14" xml:space="preserve"> IF( ISNUMBER( L25 ), 0, 1 )</f>
        <v>0</v>
      </c>
      <c r="BA25" s="87" t="s">
        <v>2946</v>
      </c>
      <c r="BB25" s="315" t="s">
        <v>990</v>
      </c>
      <c r="BC25" s="315"/>
      <c r="BD25" s="256" t="s">
        <v>8</v>
      </c>
      <c r="BE25" s="239">
        <v>3</v>
      </c>
      <c r="BF25" s="1400" t="s">
        <v>2947</v>
      </c>
      <c r="BG25" s="1612" t="s">
        <v>2948</v>
      </c>
      <c r="BH25" s="1400" t="s">
        <v>2949</v>
      </c>
      <c r="BI25" s="1401" t="s">
        <v>2950</v>
      </c>
      <c r="BJ25" s="1596" t="s">
        <v>2951</v>
      </c>
      <c r="BK25" s="1612" t="s">
        <v>2952</v>
      </c>
      <c r="BL25" s="1504" t="s">
        <v>2953</v>
      </c>
    </row>
    <row r="26" spans="2:64">
      <c r="B26" s="87" t="s">
        <v>2954</v>
      </c>
      <c r="C26" s="80" t="s">
        <v>2955</v>
      </c>
      <c r="D26" s="80"/>
      <c r="E26" s="88" t="s">
        <v>8</v>
      </c>
      <c r="F26" s="187">
        <v>3</v>
      </c>
      <c r="G26" s="210">
        <f t="shared" ref="G26:L26" si="15">SUM(G21:G25)</f>
        <v>2.1000000000000001E-2</v>
      </c>
      <c r="H26" s="166">
        <f t="shared" si="15"/>
        <v>22.381999999999998</v>
      </c>
      <c r="I26" s="210">
        <f t="shared" si="15"/>
        <v>6.7640000000000002</v>
      </c>
      <c r="J26" s="209">
        <f t="shared" si="15"/>
        <v>0</v>
      </c>
      <c r="K26" s="208">
        <f t="shared" si="15"/>
        <v>83.71</v>
      </c>
      <c r="L26" s="166">
        <f t="shared" si="15"/>
        <v>359.863</v>
      </c>
      <c r="M26" s="214">
        <f t="shared" si="7"/>
        <v>472.74</v>
      </c>
      <c r="N26" s="110"/>
      <c r="O26" s="110"/>
      <c r="P26"/>
      <c r="Q26" s="110"/>
      <c r="R26" s="114"/>
      <c r="T26" s="211"/>
      <c r="U26" s="211"/>
      <c r="V26" s="211"/>
      <c r="W26" s="211"/>
      <c r="X26" s="211"/>
      <c r="Y26" s="114"/>
      <c r="AA26" s="114"/>
      <c r="AE26" s="114"/>
      <c r="BA26" s="87" t="s">
        <v>2954</v>
      </c>
      <c r="BB26" s="80" t="s">
        <v>2955</v>
      </c>
      <c r="BC26" s="80"/>
      <c r="BD26" s="88" t="s">
        <v>8</v>
      </c>
      <c r="BE26" s="187">
        <v>3</v>
      </c>
      <c r="BF26" s="210" t="s">
        <v>2956</v>
      </c>
      <c r="BG26" s="166" t="s">
        <v>2957</v>
      </c>
      <c r="BH26" s="210" t="s">
        <v>2958</v>
      </c>
      <c r="BI26" s="209" t="s">
        <v>2959</v>
      </c>
      <c r="BJ26" s="208" t="s">
        <v>2960</v>
      </c>
      <c r="BK26" s="166" t="s">
        <v>2961</v>
      </c>
      <c r="BL26" s="214" t="s">
        <v>2962</v>
      </c>
    </row>
    <row r="27" spans="2:64">
      <c r="B27" s="87" t="s">
        <v>2963</v>
      </c>
      <c r="C27" s="80" t="s">
        <v>941</v>
      </c>
      <c r="D27" s="80"/>
      <c r="E27" s="88" t="s">
        <v>8</v>
      </c>
      <c r="F27" s="187">
        <v>3</v>
      </c>
      <c r="G27" s="340">
        <v>0</v>
      </c>
      <c r="H27" s="344">
        <v>0</v>
      </c>
      <c r="I27" s="340">
        <v>0</v>
      </c>
      <c r="J27" s="341">
        <v>0</v>
      </c>
      <c r="K27" s="354">
        <v>0</v>
      </c>
      <c r="L27" s="344">
        <v>3.6999999999999998E-2</v>
      </c>
      <c r="M27" s="214">
        <f t="shared" si="7"/>
        <v>3.6999999999999998E-2</v>
      </c>
      <c r="N27" s="116"/>
      <c r="O27" s="116"/>
      <c r="P27" s="25">
        <f t="shared" si="2"/>
        <v>0</v>
      </c>
      <c r="S27" s="86">
        <f t="shared" ref="S27:X27" si="16" xml:space="preserve"> IF( ISNUMBER( G27 ), 0, 1 )</f>
        <v>0</v>
      </c>
      <c r="T27" s="86">
        <f t="shared" si="16"/>
        <v>0</v>
      </c>
      <c r="U27" s="86">
        <f t="shared" si="16"/>
        <v>0</v>
      </c>
      <c r="V27" s="86">
        <f t="shared" si="16"/>
        <v>0</v>
      </c>
      <c r="W27" s="86">
        <f t="shared" si="16"/>
        <v>0</v>
      </c>
      <c r="X27" s="86">
        <f t="shared" si="16"/>
        <v>0</v>
      </c>
      <c r="BA27" s="87" t="s">
        <v>2963</v>
      </c>
      <c r="BB27" s="80" t="s">
        <v>941</v>
      </c>
      <c r="BC27" s="80"/>
      <c r="BD27" s="88" t="s">
        <v>8</v>
      </c>
      <c r="BE27" s="187">
        <v>3</v>
      </c>
      <c r="BF27" s="340" t="s">
        <v>2964</v>
      </c>
      <c r="BG27" s="344" t="s">
        <v>2965</v>
      </c>
      <c r="BH27" s="340" t="s">
        <v>2966</v>
      </c>
      <c r="BI27" s="341" t="s">
        <v>2967</v>
      </c>
      <c r="BJ27" s="354" t="s">
        <v>2968</v>
      </c>
      <c r="BK27" s="344" t="s">
        <v>2969</v>
      </c>
      <c r="BL27" s="214" t="s">
        <v>2970</v>
      </c>
    </row>
    <row r="28" spans="2:64" ht="15" thickBot="1">
      <c r="B28" s="94" t="s">
        <v>2971</v>
      </c>
      <c r="C28" s="95" t="s">
        <v>1013</v>
      </c>
      <c r="D28" s="95"/>
      <c r="E28" s="96" t="s">
        <v>8</v>
      </c>
      <c r="F28" s="194">
        <v>3</v>
      </c>
      <c r="G28" s="167">
        <f>SUM(G26:G27)</f>
        <v>2.1000000000000001E-2</v>
      </c>
      <c r="H28" s="169">
        <f t="shared" ref="H28:L28" si="17">SUM(H26:H27)</f>
        <v>22.381999999999998</v>
      </c>
      <c r="I28" s="167">
        <f t="shared" si="17"/>
        <v>6.7640000000000002</v>
      </c>
      <c r="J28" s="168">
        <f t="shared" si="17"/>
        <v>0</v>
      </c>
      <c r="K28" s="207">
        <f t="shared" si="17"/>
        <v>83.71</v>
      </c>
      <c r="L28" s="169">
        <f t="shared" si="17"/>
        <v>359.9</v>
      </c>
      <c r="M28" s="658">
        <f t="shared" si="7"/>
        <v>472.77699999999999</v>
      </c>
      <c r="N28" s="116"/>
      <c r="O28" s="116"/>
      <c r="P28"/>
      <c r="Q28" s="116"/>
      <c r="R28" s="111"/>
      <c r="T28" s="211"/>
      <c r="U28" s="211"/>
      <c r="V28" s="211"/>
      <c r="W28" s="211"/>
      <c r="X28" s="211"/>
      <c r="Y28" s="111"/>
      <c r="AA28" s="111"/>
      <c r="AE28" s="111"/>
      <c r="BA28" s="94" t="s">
        <v>2971</v>
      </c>
      <c r="BB28" s="95" t="s">
        <v>1013</v>
      </c>
      <c r="BC28" s="95"/>
      <c r="BD28" s="96" t="s">
        <v>8</v>
      </c>
      <c r="BE28" s="194">
        <v>3</v>
      </c>
      <c r="BF28" s="167" t="s">
        <v>2972</v>
      </c>
      <c r="BG28" s="169" t="s">
        <v>2973</v>
      </c>
      <c r="BH28" s="167" t="s">
        <v>2974</v>
      </c>
      <c r="BI28" s="168" t="s">
        <v>2975</v>
      </c>
      <c r="BJ28" s="207" t="s">
        <v>2976</v>
      </c>
      <c r="BK28" s="169" t="s">
        <v>2977</v>
      </c>
      <c r="BL28" s="658" t="s">
        <v>2978</v>
      </c>
    </row>
    <row r="29" spans="2:64" s="2" customFormat="1" ht="15" thickBot="1">
      <c r="B29" s="316"/>
      <c r="E29" s="7"/>
      <c r="F29" s="7"/>
      <c r="G29" s="654"/>
      <c r="H29" s="654"/>
      <c r="I29" s="654"/>
      <c r="J29" s="654"/>
      <c r="K29" s="654"/>
      <c r="M29" s="112"/>
      <c r="N29" s="112"/>
      <c r="O29" s="112"/>
      <c r="P29"/>
      <c r="Q29" s="116"/>
      <c r="R29" s="111"/>
      <c r="S29" s="65"/>
      <c r="T29" s="211"/>
      <c r="U29" s="211"/>
      <c r="V29" s="211"/>
      <c r="W29" s="211"/>
      <c r="X29" s="211"/>
      <c r="Y29" s="111"/>
      <c r="AA29" s="111"/>
      <c r="AE29" s="111"/>
      <c r="BA29" s="316"/>
      <c r="BD29" s="7"/>
      <c r="BE29" s="7"/>
      <c r="BF29" s="654"/>
      <c r="BG29" s="654"/>
      <c r="BH29" s="654"/>
      <c r="BI29" s="654"/>
      <c r="BJ29" s="654"/>
      <c r="BL29" s="112"/>
    </row>
    <row r="30" spans="2:64" s="2" customFormat="1" ht="15" thickBot="1">
      <c r="B30" s="2211" t="s">
        <v>362</v>
      </c>
      <c r="C30" s="254" t="s">
        <v>1020</v>
      </c>
      <c r="D30" s="1295"/>
      <c r="E30" s="7"/>
      <c r="F30" s="7"/>
      <c r="G30" s="654"/>
      <c r="H30" s="654"/>
      <c r="I30" s="654"/>
      <c r="J30" s="654"/>
      <c r="K30" s="654"/>
      <c r="M30" s="116"/>
      <c r="N30" s="112"/>
      <c r="O30" s="112"/>
      <c r="P30"/>
      <c r="Q30" s="116"/>
      <c r="R30" s="111"/>
      <c r="S30" s="65"/>
      <c r="T30" s="211"/>
      <c r="U30" s="211"/>
      <c r="V30" s="211"/>
      <c r="W30" s="211"/>
      <c r="X30" s="211"/>
      <c r="Y30" s="111"/>
      <c r="AA30" s="111"/>
      <c r="AE30" s="111"/>
      <c r="BA30" s="2211" t="s">
        <v>362</v>
      </c>
      <c r="BB30" s="254" t="s">
        <v>1020</v>
      </c>
      <c r="BC30" s="1295"/>
      <c r="BD30" s="7"/>
      <c r="BE30" s="7"/>
      <c r="BF30" s="654"/>
      <c r="BG30" s="654"/>
      <c r="BH30" s="654"/>
      <c r="BI30" s="654"/>
      <c r="BJ30" s="654"/>
      <c r="BL30" s="116"/>
    </row>
    <row r="31" spans="2:64" ht="23.25" thickBot="1">
      <c r="B31" s="94" t="s">
        <v>2979</v>
      </c>
      <c r="C31" s="95" t="s">
        <v>1020</v>
      </c>
      <c r="D31" s="321"/>
      <c r="E31" s="121" t="s">
        <v>8</v>
      </c>
      <c r="F31" s="659">
        <v>3</v>
      </c>
      <c r="G31" s="380">
        <v>0</v>
      </c>
      <c r="H31" s="660">
        <v>0</v>
      </c>
      <c r="I31" s="380">
        <v>0</v>
      </c>
      <c r="J31" s="388">
        <v>0</v>
      </c>
      <c r="K31" s="661">
        <v>5.0000000000000001E-3</v>
      </c>
      <c r="L31" s="660">
        <v>58.441000000000003</v>
      </c>
      <c r="M31" s="662">
        <f t="shared" si="7"/>
        <v>58.446000000000005</v>
      </c>
      <c r="N31" s="116"/>
      <c r="O31" s="1164" t="str">
        <f xml:space="preserve"> IF( SUM( Y31:AA31 ) = 0, 0, AD31 )</f>
        <v>The total column of line 4D.20 should equal the total column of line 2E.7</v>
      </c>
      <c r="P31" s="25">
        <f xml:space="preserve"> IF( SUM( R31:Y31 ) = 0, 0, $S$6 )</f>
        <v>0</v>
      </c>
      <c r="S31" s="86">
        <f t="shared" ref="S31:X31" si="18" xml:space="preserve"> IF( ISNUMBER( G31 ), 0, 1 )</f>
        <v>0</v>
      </c>
      <c r="T31" s="86">
        <f t="shared" si="18"/>
        <v>0</v>
      </c>
      <c r="U31" s="86">
        <f t="shared" si="18"/>
        <v>0</v>
      </c>
      <c r="V31" s="86">
        <f t="shared" si="18"/>
        <v>0</v>
      </c>
      <c r="W31" s="86">
        <f t="shared" si="18"/>
        <v>0</v>
      </c>
      <c r="X31" s="86">
        <f t="shared" si="18"/>
        <v>0</v>
      </c>
      <c r="Z31" s="86">
        <f xml:space="preserve"> IF( (AB31 - AC31) = 0, 0, 1 )</f>
        <v>1</v>
      </c>
      <c r="AB31" s="143">
        <f xml:space="preserve"> M31</f>
        <v>58.446000000000005</v>
      </c>
      <c r="AC31" s="143">
        <f>'2E'!J13</f>
        <v>58.445999999999998</v>
      </c>
      <c r="AD31" s="1342" t="s">
        <v>2980</v>
      </c>
      <c r="BA31" s="94" t="s">
        <v>2979</v>
      </c>
      <c r="BB31" s="95" t="s">
        <v>1020</v>
      </c>
      <c r="BC31" s="321"/>
      <c r="BD31" s="121" t="s">
        <v>8</v>
      </c>
      <c r="BE31" s="659">
        <v>3</v>
      </c>
      <c r="BF31" s="380" t="s">
        <v>2981</v>
      </c>
      <c r="BG31" s="660" t="s">
        <v>2982</v>
      </c>
      <c r="BH31" s="380" t="s">
        <v>2983</v>
      </c>
      <c r="BI31" s="388" t="s">
        <v>2984</v>
      </c>
      <c r="BJ31" s="661" t="s">
        <v>2985</v>
      </c>
      <c r="BK31" s="660" t="s">
        <v>2986</v>
      </c>
      <c r="BL31" s="662" t="s">
        <v>2987</v>
      </c>
    </row>
    <row r="32" spans="2:64" s="2" customFormat="1" ht="15" thickBot="1">
      <c r="B32" s="316"/>
      <c r="E32" s="7"/>
      <c r="F32" s="7"/>
      <c r="G32" s="654"/>
      <c r="H32" s="654"/>
      <c r="I32" s="654"/>
      <c r="J32" s="654"/>
      <c r="K32" s="654"/>
      <c r="M32" s="112"/>
      <c r="N32" s="112"/>
      <c r="O32" s="112"/>
      <c r="P32"/>
      <c r="Q32" s="116"/>
      <c r="R32" s="111"/>
      <c r="S32" s="65"/>
      <c r="T32" s="211"/>
      <c r="U32" s="211"/>
      <c r="V32" s="211"/>
      <c r="W32" s="211"/>
      <c r="X32" s="211"/>
      <c r="Y32" s="111"/>
      <c r="AA32" s="111"/>
      <c r="AE32" s="111"/>
      <c r="BA32" s="316"/>
      <c r="BD32" s="7"/>
      <c r="BE32" s="7"/>
      <c r="BF32" s="654"/>
      <c r="BG32" s="654"/>
      <c r="BH32" s="654"/>
      <c r="BI32" s="654"/>
      <c r="BJ32" s="654"/>
      <c r="BL32" s="112"/>
    </row>
    <row r="33" spans="2:64" ht="15" thickBot="1">
      <c r="B33" s="119" t="s">
        <v>2988</v>
      </c>
      <c r="C33" s="120" t="s">
        <v>1030</v>
      </c>
      <c r="D33" s="120"/>
      <c r="E33" s="121" t="s">
        <v>8</v>
      </c>
      <c r="F33" s="659">
        <v>3</v>
      </c>
      <c r="G33" s="636">
        <f>G18+G28-G31</f>
        <v>14.007</v>
      </c>
      <c r="H33" s="212">
        <f t="shared" ref="H33:L33" si="19">H18+H28-H31</f>
        <v>70.596000000000004</v>
      </c>
      <c r="I33" s="636">
        <f t="shared" si="19"/>
        <v>15.065999999999999</v>
      </c>
      <c r="J33" s="637">
        <f t="shared" si="19"/>
        <v>0</v>
      </c>
      <c r="K33" s="663">
        <f t="shared" si="19"/>
        <v>161.33600000000001</v>
      </c>
      <c r="L33" s="212">
        <f t="shared" si="19"/>
        <v>623.92699999999991</v>
      </c>
      <c r="M33" s="662">
        <f t="shared" si="7"/>
        <v>884.9319999999999</v>
      </c>
      <c r="N33" s="116"/>
      <c r="O33" s="116"/>
      <c r="P33"/>
      <c r="Q33" s="116"/>
      <c r="R33" s="111"/>
      <c r="S33" s="177"/>
      <c r="T33" s="177"/>
      <c r="U33" s="177"/>
      <c r="V33" s="177"/>
      <c r="W33" s="177"/>
      <c r="X33" s="177"/>
      <c r="Y33" s="111"/>
      <c r="AA33" s="111"/>
      <c r="AE33" s="111"/>
      <c r="BA33" s="119" t="s">
        <v>2988</v>
      </c>
      <c r="BB33" s="120" t="s">
        <v>1030</v>
      </c>
      <c r="BC33" s="120"/>
      <c r="BD33" s="121" t="s">
        <v>8</v>
      </c>
      <c r="BE33" s="659">
        <v>3</v>
      </c>
      <c r="BF33" s="636" t="s">
        <v>2989</v>
      </c>
      <c r="BG33" s="212" t="s">
        <v>2990</v>
      </c>
      <c r="BH33" s="636" t="s">
        <v>2991</v>
      </c>
      <c r="BI33" s="637" t="s">
        <v>2992</v>
      </c>
      <c r="BJ33" s="663" t="s">
        <v>2993</v>
      </c>
      <c r="BK33" s="212" t="s">
        <v>2994</v>
      </c>
      <c r="BL33" s="662" t="s">
        <v>2995</v>
      </c>
    </row>
    <row r="34" spans="2:64" ht="15" thickBot="1">
      <c r="N34" s="116"/>
      <c r="O34" s="116"/>
      <c r="P34"/>
      <c r="Q34" s="116"/>
      <c r="R34" s="111"/>
      <c r="S34" s="177"/>
      <c r="T34" s="177"/>
      <c r="U34" s="177"/>
      <c r="V34" s="177"/>
      <c r="W34" s="177"/>
      <c r="X34" s="177"/>
      <c r="Y34" s="111"/>
      <c r="AA34" s="111"/>
      <c r="AE34" s="111"/>
    </row>
    <row r="35" spans="2:64" ht="15" thickBot="1">
      <c r="B35" s="106" t="s">
        <v>419</v>
      </c>
      <c r="C35" s="107" t="s">
        <v>1037</v>
      </c>
      <c r="D35" s="1292"/>
      <c r="E35" s="65"/>
      <c r="F35" s="65"/>
      <c r="G35" s="65"/>
      <c r="H35" s="65"/>
      <c r="I35" s="65"/>
      <c r="J35" s="65"/>
      <c r="K35" s="65"/>
      <c r="L35" s="65"/>
      <c r="M35" s="65"/>
      <c r="N35" s="116"/>
      <c r="O35" s="116"/>
      <c r="P35"/>
      <c r="Q35" s="116"/>
      <c r="R35" s="111"/>
      <c r="S35" s="177"/>
      <c r="T35" s="177"/>
      <c r="U35" s="177"/>
      <c r="V35" s="177"/>
      <c r="W35" s="177"/>
      <c r="X35" s="177"/>
      <c r="Y35" s="111"/>
      <c r="AA35" s="111"/>
      <c r="AE35" s="111"/>
      <c r="BA35" s="106" t="s">
        <v>419</v>
      </c>
      <c r="BB35" s="107" t="s">
        <v>1037</v>
      </c>
      <c r="BC35" s="1292"/>
      <c r="BD35" s="65"/>
      <c r="BE35" s="65"/>
      <c r="BF35" s="65"/>
      <c r="BG35" s="65"/>
      <c r="BH35" s="65"/>
      <c r="BI35" s="65"/>
      <c r="BJ35" s="65"/>
      <c r="BK35" s="65"/>
      <c r="BL35" s="65"/>
    </row>
    <row r="36" spans="2:64">
      <c r="B36" s="79" t="s">
        <v>2996</v>
      </c>
      <c r="C36" s="109" t="s">
        <v>1039</v>
      </c>
      <c r="D36" s="109"/>
      <c r="E36" s="81" t="s">
        <v>8</v>
      </c>
      <c r="F36" s="185">
        <v>3</v>
      </c>
      <c r="G36" s="342">
        <v>3.6999999999999998E-2</v>
      </c>
      <c r="H36" s="343">
        <v>1.024</v>
      </c>
      <c r="I36" s="342">
        <v>8.3000000000000004E-2</v>
      </c>
      <c r="J36" s="353">
        <v>0</v>
      </c>
      <c r="K36" s="352">
        <v>2.956</v>
      </c>
      <c r="L36" s="343">
        <v>6.25</v>
      </c>
      <c r="M36" s="213">
        <f>SUM(G36:L36)</f>
        <v>10.35</v>
      </c>
      <c r="N36" s="116"/>
      <c r="O36" s="116"/>
      <c r="P36" s="25">
        <f t="shared" si="2"/>
        <v>0</v>
      </c>
      <c r="S36" s="86">
        <f t="shared" ref="S36:X37" si="20" xml:space="preserve"> IF( ISNUMBER( G36 ), 0, 1 )</f>
        <v>0</v>
      </c>
      <c r="T36" s="86">
        <f t="shared" si="20"/>
        <v>0</v>
      </c>
      <c r="U36" s="86">
        <f t="shared" si="20"/>
        <v>0</v>
      </c>
      <c r="V36" s="86">
        <f t="shared" si="20"/>
        <v>0</v>
      </c>
      <c r="W36" s="86">
        <f t="shared" si="20"/>
        <v>0</v>
      </c>
      <c r="X36" s="86">
        <f t="shared" si="20"/>
        <v>0</v>
      </c>
      <c r="BA36" s="79" t="s">
        <v>2996</v>
      </c>
      <c r="BB36" s="109" t="s">
        <v>1039</v>
      </c>
      <c r="BC36" s="109"/>
      <c r="BD36" s="81" t="s">
        <v>8</v>
      </c>
      <c r="BE36" s="185">
        <v>3</v>
      </c>
      <c r="BF36" s="342" t="s">
        <v>2997</v>
      </c>
      <c r="BG36" s="343" t="s">
        <v>2998</v>
      </c>
      <c r="BH36" s="342" t="s">
        <v>2999</v>
      </c>
      <c r="BI36" s="353" t="s">
        <v>3000</v>
      </c>
      <c r="BJ36" s="352" t="s">
        <v>3001</v>
      </c>
      <c r="BK36" s="343" t="s">
        <v>3002</v>
      </c>
      <c r="BL36" s="213" t="s">
        <v>3003</v>
      </c>
    </row>
    <row r="37" spans="2:64" ht="15" thickBot="1">
      <c r="B37" s="94" t="s">
        <v>3004</v>
      </c>
      <c r="C37" s="95" t="s">
        <v>1047</v>
      </c>
      <c r="D37" s="95"/>
      <c r="E37" s="96" t="s">
        <v>8</v>
      </c>
      <c r="F37" s="194">
        <v>3</v>
      </c>
      <c r="G37" s="389">
        <v>0</v>
      </c>
      <c r="H37" s="656">
        <v>0</v>
      </c>
      <c r="I37" s="389">
        <v>0</v>
      </c>
      <c r="J37" s="390">
        <v>0</v>
      </c>
      <c r="K37" s="657">
        <v>0</v>
      </c>
      <c r="L37" s="656">
        <v>0</v>
      </c>
      <c r="M37" s="658">
        <f>SUM(G37:L37)</f>
        <v>0</v>
      </c>
      <c r="N37" s="116"/>
      <c r="O37" s="116"/>
      <c r="P37" s="25">
        <f t="shared" si="2"/>
        <v>0</v>
      </c>
      <c r="S37" s="86">
        <f t="shared" si="20"/>
        <v>0</v>
      </c>
      <c r="T37" s="86">
        <f t="shared" si="20"/>
        <v>0</v>
      </c>
      <c r="U37" s="86">
        <f t="shared" si="20"/>
        <v>0</v>
      </c>
      <c r="V37" s="86">
        <f t="shared" si="20"/>
        <v>0</v>
      </c>
      <c r="W37" s="86">
        <f t="shared" si="20"/>
        <v>0</v>
      </c>
      <c r="X37" s="86">
        <f t="shared" si="20"/>
        <v>0</v>
      </c>
      <c r="BA37" s="94" t="s">
        <v>3004</v>
      </c>
      <c r="BB37" s="95" t="s">
        <v>1047</v>
      </c>
      <c r="BC37" s="95"/>
      <c r="BD37" s="96" t="s">
        <v>8</v>
      </c>
      <c r="BE37" s="194">
        <v>3</v>
      </c>
      <c r="BF37" s="389" t="s">
        <v>3005</v>
      </c>
      <c r="BG37" s="656" t="s">
        <v>3006</v>
      </c>
      <c r="BH37" s="389" t="s">
        <v>3007</v>
      </c>
      <c r="BI37" s="390" t="s">
        <v>3008</v>
      </c>
      <c r="BJ37" s="657" t="s">
        <v>3009</v>
      </c>
      <c r="BK37" s="656" t="s">
        <v>3010</v>
      </c>
      <c r="BL37" s="658" t="s">
        <v>3011</v>
      </c>
    </row>
    <row r="38" spans="2:64" ht="15" thickBot="1">
      <c r="N38" s="116"/>
      <c r="O38" s="116"/>
      <c r="P38"/>
      <c r="Q38" s="116"/>
      <c r="R38" s="111"/>
      <c r="S38" s="177"/>
      <c r="T38" s="177"/>
      <c r="U38" s="177"/>
      <c r="V38" s="177"/>
      <c r="W38" s="177"/>
      <c r="X38" s="177"/>
      <c r="Y38" s="111"/>
      <c r="AA38" s="111"/>
      <c r="AE38" s="111"/>
    </row>
    <row r="39" spans="2:64" ht="15" thickBot="1">
      <c r="B39" s="119" t="s">
        <v>3012</v>
      </c>
      <c r="C39" s="120" t="s">
        <v>1055</v>
      </c>
      <c r="D39" s="120"/>
      <c r="E39" s="121" t="s">
        <v>8</v>
      </c>
      <c r="F39" s="659">
        <v>3</v>
      </c>
      <c r="G39" s="636">
        <f t="shared" ref="G39:L39" si="21">G33 + G36 + G37</f>
        <v>14.044</v>
      </c>
      <c r="H39" s="212">
        <f t="shared" si="21"/>
        <v>71.62</v>
      </c>
      <c r="I39" s="636">
        <f t="shared" si="21"/>
        <v>15.148999999999999</v>
      </c>
      <c r="J39" s="637">
        <f t="shared" si="21"/>
        <v>0</v>
      </c>
      <c r="K39" s="663">
        <f t="shared" si="21"/>
        <v>164.292</v>
      </c>
      <c r="L39" s="212">
        <f t="shared" si="21"/>
        <v>630.17699999999991</v>
      </c>
      <c r="M39" s="664">
        <f>SUM(G39:L39)</f>
        <v>895.28199999999993</v>
      </c>
      <c r="N39" s="116"/>
      <c r="O39" s="116"/>
      <c r="P39"/>
      <c r="Q39" s="116"/>
      <c r="R39" s="111"/>
      <c r="S39" s="177"/>
      <c r="T39" s="177"/>
      <c r="U39" s="177"/>
      <c r="V39" s="177"/>
      <c r="W39" s="177"/>
      <c r="X39" s="177"/>
      <c r="Y39" s="111"/>
      <c r="AA39" s="111"/>
      <c r="AE39" s="111"/>
      <c r="BA39" s="119" t="s">
        <v>3012</v>
      </c>
      <c r="BB39" s="120" t="s">
        <v>1055</v>
      </c>
      <c r="BC39" s="120"/>
      <c r="BD39" s="121" t="s">
        <v>8</v>
      </c>
      <c r="BE39" s="659">
        <v>3</v>
      </c>
      <c r="BF39" s="636" t="s">
        <v>3013</v>
      </c>
      <c r="BG39" s="212" t="s">
        <v>3014</v>
      </c>
      <c r="BH39" s="636" t="s">
        <v>3015</v>
      </c>
      <c r="BI39" s="637" t="s">
        <v>3016</v>
      </c>
      <c r="BJ39" s="663" t="s">
        <v>3017</v>
      </c>
      <c r="BK39" s="212" t="s">
        <v>3018</v>
      </c>
      <c r="BL39" s="664" t="s">
        <v>3019</v>
      </c>
    </row>
    <row r="40" spans="2:64" ht="15" thickBot="1">
      <c r="N40" s="116"/>
      <c r="O40" s="116"/>
      <c r="P40"/>
      <c r="Q40" s="110"/>
      <c r="R40" s="114"/>
      <c r="S40" s="177"/>
      <c r="T40" s="177"/>
      <c r="U40" s="177"/>
      <c r="V40" s="177"/>
      <c r="W40" s="177"/>
      <c r="X40" s="177"/>
      <c r="Y40" s="114"/>
      <c r="AA40" s="114"/>
      <c r="AE40" s="114"/>
    </row>
    <row r="41" spans="2:64" ht="15" thickBot="1">
      <c r="B41" s="106" t="s">
        <v>493</v>
      </c>
      <c r="C41" s="107" t="s">
        <v>3020</v>
      </c>
      <c r="D41" s="1292"/>
      <c r="E41" s="65"/>
      <c r="F41" s="65"/>
      <c r="N41" s="116"/>
      <c r="O41" s="116"/>
      <c r="P41"/>
      <c r="Q41" s="110"/>
      <c r="R41" s="114"/>
      <c r="S41" s="177"/>
      <c r="T41" s="177"/>
      <c r="U41" s="177"/>
      <c r="V41" s="177"/>
      <c r="W41" s="177"/>
      <c r="X41" s="177"/>
      <c r="Y41" s="114"/>
      <c r="AA41" s="114"/>
      <c r="AE41" s="114"/>
      <c r="BA41" s="106" t="s">
        <v>493</v>
      </c>
      <c r="BB41" s="107" t="s">
        <v>3020</v>
      </c>
      <c r="BC41" s="1292"/>
      <c r="BD41" s="65"/>
      <c r="BE41" s="65"/>
    </row>
    <row r="42" spans="2:64" ht="15" thickBot="1">
      <c r="B42" s="79" t="s">
        <v>3021</v>
      </c>
      <c r="C42" s="109" t="s">
        <v>3022</v>
      </c>
      <c r="D42" s="109"/>
      <c r="E42" s="81" t="s">
        <v>16</v>
      </c>
      <c r="F42" s="185">
        <v>3</v>
      </c>
      <c r="G42" s="355">
        <v>1546857.1089999999</v>
      </c>
      <c r="N42" s="116"/>
      <c r="O42" s="116"/>
      <c r="P42" s="25">
        <f t="shared" si="2"/>
        <v>0</v>
      </c>
      <c r="Q42" s="110"/>
      <c r="R42" s="114"/>
      <c r="S42" s="86">
        <f xml:space="preserve"> IF( ISNUMBER( G42 ), 0, 1 )</f>
        <v>0</v>
      </c>
      <c r="T42" s="177"/>
      <c r="U42" s="177"/>
      <c r="V42" s="177"/>
      <c r="W42" s="177"/>
      <c r="X42" s="177"/>
      <c r="Y42" s="114"/>
      <c r="AA42" s="114"/>
      <c r="AE42" s="114"/>
      <c r="BA42" s="79" t="s">
        <v>3021</v>
      </c>
      <c r="BB42" s="109" t="s">
        <v>3022</v>
      </c>
      <c r="BC42" s="109"/>
      <c r="BD42" s="81" t="s">
        <v>16</v>
      </c>
      <c r="BE42" s="185">
        <v>3</v>
      </c>
      <c r="BF42" s="355" t="s">
        <v>3023</v>
      </c>
    </row>
    <row r="43" spans="2:64" ht="15" thickBot="1">
      <c r="B43" s="87" t="s">
        <v>3021</v>
      </c>
      <c r="C43" s="80" t="s">
        <v>3024</v>
      </c>
      <c r="D43" s="80"/>
      <c r="E43" s="88" t="s">
        <v>16</v>
      </c>
      <c r="F43" s="89">
        <v>3</v>
      </c>
      <c r="H43" s="355">
        <v>1034945.661</v>
      </c>
      <c r="N43" s="116"/>
      <c r="O43" s="116"/>
      <c r="P43" s="25">
        <f t="shared" si="2"/>
        <v>0</v>
      </c>
      <c r="S43" s="177"/>
      <c r="T43" s="86">
        <f xml:space="preserve"> IF( ISNUMBER( H43 ), 0, 1 )</f>
        <v>0</v>
      </c>
      <c r="U43" s="177"/>
      <c r="V43" s="177"/>
      <c r="W43" s="177"/>
      <c r="X43" s="177"/>
      <c r="BA43" s="87" t="s">
        <v>3021</v>
      </c>
      <c r="BB43" s="80" t="s">
        <v>3024</v>
      </c>
      <c r="BC43" s="80"/>
      <c r="BD43" s="88" t="s">
        <v>16</v>
      </c>
      <c r="BE43" s="89">
        <v>3</v>
      </c>
      <c r="BG43" s="355" t="s">
        <v>3025</v>
      </c>
    </row>
    <row r="44" spans="2:64" ht="15" thickBot="1">
      <c r="B44" s="87" t="s">
        <v>3021</v>
      </c>
      <c r="C44" s="80" t="s">
        <v>3026</v>
      </c>
      <c r="D44" s="80"/>
      <c r="E44" s="88" t="s">
        <v>16</v>
      </c>
      <c r="F44" s="89">
        <v>3</v>
      </c>
      <c r="I44" s="355">
        <v>88575.660999999993</v>
      </c>
      <c r="N44" s="116"/>
      <c r="O44" s="116"/>
      <c r="P44" s="25">
        <f t="shared" si="2"/>
        <v>0</v>
      </c>
      <c r="S44" s="177"/>
      <c r="T44" s="177"/>
      <c r="U44" s="86">
        <f xml:space="preserve"> IF( ISNUMBER( I44 ), 0, 1 )</f>
        <v>0</v>
      </c>
      <c r="V44" s="177"/>
      <c r="W44" s="177"/>
      <c r="X44" s="177"/>
      <c r="BA44" s="87" t="s">
        <v>3021</v>
      </c>
      <c r="BB44" s="80" t="s">
        <v>3026</v>
      </c>
      <c r="BC44" s="80"/>
      <c r="BD44" s="88" t="s">
        <v>16</v>
      </c>
      <c r="BE44" s="89">
        <v>3</v>
      </c>
      <c r="BH44" s="355" t="s">
        <v>3027</v>
      </c>
    </row>
    <row r="45" spans="2:64" ht="15" thickBot="1">
      <c r="B45" s="87" t="s">
        <v>3021</v>
      </c>
      <c r="C45" s="80" t="s">
        <v>3028</v>
      </c>
      <c r="D45" s="80"/>
      <c r="E45" s="88" t="s">
        <v>16</v>
      </c>
      <c r="F45" s="89">
        <v>3</v>
      </c>
      <c r="J45" s="355">
        <v>0</v>
      </c>
      <c r="N45" s="118"/>
      <c r="O45" s="118"/>
      <c r="P45" s="25">
        <f t="shared" si="2"/>
        <v>0</v>
      </c>
      <c r="S45" s="177"/>
      <c r="T45" s="177"/>
      <c r="U45" s="177"/>
      <c r="V45" s="86">
        <f xml:space="preserve"> IF( ISNUMBER( J45 ), 0, 1 )</f>
        <v>0</v>
      </c>
      <c r="W45" s="177"/>
      <c r="X45" s="177"/>
      <c r="BA45" s="87" t="s">
        <v>3021</v>
      </c>
      <c r="BB45" s="80" t="s">
        <v>3028</v>
      </c>
      <c r="BC45" s="80"/>
      <c r="BD45" s="88" t="s">
        <v>16</v>
      </c>
      <c r="BE45" s="89">
        <v>3</v>
      </c>
      <c r="BI45" s="355" t="s">
        <v>3029</v>
      </c>
    </row>
    <row r="46" spans="2:64" ht="15" thickBot="1">
      <c r="B46" s="87" t="s">
        <v>3021</v>
      </c>
      <c r="C46" s="80" t="s">
        <v>3030</v>
      </c>
      <c r="D46" s="80"/>
      <c r="E46" s="88" t="s">
        <v>16</v>
      </c>
      <c r="F46" s="89">
        <v>3</v>
      </c>
      <c r="K46" s="355">
        <v>988299.24300000002</v>
      </c>
      <c r="N46" s="118"/>
      <c r="O46" s="118"/>
      <c r="P46" s="25">
        <f t="shared" si="2"/>
        <v>0</v>
      </c>
      <c r="S46" s="177"/>
      <c r="T46" s="177"/>
      <c r="U46" s="177"/>
      <c r="V46" s="177"/>
      <c r="W46" s="86">
        <f xml:space="preserve"> IF( ISNUMBER( K46 ), 0, 1 )</f>
        <v>0</v>
      </c>
      <c r="X46" s="177"/>
      <c r="BA46" s="87" t="s">
        <v>3021</v>
      </c>
      <c r="BB46" s="80" t="s">
        <v>3030</v>
      </c>
      <c r="BC46" s="80"/>
      <c r="BD46" s="88" t="s">
        <v>16</v>
      </c>
      <c r="BE46" s="89">
        <v>3</v>
      </c>
      <c r="BJ46" s="355" t="s">
        <v>3031</v>
      </c>
    </row>
    <row r="47" spans="2:64" ht="15" thickBot="1">
      <c r="B47" s="87" t="s">
        <v>3021</v>
      </c>
      <c r="C47" s="80" t="s">
        <v>3030</v>
      </c>
      <c r="D47" s="80"/>
      <c r="E47" s="88" t="s">
        <v>16</v>
      </c>
      <c r="F47" s="89">
        <v>3</v>
      </c>
      <c r="L47" s="356">
        <v>978520.50199999998</v>
      </c>
      <c r="N47" s="118"/>
      <c r="O47" s="118"/>
      <c r="P47" s="25">
        <f xml:space="preserve"> IF( SUM( R47:Y47 ) = 0, 0, $S$6 )</f>
        <v>0</v>
      </c>
      <c r="S47" s="177"/>
      <c r="T47" s="177"/>
      <c r="U47" s="177"/>
      <c r="V47" s="177"/>
      <c r="W47" s="177"/>
      <c r="X47" s="86">
        <f xml:space="preserve"> IF( ISNUMBER( L47 ), 0, 1 )</f>
        <v>0</v>
      </c>
      <c r="BA47" s="87" t="s">
        <v>3021</v>
      </c>
      <c r="BB47" s="80" t="s">
        <v>3030</v>
      </c>
      <c r="BC47" s="80"/>
      <c r="BD47" s="88" t="s">
        <v>16</v>
      </c>
      <c r="BE47" s="89">
        <v>3</v>
      </c>
      <c r="BK47" s="356" t="s">
        <v>3032</v>
      </c>
    </row>
    <row r="48" spans="2:64">
      <c r="B48" s="87" t="s">
        <v>3033</v>
      </c>
      <c r="C48" s="80" t="s">
        <v>3034</v>
      </c>
      <c r="D48" s="80"/>
      <c r="E48" s="88" t="s">
        <v>3035</v>
      </c>
      <c r="F48" s="89">
        <v>3</v>
      </c>
      <c r="G48" s="163">
        <f xml:space="preserve"> IF( G42 = 0, 0, G18 * 1000000 / G42 )</f>
        <v>9.0415591192140283</v>
      </c>
      <c r="H48" s="165">
        <f xml:space="preserve"> IF( H43 = 0, 0, H18 * 1000000 / H43 )</f>
        <v>46.586020712830454</v>
      </c>
      <c r="I48" s="542">
        <f xml:space="preserve"> IF( I44 = 0, 0, I18 * 1000000  / I44 )</f>
        <v>93.727779237233136</v>
      </c>
      <c r="J48" s="164">
        <f xml:space="preserve"> IF( J45 = 0, 0, J18 * 1000000  / J45 )</f>
        <v>0</v>
      </c>
      <c r="K48" s="164">
        <f xml:space="preserve"> IF( K46 = 0, 0, K18 * 1000000  / K46 )</f>
        <v>78.550095580716743</v>
      </c>
      <c r="L48" s="327">
        <f xml:space="preserve"> IF( L47 = 0, 0, L18 * 1000000  / L47 )</f>
        <v>329.54649324250943</v>
      </c>
      <c r="N48" s="118"/>
      <c r="O48" s="118"/>
      <c r="P48"/>
      <c r="Q48" s="110"/>
      <c r="R48" s="114"/>
      <c r="S48" s="177"/>
      <c r="T48" s="177"/>
      <c r="U48" s="177"/>
      <c r="V48" s="177"/>
      <c r="W48" s="177"/>
      <c r="X48" s="177"/>
      <c r="Y48" s="114"/>
      <c r="AA48" s="114"/>
      <c r="AE48" s="114"/>
      <c r="BA48" s="87" t="s">
        <v>3033</v>
      </c>
      <c r="BB48" s="80" t="s">
        <v>3034</v>
      </c>
      <c r="BC48" s="80"/>
      <c r="BD48" s="88" t="s">
        <v>3035</v>
      </c>
      <c r="BE48" s="89">
        <v>3</v>
      </c>
      <c r="BF48" s="163" t="s">
        <v>3036</v>
      </c>
      <c r="BG48" s="165" t="s">
        <v>3037</v>
      </c>
      <c r="BH48" s="542" t="s">
        <v>3038</v>
      </c>
      <c r="BI48" s="164" t="s">
        <v>3039</v>
      </c>
      <c r="BJ48" s="164" t="s">
        <v>3040</v>
      </c>
      <c r="BK48" s="327" t="s">
        <v>3041</v>
      </c>
    </row>
    <row r="49" spans="2:63">
      <c r="B49" s="87" t="s">
        <v>3042</v>
      </c>
      <c r="C49" s="80" t="s">
        <v>3043</v>
      </c>
      <c r="D49" s="80"/>
      <c r="E49" s="88" t="s">
        <v>13</v>
      </c>
      <c r="F49" s="89">
        <v>3</v>
      </c>
      <c r="G49" s="340">
        <v>10012.826999999999</v>
      </c>
      <c r="H49" s="344">
        <v>10012.826999999999</v>
      </c>
      <c r="I49" s="354">
        <v>10012.826999999999</v>
      </c>
      <c r="J49" s="341">
        <v>10012.826999999999</v>
      </c>
      <c r="K49" s="341">
        <v>10012.826999999999</v>
      </c>
      <c r="L49" s="344">
        <v>10012.826999999999</v>
      </c>
      <c r="N49" s="116"/>
      <c r="O49" s="116"/>
      <c r="P49" s="25">
        <f t="shared" ref="P49" si="22" xml:space="preserve"> IF( SUM( R49:Y49 ) = 0, 0, $S$6 )</f>
        <v>0</v>
      </c>
      <c r="S49" s="86">
        <f t="shared" ref="S49" si="23" xml:space="preserve"> IF( ISNUMBER( G49 ), 0, 1 )</f>
        <v>0</v>
      </c>
      <c r="T49" s="86">
        <f t="shared" ref="T49" si="24" xml:space="preserve"> IF( ISNUMBER( H49 ), 0, 1 )</f>
        <v>0</v>
      </c>
      <c r="U49" s="86">
        <f t="shared" ref="U49" si="25" xml:space="preserve"> IF( ISNUMBER( I49 ), 0, 1 )</f>
        <v>0</v>
      </c>
      <c r="V49" s="86">
        <f t="shared" ref="V49" si="26" xml:space="preserve"> IF( ISNUMBER( J49 ), 0, 1 )</f>
        <v>0</v>
      </c>
      <c r="W49" s="86">
        <f t="shared" ref="W49" si="27" xml:space="preserve"> IF( ISNUMBER( K49 ), 0, 1 )</f>
        <v>0</v>
      </c>
      <c r="X49" s="86">
        <f t="shared" ref="X49" si="28" xml:space="preserve"> IF( ISNUMBER( L49 ), 0, 1 )</f>
        <v>0</v>
      </c>
      <c r="BA49" s="87" t="s">
        <v>3042</v>
      </c>
      <c r="BB49" s="80" t="s">
        <v>3043</v>
      </c>
      <c r="BC49" s="80"/>
      <c r="BD49" s="88" t="s">
        <v>13</v>
      </c>
      <c r="BE49" s="89">
        <v>3</v>
      </c>
      <c r="BF49" s="340" t="s">
        <v>3044</v>
      </c>
      <c r="BG49" s="344" t="s">
        <v>3045</v>
      </c>
      <c r="BH49" s="354" t="s">
        <v>3046</v>
      </c>
      <c r="BI49" s="341" t="s">
        <v>3047</v>
      </c>
      <c r="BJ49" s="341" t="s">
        <v>3048</v>
      </c>
      <c r="BK49" s="344" t="s">
        <v>3049</v>
      </c>
    </row>
    <row r="50" spans="2:63" ht="15" thickBot="1">
      <c r="B50" s="94" t="s">
        <v>3050</v>
      </c>
      <c r="C50" s="95" t="s">
        <v>3034</v>
      </c>
      <c r="D50" s="95"/>
      <c r="E50" s="96" t="s">
        <v>3051</v>
      </c>
      <c r="F50" s="194">
        <v>3</v>
      </c>
      <c r="G50" s="167">
        <f xml:space="preserve"> IF( G49 = 0, 0, G18 * 1000 / G49 )</f>
        <v>1.3968083139756633</v>
      </c>
      <c r="H50" s="169">
        <f t="shared" ref="H50:L50" si="29" xml:space="preserve"> IF( H49 = 0, 0, H18 * 1000 / H49 )</f>
        <v>4.8152235128001317</v>
      </c>
      <c r="I50" s="207">
        <f t="shared" si="29"/>
        <v>0.82913646665422269</v>
      </c>
      <c r="J50" s="168">
        <f t="shared" si="29"/>
        <v>0</v>
      </c>
      <c r="K50" s="168">
        <f t="shared" si="29"/>
        <v>7.7531550280455264</v>
      </c>
      <c r="L50" s="169">
        <f t="shared" si="29"/>
        <v>32.20549001795397</v>
      </c>
      <c r="N50" s="116"/>
      <c r="O50" s="116"/>
      <c r="P50"/>
      <c r="S50" s="113"/>
      <c r="T50" s="113"/>
      <c r="U50" s="113"/>
      <c r="V50" s="113"/>
      <c r="W50" s="113"/>
      <c r="X50" s="113"/>
      <c r="BA50" s="94" t="s">
        <v>3050</v>
      </c>
      <c r="BB50" s="95" t="s">
        <v>3034</v>
      </c>
      <c r="BC50" s="95"/>
      <c r="BD50" s="96" t="s">
        <v>3051</v>
      </c>
      <c r="BE50" s="194">
        <v>3</v>
      </c>
      <c r="BF50" s="167" t="s">
        <v>3052</v>
      </c>
      <c r="BG50" s="169" t="s">
        <v>3053</v>
      </c>
      <c r="BH50" s="207" t="s">
        <v>3054</v>
      </c>
      <c r="BI50" s="168" t="s">
        <v>3055</v>
      </c>
      <c r="BJ50" s="168" t="s">
        <v>3056</v>
      </c>
      <c r="BK50" s="169" t="s">
        <v>3057</v>
      </c>
    </row>
    <row r="51" spans="2:63">
      <c r="N51" s="118"/>
      <c r="O51" s="118"/>
      <c r="P51"/>
      <c r="S51" s="177"/>
      <c r="T51" s="177"/>
      <c r="U51" s="177"/>
      <c r="V51" s="177"/>
      <c r="W51" s="177"/>
      <c r="X51" s="177"/>
    </row>
    <row r="52" spans="2:63">
      <c r="B52" s="2256" t="s">
        <v>275</v>
      </c>
      <c r="C52" s="2256"/>
      <c r="D52" s="2195"/>
      <c r="E52" s="142"/>
      <c r="F52" s="142"/>
      <c r="G52" s="142"/>
      <c r="H52" s="142"/>
      <c r="N52" s="118"/>
      <c r="O52" s="118"/>
      <c r="P52"/>
      <c r="S52" s="177"/>
      <c r="T52" s="177"/>
      <c r="U52" s="177"/>
      <c r="V52" s="177"/>
      <c r="W52" s="177"/>
      <c r="X52" s="177"/>
    </row>
    <row r="53" spans="2:63">
      <c r="B53" s="127"/>
      <c r="C53" s="128"/>
      <c r="D53" s="128"/>
      <c r="E53" s="142"/>
      <c r="F53" s="142"/>
      <c r="G53" s="142"/>
      <c r="H53" s="142"/>
      <c r="N53" s="118"/>
      <c r="O53" s="118"/>
      <c r="P53"/>
      <c r="S53" s="177"/>
      <c r="T53" s="177"/>
      <c r="U53" s="177"/>
      <c r="V53" s="177"/>
      <c r="W53" s="177"/>
      <c r="X53" s="177"/>
    </row>
    <row r="54" spans="2:63">
      <c r="B54" s="26"/>
      <c r="C54" s="129" t="s">
        <v>249</v>
      </c>
      <c r="D54" s="129"/>
      <c r="E54" s="142"/>
      <c r="F54" s="142"/>
      <c r="G54" s="142"/>
      <c r="H54" s="142"/>
      <c r="N54" s="118"/>
      <c r="O54" s="118"/>
      <c r="P54"/>
      <c r="S54" s="177"/>
      <c r="T54" s="177"/>
      <c r="U54" s="177"/>
      <c r="V54" s="177"/>
      <c r="W54" s="177"/>
      <c r="X54" s="177"/>
    </row>
    <row r="55" spans="2:63">
      <c r="B55" s="127"/>
      <c r="C55" s="128"/>
      <c r="D55" s="128"/>
      <c r="E55" s="142"/>
      <c r="F55" s="142"/>
      <c r="G55" s="142"/>
      <c r="H55" s="142"/>
      <c r="N55" s="118"/>
      <c r="O55" s="118"/>
      <c r="P55"/>
      <c r="S55" s="177"/>
      <c r="T55" s="177"/>
      <c r="U55" s="177"/>
      <c r="V55" s="177"/>
      <c r="W55" s="177"/>
      <c r="X55" s="177"/>
    </row>
    <row r="56" spans="2:63">
      <c r="B56" s="130"/>
      <c r="C56" s="129" t="s">
        <v>250</v>
      </c>
      <c r="D56" s="129"/>
      <c r="E56" s="142"/>
      <c r="F56" s="142"/>
      <c r="G56" s="142"/>
      <c r="H56" s="142"/>
      <c r="N56" s="118"/>
      <c r="O56" s="118"/>
      <c r="P56"/>
      <c r="S56" s="177"/>
      <c r="T56" s="177"/>
      <c r="U56" s="177"/>
      <c r="V56" s="177"/>
      <c r="W56" s="177"/>
      <c r="X56" s="177"/>
    </row>
    <row r="57" spans="2:63">
      <c r="B57" s="131"/>
      <c r="C57" s="129"/>
      <c r="D57" s="129"/>
      <c r="E57" s="142"/>
      <c r="F57" s="142"/>
      <c r="G57" s="142"/>
      <c r="H57" s="142"/>
      <c r="N57" s="118"/>
      <c r="O57" s="118"/>
      <c r="P57"/>
      <c r="S57" s="177"/>
      <c r="T57" s="177"/>
      <c r="U57" s="177"/>
      <c r="V57" s="177"/>
      <c r="W57" s="177"/>
      <c r="X57" s="177"/>
    </row>
    <row r="58" spans="2:63" ht="15" thickBot="1">
      <c r="B58" s="155"/>
      <c r="C58" s="156"/>
      <c r="D58" s="156"/>
      <c r="E58" s="155"/>
      <c r="F58" s="155"/>
      <c r="G58" s="155"/>
      <c r="H58" s="155"/>
      <c r="N58" s="118"/>
      <c r="O58" s="118"/>
      <c r="P58"/>
      <c r="S58" s="177"/>
      <c r="T58" s="177"/>
      <c r="U58" s="177"/>
      <c r="V58" s="177"/>
      <c r="W58" s="177"/>
      <c r="X58" s="177"/>
    </row>
    <row r="59" spans="2:63" ht="16.5" thickBot="1">
      <c r="B59" s="1166" t="s">
        <v>3058</v>
      </c>
      <c r="C59" s="133"/>
      <c r="D59" s="133"/>
      <c r="E59" s="134"/>
      <c r="F59" s="134"/>
      <c r="G59" s="134"/>
      <c r="H59" s="134"/>
      <c r="I59" s="134"/>
      <c r="J59" s="134"/>
      <c r="K59" s="134"/>
      <c r="L59" s="134"/>
      <c r="M59" s="216"/>
      <c r="N59" s="118"/>
      <c r="O59" s="118"/>
      <c r="P59"/>
      <c r="S59" s="177"/>
      <c r="T59" s="177"/>
      <c r="U59" s="177"/>
      <c r="V59" s="177"/>
      <c r="W59" s="177"/>
      <c r="X59" s="177"/>
    </row>
    <row r="60" spans="2:63">
      <c r="B60" s="155"/>
      <c r="C60" s="156"/>
      <c r="D60" s="156"/>
      <c r="E60" s="155"/>
      <c r="F60" s="155"/>
      <c r="G60" s="155"/>
      <c r="H60" s="155"/>
      <c r="N60" s="118"/>
      <c r="O60" s="118"/>
      <c r="P60"/>
      <c r="S60" s="177"/>
      <c r="T60" s="177"/>
      <c r="U60" s="177"/>
      <c r="V60" s="177"/>
      <c r="W60" s="177"/>
      <c r="X60" s="177"/>
    </row>
  </sheetData>
  <sheetProtection algorithmName="SHA-512" hashValue="x2x8/QXZorOENOdcW2IcEDHbBvQEUg0JC/1pcajL2zVa7rJICodqxPe8DTpoLnExvP4lBcDw2Ir+sEPmc7IfeA==" saltValue="DxLjT7pWxhJ3wFYjBTS7kw==" spinCount="100000" sheet="1" objects="1" scenarios="1"/>
  <mergeCells count="17">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s>
  <conditionalFormatting sqref="O31:P31">
    <cfRule type="cellIs" dxfId="171" priority="1" operator="equal">
      <formula>0</formula>
    </cfRule>
  </conditionalFormatting>
  <conditionalFormatting sqref="P6:P14">
    <cfRule type="cellIs" dxfId="170" priority="12" operator="equal">
      <formula>0</formula>
    </cfRule>
  </conditionalFormatting>
  <conditionalFormatting sqref="P17">
    <cfRule type="cellIs" dxfId="169" priority="11" operator="equal">
      <formula>0</formula>
    </cfRule>
  </conditionalFormatting>
  <conditionalFormatting sqref="P21:P25">
    <cfRule type="cellIs" dxfId="168" priority="10" operator="equal">
      <formula>0</formula>
    </cfRule>
  </conditionalFormatting>
  <conditionalFormatting sqref="P27">
    <cfRule type="cellIs" dxfId="167" priority="9" operator="equal">
      <formula>0</formula>
    </cfRule>
  </conditionalFormatting>
  <conditionalFormatting sqref="P36:P37">
    <cfRule type="cellIs" dxfId="166" priority="7" operator="equal">
      <formula>0</formula>
    </cfRule>
  </conditionalFormatting>
  <conditionalFormatting sqref="P42:P47">
    <cfRule type="cellIs" dxfId="165" priority="6" operator="equal">
      <formula>0</formula>
    </cfRule>
  </conditionalFormatting>
  <conditionalFormatting sqref="P49">
    <cfRule type="cellIs" dxfId="164"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pageSetUpPr fitToPage="1"/>
  </sheetPr>
  <dimension ref="A1:BN41"/>
  <sheetViews>
    <sheetView showGridLines="0" zoomScale="80" zoomScaleNormal="80" workbookViewId="0"/>
  </sheetViews>
  <sheetFormatPr defaultColWidth="0" defaultRowHeight="14.25" zeroHeight="1"/>
  <cols>
    <col min="1" max="1" width="0.625" customWidth="1"/>
    <col min="2" max="2" width="6.125" customWidth="1"/>
    <col min="3" max="3" width="58.625" bestFit="1" customWidth="1"/>
    <col min="4" max="4" width="1.125" hidden="1" customWidth="1"/>
    <col min="5" max="6" width="5.125" customWidth="1"/>
    <col min="7" max="7" width="11.125" customWidth="1"/>
    <col min="8" max="8" width="12.625" customWidth="1"/>
    <col min="9" max="9" width="13.125" customWidth="1"/>
    <col min="10" max="10" width="13" customWidth="1"/>
    <col min="11" max="11" width="11.125" customWidth="1"/>
    <col min="12" max="12" width="12.625" customWidth="1"/>
    <col min="13" max="13" width="13.125" customWidth="1"/>
    <col min="14" max="14" width="13" customWidth="1"/>
    <col min="15" max="15" width="12.5" customWidth="1"/>
    <col min="16" max="16" width="2.625" style="65" customWidth="1"/>
    <col min="17" max="17" width="47.125" style="65" bestFit="1" customWidth="1"/>
    <col min="18" max="18" width="18.625" style="65" bestFit="1" customWidth="1"/>
    <col min="19" max="19" width="1.625" style="65" customWidth="1"/>
    <col min="20" max="20" width="1.625" style="66" hidden="1" customWidth="1"/>
    <col min="21" max="27" width="4.625" style="65" hidden="1" customWidth="1"/>
    <col min="28" max="28" width="1.625" style="66" hidden="1" customWidth="1"/>
    <col min="29" max="29" width="8.625" style="69" hidden="1" customWidth="1"/>
    <col min="30" max="30" width="1.625" style="66" hidden="1" customWidth="1"/>
    <col min="31" max="32" width="8.625" style="69" hidden="1" customWidth="1"/>
    <col min="33" max="33" width="38.125" style="69" hidden="1" customWidth="1"/>
    <col min="34" max="34" width="1.625" style="66" hidden="1" customWidth="1"/>
    <col min="35" max="52" width="8.625" hidden="1" customWidth="1"/>
    <col min="53" max="53" width="6.125" hidden="1" customWidth="1"/>
    <col min="54" max="54" width="58.625" hidden="1" customWidth="1"/>
    <col min="55" max="55" width="1.125" hidden="1" customWidth="1"/>
    <col min="56" max="57" width="5.125" hidden="1" customWidth="1"/>
    <col min="58" max="58" width="11.125" hidden="1" customWidth="1"/>
    <col min="59" max="59" width="12.625" hidden="1" customWidth="1"/>
    <col min="60" max="60" width="13.125" hidden="1" customWidth="1"/>
    <col min="61" max="61" width="13" hidden="1" customWidth="1"/>
    <col min="62" max="62" width="11.125" hidden="1" customWidth="1"/>
    <col min="63" max="63" width="12.625" hidden="1" customWidth="1"/>
    <col min="64" max="64" width="13.125" hidden="1" customWidth="1"/>
    <col min="65" max="65" width="13" hidden="1" customWidth="1"/>
    <col min="66" max="66" width="12.5" hidden="1" customWidth="1"/>
    <col min="67" max="16384" width="8.625" hidden="1"/>
  </cols>
  <sheetData>
    <row r="1" spans="2:66" ht="20.25">
      <c r="B1" s="61" t="s">
        <v>3059</v>
      </c>
      <c r="C1" s="61"/>
      <c r="D1" s="61"/>
      <c r="E1" s="61"/>
      <c r="F1" s="61"/>
      <c r="G1" s="61"/>
      <c r="H1" s="61"/>
      <c r="I1" s="61"/>
      <c r="J1" s="61"/>
      <c r="K1" s="61"/>
      <c r="L1" s="61"/>
      <c r="M1" s="61"/>
      <c r="N1" s="61"/>
      <c r="O1" s="63" t="str">
        <f>Validation!B3</f>
        <v>Thames Water</v>
      </c>
      <c r="P1" s="61"/>
      <c r="Q1" s="64"/>
      <c r="R1" s="64" t="s">
        <v>94</v>
      </c>
      <c r="AC1" s="65"/>
      <c r="AE1"/>
      <c r="AF1"/>
      <c r="AG1"/>
      <c r="BA1" s="61" t="s">
        <v>95</v>
      </c>
      <c r="BB1" s="61"/>
      <c r="BC1" s="61"/>
      <c r="BD1" s="61"/>
      <c r="BE1" s="61"/>
      <c r="BF1" s="61"/>
      <c r="BG1" s="61"/>
      <c r="BH1" s="61"/>
      <c r="BI1" s="61"/>
      <c r="BJ1" s="61"/>
      <c r="BK1" s="61"/>
      <c r="BL1" s="61"/>
      <c r="BM1" s="61"/>
      <c r="BN1" s="63"/>
    </row>
    <row r="2" spans="2:66" ht="15" thickBot="1">
      <c r="B2" s="68" t="s">
        <v>80</v>
      </c>
      <c r="C2" s="65"/>
      <c r="D2" s="65"/>
      <c r="E2" s="65"/>
      <c r="F2" s="65"/>
      <c r="G2" s="178"/>
      <c r="H2" s="179"/>
      <c r="I2" s="179"/>
      <c r="J2" s="180"/>
      <c r="K2" s="178"/>
      <c r="L2" s="179"/>
      <c r="M2" s="179"/>
      <c r="N2" s="180"/>
      <c r="O2" s="65"/>
      <c r="AC2" s="65"/>
      <c r="BA2" s="68" t="s">
        <v>80</v>
      </c>
      <c r="BB2" s="65"/>
      <c r="BC2" s="65"/>
      <c r="BD2" s="65"/>
      <c r="BE2" s="65"/>
      <c r="BF2" s="178"/>
      <c r="BG2" s="179"/>
      <c r="BH2" s="179"/>
      <c r="BI2" s="180"/>
      <c r="BJ2" s="178"/>
      <c r="BK2" s="179"/>
      <c r="BL2" s="179"/>
      <c r="BM2" s="180"/>
      <c r="BN2" s="65"/>
    </row>
    <row r="3" spans="2:66" ht="15" customHeight="1">
      <c r="B3" s="2287" t="s">
        <v>96</v>
      </c>
      <c r="C3" s="2288"/>
      <c r="D3" s="2208" t="s">
        <v>2690</v>
      </c>
      <c r="E3" s="2291" t="s">
        <v>98</v>
      </c>
      <c r="F3" s="2293" t="s">
        <v>99</v>
      </c>
      <c r="G3" s="2336" t="s">
        <v>3060</v>
      </c>
      <c r="H3" s="2337"/>
      <c r="I3" s="2337"/>
      <c r="J3" s="2339"/>
      <c r="K3" s="2340" t="s">
        <v>3061</v>
      </c>
      <c r="L3" s="2337"/>
      <c r="M3" s="2337"/>
      <c r="N3" s="2339"/>
      <c r="O3" s="2240" t="s">
        <v>680</v>
      </c>
      <c r="Q3" s="2240" t="s">
        <v>675</v>
      </c>
      <c r="R3" s="2240" t="s">
        <v>103</v>
      </c>
      <c r="BA3" s="2287" t="s">
        <v>96</v>
      </c>
      <c r="BB3" s="2288"/>
      <c r="BC3" s="2208" t="s">
        <v>2690</v>
      </c>
      <c r="BD3" s="2291" t="s">
        <v>98</v>
      </c>
      <c r="BE3" s="2293" t="s">
        <v>99</v>
      </c>
      <c r="BF3" s="2336" t="s">
        <v>3060</v>
      </c>
      <c r="BG3" s="2337"/>
      <c r="BH3" s="2337"/>
      <c r="BI3" s="2339"/>
      <c r="BJ3" s="2340" t="s">
        <v>3061</v>
      </c>
      <c r="BK3" s="2337"/>
      <c r="BL3" s="2337"/>
      <c r="BM3" s="2339"/>
      <c r="BN3" s="2240" t="s">
        <v>680</v>
      </c>
    </row>
    <row r="4" spans="2:66" ht="27.75" thickBot="1">
      <c r="B4" s="2289"/>
      <c r="C4" s="2290"/>
      <c r="D4" s="2209"/>
      <c r="E4" s="2292"/>
      <c r="F4" s="2294"/>
      <c r="G4" s="181" t="s">
        <v>3062</v>
      </c>
      <c r="H4" s="182" t="s">
        <v>3063</v>
      </c>
      <c r="I4" s="182" t="s">
        <v>3064</v>
      </c>
      <c r="J4" s="183" t="s">
        <v>680</v>
      </c>
      <c r="K4" s="184" t="s">
        <v>3062</v>
      </c>
      <c r="L4" s="182" t="s">
        <v>3063</v>
      </c>
      <c r="M4" s="182" t="s">
        <v>3064</v>
      </c>
      <c r="N4" s="183" t="s">
        <v>680</v>
      </c>
      <c r="O4" s="2241"/>
      <c r="Q4" s="2338"/>
      <c r="R4" s="2241"/>
      <c r="BA4" s="2289"/>
      <c r="BB4" s="2290"/>
      <c r="BC4" s="2209"/>
      <c r="BD4" s="2292"/>
      <c r="BE4" s="2294"/>
      <c r="BF4" s="181" t="s">
        <v>3062</v>
      </c>
      <c r="BG4" s="182" t="s">
        <v>3063</v>
      </c>
      <c r="BH4" s="182" t="s">
        <v>3064</v>
      </c>
      <c r="BI4" s="183" t="s">
        <v>680</v>
      </c>
      <c r="BJ4" s="184" t="s">
        <v>3062</v>
      </c>
      <c r="BK4" s="182" t="s">
        <v>3063</v>
      </c>
      <c r="BL4" s="182" t="s">
        <v>3064</v>
      </c>
      <c r="BM4" s="183" t="s">
        <v>680</v>
      </c>
      <c r="BN4" s="2241"/>
    </row>
    <row r="5" spans="2:66" ht="24.75" thickBot="1">
      <c r="B5" s="65"/>
      <c r="C5" s="65"/>
      <c r="D5" s="65"/>
      <c r="E5" s="65"/>
      <c r="F5" s="65"/>
      <c r="G5" s="65"/>
      <c r="H5" s="65"/>
      <c r="I5" s="65"/>
      <c r="J5" s="65"/>
      <c r="K5" s="65"/>
      <c r="L5" s="65"/>
      <c r="M5" s="65"/>
      <c r="N5" s="65"/>
      <c r="O5" s="65"/>
      <c r="U5" s="2255" t="s">
        <v>107</v>
      </c>
      <c r="V5" s="2255"/>
      <c r="W5" s="2255"/>
      <c r="X5" s="2255"/>
      <c r="Y5" s="2255"/>
      <c r="Z5" s="2255"/>
      <c r="AA5" s="2255"/>
      <c r="AC5" s="2194" t="s">
        <v>86</v>
      </c>
      <c r="AE5" s="71" t="s">
        <v>742</v>
      </c>
      <c r="AF5" s="2194"/>
      <c r="AG5" s="2194"/>
      <c r="BA5" s="65"/>
      <c r="BB5" s="65"/>
      <c r="BC5" s="65"/>
      <c r="BD5" s="65"/>
      <c r="BE5" s="65"/>
      <c r="BF5" s="65"/>
      <c r="BG5" s="65"/>
      <c r="BH5" s="65"/>
      <c r="BI5" s="65"/>
      <c r="BJ5" s="65"/>
      <c r="BK5" s="65"/>
      <c r="BL5" s="65"/>
      <c r="BM5" s="65"/>
      <c r="BN5" s="65"/>
    </row>
    <row r="6" spans="2:66" s="65" customFormat="1" ht="15" thickBot="1">
      <c r="B6" s="2221" t="s">
        <v>214</v>
      </c>
      <c r="C6" s="77" t="s">
        <v>779</v>
      </c>
      <c r="D6" s="1292"/>
      <c r="T6" s="66"/>
      <c r="U6" s="78" t="s">
        <v>108</v>
      </c>
      <c r="V6" s="78"/>
      <c r="W6" s="78"/>
      <c r="X6" s="78"/>
      <c r="Y6" s="78"/>
      <c r="Z6" s="78"/>
      <c r="AA6" s="177"/>
      <c r="AB6" s="66"/>
      <c r="AC6"/>
      <c r="AD6" s="66"/>
      <c r="AE6" s="69"/>
      <c r="AF6" s="69"/>
      <c r="AG6" s="69"/>
      <c r="AH6" s="66"/>
      <c r="BA6" s="2221" t="s">
        <v>214</v>
      </c>
      <c r="BB6" s="77" t="s">
        <v>779</v>
      </c>
      <c r="BC6" s="1292"/>
    </row>
    <row r="7" spans="2:66">
      <c r="B7" s="79" t="s">
        <v>3065</v>
      </c>
      <c r="C7" s="109" t="s">
        <v>1065</v>
      </c>
      <c r="D7" s="109"/>
      <c r="E7" s="81" t="s">
        <v>8</v>
      </c>
      <c r="F7" s="185">
        <v>3</v>
      </c>
      <c r="G7" s="406">
        <v>0.33200000000000002</v>
      </c>
      <c r="H7" s="345">
        <v>6.6760000000000002</v>
      </c>
      <c r="I7" s="346">
        <v>28.045999999999999</v>
      </c>
      <c r="J7" s="186">
        <f>SUM(G7:I7)</f>
        <v>35.054000000000002</v>
      </c>
      <c r="K7" s="406">
        <v>0.35899999999999999</v>
      </c>
      <c r="L7" s="345">
        <v>8.3930000000000007</v>
      </c>
      <c r="M7" s="346">
        <v>21.274999999999999</v>
      </c>
      <c r="N7" s="186">
        <f>SUM(K7:M7)</f>
        <v>30.027000000000001</v>
      </c>
      <c r="O7" s="186">
        <f>J7+N7</f>
        <v>65.081000000000003</v>
      </c>
      <c r="Q7" s="1164">
        <f xml:space="preserve"> IF( SUM( AB7:AD7 ) = 0, 0, AG7 )</f>
        <v>0</v>
      </c>
      <c r="R7" s="25">
        <f xml:space="preserve"> IF( SUM( T7:AB7 ) = 0, 0, $U$6 )</f>
        <v>0</v>
      </c>
      <c r="U7" s="86">
        <f xml:space="preserve"> IF( ISNUMBER( G7 ), 0, 1 )</f>
        <v>0</v>
      </c>
      <c r="V7" s="86">
        <f>IF(Validation!$H$3=1,0,IF(ISNUMBER(H7),0,1))</f>
        <v>0</v>
      </c>
      <c r="W7" s="86">
        <f>IF(Validation!$H$3=1,0,IF(ISNUMBER(I7),0,1))</f>
        <v>0</v>
      </c>
      <c r="X7" s="86">
        <f xml:space="preserve"> IF( ISNUMBER( K7 ), 0, 1 )</f>
        <v>0</v>
      </c>
      <c r="Y7" s="86">
        <f>IF(Validation!$H$3=1,0,IF(ISNUMBER(L7),0,1))</f>
        <v>0</v>
      </c>
      <c r="Z7" s="86">
        <f>IF(Validation!$H$3=1,0,IF(ISNUMBER(M7),0,1))</f>
        <v>0</v>
      </c>
      <c r="AA7" s="177"/>
      <c r="AC7" s="113"/>
      <c r="AE7" s="143"/>
      <c r="AF7" s="143"/>
      <c r="BA7" s="79" t="s">
        <v>3065</v>
      </c>
      <c r="BB7" s="109" t="s">
        <v>1065</v>
      </c>
      <c r="BC7" s="109"/>
      <c r="BD7" s="81" t="s">
        <v>8</v>
      </c>
      <c r="BE7" s="185">
        <v>3</v>
      </c>
      <c r="BF7" s="406" t="s">
        <v>3066</v>
      </c>
      <c r="BG7" s="345" t="s">
        <v>3067</v>
      </c>
      <c r="BH7" s="346" t="s">
        <v>3068</v>
      </c>
      <c r="BI7" s="186" t="s">
        <v>3069</v>
      </c>
      <c r="BJ7" s="406" t="s">
        <v>3070</v>
      </c>
      <c r="BK7" s="345" t="s">
        <v>3071</v>
      </c>
      <c r="BL7" s="346" t="s">
        <v>3072</v>
      </c>
      <c r="BM7" s="186" t="s">
        <v>3073</v>
      </c>
      <c r="BN7" s="186" t="s">
        <v>3074</v>
      </c>
    </row>
    <row r="8" spans="2:66">
      <c r="B8" s="87" t="s">
        <v>3075</v>
      </c>
      <c r="C8" s="80" t="s">
        <v>1069</v>
      </c>
      <c r="D8" s="80"/>
      <c r="E8" s="88" t="s">
        <v>8</v>
      </c>
      <c r="F8" s="187">
        <v>3</v>
      </c>
      <c r="G8" s="408">
        <v>7.5999999999999998E-2</v>
      </c>
      <c r="H8" s="347">
        <v>0.996</v>
      </c>
      <c r="I8" s="348">
        <v>6.1609999999999996</v>
      </c>
      <c r="J8" s="188">
        <f t="shared" ref="J8:J20" si="0">SUM(G8:I8)</f>
        <v>7.2329999999999997</v>
      </c>
      <c r="K8" s="408">
        <v>6.5000000000000002E-2</v>
      </c>
      <c r="L8" s="347">
        <v>1.262</v>
      </c>
      <c r="M8" s="348">
        <v>3.9359999999999999</v>
      </c>
      <c r="N8" s="188">
        <f>SUM(K8:M8)</f>
        <v>5.2629999999999999</v>
      </c>
      <c r="O8" s="188">
        <f>J8+N8</f>
        <v>12.495999999999999</v>
      </c>
      <c r="Q8" s="1164">
        <f t="shared" ref="Q8:Q21" si="1" xml:space="preserve"> IF( SUM( AB8:AD8 ) = 0, 0, AG8 )</f>
        <v>0</v>
      </c>
      <c r="R8" s="25">
        <f xml:space="preserve"> IF( SUM( T8:AB8 ) = 0, 0, $U$6 )</f>
        <v>0</v>
      </c>
      <c r="U8" s="86">
        <f t="shared" ref="U8:U20" si="2" xml:space="preserve"> IF( ISNUMBER( G8 ), 0, 1 )</f>
        <v>0</v>
      </c>
      <c r="V8" s="86">
        <f>IF(Validation!$H$3=1,0,IF(ISNUMBER(H8),0,1))</f>
        <v>0</v>
      </c>
      <c r="W8" s="86">
        <f>IF(Validation!$H$3=1,0,IF(ISNUMBER(I8),0,1))</f>
        <v>0</v>
      </c>
      <c r="X8" s="86">
        <f t="shared" ref="X8:X20" si="3" xml:space="preserve"> IF( ISNUMBER( K8 ), 0, 1 )</f>
        <v>0</v>
      </c>
      <c r="Y8" s="86">
        <f>IF(Validation!$H$3=1,0,IF(ISNUMBER(L8),0,1))</f>
        <v>0</v>
      </c>
      <c r="Z8" s="86">
        <f>IF(Validation!$H$3=1,0,IF(ISNUMBER(M8),0,1))</f>
        <v>0</v>
      </c>
      <c r="AA8" s="177"/>
      <c r="AC8" s="113"/>
      <c r="AE8" s="143"/>
      <c r="AF8" s="143"/>
      <c r="BA8" s="87" t="s">
        <v>3075</v>
      </c>
      <c r="BB8" s="80" t="s">
        <v>1069</v>
      </c>
      <c r="BC8" s="80"/>
      <c r="BD8" s="88" t="s">
        <v>8</v>
      </c>
      <c r="BE8" s="187">
        <v>3</v>
      </c>
      <c r="BF8" s="408" t="s">
        <v>3076</v>
      </c>
      <c r="BG8" s="347" t="s">
        <v>3077</v>
      </c>
      <c r="BH8" s="348" t="s">
        <v>3078</v>
      </c>
      <c r="BI8" s="188" t="s">
        <v>3079</v>
      </c>
      <c r="BJ8" s="408" t="s">
        <v>3080</v>
      </c>
      <c r="BK8" s="347" t="s">
        <v>3081</v>
      </c>
      <c r="BL8" s="348" t="s">
        <v>3082</v>
      </c>
      <c r="BM8" s="188" t="s">
        <v>3083</v>
      </c>
      <c r="BN8" s="188" t="s">
        <v>3084</v>
      </c>
    </row>
    <row r="9" spans="2:66" ht="15" thickBot="1">
      <c r="B9" s="87" t="s">
        <v>3085</v>
      </c>
      <c r="C9" s="80" t="s">
        <v>1073</v>
      </c>
      <c r="D9" s="80"/>
      <c r="E9" s="88" t="s">
        <v>8</v>
      </c>
      <c r="F9" s="187">
        <v>3</v>
      </c>
      <c r="G9" s="405">
        <v>0.16400000000000001</v>
      </c>
      <c r="H9" s="349">
        <v>4.9139999999999997</v>
      </c>
      <c r="I9" s="351">
        <v>24.774000000000001</v>
      </c>
      <c r="J9" s="192">
        <f t="shared" si="0"/>
        <v>29.852</v>
      </c>
      <c r="K9" s="408">
        <v>0.13200000000000001</v>
      </c>
      <c r="L9" s="347">
        <v>6.0570000000000004</v>
      </c>
      <c r="M9" s="348">
        <v>16.006</v>
      </c>
      <c r="N9" s="188">
        <f>SUM(K9:M9)</f>
        <v>22.195</v>
      </c>
      <c r="O9" s="188">
        <f>J9+N9</f>
        <v>52.046999999999997</v>
      </c>
      <c r="Q9" s="1164">
        <f t="shared" si="1"/>
        <v>0</v>
      </c>
      <c r="R9" s="25">
        <f xml:space="preserve"> IF( SUM( T9:AB9 ) = 0, 0, $U$6 )</f>
        <v>0</v>
      </c>
      <c r="U9" s="86">
        <f t="shared" si="2"/>
        <v>0</v>
      </c>
      <c r="V9" s="86">
        <f>IF(Validation!$H$3=1,0,IF(ISNUMBER(H9),0,1))</f>
        <v>0</v>
      </c>
      <c r="W9" s="86">
        <f>IF(Validation!$H$3=1,0,IF(ISNUMBER(I9),0,1))</f>
        <v>0</v>
      </c>
      <c r="X9" s="86">
        <f t="shared" si="3"/>
        <v>0</v>
      </c>
      <c r="Y9" s="86">
        <f>IF(Validation!$H$3=1,0,IF(ISNUMBER(L9),0,1))</f>
        <v>0</v>
      </c>
      <c r="Z9" s="86">
        <f>IF(Validation!$H$3=1,0,IF(ISNUMBER(M9),0,1))</f>
        <v>0</v>
      </c>
      <c r="AA9" s="177"/>
      <c r="AC9" s="113"/>
      <c r="AE9" s="143"/>
      <c r="AF9" s="143"/>
      <c r="BA9" s="87" t="s">
        <v>3085</v>
      </c>
      <c r="BB9" s="80" t="s">
        <v>1073</v>
      </c>
      <c r="BC9" s="80"/>
      <c r="BD9" s="88" t="s">
        <v>8</v>
      </c>
      <c r="BE9" s="187">
        <v>3</v>
      </c>
      <c r="BF9" s="405" t="s">
        <v>3086</v>
      </c>
      <c r="BG9" s="349" t="s">
        <v>3087</v>
      </c>
      <c r="BH9" s="351" t="s">
        <v>3088</v>
      </c>
      <c r="BI9" s="192" t="s">
        <v>3089</v>
      </c>
      <c r="BJ9" s="408" t="s">
        <v>3090</v>
      </c>
      <c r="BK9" s="347" t="s">
        <v>3091</v>
      </c>
      <c r="BL9" s="348" t="s">
        <v>3092</v>
      </c>
      <c r="BM9" s="188" t="s">
        <v>3093</v>
      </c>
      <c r="BN9" s="188" t="s">
        <v>3094</v>
      </c>
    </row>
    <row r="10" spans="2:66" ht="15" thickBot="1">
      <c r="B10" s="87" t="s">
        <v>3095</v>
      </c>
      <c r="C10" s="189" t="s">
        <v>1077</v>
      </c>
      <c r="D10" s="189"/>
      <c r="E10" s="88" t="s">
        <v>8</v>
      </c>
      <c r="F10" s="187">
        <v>3</v>
      </c>
      <c r="G10" s="190"/>
      <c r="H10" s="191"/>
      <c r="I10" s="559"/>
      <c r="J10" s="560"/>
      <c r="K10" s="407">
        <v>0.109</v>
      </c>
      <c r="L10" s="350">
        <v>2.0009999999999999</v>
      </c>
      <c r="M10" s="351">
        <v>6.5919999999999996</v>
      </c>
      <c r="N10" s="192">
        <f>SUM(K10:M10)</f>
        <v>8.702</v>
      </c>
      <c r="O10" s="192">
        <f>N10</f>
        <v>8.702</v>
      </c>
      <c r="Q10" s="1164">
        <f t="shared" si="1"/>
        <v>0</v>
      </c>
      <c r="R10" s="25">
        <f xml:space="preserve"> IF( SUM( T10:AB10 ) = 0, 0, $U$6 )</f>
        <v>0</v>
      </c>
      <c r="U10" s="113"/>
      <c r="V10" s="113"/>
      <c r="W10" s="113"/>
      <c r="X10" s="86">
        <f t="shared" si="3"/>
        <v>0</v>
      </c>
      <c r="Y10" s="86">
        <f>IF(Validation!$H$3=1,0,IF(ISNUMBER(L10),0,1))</f>
        <v>0</v>
      </c>
      <c r="Z10" s="86">
        <f>IF(Validation!$H$3=1,0,IF(ISNUMBER(M10),0,1))</f>
        <v>0</v>
      </c>
      <c r="AA10" s="177"/>
      <c r="AC10" s="113"/>
      <c r="AE10" s="143"/>
      <c r="AF10" s="143"/>
      <c r="BA10" s="87" t="s">
        <v>3095</v>
      </c>
      <c r="BB10" s="189" t="s">
        <v>1077</v>
      </c>
      <c r="BC10" s="189"/>
      <c r="BD10" s="88" t="s">
        <v>8</v>
      </c>
      <c r="BE10" s="187">
        <v>3</v>
      </c>
      <c r="BF10" s="190"/>
      <c r="BG10" s="191"/>
      <c r="BH10" s="559"/>
      <c r="BI10" s="560"/>
      <c r="BJ10" s="407" t="s">
        <v>3096</v>
      </c>
      <c r="BK10" s="350" t="s">
        <v>3097</v>
      </c>
      <c r="BL10" s="351" t="s">
        <v>3098</v>
      </c>
      <c r="BM10" s="192" t="s">
        <v>3099</v>
      </c>
      <c r="BN10" s="192" t="s">
        <v>3100</v>
      </c>
    </row>
    <row r="11" spans="2:66">
      <c r="B11" s="87" t="s">
        <v>3101</v>
      </c>
      <c r="C11" s="189" t="s">
        <v>1085</v>
      </c>
      <c r="D11" s="189"/>
      <c r="E11" s="88" t="s">
        <v>8</v>
      </c>
      <c r="F11" s="187">
        <v>3</v>
      </c>
      <c r="G11" s="406">
        <v>0.15</v>
      </c>
      <c r="H11" s="345">
        <v>4.45</v>
      </c>
      <c r="I11" s="557">
        <v>12.202</v>
      </c>
      <c r="J11" s="558">
        <f t="shared" si="0"/>
        <v>16.802</v>
      </c>
      <c r="K11" s="408">
        <v>0.129</v>
      </c>
      <c r="L11" s="347">
        <v>5.4950000000000001</v>
      </c>
      <c r="M11" s="348">
        <v>7.7949999999999999</v>
      </c>
      <c r="N11" s="188">
        <f>SUM(K11:M11)</f>
        <v>13.419</v>
      </c>
      <c r="O11" s="188">
        <f t="shared" ref="O11:O21" si="4">J11+N11</f>
        <v>30.221</v>
      </c>
      <c r="Q11" s="1164">
        <f xml:space="preserve"> IF( SUM( AB11:AD11 ) = 0, 0, AG11 )</f>
        <v>0</v>
      </c>
      <c r="R11" s="25">
        <f xml:space="preserve"> IF( SUM( T11:AB11 ) = 0, 0, $U$6 )</f>
        <v>0</v>
      </c>
      <c r="U11" s="86">
        <f t="shared" si="2"/>
        <v>0</v>
      </c>
      <c r="V11" s="86">
        <f>IF(Validation!$H$3=1,0,IF(ISNUMBER(H11),0,1))</f>
        <v>0</v>
      </c>
      <c r="W11" s="86">
        <f>IF(Validation!$H$3=1,0,IF(ISNUMBER(I11),0,1))</f>
        <v>0</v>
      </c>
      <c r="X11" s="86">
        <f t="shared" si="3"/>
        <v>0</v>
      </c>
      <c r="Y11" s="86">
        <f>IF(Validation!$H$3=1,0,IF(ISNUMBER(L11),0,1))</f>
        <v>0</v>
      </c>
      <c r="Z11" s="86">
        <f>IF(Validation!$H$3=1,0,IF(ISNUMBER(M11),0,1))</f>
        <v>0</v>
      </c>
      <c r="AA11" s="177"/>
      <c r="AC11" s="113"/>
      <c r="AE11" s="143"/>
      <c r="AF11" s="143"/>
      <c r="BA11" s="87" t="s">
        <v>3101</v>
      </c>
      <c r="BB11" s="189" t="s">
        <v>1085</v>
      </c>
      <c r="BC11" s="189"/>
      <c r="BD11" s="88" t="s">
        <v>8</v>
      </c>
      <c r="BE11" s="187">
        <v>3</v>
      </c>
      <c r="BF11" s="406" t="s">
        <v>3102</v>
      </c>
      <c r="BG11" s="345" t="s">
        <v>3103</v>
      </c>
      <c r="BH11" s="557" t="s">
        <v>3104</v>
      </c>
      <c r="BI11" s="558" t="s">
        <v>3105</v>
      </c>
      <c r="BJ11" s="408" t="s">
        <v>3106</v>
      </c>
      <c r="BK11" s="347" t="s">
        <v>3107</v>
      </c>
      <c r="BL11" s="348" t="s">
        <v>3108</v>
      </c>
      <c r="BM11" s="188" t="s">
        <v>3109</v>
      </c>
      <c r="BN11" s="188" t="s">
        <v>3110</v>
      </c>
    </row>
    <row r="12" spans="2:66" ht="15" thickBot="1">
      <c r="B12" s="94" t="s">
        <v>3111</v>
      </c>
      <c r="C12" s="95" t="s">
        <v>933</v>
      </c>
      <c r="D12" s="95"/>
      <c r="E12" s="96" t="s">
        <v>8</v>
      </c>
      <c r="F12" s="194">
        <v>3</v>
      </c>
      <c r="G12" s="678">
        <f>SUM(G7:G9) + G11</f>
        <v>0.72200000000000009</v>
      </c>
      <c r="H12" s="684">
        <f>SUM(H7:H9) + H11</f>
        <v>17.036000000000001</v>
      </c>
      <c r="I12" s="685">
        <f>SUM(I7:I9) + I11</f>
        <v>71.183000000000007</v>
      </c>
      <c r="J12" s="679">
        <f>SUM(J7:J9) + J11</f>
        <v>88.941000000000003</v>
      </c>
      <c r="K12" s="678">
        <f>SUM(K7:K11)</f>
        <v>0.79400000000000004</v>
      </c>
      <c r="L12" s="684">
        <f>SUM(L7:L11)</f>
        <v>23.208000000000002</v>
      </c>
      <c r="M12" s="685">
        <f>SUM(M7:M11)</f>
        <v>55.603999999999999</v>
      </c>
      <c r="N12" s="679">
        <f>SUM(N7:N11)</f>
        <v>79.605999999999995</v>
      </c>
      <c r="O12" s="679">
        <f t="shared" si="4"/>
        <v>168.547</v>
      </c>
      <c r="Q12" s="1164">
        <f t="shared" si="1"/>
        <v>0</v>
      </c>
      <c r="AA12" s="177"/>
      <c r="AC12" s="86">
        <f t="shared" ref="AC12" si="5" xml:space="preserve"> IF( (AE12 - AF12) = 0, 0, 1 )</f>
        <v>0</v>
      </c>
      <c r="AE12" s="143">
        <f xml:space="preserve"> ROUND( O12, 3)</f>
        <v>168.547</v>
      </c>
      <c r="AF12" s="143">
        <f xml:space="preserve"> ROUND( '2C'!G12, 3)</f>
        <v>168.547</v>
      </c>
      <c r="AG12" s="69" t="s">
        <v>3112</v>
      </c>
      <c r="BA12" s="94" t="s">
        <v>3111</v>
      </c>
      <c r="BB12" s="95" t="s">
        <v>933</v>
      </c>
      <c r="BC12" s="95"/>
      <c r="BD12" s="96" t="s">
        <v>8</v>
      </c>
      <c r="BE12" s="194">
        <v>3</v>
      </c>
      <c r="BF12" s="678" t="s">
        <v>3113</v>
      </c>
      <c r="BG12" s="684" t="s">
        <v>3114</v>
      </c>
      <c r="BH12" s="685" t="s">
        <v>3115</v>
      </c>
      <c r="BI12" s="679" t="s">
        <v>3116</v>
      </c>
      <c r="BJ12" s="678" t="s">
        <v>3117</v>
      </c>
      <c r="BK12" s="684" t="s">
        <v>3118</v>
      </c>
      <c r="BL12" s="685" t="s">
        <v>3119</v>
      </c>
      <c r="BM12" s="679" t="s">
        <v>3120</v>
      </c>
      <c r="BN12" s="679" t="s">
        <v>3121</v>
      </c>
    </row>
    <row r="13" spans="2:66" ht="15" thickBot="1">
      <c r="B13" s="65"/>
      <c r="C13" s="65"/>
      <c r="D13" s="65"/>
      <c r="E13" s="65"/>
      <c r="F13" s="65"/>
      <c r="G13" s="65"/>
      <c r="H13" s="65"/>
      <c r="I13" s="65"/>
      <c r="J13" s="65"/>
      <c r="K13" s="65"/>
      <c r="L13" s="65"/>
      <c r="M13" s="65"/>
      <c r="N13" s="65"/>
      <c r="O13" s="65"/>
      <c r="AA13" s="177"/>
      <c r="AC13" s="113"/>
      <c r="AE13" s="143"/>
      <c r="AF13" s="143"/>
      <c r="BA13" s="65"/>
      <c r="BB13" s="65"/>
      <c r="BC13" s="65"/>
      <c r="BD13" s="65"/>
      <c r="BE13" s="65"/>
      <c r="BF13" s="65"/>
      <c r="BG13" s="65"/>
      <c r="BH13" s="65"/>
      <c r="BI13" s="65"/>
      <c r="BJ13" s="65"/>
      <c r="BK13" s="65"/>
      <c r="BL13" s="65"/>
      <c r="BM13" s="65"/>
      <c r="BN13" s="65"/>
    </row>
    <row r="14" spans="2:66">
      <c r="B14" s="79" t="s">
        <v>3122</v>
      </c>
      <c r="C14" s="677" t="s">
        <v>1092</v>
      </c>
      <c r="D14" s="677"/>
      <c r="E14" s="81" t="s">
        <v>8</v>
      </c>
      <c r="F14" s="185">
        <v>3</v>
      </c>
      <c r="G14" s="680">
        <v>0</v>
      </c>
      <c r="H14" s="681">
        <v>0</v>
      </c>
      <c r="I14" s="682">
        <v>0</v>
      </c>
      <c r="J14" s="683">
        <f t="shared" si="0"/>
        <v>0</v>
      </c>
      <c r="K14" s="680">
        <v>0</v>
      </c>
      <c r="L14" s="681">
        <v>0</v>
      </c>
      <c r="M14" s="682">
        <v>0</v>
      </c>
      <c r="N14" s="683">
        <f t="shared" ref="N14" si="6">SUM(K14:M14)</f>
        <v>0</v>
      </c>
      <c r="O14" s="683">
        <f t="shared" ref="O14" si="7">J14+N14</f>
        <v>0</v>
      </c>
      <c r="Q14" s="1164">
        <f t="shared" si="1"/>
        <v>0</v>
      </c>
      <c r="R14" s="25">
        <f xml:space="preserve"> IF( SUM( T14:AB14 ) = 0, 0, $U$6 )</f>
        <v>0</v>
      </c>
      <c r="U14" s="86">
        <f t="shared" ref="U14" si="8" xml:space="preserve"> IF( ISNUMBER( G14 ), 0, 1 )</f>
        <v>0</v>
      </c>
      <c r="V14" s="86">
        <f>IF(Validation!$H$3=1,0,IF(ISNUMBER(H14),0,1))</f>
        <v>0</v>
      </c>
      <c r="W14" s="86">
        <f>IF(Validation!$H$3=1,0,IF(ISNUMBER(I14),0,1))</f>
        <v>0</v>
      </c>
      <c r="X14" s="86">
        <f t="shared" ref="X14" si="9" xml:space="preserve"> IF( ISNUMBER( K14 ), 0, 1 )</f>
        <v>0</v>
      </c>
      <c r="Y14" s="86">
        <f>IF(Validation!$H$3=1,0,IF(ISNUMBER(L14),0,1))</f>
        <v>0</v>
      </c>
      <c r="Z14" s="86">
        <f>IF(Validation!$H$3=1,0,IF(ISNUMBER(M14),0,1))</f>
        <v>0</v>
      </c>
      <c r="AA14" s="177"/>
      <c r="AC14" s="113"/>
      <c r="AE14" s="143"/>
      <c r="AF14" s="143"/>
      <c r="BA14" s="79" t="s">
        <v>3122</v>
      </c>
      <c r="BB14" s="677" t="s">
        <v>1092</v>
      </c>
      <c r="BC14" s="677"/>
      <c r="BD14" s="81" t="s">
        <v>8</v>
      </c>
      <c r="BE14" s="185">
        <v>3</v>
      </c>
      <c r="BF14" s="680" t="s">
        <v>3123</v>
      </c>
      <c r="BG14" s="681" t="s">
        <v>3124</v>
      </c>
      <c r="BH14" s="682" t="s">
        <v>3125</v>
      </c>
      <c r="BI14" s="683" t="s">
        <v>3126</v>
      </c>
      <c r="BJ14" s="680" t="s">
        <v>3127</v>
      </c>
      <c r="BK14" s="681" t="s">
        <v>3128</v>
      </c>
      <c r="BL14" s="682" t="s">
        <v>3129</v>
      </c>
      <c r="BM14" s="683" t="s">
        <v>3130</v>
      </c>
      <c r="BN14" s="683" t="s">
        <v>3131</v>
      </c>
    </row>
    <row r="15" spans="2:66" ht="15" thickBot="1">
      <c r="B15" s="94" t="s">
        <v>3132</v>
      </c>
      <c r="C15" s="95" t="s">
        <v>949</v>
      </c>
      <c r="D15" s="95"/>
      <c r="E15" s="96" t="s">
        <v>8</v>
      </c>
      <c r="F15" s="194">
        <v>3</v>
      </c>
      <c r="G15" s="678">
        <f xml:space="preserve"> G12 +G14</f>
        <v>0.72200000000000009</v>
      </c>
      <c r="H15" s="684">
        <f xml:space="preserve"> H12 +H14</f>
        <v>17.036000000000001</v>
      </c>
      <c r="I15" s="685">
        <f xml:space="preserve"> I12 +I14</f>
        <v>71.183000000000007</v>
      </c>
      <c r="J15" s="678">
        <f xml:space="preserve"> J12 +J14</f>
        <v>88.941000000000003</v>
      </c>
      <c r="K15" s="678">
        <f t="shared" ref="K15:N15" si="10" xml:space="preserve"> K12 +K14</f>
        <v>0.79400000000000004</v>
      </c>
      <c r="L15" s="684">
        <f t="shared" si="10"/>
        <v>23.208000000000002</v>
      </c>
      <c r="M15" s="685">
        <f t="shared" si="10"/>
        <v>55.603999999999999</v>
      </c>
      <c r="N15" s="678">
        <f t="shared" si="10"/>
        <v>79.605999999999995</v>
      </c>
      <c r="O15" s="679">
        <f t="shared" ref="O15:O17" si="11">J15+N15</f>
        <v>168.547</v>
      </c>
      <c r="Q15" s="1164">
        <f t="shared" si="1"/>
        <v>0</v>
      </c>
      <c r="AA15" s="177"/>
      <c r="AC15" s="86">
        <f t="shared" ref="AC15" si="12" xml:space="preserve"> IF( (AE15 - AF15) = 0, 0, 1 )</f>
        <v>0</v>
      </c>
      <c r="AE15" s="143">
        <f t="shared" ref="AE15" si="13" xml:space="preserve"> ROUND( O15, 3)</f>
        <v>168.547</v>
      </c>
      <c r="AF15" s="143">
        <f xml:space="preserve"> ROUND( '2C'!G14, 3)</f>
        <v>168.547</v>
      </c>
      <c r="AG15" s="69" t="s">
        <v>3133</v>
      </c>
      <c r="BA15" s="94" t="s">
        <v>3132</v>
      </c>
      <c r="BB15" s="95" t="s">
        <v>949</v>
      </c>
      <c r="BC15" s="95"/>
      <c r="BD15" s="96" t="s">
        <v>8</v>
      </c>
      <c r="BE15" s="194">
        <v>3</v>
      </c>
      <c r="BF15" s="678" t="s">
        <v>3134</v>
      </c>
      <c r="BG15" s="684" t="s">
        <v>3135</v>
      </c>
      <c r="BH15" s="685" t="s">
        <v>3136</v>
      </c>
      <c r="BI15" s="678" t="s">
        <v>3137</v>
      </c>
      <c r="BJ15" s="678" t="s">
        <v>3138</v>
      </c>
      <c r="BK15" s="684" t="s">
        <v>3139</v>
      </c>
      <c r="BL15" s="685" t="s">
        <v>3140</v>
      </c>
      <c r="BM15" s="678" t="s">
        <v>3141</v>
      </c>
      <c r="BN15" s="679" t="s">
        <v>3142</v>
      </c>
    </row>
    <row r="16" spans="2:66" ht="15" thickBot="1">
      <c r="B16" s="65"/>
      <c r="C16" s="65"/>
      <c r="D16" s="65"/>
      <c r="E16" s="65"/>
      <c r="F16" s="65"/>
      <c r="G16" s="65"/>
      <c r="H16" s="65"/>
      <c r="I16" s="65"/>
      <c r="J16" s="65"/>
      <c r="K16" s="65"/>
      <c r="L16" s="65"/>
      <c r="M16" s="65"/>
      <c r="N16" s="65"/>
      <c r="O16" s="65"/>
      <c r="AA16" s="177"/>
      <c r="AC16" s="113"/>
      <c r="AE16" s="143"/>
      <c r="AF16" s="143"/>
      <c r="BA16" s="65"/>
      <c r="BB16" s="65"/>
      <c r="BC16" s="65"/>
      <c r="BD16" s="65"/>
      <c r="BE16" s="65"/>
      <c r="BF16" s="65"/>
      <c r="BG16" s="65"/>
      <c r="BH16" s="65"/>
      <c r="BI16" s="65"/>
      <c r="BJ16" s="65"/>
      <c r="BK16" s="65"/>
      <c r="BL16" s="65"/>
      <c r="BM16" s="65"/>
      <c r="BN16" s="65"/>
    </row>
    <row r="17" spans="2:66">
      <c r="B17" s="196" t="s">
        <v>3143</v>
      </c>
      <c r="C17" s="109" t="s">
        <v>3144</v>
      </c>
      <c r="D17" s="109"/>
      <c r="E17" s="81" t="s">
        <v>8</v>
      </c>
      <c r="F17" s="185">
        <v>3</v>
      </c>
      <c r="G17" s="680">
        <v>1E-3</v>
      </c>
      <c r="H17" s="681">
        <v>0</v>
      </c>
      <c r="I17" s="682">
        <v>6.2E-2</v>
      </c>
      <c r="J17" s="186">
        <f t="shared" si="0"/>
        <v>6.3E-2</v>
      </c>
      <c r="K17" s="680">
        <v>1E-3</v>
      </c>
      <c r="L17" s="681">
        <v>1E-3</v>
      </c>
      <c r="M17" s="682">
        <v>0.04</v>
      </c>
      <c r="N17" s="186">
        <f t="shared" ref="N17" si="14">SUM(K17:M17)</f>
        <v>4.2000000000000003E-2</v>
      </c>
      <c r="O17" s="186">
        <f t="shared" si="11"/>
        <v>0.10500000000000001</v>
      </c>
      <c r="Q17" s="1164">
        <f t="shared" si="1"/>
        <v>0</v>
      </c>
      <c r="R17" s="25">
        <f xml:space="preserve"> IF( SUM( T17:AB17 ) = 0, 0, $U$6 )</f>
        <v>0</v>
      </c>
      <c r="U17" s="86">
        <f t="shared" ref="U17" si="15" xml:space="preserve"> IF( ISNUMBER( G17 ), 0, 1 )</f>
        <v>0</v>
      </c>
      <c r="V17" s="86">
        <f>IF(Validation!$H$3=1,0,IF(ISNUMBER(H17),0,1))</f>
        <v>0</v>
      </c>
      <c r="W17" s="86">
        <f>IF(Validation!$H$3=1,0,IF(ISNUMBER(I17),0,1))</f>
        <v>0</v>
      </c>
      <c r="X17" s="86">
        <f t="shared" ref="X17" si="16" xml:space="preserve"> IF( ISNUMBER( K17 ), 0, 1 )</f>
        <v>0</v>
      </c>
      <c r="Y17" s="86">
        <f>IF(Validation!$H$3=1,0,IF(ISNUMBER(L17),0,1))</f>
        <v>0</v>
      </c>
      <c r="Z17" s="86">
        <f>IF(Validation!$H$3=1,0,IF(ISNUMBER(M17),0,1))</f>
        <v>0</v>
      </c>
      <c r="AA17" s="177"/>
      <c r="AC17" s="113"/>
      <c r="AE17" s="143"/>
      <c r="AF17" s="143"/>
      <c r="BA17" s="196" t="s">
        <v>3143</v>
      </c>
      <c r="BB17" s="109" t="s">
        <v>3144</v>
      </c>
      <c r="BC17" s="109"/>
      <c r="BD17" s="81" t="s">
        <v>8</v>
      </c>
      <c r="BE17" s="185">
        <v>3</v>
      </c>
      <c r="BF17" s="1615" t="s">
        <v>3145</v>
      </c>
      <c r="BG17" s="1838" t="s">
        <v>3146</v>
      </c>
      <c r="BH17" s="1839" t="s">
        <v>3147</v>
      </c>
      <c r="BI17" s="1616" t="s">
        <v>3148</v>
      </c>
      <c r="BJ17" s="1615" t="s">
        <v>3149</v>
      </c>
      <c r="BK17" s="1838" t="s">
        <v>3150</v>
      </c>
      <c r="BL17" s="1839" t="s">
        <v>3151</v>
      </c>
      <c r="BM17" s="1616" t="s">
        <v>3152</v>
      </c>
      <c r="BN17" s="1616" t="s">
        <v>3153</v>
      </c>
    </row>
    <row r="18" spans="2:66">
      <c r="B18" s="200" t="s">
        <v>3154</v>
      </c>
      <c r="C18" s="80" t="s">
        <v>3155</v>
      </c>
      <c r="D18" s="80"/>
      <c r="E18" s="88" t="s">
        <v>8</v>
      </c>
      <c r="F18" s="187">
        <v>3</v>
      </c>
      <c r="G18" s="686">
        <v>1.6E-2</v>
      </c>
      <c r="H18" s="687">
        <v>5.0000000000000001E-3</v>
      </c>
      <c r="I18" s="557">
        <v>1.2789999999999999</v>
      </c>
      <c r="J18" s="188">
        <f t="shared" si="0"/>
        <v>1.2999999999999998</v>
      </c>
      <c r="K18" s="686">
        <v>1.2999999999999999E-2</v>
      </c>
      <c r="L18" s="687">
        <v>1.7999999999999999E-2</v>
      </c>
      <c r="M18" s="557">
        <v>0.81699999999999995</v>
      </c>
      <c r="N18" s="188">
        <f t="shared" ref="N18" si="17">SUM(K18:M18)</f>
        <v>0.84799999999999998</v>
      </c>
      <c r="O18" s="188">
        <f t="shared" ref="O18" si="18">J18+N18</f>
        <v>2.1479999999999997</v>
      </c>
      <c r="Q18" s="1164"/>
      <c r="R18" s="25">
        <f xml:space="preserve"> IF( SUM( T18:AB18 ) = 0, 0, $U$6 )</f>
        <v>0</v>
      </c>
      <c r="U18" s="86">
        <f t="shared" ref="U18" si="19" xml:space="preserve"> IF( ISNUMBER( G18 ), 0, 1 )</f>
        <v>0</v>
      </c>
      <c r="V18" s="86">
        <f>IF(Validation!$H$3=1,0,IF(ISNUMBER(H18),0,1))</f>
        <v>0</v>
      </c>
      <c r="W18" s="86">
        <f>IF(Validation!$H$3=1,0,IF(ISNUMBER(I18),0,1))</f>
        <v>0</v>
      </c>
      <c r="X18" s="86">
        <f t="shared" ref="X18" si="20" xml:space="preserve"> IF( ISNUMBER( K18 ), 0, 1 )</f>
        <v>0</v>
      </c>
      <c r="Y18" s="86">
        <f>IF(Validation!$H$3=1,0,IF(ISNUMBER(L18),0,1))</f>
        <v>0</v>
      </c>
      <c r="Z18" s="86">
        <f>IF(Validation!$H$3=1,0,IF(ISNUMBER(M18),0,1))</f>
        <v>0</v>
      </c>
      <c r="AA18" s="177"/>
      <c r="AC18" s="735"/>
      <c r="AE18" s="143"/>
      <c r="AF18" s="143"/>
      <c r="BA18" s="200" t="s">
        <v>3154</v>
      </c>
      <c r="BB18" s="80" t="s">
        <v>3155</v>
      </c>
      <c r="BC18" s="80"/>
      <c r="BD18" s="88" t="s">
        <v>8</v>
      </c>
      <c r="BE18" s="187">
        <v>3</v>
      </c>
      <c r="BF18" s="1837" t="s">
        <v>3156</v>
      </c>
      <c r="BG18" s="1840" t="s">
        <v>3157</v>
      </c>
      <c r="BH18" s="1841" t="s">
        <v>3158</v>
      </c>
      <c r="BI18" s="1842" t="s">
        <v>3159</v>
      </c>
      <c r="BJ18" s="1837" t="s">
        <v>3160</v>
      </c>
      <c r="BK18" s="1840" t="s">
        <v>3161</v>
      </c>
      <c r="BL18" s="1841" t="s">
        <v>3162</v>
      </c>
      <c r="BM18" s="1842" t="s">
        <v>3152</v>
      </c>
      <c r="BN18" s="1842" t="s">
        <v>3163</v>
      </c>
    </row>
    <row r="19" spans="2:66">
      <c r="B19" s="200" t="s">
        <v>3164</v>
      </c>
      <c r="C19" s="189" t="s">
        <v>3165</v>
      </c>
      <c r="D19" s="189"/>
      <c r="E19" s="88" t="s">
        <v>8</v>
      </c>
      <c r="F19" s="187">
        <v>3</v>
      </c>
      <c r="G19" s="408">
        <v>0</v>
      </c>
      <c r="H19" s="347">
        <v>0</v>
      </c>
      <c r="I19" s="348">
        <v>0</v>
      </c>
      <c r="J19" s="188">
        <f t="shared" si="0"/>
        <v>0</v>
      </c>
      <c r="K19" s="408">
        <v>0</v>
      </c>
      <c r="L19" s="347">
        <v>0</v>
      </c>
      <c r="M19" s="348">
        <v>0</v>
      </c>
      <c r="N19" s="188">
        <f t="shared" ref="N19" si="21">SUM(K19:M19)</f>
        <v>0</v>
      </c>
      <c r="O19" s="188">
        <f t="shared" si="4"/>
        <v>0</v>
      </c>
      <c r="Q19" s="1164">
        <f t="shared" si="1"/>
        <v>0</v>
      </c>
      <c r="R19" s="25">
        <f xml:space="preserve"> IF( SUM( T19:AB19 ) = 0, 0, $U$6 )</f>
        <v>0</v>
      </c>
      <c r="U19" s="86">
        <f t="shared" si="2"/>
        <v>0</v>
      </c>
      <c r="V19" s="86">
        <f>IF(Validation!$H$3=1,0,IF(ISNUMBER(H19),0,1))</f>
        <v>0</v>
      </c>
      <c r="W19" s="86">
        <f>IF(Validation!$H$3=1,0,IF(ISNUMBER(I19),0,1))</f>
        <v>0</v>
      </c>
      <c r="X19" s="86">
        <f t="shared" si="3"/>
        <v>0</v>
      </c>
      <c r="Y19" s="86">
        <f>IF(Validation!$H$3=1,0,IF(ISNUMBER(L19),0,1))</f>
        <v>0</v>
      </c>
      <c r="Z19" s="86">
        <f>IF(Validation!$H$3=1,0,IF(ISNUMBER(M19),0,1))</f>
        <v>0</v>
      </c>
      <c r="AA19" s="177"/>
      <c r="AC19" s="113"/>
      <c r="AE19" s="143"/>
      <c r="AF19" s="143"/>
      <c r="BA19" s="200" t="s">
        <v>3164</v>
      </c>
      <c r="BB19" s="189" t="s">
        <v>3165</v>
      </c>
      <c r="BC19" s="189"/>
      <c r="BD19" s="88" t="s">
        <v>8</v>
      </c>
      <c r="BE19" s="187">
        <v>3</v>
      </c>
      <c r="BF19" s="1617" t="s">
        <v>3166</v>
      </c>
      <c r="BG19" s="1843" t="s">
        <v>3167</v>
      </c>
      <c r="BH19" s="1844" t="s">
        <v>3168</v>
      </c>
      <c r="BI19" s="1842" t="s">
        <v>3169</v>
      </c>
      <c r="BJ19" s="1617" t="s">
        <v>3170</v>
      </c>
      <c r="BK19" s="1843" t="s">
        <v>3171</v>
      </c>
      <c r="BL19" s="1844" t="s">
        <v>3172</v>
      </c>
      <c r="BM19" s="1842" t="s">
        <v>3173</v>
      </c>
      <c r="BN19" s="1842" t="s">
        <v>3174</v>
      </c>
    </row>
    <row r="20" spans="2:66">
      <c r="B20" s="200" t="s">
        <v>3175</v>
      </c>
      <c r="C20" s="189" t="s">
        <v>3176</v>
      </c>
      <c r="D20" s="189"/>
      <c r="E20" s="88" t="s">
        <v>8</v>
      </c>
      <c r="F20" s="187">
        <v>3</v>
      </c>
      <c r="G20" s="407">
        <v>7.0000000000000001E-3</v>
      </c>
      <c r="H20" s="350">
        <v>2E-3</v>
      </c>
      <c r="I20" s="351">
        <v>0.59599999999999997</v>
      </c>
      <c r="J20" s="188">
        <f t="shared" si="0"/>
        <v>0.60499999999999998</v>
      </c>
      <c r="K20" s="407">
        <v>6.0000000000000001E-3</v>
      </c>
      <c r="L20" s="350">
        <v>8.0000000000000002E-3</v>
      </c>
      <c r="M20" s="351">
        <v>0.38100000000000001</v>
      </c>
      <c r="N20" s="188">
        <f t="shared" ref="N20" si="22">SUM(K20:M20)</f>
        <v>0.39500000000000002</v>
      </c>
      <c r="O20" s="188">
        <f t="shared" ref="O20" si="23">J20+N20</f>
        <v>1</v>
      </c>
      <c r="Q20" s="1164"/>
      <c r="R20" s="25">
        <f xml:space="preserve"> IF( SUM( T20:AB20 ) = 0, 0, $U$6 )</f>
        <v>0</v>
      </c>
      <c r="U20" s="86">
        <f t="shared" si="2"/>
        <v>0</v>
      </c>
      <c r="V20" s="86">
        <f>IF(Validation!$H$3=1,0,IF(ISNUMBER(H20),0,1))</f>
        <v>0</v>
      </c>
      <c r="W20" s="86">
        <f>IF(Validation!$H$3=1,0,IF(ISNUMBER(I20),0,1))</f>
        <v>0</v>
      </c>
      <c r="X20" s="86">
        <f t="shared" si="3"/>
        <v>0</v>
      </c>
      <c r="Y20" s="86">
        <f>IF(Validation!$H$3=1,0,IF(ISNUMBER(L20),0,1))</f>
        <v>0</v>
      </c>
      <c r="Z20" s="86">
        <f>IF(Validation!$H$3=1,0,IF(ISNUMBER(M20),0,1))</f>
        <v>0</v>
      </c>
      <c r="AA20" s="177"/>
      <c r="AC20" s="735"/>
      <c r="AE20" s="143"/>
      <c r="AF20" s="143"/>
      <c r="BA20" s="200" t="s">
        <v>3175</v>
      </c>
      <c r="BB20" s="189" t="s">
        <v>3176</v>
      </c>
      <c r="BC20" s="189"/>
      <c r="BD20" s="88" t="s">
        <v>8</v>
      </c>
      <c r="BE20" s="187">
        <v>3</v>
      </c>
      <c r="BF20" s="1845" t="s">
        <v>3177</v>
      </c>
      <c r="BG20" s="1846" t="s">
        <v>3178</v>
      </c>
      <c r="BH20" s="1847" t="s">
        <v>3179</v>
      </c>
      <c r="BI20" s="1842" t="s">
        <v>3180</v>
      </c>
      <c r="BJ20" s="1845" t="s">
        <v>3181</v>
      </c>
      <c r="BK20" s="1846" t="s">
        <v>3182</v>
      </c>
      <c r="BL20" s="1847" t="s">
        <v>3183</v>
      </c>
      <c r="BM20" s="1842" t="s">
        <v>3173</v>
      </c>
      <c r="BN20" s="1842" t="s">
        <v>3184</v>
      </c>
    </row>
    <row r="21" spans="2:66" ht="15" thickBot="1">
      <c r="B21" s="94" t="s">
        <v>3185</v>
      </c>
      <c r="C21" s="95" t="s">
        <v>1107</v>
      </c>
      <c r="D21" s="95"/>
      <c r="E21" s="96" t="s">
        <v>8</v>
      </c>
      <c r="F21" s="194">
        <v>3</v>
      </c>
      <c r="G21" s="678">
        <f xml:space="preserve"> G15 + SUM(G17:G20)</f>
        <v>0.74600000000000011</v>
      </c>
      <c r="H21" s="684">
        <f t="shared" ref="H21:I21" si="24" xml:space="preserve"> H15 + SUM(H17:H20)</f>
        <v>17.043000000000003</v>
      </c>
      <c r="I21" s="685">
        <f t="shared" si="24"/>
        <v>73.12</v>
      </c>
      <c r="J21" s="678">
        <f t="shared" ref="J21" si="25" xml:space="preserve"> J15 + SUM(J17:J20)</f>
        <v>90.909000000000006</v>
      </c>
      <c r="K21" s="678">
        <f t="shared" ref="K21" si="26" xml:space="preserve"> K15 + SUM(K17:K20)</f>
        <v>0.81400000000000006</v>
      </c>
      <c r="L21" s="684">
        <f t="shared" ref="L21" si="27" xml:space="preserve"> L15 + SUM(L17:L20)</f>
        <v>23.235000000000003</v>
      </c>
      <c r="M21" s="685">
        <f t="shared" ref="M21" si="28" xml:space="preserve"> M15 + SUM(M17:M20)</f>
        <v>56.841999999999999</v>
      </c>
      <c r="N21" s="678">
        <f t="shared" ref="N21" si="29" xml:space="preserve"> N15 + SUM(N17:N20)</f>
        <v>80.890999999999991</v>
      </c>
      <c r="O21" s="679">
        <f t="shared" si="4"/>
        <v>171.8</v>
      </c>
      <c r="Q21" s="1164">
        <f t="shared" si="1"/>
        <v>0</v>
      </c>
      <c r="AA21" s="177"/>
      <c r="AC21" s="86">
        <f t="shared" ref="AC21" si="30" xml:space="preserve"> IF( (AE21 - AF21) = 0, 0, 1 )</f>
        <v>0</v>
      </c>
      <c r="AE21" s="143">
        <f t="shared" ref="AE21" si="31" xml:space="preserve"> ROUND( O21, 3)</f>
        <v>171.8</v>
      </c>
      <c r="AF21" s="143">
        <f xml:space="preserve"> ROUND( '2C'!G19, 3)</f>
        <v>171.8</v>
      </c>
      <c r="AG21" s="69" t="s">
        <v>3186</v>
      </c>
      <c r="BA21" s="94" t="s">
        <v>3185</v>
      </c>
      <c r="BB21" s="95" t="s">
        <v>1107</v>
      </c>
      <c r="BC21" s="95"/>
      <c r="BD21" s="96" t="s">
        <v>8</v>
      </c>
      <c r="BE21" s="194">
        <v>3</v>
      </c>
      <c r="BF21" s="1848" t="s">
        <v>3187</v>
      </c>
      <c r="BG21" s="1849" t="s">
        <v>3188</v>
      </c>
      <c r="BH21" s="1850" t="s">
        <v>3189</v>
      </c>
      <c r="BI21" s="1848" t="s">
        <v>3190</v>
      </c>
      <c r="BJ21" s="1848" t="s">
        <v>3191</v>
      </c>
      <c r="BK21" s="1849" t="s">
        <v>3192</v>
      </c>
      <c r="BL21" s="1850" t="s">
        <v>3193</v>
      </c>
      <c r="BM21" s="1848" t="s">
        <v>3194</v>
      </c>
      <c r="BN21" s="1851" t="s">
        <v>3195</v>
      </c>
    </row>
    <row r="22" spans="2:66" ht="15" thickBot="1">
      <c r="B22" s="113"/>
      <c r="C22" s="68"/>
      <c r="D22" s="68"/>
      <c r="E22" s="108"/>
      <c r="F22" s="108"/>
      <c r="G22" s="143"/>
      <c r="H22" s="65"/>
      <c r="I22" s="65"/>
      <c r="J22" s="143"/>
      <c r="K22" s="143"/>
      <c r="L22" s="65"/>
      <c r="M22" s="65"/>
      <c r="N22" s="143"/>
      <c r="O22" s="143"/>
      <c r="Q22" s="688"/>
      <c r="AA22" s="177"/>
      <c r="AC22" s="113"/>
      <c r="AE22" s="143"/>
      <c r="AF22" s="143"/>
      <c r="BA22" s="113"/>
      <c r="BB22" s="68"/>
      <c r="BC22" s="68"/>
      <c r="BD22" s="108"/>
      <c r="BE22" s="108"/>
      <c r="BF22" s="1462"/>
      <c r="BG22" s="258"/>
      <c r="BH22" s="258"/>
      <c r="BI22" s="1462"/>
      <c r="BJ22" s="1462"/>
      <c r="BK22" s="258"/>
      <c r="BL22" s="258"/>
      <c r="BM22" s="1462"/>
      <c r="BN22" s="1462"/>
    </row>
    <row r="23" spans="2:66" ht="15" thickBot="1">
      <c r="B23" s="119" t="s">
        <v>3196</v>
      </c>
      <c r="C23" s="120" t="s">
        <v>597</v>
      </c>
      <c r="D23" s="120"/>
      <c r="E23" s="121" t="s">
        <v>8</v>
      </c>
      <c r="F23" s="659">
        <v>3</v>
      </c>
      <c r="G23" s="689">
        <v>0.28399999999999997</v>
      </c>
      <c r="H23" s="690">
        <v>8.6999999999999994E-2</v>
      </c>
      <c r="I23" s="691">
        <v>23.161999999999999</v>
      </c>
      <c r="J23" s="692">
        <f t="shared" ref="J23" si="32">SUM(G23:I23)</f>
        <v>23.532999999999998</v>
      </c>
      <c r="K23" s="689">
        <v>0.24399999999999999</v>
      </c>
      <c r="L23" s="690">
        <v>0.31900000000000001</v>
      </c>
      <c r="M23" s="691">
        <v>14.795999999999999</v>
      </c>
      <c r="N23" s="692">
        <f t="shared" ref="N23" si="33">SUM(K23:M23)</f>
        <v>15.359</v>
      </c>
      <c r="O23" s="692">
        <f t="shared" ref="O23" si="34">J23+N23</f>
        <v>38.891999999999996</v>
      </c>
      <c r="Q23" s="1164">
        <f t="shared" ref="Q23" si="35" xml:space="preserve"> IF( SUM( AB23:AD23 ) = 0, 0, AG23 )</f>
        <v>0</v>
      </c>
      <c r="R23" s="25">
        <f xml:space="preserve"> IF( SUM( T23:AB23 ) = 0, 0, $U$6 )</f>
        <v>0</v>
      </c>
      <c r="U23" s="86">
        <f t="shared" ref="U23" si="36" xml:space="preserve"> IF( ISNUMBER( G23 ), 0, 1 )</f>
        <v>0</v>
      </c>
      <c r="V23" s="86">
        <f>IF(Validation!$H$3=1,0,IF(ISNUMBER(H23),0,1))</f>
        <v>0</v>
      </c>
      <c r="W23" s="86">
        <f>IF(Validation!$H$3=1,0,IF(ISNUMBER(I23),0,1))</f>
        <v>0</v>
      </c>
      <c r="X23" s="86">
        <f t="shared" ref="X23" si="37" xml:space="preserve"> IF( ISNUMBER( K23 ), 0, 1 )</f>
        <v>0</v>
      </c>
      <c r="Y23" s="86">
        <f>IF(Validation!$H$3=1,0,IF(ISNUMBER(L23),0,1))</f>
        <v>0</v>
      </c>
      <c r="Z23" s="86">
        <f>IF(Validation!$H$3=1,0,IF(ISNUMBER(M23),0,1))</f>
        <v>0</v>
      </c>
      <c r="AA23" s="177"/>
      <c r="AC23" s="113"/>
      <c r="AE23" s="143"/>
      <c r="AF23" s="143"/>
      <c r="BA23" s="119" t="s">
        <v>3196</v>
      </c>
      <c r="BB23" s="120" t="s">
        <v>597</v>
      </c>
      <c r="BC23" s="120"/>
      <c r="BD23" s="121" t="s">
        <v>8</v>
      </c>
      <c r="BE23" s="659">
        <v>3</v>
      </c>
      <c r="BF23" s="1613" t="s">
        <v>3197</v>
      </c>
      <c r="BG23" s="1614" t="s">
        <v>3198</v>
      </c>
      <c r="BH23" s="1852" t="s">
        <v>3199</v>
      </c>
      <c r="BI23" s="1853" t="s">
        <v>3200</v>
      </c>
      <c r="BJ23" s="1613" t="s">
        <v>3201</v>
      </c>
      <c r="BK23" s="1614" t="s">
        <v>3202</v>
      </c>
      <c r="BL23" s="1852" t="s">
        <v>3203</v>
      </c>
      <c r="BM23" s="1853" t="s">
        <v>3204</v>
      </c>
      <c r="BN23" s="1853" t="s">
        <v>3205</v>
      </c>
    </row>
    <row r="24" spans="2:66" ht="15" thickBot="1">
      <c r="B24" s="65"/>
      <c r="C24" s="65"/>
      <c r="D24" s="65"/>
      <c r="E24" s="65"/>
      <c r="F24" s="65"/>
      <c r="G24" s="65"/>
      <c r="H24" s="65"/>
      <c r="I24" s="65"/>
      <c r="J24" s="65"/>
      <c r="K24" s="65"/>
      <c r="L24" s="65"/>
      <c r="M24" s="65"/>
      <c r="N24" s="65"/>
      <c r="O24" s="65"/>
      <c r="AA24" s="177"/>
      <c r="AC24" s="113"/>
      <c r="AE24" s="143"/>
      <c r="AF24" s="143"/>
      <c r="BA24" s="65"/>
      <c r="BB24" s="65"/>
      <c r="BC24" s="65"/>
      <c r="BD24" s="65"/>
      <c r="BE24" s="65"/>
      <c r="BF24" s="65"/>
      <c r="BG24" s="65"/>
      <c r="BH24" s="65"/>
      <c r="BI24" s="65"/>
      <c r="BJ24" s="65"/>
      <c r="BK24" s="65"/>
      <c r="BL24" s="65"/>
      <c r="BM24" s="65"/>
      <c r="BN24" s="65"/>
    </row>
    <row r="25" spans="2:66" s="65" customFormat="1" ht="15" thickBot="1">
      <c r="B25" s="106" t="s">
        <v>236</v>
      </c>
      <c r="C25" s="107" t="s">
        <v>3206</v>
      </c>
      <c r="D25" s="1292"/>
      <c r="T25" s="66"/>
      <c r="AA25" s="177"/>
      <c r="AB25" s="66"/>
      <c r="AC25" s="113"/>
      <c r="AD25" s="66"/>
      <c r="AE25" s="143"/>
      <c r="AF25" s="143"/>
      <c r="AG25" s="69"/>
      <c r="AH25" s="66"/>
      <c r="BA25" s="106" t="s">
        <v>236</v>
      </c>
      <c r="BB25" s="107" t="s">
        <v>3206</v>
      </c>
      <c r="BC25" s="1292"/>
    </row>
    <row r="26" spans="2:66">
      <c r="B26" s="196" t="s">
        <v>3207</v>
      </c>
      <c r="C26" s="197" t="s">
        <v>3208</v>
      </c>
      <c r="D26" s="197"/>
      <c r="E26" s="198" t="s">
        <v>8</v>
      </c>
      <c r="F26" s="199">
        <v>3</v>
      </c>
      <c r="G26" s="74"/>
      <c r="H26" s="74"/>
      <c r="I26" s="74"/>
      <c r="J26" s="74"/>
      <c r="K26" s="74"/>
      <c r="L26" s="74"/>
      <c r="M26" s="74"/>
      <c r="N26" s="74"/>
      <c r="O26" s="409">
        <v>7.2629999999999999</v>
      </c>
      <c r="R26" s="25">
        <f xml:space="preserve"> IF( SUM( T26:AB26 ) = 0, 0, $U$6 )</f>
        <v>0</v>
      </c>
      <c r="AA26" s="86">
        <f t="shared" ref="AA26:AA30" si="38" xml:space="preserve"> IF( ISNUMBER( O26 ), 0, 1 )</f>
        <v>0</v>
      </c>
      <c r="AC26" s="113"/>
      <c r="AE26" s="143"/>
      <c r="AF26" s="143"/>
      <c r="BA26" s="196" t="s">
        <v>3207</v>
      </c>
      <c r="BB26" s="197" t="s">
        <v>3208</v>
      </c>
      <c r="BC26" s="197"/>
      <c r="BD26" s="198" t="s">
        <v>8</v>
      </c>
      <c r="BE26" s="199">
        <v>3</v>
      </c>
      <c r="BF26" s="74"/>
      <c r="BG26" s="74"/>
      <c r="BH26" s="74"/>
      <c r="BI26" s="74"/>
      <c r="BJ26" s="74"/>
      <c r="BK26" s="74"/>
      <c r="BL26" s="74"/>
      <c r="BM26" s="74"/>
      <c r="BN26" s="409" t="s">
        <v>3209</v>
      </c>
    </row>
    <row r="27" spans="2:66">
      <c r="B27" s="200" t="s">
        <v>3210</v>
      </c>
      <c r="C27" s="80" t="s">
        <v>3211</v>
      </c>
      <c r="D27" s="80"/>
      <c r="E27" s="88" t="s">
        <v>8</v>
      </c>
      <c r="F27" s="201">
        <v>3</v>
      </c>
      <c r="G27" s="74"/>
      <c r="H27" s="74"/>
      <c r="I27" s="74"/>
      <c r="J27" s="74"/>
      <c r="K27" s="74"/>
      <c r="L27" s="74"/>
      <c r="M27" s="74"/>
      <c r="N27" s="74"/>
      <c r="O27" s="410">
        <v>5.3780000000000001</v>
      </c>
      <c r="R27" s="25">
        <f xml:space="preserve"> IF( SUM( T27:AB27 ) = 0, 0, $U$6 )</f>
        <v>0</v>
      </c>
      <c r="AA27" s="86">
        <f t="shared" si="38"/>
        <v>0</v>
      </c>
      <c r="AC27" s="113"/>
      <c r="AE27" s="143"/>
      <c r="AF27" s="143"/>
      <c r="BA27" s="200" t="s">
        <v>3210</v>
      </c>
      <c r="BB27" s="80" t="s">
        <v>3211</v>
      </c>
      <c r="BC27" s="80"/>
      <c r="BD27" s="88" t="s">
        <v>8</v>
      </c>
      <c r="BE27" s="201">
        <v>3</v>
      </c>
      <c r="BF27" s="74"/>
      <c r="BG27" s="74"/>
      <c r="BH27" s="74"/>
      <c r="BI27" s="74"/>
      <c r="BJ27" s="74"/>
      <c r="BK27" s="74"/>
      <c r="BL27" s="74"/>
      <c r="BM27" s="74"/>
      <c r="BN27" s="410" t="s">
        <v>3212</v>
      </c>
    </row>
    <row r="28" spans="2:66">
      <c r="B28" s="200" t="s">
        <v>3213</v>
      </c>
      <c r="C28" s="80" t="s">
        <v>3214</v>
      </c>
      <c r="D28" s="80"/>
      <c r="E28" s="88" t="s">
        <v>8</v>
      </c>
      <c r="F28" s="201">
        <v>3</v>
      </c>
      <c r="G28" s="74"/>
      <c r="H28" s="74"/>
      <c r="I28" s="74"/>
      <c r="J28" s="74"/>
      <c r="K28" s="74"/>
      <c r="L28" s="74"/>
      <c r="M28" s="74"/>
      <c r="N28" s="74"/>
      <c r="O28" s="188">
        <f>O26-O27</f>
        <v>1.8849999999999998</v>
      </c>
      <c r="S28" s="110"/>
      <c r="T28" s="114"/>
      <c r="AA28" s="177"/>
      <c r="AC28" s="113"/>
      <c r="AE28" s="143"/>
      <c r="AF28" s="143"/>
      <c r="BA28" s="200" t="s">
        <v>3213</v>
      </c>
      <c r="BB28" s="80" t="s">
        <v>3214</v>
      </c>
      <c r="BC28" s="80"/>
      <c r="BD28" s="88" t="s">
        <v>8</v>
      </c>
      <c r="BE28" s="201">
        <v>3</v>
      </c>
      <c r="BF28" s="74"/>
      <c r="BG28" s="74"/>
      <c r="BH28" s="74"/>
      <c r="BI28" s="74"/>
      <c r="BJ28" s="74"/>
      <c r="BK28" s="74"/>
      <c r="BL28" s="74"/>
      <c r="BM28" s="74"/>
      <c r="BN28" s="188" t="s">
        <v>3215</v>
      </c>
    </row>
    <row r="29" spans="2:66">
      <c r="B29" s="200" t="s">
        <v>3216</v>
      </c>
      <c r="C29" s="80" t="s">
        <v>3217</v>
      </c>
      <c r="D29" s="80"/>
      <c r="E29" s="88" t="s">
        <v>8</v>
      </c>
      <c r="F29" s="201">
        <v>3</v>
      </c>
      <c r="G29" s="74"/>
      <c r="H29" s="74"/>
      <c r="I29" s="74"/>
      <c r="J29" s="74"/>
      <c r="K29" s="74"/>
      <c r="L29" s="74"/>
      <c r="M29" s="74"/>
      <c r="N29" s="74"/>
      <c r="O29" s="410">
        <v>9.0090000000000003</v>
      </c>
      <c r="R29" s="25">
        <f xml:space="preserve"> IF( SUM( T29:AB29 ) = 0, 0, $U$6 )</f>
        <v>0</v>
      </c>
      <c r="AA29" s="86">
        <f t="shared" si="38"/>
        <v>0</v>
      </c>
      <c r="AC29" s="113"/>
      <c r="AE29" s="143"/>
      <c r="AF29" s="143"/>
      <c r="BA29" s="200" t="s">
        <v>3216</v>
      </c>
      <c r="BB29" s="80" t="s">
        <v>3217</v>
      </c>
      <c r="BC29" s="80"/>
      <c r="BD29" s="88" t="s">
        <v>8</v>
      </c>
      <c r="BE29" s="201">
        <v>3</v>
      </c>
      <c r="BF29" s="74"/>
      <c r="BG29" s="74"/>
      <c r="BH29" s="74"/>
      <c r="BI29" s="74"/>
      <c r="BJ29" s="74"/>
      <c r="BK29" s="74"/>
      <c r="BL29" s="74"/>
      <c r="BM29" s="74"/>
      <c r="BN29" s="410" t="s">
        <v>3218</v>
      </c>
    </row>
    <row r="30" spans="2:66">
      <c r="B30" s="200" t="s">
        <v>3219</v>
      </c>
      <c r="C30" s="80" t="s">
        <v>3220</v>
      </c>
      <c r="D30" s="80"/>
      <c r="E30" s="88" t="s">
        <v>8</v>
      </c>
      <c r="F30" s="201">
        <v>3</v>
      </c>
      <c r="G30" s="74"/>
      <c r="H30" s="74"/>
      <c r="I30" s="74"/>
      <c r="J30" s="74"/>
      <c r="K30" s="74"/>
      <c r="L30" s="74"/>
      <c r="M30" s="74"/>
      <c r="N30" s="74"/>
      <c r="O30" s="410">
        <v>-8.6120000000000001</v>
      </c>
      <c r="R30" s="25">
        <f xml:space="preserve"> IF( SUM( T30:AB30 ) = 0, 0, $U$6 )</f>
        <v>0</v>
      </c>
      <c r="AA30" s="86">
        <f t="shared" si="38"/>
        <v>0</v>
      </c>
      <c r="AC30" s="113"/>
      <c r="AE30" s="143"/>
      <c r="AF30" s="143"/>
      <c r="BA30" s="200" t="s">
        <v>3219</v>
      </c>
      <c r="BB30" s="80" t="s">
        <v>3220</v>
      </c>
      <c r="BC30" s="80"/>
      <c r="BD30" s="88" t="s">
        <v>8</v>
      </c>
      <c r="BE30" s="201">
        <v>3</v>
      </c>
      <c r="BF30" s="74"/>
      <c r="BG30" s="74"/>
      <c r="BH30" s="74"/>
      <c r="BI30" s="74"/>
      <c r="BJ30" s="74"/>
      <c r="BK30" s="74"/>
      <c r="BL30" s="74"/>
      <c r="BM30" s="74"/>
      <c r="BN30" s="410" t="s">
        <v>3221</v>
      </c>
    </row>
    <row r="31" spans="2:66" ht="15" thickBot="1">
      <c r="B31" s="202" t="s">
        <v>3222</v>
      </c>
      <c r="C31" s="203" t="s">
        <v>3223</v>
      </c>
      <c r="D31" s="203"/>
      <c r="E31" s="204" t="s">
        <v>8</v>
      </c>
      <c r="F31" s="205">
        <v>3</v>
      </c>
      <c r="G31" s="143"/>
      <c r="H31" s="143"/>
      <c r="I31" s="143"/>
      <c r="J31" s="143"/>
      <c r="K31" s="143"/>
      <c r="L31" s="143"/>
      <c r="M31" s="143"/>
      <c r="N31" s="143"/>
      <c r="O31" s="195">
        <f>O29-O30</f>
        <v>17.621000000000002</v>
      </c>
      <c r="S31" s="110"/>
      <c r="T31" s="114"/>
      <c r="AA31" s="177"/>
      <c r="AC31" s="113"/>
      <c r="AE31" s="143"/>
      <c r="AF31" s="143"/>
      <c r="BA31" s="202" t="s">
        <v>3222</v>
      </c>
      <c r="BB31" s="203" t="s">
        <v>3223</v>
      </c>
      <c r="BC31" s="203"/>
      <c r="BD31" s="204" t="s">
        <v>8</v>
      </c>
      <c r="BE31" s="205">
        <v>3</v>
      </c>
      <c r="BF31" s="143"/>
      <c r="BG31" s="143"/>
      <c r="BH31" s="143"/>
      <c r="BI31" s="143"/>
      <c r="BJ31" s="143"/>
      <c r="BK31" s="143"/>
      <c r="BL31" s="143"/>
      <c r="BM31" s="143"/>
      <c r="BN31" s="195" t="s">
        <v>3224</v>
      </c>
    </row>
    <row r="32" spans="2:66">
      <c r="B32" s="65"/>
      <c r="C32" s="65"/>
      <c r="D32" s="65"/>
      <c r="E32" s="65"/>
      <c r="F32" s="65"/>
      <c r="G32" s="65"/>
      <c r="H32" s="65"/>
      <c r="I32" s="65"/>
      <c r="J32" s="65"/>
      <c r="K32" s="65"/>
      <c r="L32" s="65"/>
      <c r="M32" s="65"/>
      <c r="N32" s="65"/>
      <c r="O32" s="65"/>
      <c r="P32" s="110"/>
      <c r="S32" s="110"/>
      <c r="T32" s="114"/>
      <c r="AA32" s="177"/>
      <c r="AB32" s="114"/>
      <c r="AC32" s="113"/>
      <c r="AD32" s="114"/>
      <c r="AE32" s="143"/>
      <c r="AF32" s="143"/>
      <c r="AH32" s="114"/>
      <c r="BA32" s="65"/>
      <c r="BB32" s="65"/>
      <c r="BC32" s="65"/>
      <c r="BD32" s="65"/>
      <c r="BE32" s="65"/>
      <c r="BF32" s="65"/>
      <c r="BG32" s="65"/>
      <c r="BH32" s="65"/>
      <c r="BI32" s="65"/>
      <c r="BJ32" s="65"/>
      <c r="BK32" s="65"/>
      <c r="BL32" s="65"/>
      <c r="BM32" s="65"/>
      <c r="BN32" s="65"/>
    </row>
    <row r="33" spans="2:34">
      <c r="B33" s="2256" t="s">
        <v>275</v>
      </c>
      <c r="C33" s="2256"/>
      <c r="D33" s="2195"/>
      <c r="E33" s="142"/>
      <c r="F33" s="142"/>
      <c r="G33" s="142"/>
      <c r="H33" s="142"/>
      <c r="I33" s="142"/>
      <c r="J33" s="142"/>
      <c r="K33" s="142"/>
      <c r="L33" s="142"/>
      <c r="M33" s="142"/>
      <c r="N33" s="142"/>
      <c r="O33" s="116"/>
      <c r="P33" s="116"/>
      <c r="AA33" s="177"/>
      <c r="AC33" s="113"/>
      <c r="AD33" s="111"/>
      <c r="AE33" s="143"/>
      <c r="AF33" s="143"/>
      <c r="AH33" s="111"/>
    </row>
    <row r="34" spans="2:34">
      <c r="B34" s="127"/>
      <c r="C34" s="128"/>
      <c r="D34" s="128"/>
      <c r="E34" s="142"/>
      <c r="F34" s="142"/>
      <c r="G34" s="142"/>
      <c r="H34" s="142"/>
      <c r="I34" s="142"/>
      <c r="J34" s="142"/>
      <c r="K34" s="142"/>
      <c r="L34" s="142"/>
      <c r="M34" s="142"/>
      <c r="N34" s="142"/>
      <c r="O34" s="116"/>
      <c r="P34" s="116"/>
      <c r="S34" s="116"/>
      <c r="T34" s="111"/>
      <c r="AA34" s="177"/>
      <c r="AB34" s="111"/>
      <c r="AC34" s="113"/>
      <c r="AD34" s="111"/>
      <c r="AE34" s="143"/>
      <c r="AF34" s="143"/>
      <c r="AH34" s="111"/>
    </row>
    <row r="35" spans="2:34">
      <c r="B35" s="26"/>
      <c r="C35" s="129" t="s">
        <v>249</v>
      </c>
      <c r="D35" s="129"/>
      <c r="E35" s="142"/>
      <c r="F35" s="142"/>
      <c r="G35" s="142"/>
      <c r="H35" s="142"/>
      <c r="I35" s="142"/>
      <c r="J35" s="142"/>
      <c r="K35" s="142"/>
      <c r="L35" s="142"/>
      <c r="M35" s="142"/>
      <c r="N35" s="142"/>
      <c r="O35" s="116"/>
      <c r="P35" s="116"/>
      <c r="AA35" s="177"/>
      <c r="AC35" s="113"/>
      <c r="AD35" s="111"/>
      <c r="AE35" s="143"/>
      <c r="AF35" s="143"/>
      <c r="AH35" s="111"/>
    </row>
    <row r="36" spans="2:34">
      <c r="B36" s="127"/>
      <c r="C36" s="128"/>
      <c r="D36" s="128"/>
      <c r="E36" s="142"/>
      <c r="F36" s="142"/>
      <c r="G36" s="142"/>
      <c r="H36" s="142"/>
      <c r="I36" s="142"/>
      <c r="J36" s="142"/>
      <c r="K36" s="142"/>
      <c r="L36" s="142"/>
      <c r="M36" s="142"/>
      <c r="N36" s="142"/>
      <c r="O36" s="116"/>
      <c r="P36" s="116"/>
      <c r="S36" s="116"/>
      <c r="T36" s="111"/>
      <c r="AA36" s="177"/>
      <c r="AB36" s="111"/>
      <c r="AC36" s="113"/>
      <c r="AD36" s="111"/>
      <c r="AE36" s="143"/>
      <c r="AF36" s="143"/>
      <c r="AH36" s="111"/>
    </row>
    <row r="37" spans="2:34">
      <c r="B37" s="130"/>
      <c r="C37" s="129" t="s">
        <v>250</v>
      </c>
      <c r="D37" s="129"/>
      <c r="E37" s="142"/>
      <c r="F37" s="142"/>
      <c r="G37" s="142"/>
      <c r="H37" s="142"/>
      <c r="I37" s="142"/>
      <c r="J37" s="142"/>
      <c r="K37" s="142"/>
      <c r="L37" s="142"/>
      <c r="M37" s="142"/>
      <c r="N37" s="142"/>
      <c r="O37" s="116"/>
      <c r="P37" s="116"/>
      <c r="S37" s="116"/>
      <c r="T37" s="111"/>
      <c r="AA37" s="177"/>
      <c r="AB37" s="111"/>
      <c r="AC37" s="113"/>
      <c r="AD37" s="111"/>
      <c r="AE37" s="143"/>
      <c r="AF37" s="143"/>
      <c r="AH37" s="111"/>
    </row>
    <row r="38" spans="2:34">
      <c r="B38" s="131"/>
      <c r="C38" s="129"/>
      <c r="D38" s="129"/>
      <c r="E38" s="142"/>
      <c r="F38" s="142"/>
      <c r="G38" s="142"/>
      <c r="H38" s="142"/>
      <c r="I38" s="142"/>
      <c r="J38" s="142"/>
      <c r="K38" s="142"/>
      <c r="L38" s="142"/>
      <c r="M38" s="142"/>
      <c r="N38" s="142"/>
      <c r="O38" s="116"/>
      <c r="P38" s="116"/>
      <c r="S38" s="116"/>
      <c r="T38" s="111"/>
      <c r="AA38" s="177"/>
      <c r="AB38" s="111"/>
      <c r="AC38" s="113"/>
      <c r="AD38" s="111"/>
      <c r="AE38" s="143"/>
      <c r="AF38" s="143"/>
      <c r="AH38" s="111"/>
    </row>
    <row r="39" spans="2:34" ht="15" thickBot="1">
      <c r="B39" s="155"/>
      <c r="C39" s="156"/>
      <c r="D39" s="156"/>
      <c r="E39" s="155"/>
      <c r="F39" s="155"/>
      <c r="G39" s="155"/>
      <c r="H39" s="155"/>
      <c r="I39" s="155"/>
      <c r="J39" s="155"/>
      <c r="K39" s="155"/>
      <c r="L39" s="155"/>
      <c r="M39" s="155"/>
      <c r="N39" s="155"/>
      <c r="O39" s="118"/>
      <c r="P39" s="116"/>
      <c r="S39" s="116"/>
      <c r="T39" s="111"/>
      <c r="AA39" s="177"/>
      <c r="AB39" s="111"/>
      <c r="AC39" s="113"/>
      <c r="AD39" s="111"/>
      <c r="AE39" s="143"/>
      <c r="AF39" s="143"/>
      <c r="AH39" s="111"/>
    </row>
    <row r="40" spans="2:34" ht="21" thickBot="1">
      <c r="B40" s="1166" t="s">
        <v>251</v>
      </c>
      <c r="C40" s="133"/>
      <c r="D40" s="133"/>
      <c r="E40" s="134"/>
      <c r="F40" s="134"/>
      <c r="G40" s="134"/>
      <c r="H40" s="134"/>
      <c r="I40" s="134"/>
      <c r="J40" s="134"/>
      <c r="K40" s="134"/>
      <c r="L40" s="134"/>
      <c r="M40" s="134"/>
      <c r="N40" s="134"/>
      <c r="O40" s="140"/>
      <c r="P40" s="116"/>
      <c r="S40" s="116"/>
      <c r="T40" s="111"/>
      <c r="AA40" s="177"/>
      <c r="AB40" s="111"/>
      <c r="AC40" s="113"/>
      <c r="AD40" s="111"/>
      <c r="AE40" s="143"/>
      <c r="AF40" s="143"/>
      <c r="AH40" s="111"/>
    </row>
    <row r="41" spans="2:34">
      <c r="B41" s="155"/>
      <c r="C41" s="156"/>
      <c r="D41" s="156"/>
      <c r="E41" s="155"/>
      <c r="F41" s="155"/>
      <c r="G41" s="155"/>
      <c r="H41" s="155"/>
      <c r="I41" s="155"/>
      <c r="J41" s="155"/>
      <c r="K41" s="155"/>
      <c r="L41" s="155"/>
      <c r="M41" s="155"/>
      <c r="N41" s="155"/>
      <c r="O41" s="118"/>
      <c r="P41" s="116"/>
      <c r="S41" s="116"/>
      <c r="T41" s="111"/>
      <c r="AA41" s="177"/>
      <c r="AB41" s="111"/>
      <c r="AC41" s="113"/>
      <c r="AD41" s="111"/>
      <c r="AE41" s="143"/>
      <c r="AF41" s="143"/>
      <c r="AH41" s="111"/>
    </row>
  </sheetData>
  <sheetProtection algorithmName="SHA-512" hashValue="1X6vZy39NnKcbPI+v9GFhX8qYxVLHVdsrXLCxIsoaSuLovv6xQgAr2vnceRHAVvNgJAdapwf8EeZt5sLagiXNg==" saltValue="mj/AaABw1Bfh0hK/c7T5MA==" spinCount="100000" sheet="1" objects="1" scenarios="1"/>
  <mergeCells count="16">
    <mergeCell ref="BN3:BN4"/>
    <mergeCell ref="BA3:BB4"/>
    <mergeCell ref="BD3:BD4"/>
    <mergeCell ref="BE3:BE4"/>
    <mergeCell ref="BF3:BI3"/>
    <mergeCell ref="BJ3:BM3"/>
    <mergeCell ref="Q3:Q4"/>
    <mergeCell ref="R3:R4"/>
    <mergeCell ref="U5:AA5"/>
    <mergeCell ref="B33:C33"/>
    <mergeCell ref="B3:C4"/>
    <mergeCell ref="E3:E4"/>
    <mergeCell ref="F3:F4"/>
    <mergeCell ref="G3:J3"/>
    <mergeCell ref="K3:N3"/>
    <mergeCell ref="O3:O4"/>
  </mergeCells>
  <conditionalFormatting sqref="Q7:Q12 Q14:Q15">
    <cfRule type="cellIs" dxfId="163" priority="45" operator="equal">
      <formula>0</formula>
    </cfRule>
  </conditionalFormatting>
  <conditionalFormatting sqref="Q17:Q23">
    <cfRule type="cellIs" dxfId="162" priority="27" operator="equal">
      <formula>0</formula>
    </cfRule>
  </conditionalFormatting>
  <conditionalFormatting sqref="R7:R11">
    <cfRule type="cellIs" dxfId="161" priority="48" operator="equal">
      <formula>0</formula>
    </cfRule>
  </conditionalFormatting>
  <conditionalFormatting sqref="R14">
    <cfRule type="cellIs" dxfId="160" priority="39" operator="equal">
      <formula>0</formula>
    </cfRule>
  </conditionalFormatting>
  <conditionalFormatting sqref="R17:R20">
    <cfRule type="cellIs" dxfId="159" priority="22" operator="equal">
      <formula>0</formula>
    </cfRule>
  </conditionalFormatting>
  <conditionalFormatting sqref="R23">
    <cfRule type="cellIs" dxfId="158" priority="24" operator="equal">
      <formula>0</formula>
    </cfRule>
  </conditionalFormatting>
  <conditionalFormatting sqref="R26:R27 R29:R30">
    <cfRule type="cellIs" dxfId="157" priority="47"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H12:I12 L12:M12</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H14:I15</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L14:M15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BG14:BH15</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BG17:BH21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BK14:BL15</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BK17:BL21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AK28"/>
  <sheetViews>
    <sheetView showGridLines="0" zoomScale="80" zoomScaleNormal="80" workbookViewId="0"/>
  </sheetViews>
  <sheetFormatPr defaultColWidth="0" defaultRowHeight="14.25" zeroHeight="1"/>
  <cols>
    <col min="1" max="1" width="0.625" customWidth="1"/>
    <col min="2" max="2" width="5.125" customWidth="1"/>
    <col min="3" max="3" width="48.125" bestFit="1" customWidth="1"/>
    <col min="4" max="4" width="1.125" hidden="1" customWidth="1"/>
    <col min="5" max="6" width="5.125" customWidth="1"/>
    <col min="7" max="10" width="14.625" customWidth="1"/>
    <col min="11" max="11" width="2.625" style="65" customWidth="1"/>
    <col min="12" max="12" width="62.125" style="69" bestFit="1" customWidth="1"/>
    <col min="13" max="13" width="18.625" style="65" bestFit="1" customWidth="1"/>
    <col min="14" max="14" width="1.625" style="65" customWidth="1"/>
    <col min="15" max="15" width="1.625" style="66" hidden="1" customWidth="1"/>
    <col min="16" max="18" width="8.625" style="65" hidden="1" customWidth="1"/>
    <col min="19" max="19" width="1.625" style="66" hidden="1" customWidth="1"/>
    <col min="20" max="20" width="8.625" style="69" hidden="1" customWidth="1"/>
    <col min="21" max="21" width="1.625" style="66" hidden="1" customWidth="1"/>
    <col min="22" max="23" width="8.625" style="69" hidden="1" customWidth="1"/>
    <col min="24" max="24" width="80.625" style="69" hidden="1" customWidth="1"/>
    <col min="25" max="25" width="1.625" style="66" hidden="1" customWidth="1"/>
    <col min="26" max="28" width="8.625" hidden="1" customWidth="1"/>
    <col min="29" max="29" width="5.125" hidden="1" customWidth="1"/>
    <col min="30" max="30" width="48.125" hidden="1" customWidth="1"/>
    <col min="31" max="31" width="1.125" hidden="1" customWidth="1"/>
    <col min="32" max="33" width="5.125" hidden="1" customWidth="1"/>
    <col min="34" max="37" width="14.625" hidden="1" customWidth="1"/>
    <col min="38" max="16384" width="8.625" hidden="1"/>
  </cols>
  <sheetData>
    <row r="1" spans="2:37" ht="20.25">
      <c r="B1" s="61" t="s">
        <v>3225</v>
      </c>
      <c r="C1" s="61"/>
      <c r="D1" s="61"/>
      <c r="E1" s="61"/>
      <c r="F1" s="61"/>
      <c r="G1" s="61"/>
      <c r="H1" s="61"/>
      <c r="I1" s="61"/>
      <c r="J1" s="63" t="str">
        <f>Validation!B3</f>
        <v>Thames Water</v>
      </c>
      <c r="K1" s="61"/>
      <c r="L1" s="64"/>
      <c r="M1" s="64" t="s">
        <v>94</v>
      </c>
      <c r="T1" s="65"/>
      <c r="V1"/>
      <c r="W1"/>
      <c r="X1"/>
      <c r="AC1" s="61" t="s">
        <v>95</v>
      </c>
      <c r="AD1" s="61"/>
      <c r="AE1" s="61"/>
      <c r="AF1" s="61"/>
      <c r="AG1" s="61"/>
      <c r="AH1" s="61"/>
      <c r="AI1" s="61"/>
      <c r="AJ1" s="61"/>
      <c r="AK1" s="63"/>
    </row>
    <row r="2" spans="2:37" ht="15" thickBot="1">
      <c r="B2" s="68" t="s">
        <v>80</v>
      </c>
      <c r="C2" s="65"/>
      <c r="D2" s="65"/>
      <c r="E2" s="65"/>
      <c r="F2" s="65"/>
      <c r="G2" s="65"/>
      <c r="H2" s="65"/>
      <c r="I2" s="65"/>
      <c r="J2" s="65"/>
      <c r="L2" s="65"/>
      <c r="T2" s="65"/>
      <c r="AC2" s="68" t="s">
        <v>80</v>
      </c>
      <c r="AD2" s="65"/>
      <c r="AE2" s="65"/>
      <c r="AF2" s="65"/>
      <c r="AG2" s="65"/>
      <c r="AH2" s="65"/>
      <c r="AI2" s="65"/>
      <c r="AJ2" s="65"/>
      <c r="AK2" s="65"/>
    </row>
    <row r="3" spans="2:37" ht="24.75" thickBot="1">
      <c r="B3" s="2299" t="s">
        <v>96</v>
      </c>
      <c r="C3" s="2300"/>
      <c r="D3" s="2210" t="s">
        <v>2690</v>
      </c>
      <c r="E3" s="158" t="s">
        <v>98</v>
      </c>
      <c r="F3" s="159" t="s">
        <v>99</v>
      </c>
      <c r="G3" s="160" t="s">
        <v>1383</v>
      </c>
      <c r="H3" s="301" t="s">
        <v>1384</v>
      </c>
      <c r="I3" s="2216" t="s">
        <v>751</v>
      </c>
      <c r="J3" s="162" t="s">
        <v>680</v>
      </c>
      <c r="L3" s="162" t="s">
        <v>675</v>
      </c>
      <c r="M3" s="162" t="s">
        <v>103</v>
      </c>
      <c r="P3" s="2255" t="s">
        <v>107</v>
      </c>
      <c r="Q3" s="2255"/>
      <c r="R3" s="2194"/>
      <c r="T3" s="2194" t="s">
        <v>86</v>
      </c>
      <c r="V3" s="71" t="s">
        <v>742</v>
      </c>
      <c r="W3" s="71"/>
      <c r="X3" s="2194"/>
      <c r="AC3" s="2299" t="s">
        <v>96</v>
      </c>
      <c r="AD3" s="2300"/>
      <c r="AE3" s="2210" t="s">
        <v>2690</v>
      </c>
      <c r="AF3" s="158" t="s">
        <v>98</v>
      </c>
      <c r="AG3" s="159" t="s">
        <v>99</v>
      </c>
      <c r="AH3" s="160" t="s">
        <v>1383</v>
      </c>
      <c r="AI3" s="161" t="s">
        <v>1384</v>
      </c>
      <c r="AJ3" s="2216" t="s">
        <v>751</v>
      </c>
      <c r="AK3" s="162" t="s">
        <v>680</v>
      </c>
    </row>
    <row r="4" spans="2:37" ht="15" thickBot="1">
      <c r="B4" s="65"/>
      <c r="C4" s="65"/>
      <c r="D4" s="65"/>
      <c r="E4" s="65"/>
      <c r="F4" s="65"/>
      <c r="G4" s="65"/>
      <c r="H4" s="65"/>
      <c r="I4" s="65"/>
      <c r="J4" s="65"/>
      <c r="L4" s="65"/>
      <c r="P4" s="78" t="s">
        <v>108</v>
      </c>
      <c r="AC4" s="65"/>
      <c r="AD4" s="65"/>
      <c r="AE4" s="65"/>
      <c r="AF4" s="65"/>
      <c r="AG4" s="65"/>
      <c r="AH4" s="65"/>
      <c r="AI4" s="65"/>
      <c r="AJ4" s="65"/>
      <c r="AK4" s="65"/>
    </row>
    <row r="5" spans="2:37" ht="14.25" customHeight="1">
      <c r="B5" s="79" t="s">
        <v>3226</v>
      </c>
      <c r="C5" s="109" t="s">
        <v>110</v>
      </c>
      <c r="D5" s="109"/>
      <c r="E5" s="81" t="s">
        <v>8</v>
      </c>
      <c r="F5" s="82">
        <v>3</v>
      </c>
      <c r="G5" s="163">
        <f xml:space="preserve"> '2A'!K6 + '2A'!K7</f>
        <v>857.47799999999995</v>
      </c>
      <c r="H5" s="2082">
        <f xml:space="preserve"> '2A'!N6 + '2A'!N7</f>
        <v>940.84399999999994</v>
      </c>
      <c r="I5" s="165">
        <f xml:space="preserve"> '2A'!O6 + '2A'!O7</f>
        <v>54.351999999999997</v>
      </c>
      <c r="J5" s="170">
        <f>G5+H5+I5</f>
        <v>1852.674</v>
      </c>
      <c r="L5" s="65"/>
      <c r="P5" s="113"/>
      <c r="Q5" s="113"/>
      <c r="R5" s="113"/>
      <c r="T5" s="211"/>
      <c r="V5" s="543"/>
      <c r="W5" s="543"/>
      <c r="X5" s="211"/>
      <c r="AC5" s="79" t="s">
        <v>3226</v>
      </c>
      <c r="AD5" s="109" t="s">
        <v>110</v>
      </c>
      <c r="AE5" s="109"/>
      <c r="AF5" s="81" t="s">
        <v>8</v>
      </c>
      <c r="AG5" s="82">
        <v>3</v>
      </c>
      <c r="AH5" s="163" t="s">
        <v>3227</v>
      </c>
      <c r="AI5" s="165" t="s">
        <v>3228</v>
      </c>
      <c r="AJ5" s="170" t="s">
        <v>3229</v>
      </c>
      <c r="AK5" s="170" t="s">
        <v>3230</v>
      </c>
    </row>
    <row r="6" spans="2:37">
      <c r="B6" s="87" t="s">
        <v>3231</v>
      </c>
      <c r="C6" s="80" t="s">
        <v>779</v>
      </c>
      <c r="D6" s="80"/>
      <c r="E6" s="88" t="s">
        <v>8</v>
      </c>
      <c r="F6" s="89">
        <v>3</v>
      </c>
      <c r="G6" s="210">
        <f xml:space="preserve"> -1 * ('2B'!G17 + '2B'!H17)</f>
        <v>-470.60099999999994</v>
      </c>
      <c r="H6" s="2083">
        <f xml:space="preserve"> -1 * ('2B'!I17 + '2B'!J17)</f>
        <v>-430.23099999999999</v>
      </c>
      <c r="I6" s="166">
        <f xml:space="preserve"> -1 * ( '2B'!K17)</f>
        <v>0</v>
      </c>
      <c r="J6" s="171">
        <f t="shared" ref="J6:J8" si="0">G6+H6+I6</f>
        <v>-900.83199999999988</v>
      </c>
      <c r="L6" s="65"/>
      <c r="M6" s="25"/>
      <c r="P6" s="113"/>
      <c r="Q6" s="113"/>
      <c r="R6" s="113"/>
      <c r="T6"/>
      <c r="AC6" s="87" t="s">
        <v>3231</v>
      </c>
      <c r="AD6" s="80" t="s">
        <v>779</v>
      </c>
      <c r="AE6" s="80"/>
      <c r="AF6" s="88" t="s">
        <v>8</v>
      </c>
      <c r="AG6" s="89">
        <v>3</v>
      </c>
      <c r="AH6" s="210" t="s">
        <v>3232</v>
      </c>
      <c r="AI6" s="166" t="s">
        <v>3233</v>
      </c>
      <c r="AJ6" s="171" t="s">
        <v>3234</v>
      </c>
      <c r="AK6" s="171" t="s">
        <v>3235</v>
      </c>
    </row>
    <row r="7" spans="2:37">
      <c r="B7" s="87" t="s">
        <v>3236</v>
      </c>
      <c r="C7" s="80" t="s">
        <v>3237</v>
      </c>
      <c r="D7" s="80"/>
      <c r="E7" s="88" t="s">
        <v>8</v>
      </c>
      <c r="F7" s="89">
        <v>3</v>
      </c>
      <c r="G7" s="340">
        <v>-351.43400000000003</v>
      </c>
      <c r="H7" s="379">
        <v>-394.017</v>
      </c>
      <c r="I7" s="344">
        <v>-0.65700000000000003</v>
      </c>
      <c r="J7" s="171">
        <f t="shared" si="0"/>
        <v>-746.10800000000006</v>
      </c>
      <c r="L7" s="65"/>
      <c r="M7" s="25">
        <f t="shared" ref="M7" si="1" xml:space="preserve"> IF( SUM( O7:S7 ) = 0, 0, $P$4 )</f>
        <v>0</v>
      </c>
      <c r="P7" s="86">
        <f t="shared" ref="P7:P14" si="2" xml:space="preserve"> IF( ISNUMBER( G7 ), 0, 1 )</f>
        <v>0</v>
      </c>
      <c r="Q7" s="86">
        <f>IF(Validation!$H$3=1,0,IF(ISNUMBER(H7),0,1))</f>
        <v>0</v>
      </c>
      <c r="R7" s="86">
        <f>IF(Validation!$H$3=1,0,IF(ISNUMBER(I7),0,1))</f>
        <v>0</v>
      </c>
      <c r="T7" s="113"/>
      <c r="V7" s="143"/>
      <c r="W7" s="143"/>
      <c r="AC7" s="87" t="s">
        <v>3236</v>
      </c>
      <c r="AD7" s="80" t="s">
        <v>3237</v>
      </c>
      <c r="AE7" s="80"/>
      <c r="AF7" s="88" t="s">
        <v>8</v>
      </c>
      <c r="AG7" s="89">
        <v>3</v>
      </c>
      <c r="AH7" s="340" t="s">
        <v>3238</v>
      </c>
      <c r="AI7" s="344" t="s">
        <v>3239</v>
      </c>
      <c r="AJ7" s="400" t="s">
        <v>3240</v>
      </c>
      <c r="AK7" s="171" t="s">
        <v>3241</v>
      </c>
    </row>
    <row r="8" spans="2:37">
      <c r="B8" s="87" t="s">
        <v>3242</v>
      </c>
      <c r="C8" s="80" t="s">
        <v>124</v>
      </c>
      <c r="D8" s="80"/>
      <c r="E8" s="88" t="s">
        <v>8</v>
      </c>
      <c r="F8" s="89">
        <v>3</v>
      </c>
      <c r="G8" s="210">
        <f xml:space="preserve"> '2A'!K11</f>
        <v>0.74299999999999999</v>
      </c>
      <c r="H8" s="2083">
        <f xml:space="preserve"> '2A'!N11</f>
        <v>12.927999999999999</v>
      </c>
      <c r="I8" s="166">
        <f xml:space="preserve"> '2A'!O11</f>
        <v>0</v>
      </c>
      <c r="J8" s="171">
        <f t="shared" si="0"/>
        <v>13.670999999999999</v>
      </c>
      <c r="L8" s="65"/>
      <c r="P8" s="113"/>
      <c r="Q8" s="113"/>
      <c r="R8" s="113"/>
      <c r="T8" s="113"/>
      <c r="V8" s="143"/>
      <c r="W8" s="143"/>
      <c r="AC8" s="87" t="s">
        <v>3242</v>
      </c>
      <c r="AD8" s="80" t="s">
        <v>124</v>
      </c>
      <c r="AE8" s="80"/>
      <c r="AF8" s="88" t="s">
        <v>8</v>
      </c>
      <c r="AG8" s="89">
        <v>3</v>
      </c>
      <c r="AH8" s="210" t="str">
        <f xml:space="preserve"> '2A'!BP11</f>
        <v>A19015WSW</v>
      </c>
      <c r="AI8" s="166" t="s">
        <v>3243</v>
      </c>
      <c r="AJ8" s="171" t="s">
        <v>820</v>
      </c>
      <c r="AK8" s="171" t="s">
        <v>3244</v>
      </c>
    </row>
    <row r="9" spans="2:37" ht="15" thickBot="1">
      <c r="B9" s="94" t="s">
        <v>3245</v>
      </c>
      <c r="C9" s="95" t="s">
        <v>3246</v>
      </c>
      <c r="D9" s="95"/>
      <c r="E9" s="96" t="s">
        <v>8</v>
      </c>
      <c r="F9" s="93">
        <v>3</v>
      </c>
      <c r="G9" s="167">
        <f>SUM(G5:G8)</f>
        <v>36.185999999999986</v>
      </c>
      <c r="H9" s="305">
        <f>SUM(H5:H8)</f>
        <v>129.52399999999994</v>
      </c>
      <c r="I9" s="169">
        <f>SUM(I5:I8)</f>
        <v>53.694999999999993</v>
      </c>
      <c r="J9" s="172">
        <f>G9+H9+I9</f>
        <v>219.40499999999992</v>
      </c>
      <c r="L9" s="65"/>
      <c r="T9" s="113"/>
      <c r="V9" s="143"/>
      <c r="W9" s="143"/>
      <c r="AC9" s="94" t="s">
        <v>3245</v>
      </c>
      <c r="AD9" s="95" t="s">
        <v>3246</v>
      </c>
      <c r="AE9" s="95"/>
      <c r="AF9" s="96" t="s">
        <v>8</v>
      </c>
      <c r="AG9" s="93">
        <v>3</v>
      </c>
      <c r="AH9" s="167" t="s">
        <v>3247</v>
      </c>
      <c r="AI9" s="169" t="s">
        <v>3248</v>
      </c>
      <c r="AJ9" s="172" t="s">
        <v>3249</v>
      </c>
      <c r="AK9" s="172" t="s">
        <v>3250</v>
      </c>
    </row>
    <row r="10" spans="2:37" ht="15" thickBot="1">
      <c r="B10" s="65"/>
      <c r="C10" s="65"/>
      <c r="D10" s="65"/>
      <c r="E10" s="65"/>
      <c r="F10" s="65"/>
      <c r="G10" s="65"/>
      <c r="H10" s="65"/>
      <c r="I10" s="65"/>
      <c r="J10" s="65"/>
      <c r="L10" s="65"/>
      <c r="T10" s="113"/>
      <c r="V10" s="143"/>
      <c r="W10" s="143"/>
      <c r="AC10" s="65"/>
      <c r="AD10" s="65"/>
      <c r="AE10" s="65"/>
      <c r="AF10" s="65"/>
      <c r="AG10" s="65"/>
      <c r="AH10" s="65"/>
      <c r="AI10" s="65"/>
      <c r="AJ10" s="65"/>
      <c r="AK10" s="65"/>
    </row>
    <row r="11" spans="2:37">
      <c r="B11" s="79" t="s">
        <v>3251</v>
      </c>
      <c r="C11" s="109" t="s">
        <v>138</v>
      </c>
      <c r="D11" s="109"/>
      <c r="E11" s="81" t="s">
        <v>8</v>
      </c>
      <c r="F11" s="82">
        <v>3</v>
      </c>
      <c r="G11" s="342">
        <v>29.571999999999999</v>
      </c>
      <c r="H11" s="378">
        <v>34.683</v>
      </c>
      <c r="I11" s="343">
        <v>7.0629999999999997</v>
      </c>
      <c r="J11" s="170">
        <f t="shared" ref="J11:J15" si="3">G11+H11+I11</f>
        <v>71.317999999999998</v>
      </c>
      <c r="L11" s="1164">
        <f xml:space="preserve"> IF( SUM( S11:U11 ) = 0, 0, X11 )</f>
        <v>0</v>
      </c>
      <c r="M11" s="25">
        <f t="shared" ref="M11:M14" si="4" xml:space="preserve"> IF( SUM( O11:S11 ) = 0, 0, $P$4 )</f>
        <v>0</v>
      </c>
      <c r="P11" s="86">
        <f t="shared" si="2"/>
        <v>0</v>
      </c>
      <c r="Q11" s="86">
        <f>IF(Validation!$H$3=1,0,IF(ISNUMBER(H11),0,1))</f>
        <v>0</v>
      </c>
      <c r="R11" s="86">
        <f>IF(Validation!$H$3=1,0,IF(ISNUMBER(I11),0,1))</f>
        <v>0</v>
      </c>
      <c r="T11" s="86">
        <f xml:space="preserve"> IF( (V11 - W11) = 0, 0, 1 )</f>
        <v>0</v>
      </c>
      <c r="V11" s="143">
        <f xml:space="preserve"> ROUND( J11, 3)</f>
        <v>71.317999999999998</v>
      </c>
      <c r="W11" s="143">
        <f xml:space="preserve"> ROUND( '1A'!K11, 3)</f>
        <v>71.317999999999998</v>
      </c>
      <c r="X11" s="69" t="s">
        <v>3252</v>
      </c>
      <c r="AC11" s="79" t="s">
        <v>3251</v>
      </c>
      <c r="AD11" s="109" t="s">
        <v>138</v>
      </c>
      <c r="AE11" s="109"/>
      <c r="AF11" s="81" t="s">
        <v>8</v>
      </c>
      <c r="AG11" s="82">
        <v>3</v>
      </c>
      <c r="AH11" s="342" t="s">
        <v>3253</v>
      </c>
      <c r="AI11" s="343" t="s">
        <v>3254</v>
      </c>
      <c r="AJ11" s="399" t="s">
        <v>3255</v>
      </c>
      <c r="AK11" s="170" t="s">
        <v>3256</v>
      </c>
    </row>
    <row r="12" spans="2:37">
      <c r="B12" s="87" t="s">
        <v>3257</v>
      </c>
      <c r="C12" s="80" t="s">
        <v>145</v>
      </c>
      <c r="D12" s="80"/>
      <c r="E12" s="88" t="s">
        <v>8</v>
      </c>
      <c r="F12" s="89">
        <v>3</v>
      </c>
      <c r="G12" s="340">
        <v>42.661000000000001</v>
      </c>
      <c r="H12" s="379">
        <v>50.033999999999999</v>
      </c>
      <c r="I12" s="344">
        <v>10.189</v>
      </c>
      <c r="J12" s="171">
        <f t="shared" si="3"/>
        <v>102.88399999999999</v>
      </c>
      <c r="L12" s="1164">
        <f t="shared" ref="L12:L14" si="5" xml:space="preserve"> IF( SUM( S12:U12 ) = 0, 0, X12 )</f>
        <v>0</v>
      </c>
      <c r="M12" s="25">
        <f t="shared" si="4"/>
        <v>0</v>
      </c>
      <c r="P12" s="86">
        <f t="shared" si="2"/>
        <v>0</v>
      </c>
      <c r="Q12" s="86">
        <f>IF(Validation!$H$3=1,0,IF(ISNUMBER(H12),0,1))</f>
        <v>0</v>
      </c>
      <c r="R12" s="86">
        <f>IF(Validation!$H$3=1,0,IF(ISNUMBER(I12),0,1))</f>
        <v>0</v>
      </c>
      <c r="T12" s="86">
        <f t="shared" ref="T12:T14" si="6" xml:space="preserve"> IF( (V12 - W12) = 0, 0, 1 )</f>
        <v>0</v>
      </c>
      <c r="V12" s="143">
        <f t="shared" ref="V12:V14" si="7" xml:space="preserve"> ROUND( J12, 3)</f>
        <v>102.884</v>
      </c>
      <c r="W12" s="143">
        <f xml:space="preserve"> ROUND( '1A'!K12, 3)</f>
        <v>102.884</v>
      </c>
      <c r="X12" s="69" t="s">
        <v>3258</v>
      </c>
      <c r="AC12" s="87" t="s">
        <v>3257</v>
      </c>
      <c r="AD12" s="80" t="s">
        <v>145</v>
      </c>
      <c r="AE12" s="80"/>
      <c r="AF12" s="88" t="s">
        <v>8</v>
      </c>
      <c r="AG12" s="89">
        <v>3</v>
      </c>
      <c r="AH12" s="340" t="s">
        <v>3259</v>
      </c>
      <c r="AI12" s="344" t="s">
        <v>3260</v>
      </c>
      <c r="AJ12" s="400" t="s">
        <v>3261</v>
      </c>
      <c r="AK12" s="171" t="s">
        <v>3262</v>
      </c>
    </row>
    <row r="13" spans="2:37">
      <c r="B13" s="87" t="s">
        <v>3263</v>
      </c>
      <c r="C13" s="80" t="s">
        <v>152</v>
      </c>
      <c r="D13" s="80"/>
      <c r="E13" s="88" t="s">
        <v>8</v>
      </c>
      <c r="F13" s="89">
        <v>3</v>
      </c>
      <c r="G13" s="340">
        <v>-261.30799999999999</v>
      </c>
      <c r="H13" s="379">
        <v>-306.47000000000003</v>
      </c>
      <c r="I13" s="344">
        <v>-62.411999999999999</v>
      </c>
      <c r="J13" s="171">
        <f t="shared" si="3"/>
        <v>-630.19000000000005</v>
      </c>
      <c r="L13" s="1164">
        <f t="shared" si="5"/>
        <v>0</v>
      </c>
      <c r="M13" s="25">
        <f t="shared" si="4"/>
        <v>0</v>
      </c>
      <c r="P13" s="86">
        <f t="shared" si="2"/>
        <v>0</v>
      </c>
      <c r="Q13" s="86">
        <f>IF(Validation!$H$3=1,0,IF(ISNUMBER(H13),0,1))</f>
        <v>0</v>
      </c>
      <c r="R13" s="86">
        <f>IF(Validation!$H$3=1,0,IF(ISNUMBER(I13),0,1))</f>
        <v>0</v>
      </c>
      <c r="T13" s="86">
        <f t="shared" si="6"/>
        <v>0</v>
      </c>
      <c r="V13" s="143">
        <f t="shared" si="7"/>
        <v>-630.19000000000005</v>
      </c>
      <c r="W13" s="143">
        <f xml:space="preserve"> ROUND( '1A'!K13, 3)</f>
        <v>-630.19000000000005</v>
      </c>
      <c r="X13" s="69" t="s">
        <v>3264</v>
      </c>
      <c r="AC13" s="87" t="s">
        <v>3263</v>
      </c>
      <c r="AD13" s="80" t="s">
        <v>152</v>
      </c>
      <c r="AE13" s="80"/>
      <c r="AF13" s="88" t="s">
        <v>8</v>
      </c>
      <c r="AG13" s="89">
        <v>3</v>
      </c>
      <c r="AH13" s="340" t="s">
        <v>3265</v>
      </c>
      <c r="AI13" s="344" t="s">
        <v>3266</v>
      </c>
      <c r="AJ13" s="400" t="s">
        <v>3267</v>
      </c>
      <c r="AK13" s="171" t="s">
        <v>3268</v>
      </c>
    </row>
    <row r="14" spans="2:37">
      <c r="B14" s="87" t="s">
        <v>3269</v>
      </c>
      <c r="C14" s="80" t="s">
        <v>3270</v>
      </c>
      <c r="D14" s="80"/>
      <c r="E14" s="88" t="s">
        <v>8</v>
      </c>
      <c r="F14" s="89">
        <v>3</v>
      </c>
      <c r="G14" s="340">
        <v>-3.7320000000000002</v>
      </c>
      <c r="H14" s="379">
        <v>-4.3769999999999998</v>
      </c>
      <c r="I14" s="344">
        <v>-0.89100000000000001</v>
      </c>
      <c r="J14" s="171">
        <f t="shared" si="3"/>
        <v>-9</v>
      </c>
      <c r="L14" s="1164">
        <f t="shared" si="5"/>
        <v>0</v>
      </c>
      <c r="M14" s="25">
        <f t="shared" si="4"/>
        <v>0</v>
      </c>
      <c r="P14" s="86">
        <f t="shared" si="2"/>
        <v>0</v>
      </c>
      <c r="Q14" s="86">
        <f>IF(Validation!$H$3=1,0,IF(ISNUMBER(H14),0,1))</f>
        <v>0</v>
      </c>
      <c r="R14" s="86">
        <f>IF(Validation!$H$3=1,0,IF(ISNUMBER(I14),0,1))</f>
        <v>0</v>
      </c>
      <c r="T14" s="86">
        <f t="shared" si="6"/>
        <v>0</v>
      </c>
      <c r="V14" s="143">
        <f t="shared" si="7"/>
        <v>-9</v>
      </c>
      <c r="W14" s="143">
        <f xml:space="preserve"> ROUND( '1A'!K14, 3)</f>
        <v>-9</v>
      </c>
      <c r="X14" s="69" t="s">
        <v>3271</v>
      </c>
      <c r="AC14" s="87" t="s">
        <v>3269</v>
      </c>
      <c r="AD14" s="80" t="s">
        <v>3270</v>
      </c>
      <c r="AE14" s="80"/>
      <c r="AF14" s="88" t="s">
        <v>8</v>
      </c>
      <c r="AG14" s="89">
        <v>3</v>
      </c>
      <c r="AH14" s="340" t="s">
        <v>3272</v>
      </c>
      <c r="AI14" s="344" t="s">
        <v>3273</v>
      </c>
      <c r="AJ14" s="400" t="s">
        <v>3274</v>
      </c>
      <c r="AK14" s="171" t="s">
        <v>3275</v>
      </c>
    </row>
    <row r="15" spans="2:37" ht="15" thickBot="1">
      <c r="B15" s="94" t="s">
        <v>3276</v>
      </c>
      <c r="C15" s="95" t="s">
        <v>3277</v>
      </c>
      <c r="D15" s="95"/>
      <c r="E15" s="96" t="s">
        <v>8</v>
      </c>
      <c r="F15" s="93">
        <v>3</v>
      </c>
      <c r="G15" s="167">
        <f xml:space="preserve"> G9 + SUM( G11:G14 )</f>
        <v>-156.62100000000001</v>
      </c>
      <c r="H15" s="305">
        <f xml:space="preserve"> H9 + SUM( H11:H14 )</f>
        <v>-96.606000000000108</v>
      </c>
      <c r="I15" s="169">
        <f xml:space="preserve"> I9 + SUM( I11:I14 )</f>
        <v>7.6439999999999984</v>
      </c>
      <c r="J15" s="172">
        <f t="shared" si="3"/>
        <v>-245.58300000000011</v>
      </c>
      <c r="L15" s="65"/>
      <c r="T15" s="113"/>
      <c r="V15" s="143"/>
      <c r="W15" s="143"/>
      <c r="AC15" s="94" t="s">
        <v>3276</v>
      </c>
      <c r="AD15" s="95" t="s">
        <v>3277</v>
      </c>
      <c r="AE15" s="95"/>
      <c r="AF15" s="96" t="s">
        <v>8</v>
      </c>
      <c r="AG15" s="93">
        <v>3</v>
      </c>
      <c r="AH15" s="167" t="s">
        <v>3278</v>
      </c>
      <c r="AI15" s="169" t="s">
        <v>3279</v>
      </c>
      <c r="AJ15" s="172" t="s">
        <v>3280</v>
      </c>
      <c r="AK15" s="172" t="s">
        <v>3281</v>
      </c>
    </row>
    <row r="16" spans="2:37" ht="15" thickBot="1">
      <c r="B16" s="65"/>
      <c r="C16" s="65"/>
      <c r="D16" s="65"/>
      <c r="E16" s="65"/>
      <c r="F16" s="65"/>
      <c r="G16" s="65"/>
      <c r="H16" s="65"/>
      <c r="I16" s="65"/>
      <c r="J16" s="65"/>
      <c r="L16" s="65"/>
      <c r="T16" s="113"/>
      <c r="V16" s="143"/>
      <c r="W16" s="143"/>
      <c r="AC16" s="65"/>
      <c r="AD16" s="65"/>
      <c r="AE16" s="65"/>
      <c r="AF16" s="65"/>
      <c r="AG16" s="65"/>
      <c r="AH16" s="65"/>
      <c r="AI16" s="65"/>
      <c r="AJ16" s="65"/>
      <c r="AK16" s="65"/>
    </row>
    <row r="17" spans="2:37">
      <c r="B17" s="79" t="s">
        <v>3282</v>
      </c>
      <c r="C17" s="109" t="s">
        <v>173</v>
      </c>
      <c r="D17" s="109"/>
      <c r="E17" s="81" t="s">
        <v>8</v>
      </c>
      <c r="F17" s="82">
        <v>3</v>
      </c>
      <c r="G17" s="342">
        <v>-19.361999999999998</v>
      </c>
      <c r="H17" s="378">
        <v>-22.709</v>
      </c>
      <c r="I17" s="343">
        <v>-4.625</v>
      </c>
      <c r="J17" s="173">
        <f t="shared" ref="J17:J18" si="8">G17+H17+I17</f>
        <v>-46.695999999999998</v>
      </c>
      <c r="L17" s="1164">
        <f t="shared" ref="L17" si="9" xml:space="preserve"> IF( SUM( S17:U17 ) = 0, 0, X17 )</f>
        <v>0</v>
      </c>
      <c r="M17" s="25">
        <f xml:space="preserve"> IF( SUM( O17:S17 ) = 0, 0, $P$4 )</f>
        <v>0</v>
      </c>
      <c r="P17" s="86">
        <f xml:space="preserve"> IF( ISNUMBER( G17 ), 0, 1 )</f>
        <v>0</v>
      </c>
      <c r="Q17" s="86">
        <f>IF(Validation!$H$3=1,0,IF(ISNUMBER(H17),0,1))</f>
        <v>0</v>
      </c>
      <c r="R17" s="86">
        <f>IF(Validation!$H$3=1,0,IF(ISNUMBER(I17),0,1))</f>
        <v>0</v>
      </c>
      <c r="T17" s="86">
        <f xml:space="preserve"> IF( (V17 - W17) = 0, 0, 1 )</f>
        <v>0</v>
      </c>
      <c r="V17" s="143">
        <f t="shared" ref="V17" si="10" xml:space="preserve"> ROUND( J17, 3)</f>
        <v>-46.695999999999998</v>
      </c>
      <c r="W17" s="143">
        <f xml:space="preserve"> ROUND( '1A'!K17, 3)</f>
        <v>-46.695999999999998</v>
      </c>
      <c r="X17" s="69" t="s">
        <v>3283</v>
      </c>
      <c r="AC17" s="79" t="s">
        <v>3282</v>
      </c>
      <c r="AD17" s="109" t="s">
        <v>173</v>
      </c>
      <c r="AE17" s="109"/>
      <c r="AF17" s="81" t="s">
        <v>8</v>
      </c>
      <c r="AG17" s="82">
        <v>3</v>
      </c>
      <c r="AH17" s="342" t="s">
        <v>3284</v>
      </c>
      <c r="AI17" s="343" t="s">
        <v>3285</v>
      </c>
      <c r="AJ17" s="399" t="s">
        <v>3286</v>
      </c>
      <c r="AK17" s="173" t="s">
        <v>3287</v>
      </c>
    </row>
    <row r="18" spans="2:37" ht="15" thickBot="1">
      <c r="B18" s="94" t="s">
        <v>3288</v>
      </c>
      <c r="C18" s="95" t="s">
        <v>3289</v>
      </c>
      <c r="D18" s="95"/>
      <c r="E18" s="96" t="s">
        <v>8</v>
      </c>
      <c r="F18" s="93">
        <v>3</v>
      </c>
      <c r="G18" s="167">
        <f xml:space="preserve"> G15 + G17</f>
        <v>-175.983</v>
      </c>
      <c r="H18" s="305">
        <f xml:space="preserve"> H15 + H17</f>
        <v>-119.31500000000011</v>
      </c>
      <c r="I18" s="169">
        <f xml:space="preserve"> I15 + I17</f>
        <v>3.0189999999999984</v>
      </c>
      <c r="J18" s="174">
        <f t="shared" si="8"/>
        <v>-292.27900000000011</v>
      </c>
      <c r="L18" s="65"/>
      <c r="P18" s="113"/>
      <c r="Q18" s="113"/>
      <c r="R18" s="113"/>
      <c r="T18" s="113"/>
      <c r="V18" s="143"/>
      <c r="W18" s="143"/>
      <c r="AC18" s="94" t="s">
        <v>3288</v>
      </c>
      <c r="AD18" s="95" t="s">
        <v>3289</v>
      </c>
      <c r="AE18" s="95"/>
      <c r="AF18" s="96" t="s">
        <v>8</v>
      </c>
      <c r="AG18" s="93">
        <v>3</v>
      </c>
      <c r="AH18" s="167" t="s">
        <v>3290</v>
      </c>
      <c r="AI18" s="169" t="s">
        <v>3291</v>
      </c>
      <c r="AJ18" s="172" t="s">
        <v>3292</v>
      </c>
      <c r="AK18" s="174" t="s">
        <v>3293</v>
      </c>
    </row>
    <row r="19" spans="2:37">
      <c r="B19" s="103"/>
      <c r="C19" s="138"/>
      <c r="D19" s="138"/>
      <c r="E19" s="103"/>
      <c r="F19" s="103"/>
      <c r="G19" s="103"/>
      <c r="H19" s="142"/>
      <c r="I19" s="142"/>
      <c r="J19" s="110"/>
      <c r="L19" s="65"/>
      <c r="N19" s="110"/>
      <c r="O19" s="114"/>
      <c r="T19" s="113"/>
      <c r="V19" s="143"/>
      <c r="W19" s="143"/>
      <c r="AC19" s="103"/>
      <c r="AD19" s="138"/>
      <c r="AE19" s="138"/>
      <c r="AF19" s="103"/>
      <c r="AG19" s="103"/>
      <c r="AH19" s="103"/>
      <c r="AI19" s="142"/>
      <c r="AJ19" s="142"/>
      <c r="AK19" s="110"/>
    </row>
    <row r="20" spans="2:37">
      <c r="B20" s="2256" t="s">
        <v>275</v>
      </c>
      <c r="C20" s="2256"/>
      <c r="D20" s="2195"/>
      <c r="E20" s="142"/>
      <c r="F20" s="142"/>
      <c r="G20" s="142"/>
      <c r="H20" s="142"/>
      <c r="I20" s="142"/>
      <c r="J20" s="116"/>
      <c r="L20" s="65"/>
      <c r="T20" s="113"/>
      <c r="V20" s="143"/>
      <c r="W20" s="143"/>
    </row>
    <row r="21" spans="2:37">
      <c r="B21" s="127"/>
      <c r="C21" s="128"/>
      <c r="D21" s="128"/>
      <c r="E21" s="142"/>
      <c r="F21" s="142"/>
      <c r="G21" s="142"/>
      <c r="H21" s="142"/>
      <c r="I21" s="142"/>
      <c r="J21" s="116"/>
      <c r="L21" s="65"/>
      <c r="T21" s="113"/>
      <c r="V21" s="143"/>
      <c r="W21" s="143"/>
    </row>
    <row r="22" spans="2:37">
      <c r="B22" s="26"/>
      <c r="C22" s="129" t="s">
        <v>249</v>
      </c>
      <c r="D22" s="129"/>
      <c r="E22" s="142"/>
      <c r="F22" s="142"/>
      <c r="G22" s="142"/>
      <c r="H22" s="142"/>
      <c r="I22" s="142"/>
      <c r="J22" s="116"/>
      <c r="L22" s="65"/>
      <c r="N22" s="110"/>
      <c r="O22" s="114"/>
      <c r="T22" s="113"/>
      <c r="V22" s="143"/>
      <c r="W22" s="143"/>
    </row>
    <row r="23" spans="2:37">
      <c r="B23" s="127"/>
      <c r="C23" s="128"/>
      <c r="D23" s="128"/>
      <c r="E23" s="142"/>
      <c r="F23" s="142"/>
      <c r="G23" s="142"/>
      <c r="H23" s="142"/>
      <c r="I23" s="142"/>
      <c r="J23" s="116"/>
      <c r="K23" s="110"/>
      <c r="L23" s="65"/>
      <c r="N23" s="110"/>
      <c r="O23" s="114"/>
      <c r="S23" s="114"/>
      <c r="T23" s="113"/>
      <c r="U23" s="114"/>
      <c r="V23" s="143"/>
      <c r="W23" s="143"/>
      <c r="Y23" s="114"/>
    </row>
    <row r="24" spans="2:37">
      <c r="B24" s="130"/>
      <c r="C24" s="129" t="s">
        <v>250</v>
      </c>
      <c r="D24" s="129"/>
      <c r="E24" s="142"/>
      <c r="F24" s="142"/>
      <c r="G24" s="142"/>
      <c r="H24" s="142"/>
      <c r="I24" s="142"/>
      <c r="J24" s="116"/>
      <c r="K24" s="116"/>
      <c r="L24" s="65"/>
      <c r="T24" s="113"/>
      <c r="U24" s="111"/>
      <c r="V24" s="143"/>
      <c r="W24" s="143"/>
      <c r="Y24" s="111"/>
    </row>
    <row r="25" spans="2:37">
      <c r="B25" s="131"/>
      <c r="C25" s="129"/>
      <c r="D25" s="129"/>
      <c r="E25" s="142"/>
      <c r="F25" s="142"/>
      <c r="G25" s="142"/>
      <c r="H25" s="142"/>
      <c r="I25" s="142"/>
      <c r="J25" s="116"/>
      <c r="K25" s="116"/>
      <c r="L25" s="65"/>
      <c r="N25" s="116"/>
      <c r="O25" s="111"/>
      <c r="S25" s="111"/>
      <c r="T25" s="113"/>
      <c r="U25" s="111"/>
      <c r="V25" s="143"/>
      <c r="W25" s="143"/>
      <c r="Y25" s="111"/>
    </row>
    <row r="26" spans="2:37" ht="15" thickBot="1">
      <c r="B26" s="155"/>
      <c r="C26" s="156"/>
      <c r="D26" s="156"/>
      <c r="E26" s="155"/>
      <c r="F26" s="155"/>
      <c r="G26" s="155"/>
      <c r="H26" s="155"/>
      <c r="I26" s="155"/>
      <c r="J26" s="118"/>
      <c r="K26" s="116"/>
      <c r="L26" s="65"/>
      <c r="N26" s="116"/>
      <c r="O26" s="111"/>
      <c r="S26" s="111"/>
      <c r="T26" s="113"/>
      <c r="U26" s="111"/>
      <c r="V26" s="143"/>
      <c r="W26" s="143"/>
      <c r="Y26" s="111"/>
    </row>
    <row r="27" spans="2:37" ht="21" thickBot="1">
      <c r="B27" s="1166" t="s">
        <v>251</v>
      </c>
      <c r="C27" s="133"/>
      <c r="D27" s="133"/>
      <c r="E27" s="134"/>
      <c r="F27" s="134"/>
      <c r="G27" s="134"/>
      <c r="H27" s="134"/>
      <c r="I27" s="134"/>
      <c r="J27" s="140"/>
      <c r="K27" s="116"/>
      <c r="L27" s="65"/>
      <c r="N27" s="116"/>
      <c r="O27" s="111"/>
      <c r="S27" s="111"/>
      <c r="T27" s="113"/>
      <c r="U27" s="111"/>
      <c r="V27" s="143"/>
      <c r="W27" s="143"/>
      <c r="Y27" s="111"/>
    </row>
    <row r="28" spans="2:37">
      <c r="B28" s="155"/>
      <c r="C28" s="156"/>
      <c r="D28" s="156"/>
      <c r="E28" s="155"/>
      <c r="F28" s="155"/>
      <c r="G28" s="155"/>
      <c r="H28" s="155"/>
      <c r="I28" s="155"/>
      <c r="J28" s="118"/>
      <c r="K28" s="116"/>
      <c r="L28" s="65"/>
      <c r="N28" s="116"/>
      <c r="O28" s="111"/>
      <c r="S28" s="111"/>
      <c r="T28" s="113"/>
      <c r="U28" s="111"/>
      <c r="V28" s="143"/>
      <c r="W28" s="143"/>
      <c r="Y28" s="111"/>
    </row>
  </sheetData>
  <sheetProtection algorithmName="SHA-512" hashValue="6mfBFJVMT42uysmyHgOCwZ4ZSLiz2VsADVc/+2kgzAElZA59HqWYNgfYqVyvwrq9Nnevev0QH4d/K1B8rbeoTA==" saltValue="Vh5ANPCd3G4A2fqOyGv+vA==" spinCount="100000" sheet="1" objects="1" scenarios="1"/>
  <mergeCells count="4">
    <mergeCell ref="AC3:AD3"/>
    <mergeCell ref="B3:C3"/>
    <mergeCell ref="P3:Q3"/>
    <mergeCell ref="B20:C20"/>
  </mergeCells>
  <conditionalFormatting sqref="L11:M14">
    <cfRule type="cellIs" dxfId="144" priority="6" operator="equal">
      <formula>0</formula>
    </cfRule>
  </conditionalFormatting>
  <conditionalFormatting sqref="L17:M17">
    <cfRule type="cellIs" dxfId="143" priority="4" operator="equal">
      <formula>0</formula>
    </cfRule>
  </conditionalFormatting>
  <conditionalFormatting sqref="M6:M7">
    <cfRule type="cellIs" dxfId="14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580B5DC1-D669-4CF6-972F-B3DAA7F8D6C8}">
            <xm:f>Validation!$H$3=1</xm:f>
            <x14:dxf>
              <fill>
                <patternFill>
                  <bgColor rgb="FFE0DCD8"/>
                </patternFill>
              </fill>
            </x14:dxf>
          </x14:cfRule>
          <xm:sqref>H5:I9 H15:I15 H18:I18</xm:sqref>
        </x14:conditionalFormatting>
        <x14:conditionalFormatting xmlns:xm="http://schemas.microsoft.com/office/excel/2006/main">
          <x14:cfRule type="expression" priority="2" id="{DA77CCA7-1ACB-482F-AB58-A0207A24CCD9}">
            <xm:f>Validation!$H$3=1</xm:f>
            <x14:dxf>
              <fill>
                <patternFill>
                  <bgColor rgb="FFE0DCD8"/>
                </patternFill>
              </fill>
            </x14:dxf>
          </x14:cfRule>
          <xm:sqref>AI5:AJ9 AI11:AJ15 AI17:AJ18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AF55"/>
  <sheetViews>
    <sheetView showGridLines="0" zoomScale="80" zoomScaleNormal="80" workbookViewId="0"/>
  </sheetViews>
  <sheetFormatPr defaultColWidth="0" defaultRowHeight="14.25" zeroHeight="1"/>
  <cols>
    <col min="1" max="1" width="0.625" style="65" customWidth="1"/>
    <col min="2" max="2" width="7.125" style="65" customWidth="1"/>
    <col min="3" max="3" width="60.625" style="65" customWidth="1"/>
    <col min="4" max="4" width="7" style="65" hidden="1" customWidth="1"/>
    <col min="5" max="6" width="5.125" style="65" customWidth="1"/>
    <col min="7" max="7" width="12.5" style="65" customWidth="1"/>
    <col min="8" max="8" width="2.625" style="65" customWidth="1"/>
    <col min="9" max="9" width="32.125" style="69" bestFit="1" customWidth="1"/>
    <col min="10" max="10" width="18.625" style="65" bestFit="1" customWidth="1"/>
    <col min="11" max="11" width="1.625" style="65" customWidth="1"/>
    <col min="12" max="12" width="1.625" style="66" hidden="1" customWidth="1"/>
    <col min="13" max="13" width="18.625" style="65" hidden="1" customWidth="1"/>
    <col min="14" max="14" width="1.625" style="66" hidden="1" customWidth="1"/>
    <col min="15" max="15" width="8.125" style="69" hidden="1" customWidth="1"/>
    <col min="16" max="16" width="1.625" style="66" hidden="1" customWidth="1"/>
    <col min="17" max="18" width="8.125" style="69" hidden="1" customWidth="1"/>
    <col min="19" max="19" width="118.5" style="69" hidden="1" customWidth="1"/>
    <col min="20" max="20" width="1.625" style="66" hidden="1" customWidth="1"/>
    <col min="21" max="21" width="3.625" style="65" hidden="1" customWidth="1"/>
    <col min="22" max="22" width="8.125" style="65" hidden="1" customWidth="1"/>
    <col min="23" max="26" width="8.625" style="65" hidden="1" customWidth="1"/>
    <col min="27" max="27" width="7.125" style="65" hidden="1" customWidth="1"/>
    <col min="28" max="28" width="60.625" style="65" hidden="1" customWidth="1"/>
    <col min="29" max="29" width="1.125" style="65" hidden="1" customWidth="1"/>
    <col min="30" max="31" width="5.125" style="65" hidden="1" customWidth="1"/>
    <col min="32" max="32" width="12.5" style="65" hidden="1" customWidth="1"/>
    <col min="33" max="16384" width="8.125" style="65" hidden="1"/>
  </cols>
  <sheetData>
    <row r="1" spans="2:32" ht="20.25">
      <c r="B1" s="61" t="s">
        <v>3294</v>
      </c>
      <c r="C1" s="61"/>
      <c r="D1" s="61"/>
      <c r="E1" s="61"/>
      <c r="F1" s="61"/>
      <c r="G1" s="63" t="str">
        <f>Validation!B3</f>
        <v>Thames Water</v>
      </c>
      <c r="H1" s="61"/>
      <c r="I1" s="64"/>
      <c r="J1" s="64" t="s">
        <v>94</v>
      </c>
      <c r="O1" s="65"/>
      <c r="Q1"/>
      <c r="R1"/>
      <c r="S1"/>
      <c r="AA1" s="61" t="s">
        <v>95</v>
      </c>
      <c r="AB1" s="61"/>
      <c r="AC1" s="61"/>
      <c r="AD1" s="61"/>
      <c r="AE1" s="61"/>
      <c r="AF1" s="63"/>
    </row>
    <row r="2" spans="2:32" ht="15" thickBot="1">
      <c r="B2" s="68" t="s">
        <v>80</v>
      </c>
      <c r="I2" s="65"/>
      <c r="O2" s="65"/>
      <c r="AA2" s="68" t="s">
        <v>80</v>
      </c>
    </row>
    <row r="3" spans="2:32" ht="15" customHeight="1">
      <c r="B3" s="2287" t="s">
        <v>96</v>
      </c>
      <c r="C3" s="2288"/>
      <c r="D3" s="2208" t="s">
        <v>2690</v>
      </c>
      <c r="E3" s="2291" t="s">
        <v>98</v>
      </c>
      <c r="F3" s="2293" t="s">
        <v>99</v>
      </c>
      <c r="G3" s="2250" t="s">
        <v>3295</v>
      </c>
      <c r="H3" s="142"/>
      <c r="I3" s="2240" t="s">
        <v>675</v>
      </c>
      <c r="J3" s="2240" t="s">
        <v>103</v>
      </c>
      <c r="K3" s="142"/>
      <c r="AA3" s="2287" t="s">
        <v>96</v>
      </c>
      <c r="AB3" s="2288"/>
      <c r="AC3" s="2208" t="s">
        <v>2690</v>
      </c>
      <c r="AD3" s="2291" t="s">
        <v>98</v>
      </c>
      <c r="AE3" s="2293" t="s">
        <v>99</v>
      </c>
      <c r="AF3" s="2250" t="s">
        <v>3295</v>
      </c>
    </row>
    <row r="4" spans="2:32" ht="36.75" thickBot="1">
      <c r="B4" s="2289"/>
      <c r="C4" s="2290"/>
      <c r="D4" s="2209"/>
      <c r="E4" s="2292"/>
      <c r="F4" s="2294"/>
      <c r="G4" s="2251"/>
      <c r="H4" s="142"/>
      <c r="I4" s="2338"/>
      <c r="J4" s="2241"/>
      <c r="M4" s="86" t="s">
        <v>107</v>
      </c>
      <c r="O4" s="2194" t="s">
        <v>86</v>
      </c>
      <c r="Q4" s="71" t="s">
        <v>742</v>
      </c>
      <c r="R4" s="2194"/>
      <c r="S4" s="2194"/>
      <c r="X4" s="74"/>
      <c r="AA4" s="2289"/>
      <c r="AB4" s="2290"/>
      <c r="AC4" s="2209"/>
      <c r="AD4" s="2292"/>
      <c r="AE4" s="2294"/>
      <c r="AF4" s="2251"/>
    </row>
    <row r="5" spans="2:32" ht="15" thickBot="1">
      <c r="H5" s="142"/>
      <c r="M5" s="78" t="s">
        <v>108</v>
      </c>
      <c r="O5"/>
    </row>
    <row r="6" spans="2:32" ht="15" thickBot="1">
      <c r="B6" s="106" t="s">
        <v>214</v>
      </c>
      <c r="C6" s="107" t="s">
        <v>3296</v>
      </c>
      <c r="D6" s="1292"/>
      <c r="H6" s="142"/>
      <c r="M6" s="78"/>
      <c r="O6"/>
      <c r="AA6" s="106" t="s">
        <v>214</v>
      </c>
      <c r="AB6" s="107" t="s">
        <v>3296</v>
      </c>
      <c r="AC6" s="1292"/>
    </row>
    <row r="7" spans="2:32">
      <c r="B7" s="79" t="s">
        <v>3297</v>
      </c>
      <c r="C7" s="109" t="s">
        <v>3298</v>
      </c>
      <c r="D7" s="109"/>
      <c r="E7" s="81" t="s">
        <v>8</v>
      </c>
      <c r="F7" s="82">
        <v>3</v>
      </c>
      <c r="G7" s="737">
        <f>'1E'!J11</f>
        <v>11365.027</v>
      </c>
      <c r="H7" s="142"/>
      <c r="M7" s="113"/>
      <c r="O7" s="113"/>
      <c r="Q7" s="143"/>
      <c r="R7" s="143"/>
      <c r="AA7" s="79" t="s">
        <v>3297</v>
      </c>
      <c r="AB7" s="109" t="s">
        <v>3298</v>
      </c>
      <c r="AC7" s="109"/>
      <c r="AD7" s="81" t="s">
        <v>8</v>
      </c>
      <c r="AE7" s="82">
        <v>3</v>
      </c>
      <c r="AF7" s="737" t="str">
        <f>'1E'!AI11</f>
        <v>BO4075</v>
      </c>
    </row>
    <row r="8" spans="2:32">
      <c r="B8" s="87" t="s">
        <v>3299</v>
      </c>
      <c r="C8" s="80" t="s">
        <v>3300</v>
      </c>
      <c r="D8" s="80"/>
      <c r="E8" s="88" t="s">
        <v>8</v>
      </c>
      <c r="F8" s="89">
        <v>3</v>
      </c>
      <c r="G8" s="314">
        <f>IF(Validation!$H$3=1, '4C'!G10 - '1E'!J11, '4C'!G10 +'4C'!H10 + '4C'!I10 - '1E'!J11)</f>
        <v>2339.7790000000005</v>
      </c>
      <c r="H8" s="142"/>
      <c r="M8" s="113"/>
      <c r="O8" s="113"/>
      <c r="Q8" s="143"/>
      <c r="R8" s="143"/>
      <c r="AA8" s="87" t="s">
        <v>3299</v>
      </c>
      <c r="AB8" s="80" t="s">
        <v>3300</v>
      </c>
      <c r="AC8" s="80"/>
      <c r="AD8" s="88" t="s">
        <v>8</v>
      </c>
      <c r="AE8" s="89">
        <v>3</v>
      </c>
      <c r="AF8" s="314" t="s">
        <v>3301</v>
      </c>
    </row>
    <row r="9" spans="2:32">
      <c r="B9" s="87" t="s">
        <v>3302</v>
      </c>
      <c r="C9" s="80" t="s">
        <v>3303</v>
      </c>
      <c r="D9" s="80"/>
      <c r="E9" s="88" t="s">
        <v>10</v>
      </c>
      <c r="F9" s="89">
        <v>2</v>
      </c>
      <c r="G9" s="738">
        <f>'1E'!J13</f>
        <v>0.82927310317271175</v>
      </c>
      <c r="H9" s="142"/>
      <c r="M9" s="113"/>
      <c r="O9" s="113"/>
      <c r="Q9" s="143"/>
      <c r="R9" s="143"/>
      <c r="AA9" s="87" t="s">
        <v>3302</v>
      </c>
      <c r="AB9" s="80" t="s">
        <v>3303</v>
      </c>
      <c r="AC9" s="80"/>
      <c r="AD9" s="88" t="s">
        <v>10</v>
      </c>
      <c r="AE9" s="89">
        <v>2</v>
      </c>
      <c r="AF9" s="738" t="str">
        <f>'1E'!AI13</f>
        <v>FI00300</v>
      </c>
    </row>
    <row r="10" spans="2:32">
      <c r="B10" s="87" t="s">
        <v>3304</v>
      </c>
      <c r="C10" s="80" t="s">
        <v>3305</v>
      </c>
      <c r="D10" s="80"/>
      <c r="E10" s="88" t="s">
        <v>10</v>
      </c>
      <c r="F10" s="89">
        <v>2</v>
      </c>
      <c r="G10" s="562">
        <v>2.5404167307332692E-2</v>
      </c>
      <c r="H10" s="142"/>
      <c r="J10" s="25">
        <f xml:space="preserve"> IF( SUM( L10:N10 ) = 0, 0, $M$5 )</f>
        <v>0</v>
      </c>
      <c r="M10" s="86">
        <f t="shared" ref="M10:M16" si="0" xml:space="preserve"> IF( ISNUMBER( G10 ), 0, 1 )</f>
        <v>0</v>
      </c>
      <c r="O10" s="113"/>
      <c r="Q10" s="143"/>
      <c r="R10" s="143"/>
      <c r="AA10" s="87" t="s">
        <v>3304</v>
      </c>
      <c r="AB10" s="80" t="s">
        <v>3305</v>
      </c>
      <c r="AC10" s="80"/>
      <c r="AD10" s="88" t="s">
        <v>10</v>
      </c>
      <c r="AE10" s="89">
        <v>2</v>
      </c>
      <c r="AF10" s="562" t="s">
        <v>3306</v>
      </c>
    </row>
    <row r="11" spans="2:32">
      <c r="B11" s="87" t="s">
        <v>3307</v>
      </c>
      <c r="C11" s="80" t="s">
        <v>3308</v>
      </c>
      <c r="D11" s="80"/>
      <c r="E11" s="88" t="s">
        <v>10</v>
      </c>
      <c r="F11" s="89">
        <v>2</v>
      </c>
      <c r="G11" s="562">
        <v>4.8599999999999997E-2</v>
      </c>
      <c r="H11" s="142"/>
      <c r="J11" s="25">
        <f xml:space="preserve"> IF( SUM( L11:N11 ) = 0, 0, $M$5 )</f>
        <v>0</v>
      </c>
      <c r="M11" s="86">
        <f t="shared" si="0"/>
        <v>0</v>
      </c>
      <c r="O11" s="113"/>
      <c r="Q11" s="143"/>
      <c r="R11" s="143"/>
      <c r="AA11" s="87" t="s">
        <v>3307</v>
      </c>
      <c r="AB11" s="80" t="s">
        <v>3308</v>
      </c>
      <c r="AC11" s="80"/>
      <c r="AD11" s="88" t="s">
        <v>10</v>
      </c>
      <c r="AE11" s="89">
        <v>2</v>
      </c>
      <c r="AF11" s="562" t="s">
        <v>3309</v>
      </c>
    </row>
    <row r="12" spans="2:32">
      <c r="B12" s="87" t="s">
        <v>3310</v>
      </c>
      <c r="C12" s="80" t="s">
        <v>3311</v>
      </c>
      <c r="D12" s="80"/>
      <c r="E12" s="88" t="s">
        <v>10</v>
      </c>
      <c r="F12" s="89">
        <v>2</v>
      </c>
      <c r="G12" s="562">
        <v>1.8550902062123606E-2</v>
      </c>
      <c r="H12" s="142"/>
      <c r="J12" s="25">
        <f xml:space="preserve"> IF( SUM( L12:N12 ) = 0, 0, $M$5 )</f>
        <v>0</v>
      </c>
      <c r="M12" s="86">
        <f t="shared" si="0"/>
        <v>0</v>
      </c>
      <c r="O12" s="113"/>
      <c r="Q12" s="143"/>
      <c r="R12" s="143"/>
      <c r="AA12" s="87" t="s">
        <v>3310</v>
      </c>
      <c r="AB12" s="80" t="s">
        <v>3311</v>
      </c>
      <c r="AC12" s="80"/>
      <c r="AD12" s="88" t="s">
        <v>10</v>
      </c>
      <c r="AE12" s="89">
        <v>2</v>
      </c>
      <c r="AF12" s="562" t="s">
        <v>3312</v>
      </c>
    </row>
    <row r="13" spans="2:32" ht="14.25" customHeight="1">
      <c r="B13" s="87" t="s">
        <v>3313</v>
      </c>
      <c r="C13" s="80" t="s">
        <v>3314</v>
      </c>
      <c r="D13" s="80"/>
      <c r="E13" s="88" t="s">
        <v>10</v>
      </c>
      <c r="F13" s="89">
        <v>2</v>
      </c>
      <c r="G13" s="738">
        <f xml:space="preserve"> IF( ( '2I'!G23 + '2I'!G29 = 0 ), 0, ( '2I'!G23 + '2I'!G29 - '2C'!G19 - '2I'!G9 - '2I'!G15 - '2I'!G21 ) / ( '2I'!G23 + '2I'!G29 ) )</f>
        <v>-2.1948347554712989E-3</v>
      </c>
      <c r="H13" s="142"/>
      <c r="M13" s="113"/>
      <c r="O13" s="113"/>
      <c r="Q13" s="143"/>
      <c r="R13" s="143"/>
      <c r="S13" s="144" t="s">
        <v>3315</v>
      </c>
      <c r="AA13" s="87" t="s">
        <v>3313</v>
      </c>
      <c r="AB13" s="80" t="s">
        <v>3314</v>
      </c>
      <c r="AC13" s="80"/>
      <c r="AD13" s="88" t="s">
        <v>10</v>
      </c>
      <c r="AE13" s="89">
        <v>2</v>
      </c>
      <c r="AF13" s="738" t="s">
        <v>3316</v>
      </c>
    </row>
    <row r="14" spans="2:32" ht="14.25" customHeight="1">
      <c r="B14" s="87" t="s">
        <v>3317</v>
      </c>
      <c r="C14" s="80" t="s">
        <v>3318</v>
      </c>
      <c r="D14" s="80"/>
      <c r="E14" s="88" t="s">
        <v>10</v>
      </c>
      <c r="F14" s="89">
        <v>2</v>
      </c>
      <c r="G14" s="738">
        <f xml:space="preserve"> IF( ( '2I'!H23 + '2I'!H29 = 0 ), 0, ( '2I'!H23 + '2I'!H29 - '2C'!H19 - '2I'!H9 - '2I'!H15  - '2I'!H21) / ( '2I'!H23 + '2I'!H29 ) )</f>
        <v>-1.7321232164368379E-2</v>
      </c>
      <c r="H14" s="142"/>
      <c r="M14" s="113"/>
      <c r="Q14" s="143"/>
      <c r="S14" s="144" t="s">
        <v>3319</v>
      </c>
      <c r="AA14" s="87" t="s">
        <v>3317</v>
      </c>
      <c r="AB14" s="80" t="s">
        <v>3318</v>
      </c>
      <c r="AC14" s="80"/>
      <c r="AD14" s="88" t="s">
        <v>10</v>
      </c>
      <c r="AE14" s="89">
        <v>2</v>
      </c>
      <c r="AF14" s="738" t="s">
        <v>3320</v>
      </c>
    </row>
    <row r="15" spans="2:32">
      <c r="B15" s="87" t="s">
        <v>3321</v>
      </c>
      <c r="C15" s="80" t="s">
        <v>3322</v>
      </c>
      <c r="D15" s="80"/>
      <c r="E15" s="88" t="s">
        <v>20</v>
      </c>
      <c r="F15" s="89" t="s">
        <v>3323</v>
      </c>
      <c r="G15" s="339" t="s">
        <v>3324</v>
      </c>
      <c r="H15" s="142"/>
      <c r="J15" s="25">
        <f xml:space="preserve"> IF( SUM( L15:N15 ) = 0, 0, $M$5 )</f>
        <v>0</v>
      </c>
      <c r="M15" s="86">
        <f xml:space="preserve"> IF( ISTEXT( G15 ), 0, 1 )</f>
        <v>0</v>
      </c>
      <c r="O15" s="113"/>
      <c r="Q15" s="143"/>
      <c r="R15" s="143"/>
      <c r="AA15" s="87" t="s">
        <v>3321</v>
      </c>
      <c r="AB15" s="80" t="s">
        <v>3322</v>
      </c>
      <c r="AC15" s="80"/>
      <c r="AD15" s="88" t="s">
        <v>20</v>
      </c>
      <c r="AE15" s="89" t="s">
        <v>3323</v>
      </c>
      <c r="AF15" s="339" t="s">
        <v>3325</v>
      </c>
    </row>
    <row r="16" spans="2:32">
      <c r="B16" s="87" t="s">
        <v>3326</v>
      </c>
      <c r="C16" s="80" t="s">
        <v>3327</v>
      </c>
      <c r="D16" s="80"/>
      <c r="E16" s="88" t="s">
        <v>10</v>
      </c>
      <c r="F16" s="89">
        <v>2</v>
      </c>
      <c r="G16" s="562">
        <v>4.4368176986843193E-2</v>
      </c>
      <c r="H16" s="142"/>
      <c r="J16" s="25">
        <f xml:space="preserve"> IF( SUM( L16:N16 ) = 0, 0, $M$5 )</f>
        <v>0</v>
      </c>
      <c r="M16" s="86">
        <f t="shared" si="0"/>
        <v>0</v>
      </c>
      <c r="O16" s="113"/>
      <c r="Q16" s="143"/>
      <c r="R16" s="143"/>
      <c r="AA16" s="87" t="s">
        <v>3326</v>
      </c>
      <c r="AB16" s="80" t="s">
        <v>3327</v>
      </c>
      <c r="AC16" s="80"/>
      <c r="AD16" s="88" t="s">
        <v>10</v>
      </c>
      <c r="AE16" s="89">
        <v>2</v>
      </c>
      <c r="AF16" s="562" t="s">
        <v>3328</v>
      </c>
    </row>
    <row r="17" spans="2:32">
      <c r="B17" s="87" t="s">
        <v>3329</v>
      </c>
      <c r="C17" s="80" t="s">
        <v>3330</v>
      </c>
      <c r="D17" s="80"/>
      <c r="E17" s="88" t="s">
        <v>21</v>
      </c>
      <c r="F17" s="89">
        <v>2</v>
      </c>
      <c r="G17" s="338">
        <v>-4.0860342680141284E-2</v>
      </c>
      <c r="H17" s="142"/>
      <c r="J17" s="25">
        <f xml:space="preserve"> IF( SUM( L17:N17 ) = 0, 0, $M$5 )</f>
        <v>0</v>
      </c>
      <c r="M17" s="86">
        <f xml:space="preserve"> IF( ISNUMBER( G17 ), 0, 1 )</f>
        <v>0</v>
      </c>
      <c r="O17" s="113"/>
      <c r="Q17" s="143"/>
      <c r="R17" s="143"/>
      <c r="AA17" s="87" t="s">
        <v>3329</v>
      </c>
      <c r="AB17" s="80" t="s">
        <v>3330</v>
      </c>
      <c r="AC17" s="80"/>
      <c r="AD17" s="88" t="s">
        <v>21</v>
      </c>
      <c r="AE17" s="89">
        <v>2</v>
      </c>
      <c r="AF17" s="338" t="s">
        <v>3331</v>
      </c>
    </row>
    <row r="18" spans="2:32">
      <c r="B18" s="87" t="s">
        <v>3332</v>
      </c>
      <c r="C18" s="80" t="s">
        <v>3333</v>
      </c>
      <c r="D18" s="149"/>
      <c r="E18" s="145" t="s">
        <v>8</v>
      </c>
      <c r="F18" s="146">
        <v>3</v>
      </c>
      <c r="G18" s="314">
        <f>'1D'!K19 - '1D'!K11</f>
        <v>746.41799999999967</v>
      </c>
      <c r="H18" s="142"/>
      <c r="M18" s="113"/>
      <c r="O18" s="113"/>
      <c r="Q18" s="143"/>
      <c r="R18" s="143"/>
      <c r="AA18" s="87" t="s">
        <v>3332</v>
      </c>
      <c r="AB18" s="80" t="s">
        <v>3333</v>
      </c>
      <c r="AC18" s="149"/>
      <c r="AD18" s="145" t="s">
        <v>8</v>
      </c>
      <c r="AE18" s="146">
        <v>3</v>
      </c>
      <c r="AF18" s="314" t="s">
        <v>3334</v>
      </c>
    </row>
    <row r="19" spans="2:32">
      <c r="B19" s="87" t="s">
        <v>3335</v>
      </c>
      <c r="C19" s="80" t="s">
        <v>3336</v>
      </c>
      <c r="D19" s="80"/>
      <c r="E19" s="88" t="s">
        <v>21</v>
      </c>
      <c r="F19" s="89">
        <v>2</v>
      </c>
      <c r="G19" s="338">
        <v>3.2344358715333685</v>
      </c>
      <c r="H19" s="142"/>
      <c r="J19" s="25">
        <f xml:space="preserve"> IF( SUM( L19:N19 ) = 0, 0, $M$5 )</f>
        <v>0</v>
      </c>
      <c r="M19" s="86">
        <f xml:space="preserve"> IF( ISNUMBER( G19 ), 0, 1 )</f>
        <v>0</v>
      </c>
      <c r="O19" s="113"/>
      <c r="Q19" s="143"/>
      <c r="R19" s="143"/>
      <c r="AA19" s="87" t="s">
        <v>3335</v>
      </c>
      <c r="AB19" s="80" t="s">
        <v>3336</v>
      </c>
      <c r="AC19" s="80"/>
      <c r="AD19" s="88" t="s">
        <v>21</v>
      </c>
      <c r="AE19" s="89">
        <v>2</v>
      </c>
      <c r="AF19" s="338" t="s">
        <v>3337</v>
      </c>
    </row>
    <row r="20" spans="2:32">
      <c r="B20" s="87" t="s">
        <v>3338</v>
      </c>
      <c r="C20" s="80" t="s">
        <v>3339</v>
      </c>
      <c r="D20" s="80"/>
      <c r="E20" s="88" t="s">
        <v>21</v>
      </c>
      <c r="F20" s="89">
        <v>2</v>
      </c>
      <c r="G20" s="338">
        <v>1.6572044138034403</v>
      </c>
      <c r="H20" s="142"/>
      <c r="J20" s="25">
        <f xml:space="preserve"> IF( SUM( L20:N20 ) = 0, 0, $M$5 )</f>
        <v>0</v>
      </c>
      <c r="K20" s="142"/>
      <c r="L20" s="114"/>
      <c r="M20" s="86">
        <f xml:space="preserve"> IF( ISNUMBER( G20 ), 0, 1 )</f>
        <v>0</v>
      </c>
      <c r="N20" s="114"/>
      <c r="O20" s="113"/>
      <c r="Q20" s="143"/>
      <c r="R20" s="143"/>
      <c r="T20" s="114"/>
      <c r="AA20" s="87" t="s">
        <v>3338</v>
      </c>
      <c r="AB20" s="80" t="s">
        <v>3339</v>
      </c>
      <c r="AC20" s="80"/>
      <c r="AD20" s="88" t="s">
        <v>21</v>
      </c>
      <c r="AE20" s="89">
        <v>2</v>
      </c>
      <c r="AF20" s="338" t="s">
        <v>3340</v>
      </c>
    </row>
    <row r="21" spans="2:32">
      <c r="B21" s="87" t="s">
        <v>3341</v>
      </c>
      <c r="C21" s="80" t="s">
        <v>3342</v>
      </c>
      <c r="D21" s="80"/>
      <c r="E21" s="88" t="s">
        <v>21</v>
      </c>
      <c r="F21" s="89">
        <v>2</v>
      </c>
      <c r="G21" s="739">
        <f>IF(G7 = 0, 0, +G18 / G7)</f>
        <v>6.5676746742440617E-2</v>
      </c>
      <c r="H21" s="142"/>
      <c r="K21" s="142"/>
      <c r="M21" s="113"/>
      <c r="O21" s="113"/>
      <c r="Q21" s="143"/>
      <c r="R21" s="143"/>
      <c r="AA21" s="87" t="s">
        <v>3341</v>
      </c>
      <c r="AB21" s="80" t="s">
        <v>3342</v>
      </c>
      <c r="AC21" s="80"/>
      <c r="AD21" s="88" t="s">
        <v>21</v>
      </c>
      <c r="AE21" s="89">
        <v>2</v>
      </c>
      <c r="AF21" s="739" t="s">
        <v>3343</v>
      </c>
    </row>
    <row r="22" spans="2:32">
      <c r="B22" s="87" t="s">
        <v>3344</v>
      </c>
      <c r="C22" s="80" t="s">
        <v>3345</v>
      </c>
      <c r="D22" s="80"/>
      <c r="E22" s="88" t="s">
        <v>10</v>
      </c>
      <c r="F22" s="89">
        <v>2</v>
      </c>
      <c r="G22" s="562">
        <v>3.2172737837404153E-2</v>
      </c>
      <c r="H22" s="142"/>
      <c r="J22" s="25">
        <f xml:space="preserve"> IF( SUM( L22:N22 ) = 0, 0, $M$5 )</f>
        <v>0</v>
      </c>
      <c r="K22" s="142"/>
      <c r="L22" s="114"/>
      <c r="M22" s="86">
        <f xml:space="preserve"> IF( ISNUMBER( G22 ), 0, 1 )</f>
        <v>0</v>
      </c>
      <c r="N22" s="114"/>
      <c r="O22" s="113"/>
      <c r="Q22" s="143"/>
      <c r="R22" s="143"/>
      <c r="AA22" s="87" t="s">
        <v>3344</v>
      </c>
      <c r="AB22" s="80" t="s">
        <v>3345</v>
      </c>
      <c r="AC22" s="80"/>
      <c r="AD22" s="88" t="s">
        <v>10</v>
      </c>
      <c r="AE22" s="89">
        <v>2</v>
      </c>
      <c r="AF22" s="562" t="s">
        <v>3346</v>
      </c>
    </row>
    <row r="23" spans="2:32">
      <c r="B23" s="87" t="s">
        <v>3347</v>
      </c>
      <c r="C23" s="80" t="s">
        <v>3348</v>
      </c>
      <c r="D23" s="80"/>
      <c r="E23" s="88" t="s">
        <v>8</v>
      </c>
      <c r="F23" s="89">
        <v>3</v>
      </c>
      <c r="G23" s="314">
        <f xml:space="preserve"> +G18 - ( -1 * '1D'!K31 )</f>
        <v>691.41799999999967</v>
      </c>
      <c r="H23" s="142"/>
      <c r="J23" s="12"/>
      <c r="K23" s="142"/>
      <c r="L23" s="114"/>
      <c r="M23" s="113"/>
      <c r="N23" s="114"/>
      <c r="O23" s="113"/>
      <c r="Q23" s="143"/>
      <c r="R23" s="143"/>
      <c r="T23" s="114"/>
      <c r="AA23" s="87" t="s">
        <v>3347</v>
      </c>
      <c r="AB23" s="80" t="s">
        <v>3348</v>
      </c>
      <c r="AC23" s="80"/>
      <c r="AD23" s="88" t="s">
        <v>8</v>
      </c>
      <c r="AE23" s="89">
        <v>3</v>
      </c>
      <c r="AF23" s="314" t="s">
        <v>3349</v>
      </c>
    </row>
    <row r="24" spans="2:32" ht="15" thickBot="1">
      <c r="B24" s="94" t="s">
        <v>3350</v>
      </c>
      <c r="C24" s="95" t="s">
        <v>3351</v>
      </c>
      <c r="D24" s="95"/>
      <c r="E24" s="96" t="s">
        <v>21</v>
      </c>
      <c r="F24" s="93">
        <v>2</v>
      </c>
      <c r="G24" s="740">
        <f>IF( '1D'!K22 = 0, 0, G23 / ( -1 * '1D'!K22 ) )</f>
        <v>0.6505485861709801</v>
      </c>
      <c r="H24" s="142"/>
      <c r="K24" s="142"/>
      <c r="L24" s="114"/>
      <c r="M24" s="113"/>
      <c r="N24" s="114"/>
      <c r="O24" s="113"/>
      <c r="P24" s="114"/>
      <c r="Q24" s="143"/>
      <c r="R24" s="143"/>
      <c r="T24" s="114"/>
      <c r="AA24" s="94" t="s">
        <v>3350</v>
      </c>
      <c r="AB24" s="95" t="s">
        <v>3351</v>
      </c>
      <c r="AC24" s="95"/>
      <c r="AD24" s="96" t="s">
        <v>21</v>
      </c>
      <c r="AE24" s="93">
        <v>2</v>
      </c>
      <c r="AF24" s="740" t="s">
        <v>3352</v>
      </c>
    </row>
    <row r="25" spans="2:32" ht="15" thickBot="1">
      <c r="K25" s="142"/>
      <c r="M25" s="113"/>
      <c r="O25" s="113"/>
      <c r="P25" s="111"/>
      <c r="Q25" s="143"/>
      <c r="R25" s="143"/>
    </row>
    <row r="26" spans="2:32" ht="15" thickBot="1">
      <c r="B26" s="106" t="s">
        <v>236</v>
      </c>
      <c r="C26" s="107" t="s">
        <v>3353</v>
      </c>
      <c r="D26" s="1292"/>
      <c r="K26" s="142"/>
      <c r="M26" s="113"/>
      <c r="O26" s="113"/>
      <c r="P26" s="111"/>
      <c r="Q26" s="143"/>
      <c r="R26" s="143"/>
      <c r="AA26" s="106" t="s">
        <v>236</v>
      </c>
      <c r="AB26" s="107" t="s">
        <v>3353</v>
      </c>
      <c r="AC26" s="1292"/>
    </row>
    <row r="27" spans="2:32">
      <c r="B27" s="79" t="s">
        <v>3354</v>
      </c>
      <c r="C27" s="109" t="s">
        <v>3355</v>
      </c>
      <c r="D27" s="109"/>
      <c r="E27" s="81" t="s">
        <v>8</v>
      </c>
      <c r="F27" s="82">
        <v>3</v>
      </c>
      <c r="G27" s="737">
        <f>'2A'!P6</f>
        <v>1999.2520000000002</v>
      </c>
      <c r="H27" s="142"/>
      <c r="K27" s="142"/>
      <c r="L27" s="111"/>
      <c r="M27" s="113"/>
      <c r="N27" s="111"/>
      <c r="O27" s="113"/>
      <c r="P27" s="111"/>
      <c r="Q27" s="143"/>
      <c r="R27" s="143"/>
      <c r="T27" s="111"/>
      <c r="W27" s="116"/>
      <c r="AA27" s="79" t="s">
        <v>3354</v>
      </c>
      <c r="AB27" s="109" t="s">
        <v>3355</v>
      </c>
      <c r="AC27" s="109"/>
      <c r="AD27" s="81" t="s">
        <v>8</v>
      </c>
      <c r="AE27" s="82">
        <v>3</v>
      </c>
      <c r="AF27" s="737" t="str">
        <f>'2A'!BU6</f>
        <v>A1931PC</v>
      </c>
    </row>
    <row r="28" spans="2:32" ht="15" thickBot="1">
      <c r="B28" s="94" t="s">
        <v>3356</v>
      </c>
      <c r="C28" s="95" t="s">
        <v>3357</v>
      </c>
      <c r="D28" s="95"/>
      <c r="E28" s="96" t="s">
        <v>8</v>
      </c>
      <c r="F28" s="93">
        <v>3</v>
      </c>
      <c r="G28" s="287">
        <f>'2A'!P6 - ( -1 * '2A'!P8 )</f>
        <v>923.75600000000031</v>
      </c>
      <c r="H28" s="142"/>
      <c r="K28" s="142"/>
      <c r="M28" s="113"/>
      <c r="O28" s="113"/>
      <c r="P28" s="111"/>
      <c r="Q28" s="143"/>
      <c r="R28" s="143"/>
      <c r="W28" s="116"/>
      <c r="AA28" s="94" t="s">
        <v>3356</v>
      </c>
      <c r="AB28" s="95" t="s">
        <v>3357</v>
      </c>
      <c r="AC28" s="95"/>
      <c r="AD28" s="96" t="s">
        <v>8</v>
      </c>
      <c r="AE28" s="93">
        <v>3</v>
      </c>
      <c r="AF28" s="287" t="s">
        <v>3358</v>
      </c>
    </row>
    <row r="29" spans="2:32" ht="15" thickBot="1">
      <c r="H29" s="142"/>
      <c r="K29" s="142"/>
      <c r="L29" s="111"/>
      <c r="M29" s="113"/>
      <c r="N29" s="111"/>
      <c r="O29" s="113"/>
      <c r="P29" s="111"/>
      <c r="Q29" s="143"/>
      <c r="R29" s="143"/>
      <c r="T29" s="111"/>
      <c r="W29" s="112"/>
    </row>
    <row r="30" spans="2:32" ht="15" thickBot="1">
      <c r="B30" s="106" t="s">
        <v>362</v>
      </c>
      <c r="C30" s="107" t="s">
        <v>379</v>
      </c>
      <c r="D30" s="1292"/>
      <c r="H30" s="142"/>
      <c r="K30" s="142"/>
      <c r="L30" s="111"/>
      <c r="M30" s="113"/>
      <c r="N30" s="111"/>
      <c r="O30" s="113"/>
      <c r="P30" s="111"/>
      <c r="Q30" s="143"/>
      <c r="R30" s="143"/>
      <c r="T30" s="111"/>
      <c r="W30" s="112"/>
      <c r="AA30" s="106" t="s">
        <v>362</v>
      </c>
      <c r="AB30" s="107" t="s">
        <v>379</v>
      </c>
      <c r="AC30" s="1292"/>
    </row>
    <row r="31" spans="2:32">
      <c r="B31" s="79" t="s">
        <v>3359</v>
      </c>
      <c r="C31" s="109" t="s">
        <v>3360</v>
      </c>
      <c r="D31" s="109"/>
      <c r="E31" s="81" t="s">
        <v>10</v>
      </c>
      <c r="F31" s="82">
        <v>2</v>
      </c>
      <c r="G31" s="736">
        <f>IF( '1E'!J8 = 0, 0, ('1E'!G6+'1E'!J7) / '1E'!J8 )</f>
        <v>0.49532395995022249</v>
      </c>
      <c r="H31" s="142"/>
      <c r="L31" s="111"/>
      <c r="M31" s="113"/>
      <c r="N31" s="111"/>
      <c r="O31" s="113"/>
      <c r="P31" s="111"/>
      <c r="Q31" s="143"/>
      <c r="R31" s="143"/>
      <c r="T31" s="111"/>
      <c r="W31" s="147"/>
      <c r="AA31" s="79" t="s">
        <v>3359</v>
      </c>
      <c r="AB31" s="109" t="s">
        <v>3360</v>
      </c>
      <c r="AC31" s="109"/>
      <c r="AD31" s="81" t="s">
        <v>10</v>
      </c>
      <c r="AE31" s="82">
        <v>2</v>
      </c>
      <c r="AF31" s="736" t="s">
        <v>3361</v>
      </c>
    </row>
    <row r="32" spans="2:32">
      <c r="B32" s="148" t="s">
        <v>3362</v>
      </c>
      <c r="C32" s="149" t="s">
        <v>3363</v>
      </c>
      <c r="D32" s="149"/>
      <c r="E32" s="145" t="s">
        <v>10</v>
      </c>
      <c r="F32" s="146">
        <v>2</v>
      </c>
      <c r="G32" s="738">
        <f>IF( '1E'!J8 = 0, 0, '1E'!H6 / '1E'!J8 )</f>
        <v>8.1450450837692243E-3</v>
      </c>
      <c r="H32" s="142"/>
      <c r="K32" s="142"/>
      <c r="L32" s="111"/>
      <c r="M32" s="113"/>
      <c r="N32" s="111"/>
      <c r="O32" s="113"/>
      <c r="P32" s="111"/>
      <c r="Q32" s="143"/>
      <c r="R32" s="143"/>
      <c r="T32" s="111"/>
      <c r="W32" s="147"/>
      <c r="AA32" s="148" t="s">
        <v>3362</v>
      </c>
      <c r="AB32" s="149" t="s">
        <v>3363</v>
      </c>
      <c r="AC32" s="149"/>
      <c r="AD32" s="145" t="s">
        <v>10</v>
      </c>
      <c r="AE32" s="146">
        <v>2</v>
      </c>
      <c r="AF32" s="738" t="s">
        <v>3364</v>
      </c>
    </row>
    <row r="33" spans="2:32" ht="14.25" customHeight="1">
      <c r="B33" s="148" t="s">
        <v>3365</v>
      </c>
      <c r="C33" s="149" t="s">
        <v>3366</v>
      </c>
      <c r="D33" s="149"/>
      <c r="E33" s="145" t="s">
        <v>10</v>
      </c>
      <c r="F33" s="146">
        <v>2</v>
      </c>
      <c r="G33" s="738">
        <f>IF('1E'!J8 = 0, 0, '1E'!I6 / '1E'!J8 )</f>
        <v>0.49653099496600839</v>
      </c>
      <c r="H33" s="142"/>
      <c r="I33" s="1164">
        <f xml:space="preserve"> IF( SUM( N33:P33 ) = 0, 0, S33 )</f>
        <v>0</v>
      </c>
      <c r="K33" s="142"/>
      <c r="M33" s="113"/>
      <c r="O33" s="86">
        <f xml:space="preserve"> IF( (Q33 - R33) = 0, 0, 1 )</f>
        <v>0</v>
      </c>
      <c r="P33" s="111"/>
      <c r="Q33" s="143">
        <f xml:space="preserve"> G31 + G32 + G33</f>
        <v>1</v>
      </c>
      <c r="R33" s="143">
        <v>1</v>
      </c>
      <c r="S33" s="144" t="s">
        <v>3367</v>
      </c>
      <c r="W33" s="147"/>
      <c r="AA33" s="148" t="s">
        <v>3365</v>
      </c>
      <c r="AB33" s="149" t="s">
        <v>3366</v>
      </c>
      <c r="AC33" s="149"/>
      <c r="AD33" s="145" t="s">
        <v>10</v>
      </c>
      <c r="AE33" s="146">
        <v>2</v>
      </c>
      <c r="AF33" s="738" t="s">
        <v>3368</v>
      </c>
    </row>
    <row r="34" spans="2:32">
      <c r="B34" s="148" t="s">
        <v>3369</v>
      </c>
      <c r="C34" s="149" t="s">
        <v>3370</v>
      </c>
      <c r="D34" s="149"/>
      <c r="E34" s="145" t="s">
        <v>10</v>
      </c>
      <c r="F34" s="146">
        <v>2</v>
      </c>
      <c r="G34" s="562">
        <v>8.3999999999999995E-3</v>
      </c>
      <c r="H34" s="142"/>
      <c r="J34" s="25">
        <f xml:space="preserve"> IF( SUM( L34:N34 ) = 0, 0, $M$5 )</f>
        <v>0</v>
      </c>
      <c r="K34" s="142"/>
      <c r="M34" s="86">
        <f xml:space="preserve"> IF( ISNUMBER( G34 ), 0, 1 )</f>
        <v>0</v>
      </c>
      <c r="O34" s="113"/>
      <c r="P34" s="111"/>
      <c r="Q34" s="143"/>
      <c r="R34" s="143"/>
      <c r="W34" s="147"/>
      <c r="AA34" s="148" t="s">
        <v>3369</v>
      </c>
      <c r="AB34" s="149" t="s">
        <v>3370</v>
      </c>
      <c r="AC34" s="149"/>
      <c r="AD34" s="145" t="s">
        <v>10</v>
      </c>
      <c r="AE34" s="146">
        <v>2</v>
      </c>
      <c r="AF34" s="562" t="s">
        <v>3371</v>
      </c>
    </row>
    <row r="35" spans="2:32">
      <c r="B35" s="148" t="s">
        <v>3372</v>
      </c>
      <c r="C35" s="150" t="s">
        <v>3373</v>
      </c>
      <c r="D35" s="150"/>
      <c r="E35" s="145" t="s">
        <v>10</v>
      </c>
      <c r="F35" s="146">
        <v>2</v>
      </c>
      <c r="G35" s="562">
        <v>4.2000000000000003E-2</v>
      </c>
      <c r="H35" s="142"/>
      <c r="J35" s="25">
        <f xml:space="preserve"> IF( SUM( L35:N35 ) = 0, 0, $M$5 )</f>
        <v>0</v>
      </c>
      <c r="K35" s="142"/>
      <c r="L35" s="111"/>
      <c r="M35" s="86">
        <f xml:space="preserve"> IF( ISNUMBER( G35 ), 0, 1 )</f>
        <v>0</v>
      </c>
      <c r="N35" s="111"/>
      <c r="O35" s="113"/>
      <c r="P35" s="111"/>
      <c r="Q35" s="143"/>
      <c r="R35" s="143"/>
      <c r="T35" s="111"/>
      <c r="W35" s="147"/>
      <c r="AA35" s="148" t="s">
        <v>3372</v>
      </c>
      <c r="AB35" s="150" t="s">
        <v>3373</v>
      </c>
      <c r="AC35" s="150"/>
      <c r="AD35" s="145" t="s">
        <v>10</v>
      </c>
      <c r="AE35" s="146">
        <v>2</v>
      </c>
      <c r="AF35" s="562" t="s">
        <v>3374</v>
      </c>
    </row>
    <row r="36" spans="2:32" ht="14.25" customHeight="1">
      <c r="B36" s="148" t="s">
        <v>3375</v>
      </c>
      <c r="C36" s="151" t="s">
        <v>3376</v>
      </c>
      <c r="D36" s="150"/>
      <c r="E36" s="145" t="s">
        <v>10</v>
      </c>
      <c r="F36" s="146">
        <v>2</v>
      </c>
      <c r="G36" s="562">
        <v>9.0499999999999997E-2</v>
      </c>
      <c r="H36" s="142"/>
      <c r="J36" s="25">
        <f xml:space="preserve"> IF( SUM( L36:N36 ) = 0, 0, $M$5 )</f>
        <v>0</v>
      </c>
      <c r="K36" s="142"/>
      <c r="L36" s="114"/>
      <c r="M36" s="86">
        <f xml:space="preserve"> IF( ISNUMBER( G36 ), 0, 1 )</f>
        <v>0</v>
      </c>
      <c r="N36" s="114"/>
      <c r="O36"/>
      <c r="P36" s="114"/>
      <c r="Q36" s="143"/>
      <c r="T36" s="114"/>
      <c r="W36" s="147"/>
      <c r="AA36" s="148" t="s">
        <v>3375</v>
      </c>
      <c r="AB36" s="151" t="s">
        <v>3376</v>
      </c>
      <c r="AC36" s="150"/>
      <c r="AD36" s="145" t="s">
        <v>10</v>
      </c>
      <c r="AE36" s="146">
        <v>2</v>
      </c>
      <c r="AF36" s="562" t="s">
        <v>3377</v>
      </c>
    </row>
    <row r="37" spans="2:32">
      <c r="B37" s="148" t="s">
        <v>3378</v>
      </c>
      <c r="C37" s="151" t="s">
        <v>3379</v>
      </c>
      <c r="D37" s="150"/>
      <c r="E37" s="145" t="s">
        <v>10</v>
      </c>
      <c r="F37" s="146">
        <v>2</v>
      </c>
      <c r="G37" s="563">
        <v>0.51259999999999994</v>
      </c>
      <c r="H37" s="142"/>
      <c r="J37" s="25">
        <f xml:space="preserve"> IF( SUM( L37:N37 ) = 0, 0, $M$5 )</f>
        <v>0</v>
      </c>
      <c r="K37" s="142"/>
      <c r="L37" s="114"/>
      <c r="M37" s="86">
        <f xml:space="preserve"> IF( ISNUMBER( G37 ), 0, 1 )</f>
        <v>0</v>
      </c>
      <c r="N37" s="114"/>
      <c r="O37"/>
      <c r="P37" s="114"/>
      <c r="Q37" s="143"/>
      <c r="T37" s="114"/>
      <c r="W37" s="147"/>
      <c r="AA37" s="148" t="s">
        <v>3378</v>
      </c>
      <c r="AB37" s="151" t="s">
        <v>3379</v>
      </c>
      <c r="AC37" s="150"/>
      <c r="AD37" s="145" t="s">
        <v>10</v>
      </c>
      <c r="AE37" s="146">
        <v>2</v>
      </c>
      <c r="AF37" s="563" t="s">
        <v>3380</v>
      </c>
    </row>
    <row r="38" spans="2:32" ht="13.5" customHeight="1" thickBot="1">
      <c r="B38" s="152" t="s">
        <v>3381</v>
      </c>
      <c r="C38" s="95" t="s">
        <v>3382</v>
      </c>
      <c r="D38" s="321"/>
      <c r="E38" s="153" t="s">
        <v>10</v>
      </c>
      <c r="F38" s="154">
        <v>2</v>
      </c>
      <c r="G38" s="561">
        <v>0.34649999999999997</v>
      </c>
      <c r="H38" s="142"/>
      <c r="I38" s="1164">
        <f xml:space="preserve"> IF( SUM( N38:P38 ) = 0, 0, S38 )</f>
        <v>0</v>
      </c>
      <c r="J38" s="25">
        <f xml:space="preserve"> IF( SUM( L38:N38 ) = 0, 0, $M$5 )</f>
        <v>0</v>
      </c>
      <c r="K38" s="142"/>
      <c r="L38" s="114"/>
      <c r="M38" s="86">
        <f xml:space="preserve"> IF( ISNUMBER( G38 ), 0, 1 )</f>
        <v>0</v>
      </c>
      <c r="N38" s="114"/>
      <c r="O38" s="86">
        <f xml:space="preserve"> IF( (Q38 - R38) = 0, 0, 1 )</f>
        <v>0</v>
      </c>
      <c r="P38" s="111"/>
      <c r="Q38" s="143">
        <f xml:space="preserve"> SUM( G34:G38 )</f>
        <v>1</v>
      </c>
      <c r="R38" s="143">
        <v>1</v>
      </c>
      <c r="S38" s="144" t="s">
        <v>3383</v>
      </c>
      <c r="T38" s="114"/>
      <c r="W38" s="147"/>
      <c r="AA38" s="152" t="s">
        <v>3381</v>
      </c>
      <c r="AB38" s="95" t="s">
        <v>3382</v>
      </c>
      <c r="AC38" s="321"/>
      <c r="AD38" s="153" t="s">
        <v>10</v>
      </c>
      <c r="AE38" s="154">
        <v>2</v>
      </c>
      <c r="AF38" s="561" t="s">
        <v>3384</v>
      </c>
    </row>
    <row r="39" spans="2:32">
      <c r="H39" s="142"/>
      <c r="K39" s="142"/>
      <c r="M39" s="112"/>
      <c r="O39" s="103"/>
      <c r="P39" s="114"/>
    </row>
    <row r="40" spans="2:32" s="103" customFormat="1">
      <c r="C40" s="138"/>
      <c r="D40" s="138"/>
      <c r="H40" s="142"/>
      <c r="I40" s="69"/>
      <c r="K40" s="110"/>
      <c r="L40" s="66"/>
      <c r="M40" s="112"/>
      <c r="N40" s="66"/>
      <c r="O40" s="69"/>
      <c r="P40" s="114"/>
      <c r="Q40" s="69"/>
      <c r="R40" s="69"/>
      <c r="S40" s="69"/>
      <c r="T40" s="66"/>
      <c r="U40" s="110"/>
      <c r="AB40" s="138"/>
      <c r="AC40" s="138"/>
    </row>
    <row r="41" spans="2:32" s="142" customFormat="1">
      <c r="B41" s="2256" t="s">
        <v>275</v>
      </c>
      <c r="C41" s="2256"/>
      <c r="D41" s="2195"/>
      <c r="I41" s="69"/>
      <c r="K41" s="116"/>
      <c r="L41" s="66"/>
      <c r="M41" s="65"/>
      <c r="N41" s="66"/>
      <c r="O41" s="69"/>
      <c r="P41" s="114"/>
      <c r="Q41" s="69"/>
      <c r="R41" s="69"/>
      <c r="S41" s="69"/>
      <c r="T41" s="66"/>
      <c r="U41" s="116"/>
    </row>
    <row r="42" spans="2:32" s="142" customFormat="1">
      <c r="B42" s="127"/>
      <c r="C42" s="128"/>
      <c r="D42" s="128"/>
      <c r="I42" s="69"/>
      <c r="K42" s="116"/>
      <c r="L42" s="66"/>
      <c r="M42" s="65"/>
      <c r="N42" s="66"/>
      <c r="O42" s="69"/>
      <c r="P42" s="114"/>
      <c r="Q42" s="65"/>
      <c r="R42" s="65"/>
      <c r="S42" s="65"/>
      <c r="T42" s="66"/>
      <c r="U42" s="116"/>
    </row>
    <row r="43" spans="2:32" s="142" customFormat="1">
      <c r="B43" s="26"/>
      <c r="C43" s="129" t="s">
        <v>249</v>
      </c>
      <c r="D43" s="129"/>
      <c r="I43" s="69"/>
      <c r="K43" s="116"/>
      <c r="L43" s="66"/>
      <c r="M43" s="65"/>
      <c r="N43" s="66"/>
      <c r="O43" s="69"/>
      <c r="P43" s="114"/>
      <c r="T43" s="66"/>
      <c r="U43" s="116"/>
    </row>
    <row r="44" spans="2:32" s="142" customFormat="1">
      <c r="B44" s="127"/>
      <c r="C44" s="128"/>
      <c r="D44" s="128"/>
      <c r="I44" s="69"/>
      <c r="K44" s="116"/>
      <c r="L44" s="114"/>
      <c r="M44" s="65"/>
      <c r="N44" s="114"/>
      <c r="O44" s="69"/>
      <c r="P44" s="114"/>
      <c r="T44" s="114"/>
      <c r="U44" s="116"/>
    </row>
    <row r="45" spans="2:32" s="142" customFormat="1">
      <c r="B45" s="130"/>
      <c r="C45" s="129" t="s">
        <v>250</v>
      </c>
      <c r="D45" s="129"/>
      <c r="I45" s="69"/>
      <c r="K45" s="116"/>
      <c r="L45" s="66"/>
      <c r="M45" s="65"/>
      <c r="N45" s="66"/>
      <c r="O45" s="69"/>
      <c r="P45" s="66"/>
      <c r="T45" s="66"/>
      <c r="U45" s="116"/>
    </row>
    <row r="46" spans="2:32" s="142" customFormat="1">
      <c r="B46" s="131"/>
      <c r="C46" s="129"/>
      <c r="D46" s="129"/>
      <c r="I46" s="69"/>
      <c r="K46" s="116"/>
      <c r="L46" s="66"/>
      <c r="M46" s="65"/>
      <c r="N46" s="66"/>
      <c r="O46" s="69"/>
      <c r="P46" s="66"/>
      <c r="T46" s="66"/>
      <c r="U46" s="116"/>
    </row>
    <row r="47" spans="2:32" s="155" customFormat="1" ht="15" thickBot="1">
      <c r="C47" s="156"/>
      <c r="D47" s="156"/>
      <c r="I47" s="69"/>
      <c r="K47" s="118"/>
      <c r="L47" s="66"/>
      <c r="M47" s="65"/>
      <c r="N47" s="66"/>
      <c r="O47" s="69"/>
      <c r="P47" s="66"/>
      <c r="Q47" s="142"/>
      <c r="R47" s="142"/>
      <c r="S47" s="142"/>
      <c r="T47" s="66"/>
      <c r="U47" s="116"/>
    </row>
    <row r="48" spans="2:32" s="155" customFormat="1" ht="35.25" customHeight="1" thickBot="1">
      <c r="B48" s="2301" t="s">
        <v>251</v>
      </c>
      <c r="C48" s="2302"/>
      <c r="D48" s="2302"/>
      <c r="E48" s="2302"/>
      <c r="F48" s="2302"/>
      <c r="G48" s="2303"/>
      <c r="I48" s="69"/>
      <c r="K48" s="118"/>
      <c r="L48" s="66"/>
      <c r="M48" s="157" t="s">
        <v>2059</v>
      </c>
      <c r="N48" s="66"/>
      <c r="O48" s="69"/>
      <c r="P48" s="66"/>
      <c r="Q48" s="142"/>
      <c r="R48" s="142"/>
      <c r="S48" s="142"/>
      <c r="T48" s="66"/>
      <c r="U48" s="116"/>
    </row>
    <row r="49" spans="2:21" s="155" customFormat="1" ht="15" thickBot="1">
      <c r="C49" s="156"/>
      <c r="D49" s="156"/>
      <c r="I49" s="69"/>
      <c r="K49" s="118"/>
      <c r="L49" s="66"/>
      <c r="M49" s="65"/>
      <c r="N49" s="66"/>
      <c r="O49" s="69"/>
      <c r="P49" s="66"/>
      <c r="Q49" s="142"/>
      <c r="R49" s="142"/>
      <c r="S49" s="142"/>
      <c r="T49" s="66"/>
      <c r="U49" s="116"/>
    </row>
    <row r="50" spans="2:21" s="155" customFormat="1" ht="36" customHeight="1" thickBot="1">
      <c r="B50" s="2341" t="s">
        <v>3385</v>
      </c>
      <c r="C50" s="2342"/>
      <c r="D50" s="2342"/>
      <c r="E50" s="2342"/>
      <c r="F50" s="2342"/>
      <c r="G50" s="2343"/>
      <c r="I50" s="69"/>
      <c r="K50" s="118"/>
      <c r="L50" s="66"/>
      <c r="M50" s="157" t="s">
        <v>2059</v>
      </c>
      <c r="N50" s="66"/>
      <c r="O50" s="69"/>
      <c r="P50" s="66"/>
      <c r="Q50" s="142"/>
      <c r="R50" s="142"/>
      <c r="S50" s="142"/>
      <c r="T50" s="66"/>
      <c r="U50" s="116"/>
    </row>
    <row r="51" spans="2:21" s="155" customFormat="1" ht="15" thickBot="1">
      <c r="C51" s="156"/>
      <c r="D51" s="156"/>
      <c r="I51" s="69"/>
      <c r="K51" s="118"/>
      <c r="L51" s="66"/>
      <c r="M51" s="65"/>
      <c r="N51" s="66"/>
      <c r="O51" s="69"/>
      <c r="P51" s="66"/>
      <c r="Q51" s="142"/>
      <c r="R51" s="142"/>
      <c r="S51" s="142"/>
      <c r="T51" s="66"/>
      <c r="U51" s="116"/>
    </row>
    <row r="52" spans="2:21" ht="21" thickBot="1">
      <c r="B52" s="132" t="s">
        <v>3386</v>
      </c>
      <c r="C52" s="133"/>
      <c r="D52" s="133"/>
      <c r="E52" s="134"/>
      <c r="F52" s="134"/>
      <c r="G52" s="135"/>
      <c r="I52" s="65"/>
    </row>
    <row r="53" spans="2:21" ht="15" thickBot="1">
      <c r="B53" s="69"/>
      <c r="C53" s="141"/>
      <c r="D53" s="141"/>
      <c r="E53" s="69"/>
      <c r="F53" s="69"/>
      <c r="G53" s="103"/>
    </row>
    <row r="54" spans="2:21" ht="117" customHeight="1" thickBot="1">
      <c r="B54" s="2341" t="s">
        <v>3387</v>
      </c>
      <c r="C54" s="2342"/>
      <c r="D54" s="2342"/>
      <c r="E54" s="2342"/>
      <c r="F54" s="2342"/>
      <c r="G54" s="2343"/>
      <c r="H54" s="69"/>
      <c r="M54" s="157" t="s">
        <v>3388</v>
      </c>
    </row>
    <row r="55" spans="2:21" s="155" customFormat="1">
      <c r="C55" s="156"/>
      <c r="D55" s="156"/>
      <c r="I55" s="69"/>
      <c r="K55" s="118"/>
      <c r="L55" s="66"/>
      <c r="M55" s="65"/>
      <c r="N55" s="66"/>
      <c r="O55" s="69"/>
      <c r="P55" s="66"/>
      <c r="Q55" s="142"/>
      <c r="R55" s="142"/>
      <c r="S55" s="142"/>
      <c r="T55" s="66"/>
      <c r="U55" s="116"/>
    </row>
  </sheetData>
  <sheetProtection algorithmName="SHA-512" hashValue="tdoTz78zmBtJkA9W2X+X1fHgEabL67Qmt3LW3LxCiL6QtZjn6+0DoE/T/NQHStGQMXDnEGeakBrSKnLZn8BKRQ==" saltValue="FPxUrvQEpQvsKe7dA68Oaw==" spinCount="100000" sheet="1" objects="1" scenarios="1"/>
  <mergeCells count="14">
    <mergeCell ref="AE3:AE4"/>
    <mergeCell ref="AF3:AF4"/>
    <mergeCell ref="I3:I4"/>
    <mergeCell ref="J3:J4"/>
    <mergeCell ref="B48:G48"/>
    <mergeCell ref="B50:G50"/>
    <mergeCell ref="B54:G54"/>
    <mergeCell ref="AA3:AB4"/>
    <mergeCell ref="AD3:AD4"/>
    <mergeCell ref="B3:C4"/>
    <mergeCell ref="E3:E4"/>
    <mergeCell ref="F3:F4"/>
    <mergeCell ref="G3:G4"/>
    <mergeCell ref="B41:C41"/>
  </mergeCells>
  <conditionalFormatting sqref="I33 I38">
    <cfRule type="cellIs" dxfId="139" priority="4" operator="equal">
      <formula>0</formula>
    </cfRule>
  </conditionalFormatting>
  <conditionalFormatting sqref="J10:J12 J19:J20 J34:J38">
    <cfRule type="cellIs" dxfId="138" priority="5" operator="equal">
      <formula>0</formula>
    </cfRule>
  </conditionalFormatting>
  <conditionalFormatting sqref="J15:J17">
    <cfRule type="cellIs" dxfId="137" priority="2" operator="equal">
      <formula>0</formula>
    </cfRule>
  </conditionalFormatting>
  <conditionalFormatting sqref="J22">
    <cfRule type="cellIs" dxfId="1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BO54"/>
  <sheetViews>
    <sheetView showGridLines="0" zoomScale="80" zoomScaleNormal="80" workbookViewId="0"/>
  </sheetViews>
  <sheetFormatPr defaultColWidth="0" defaultRowHeight="14.25" zeroHeight="1"/>
  <cols>
    <col min="1" max="1" width="0.625" customWidth="1"/>
    <col min="2" max="2" width="5.125" customWidth="1"/>
    <col min="3" max="3" width="36.5" customWidth="1"/>
    <col min="4" max="4" width="1.125" hidden="1" customWidth="1"/>
    <col min="5" max="6" width="5.125" customWidth="1"/>
    <col min="7" max="12" width="10.625" customWidth="1"/>
    <col min="13" max="14" width="5.125" customWidth="1"/>
    <col min="15" max="16" width="10.625" customWidth="1"/>
    <col min="17" max="17" width="2.625" style="69" customWidth="1"/>
    <col min="18" max="18" width="37.125" style="69" customWidth="1"/>
    <col min="19" max="19" width="1.625" style="65" customWidth="1"/>
    <col min="20" max="20" width="1.625" style="66" hidden="1" customWidth="1"/>
    <col min="21" max="27" width="4.625" style="65" hidden="1" customWidth="1"/>
    <col min="28" max="28" width="1.625" style="66" hidden="1" customWidth="1"/>
    <col min="29" max="29" width="8.625" style="67" hidden="1" customWidth="1"/>
    <col min="30" max="30" width="1.625" style="66" hidden="1" customWidth="1"/>
    <col min="31" max="32" width="8.625" hidden="1" customWidth="1"/>
    <col min="33" max="33" width="77" hidden="1" customWidth="1"/>
    <col min="34" max="34" width="1.625" style="66" hidden="1" customWidth="1"/>
    <col min="35" max="52" width="8.625" hidden="1" customWidth="1"/>
    <col min="53" max="53" width="5.125" hidden="1" customWidth="1"/>
    <col min="54" max="54" width="36.5" hidden="1" customWidth="1"/>
    <col min="55" max="55" width="8" hidden="1" customWidth="1"/>
    <col min="56" max="57" width="5.125" hidden="1" customWidth="1"/>
    <col min="58" max="63" width="10.625" hidden="1" customWidth="1"/>
    <col min="64" max="65" width="5.125" hidden="1" customWidth="1"/>
    <col min="66" max="67" width="10.625" hidden="1" customWidth="1"/>
    <col min="68" max="16384" width="8.625" hidden="1"/>
  </cols>
  <sheetData>
    <row r="1" spans="2:67" ht="20.25">
      <c r="B1" s="61" t="s">
        <v>3389</v>
      </c>
      <c r="C1" s="61"/>
      <c r="D1" s="61"/>
      <c r="E1" s="61"/>
      <c r="F1" s="61"/>
      <c r="G1" s="61"/>
      <c r="H1" s="61"/>
      <c r="I1" s="61"/>
      <c r="J1" s="61"/>
      <c r="K1" s="61"/>
      <c r="L1" s="62"/>
      <c r="M1" s="61"/>
      <c r="N1" s="61"/>
      <c r="O1" s="61"/>
      <c r="P1" s="63" t="str">
        <f>Validation!B3</f>
        <v>Thames Water</v>
      </c>
      <c r="Q1" s="61"/>
      <c r="R1" s="64" t="s">
        <v>94</v>
      </c>
      <c r="BA1" s="61" t="s">
        <v>3390</v>
      </c>
      <c r="BB1" s="61"/>
      <c r="BC1" s="61"/>
      <c r="BD1" s="61"/>
      <c r="BE1" s="61"/>
      <c r="BF1" s="61"/>
      <c r="BG1" s="61"/>
      <c r="BH1" s="61"/>
      <c r="BI1" s="61"/>
      <c r="BJ1" s="61"/>
      <c r="BK1" s="62"/>
      <c r="BL1" s="61"/>
      <c r="BM1" s="61"/>
      <c r="BN1" s="61"/>
      <c r="BO1" s="63"/>
    </row>
    <row r="2" spans="2:67" ht="15" thickBot="1">
      <c r="B2" s="68" t="s">
        <v>80</v>
      </c>
      <c r="R2" s="65"/>
      <c r="BA2" s="68" t="s">
        <v>80</v>
      </c>
    </row>
    <row r="3" spans="2:67" s="65" customFormat="1" ht="45" customHeight="1">
      <c r="B3" s="2242" t="s">
        <v>96</v>
      </c>
      <c r="C3" s="2243"/>
      <c r="D3" s="2192" t="s">
        <v>3391</v>
      </c>
      <c r="E3" s="2246" t="s">
        <v>98</v>
      </c>
      <c r="F3" s="2248" t="s">
        <v>99</v>
      </c>
      <c r="G3" s="2252" t="s">
        <v>3392</v>
      </c>
      <c r="H3" s="2253"/>
      <c r="I3" s="2254"/>
      <c r="J3" s="2252" t="s">
        <v>3393</v>
      </c>
      <c r="K3" s="2347"/>
      <c r="L3" s="2240" t="s">
        <v>3394</v>
      </c>
      <c r="M3" s="2344" t="s">
        <v>98</v>
      </c>
      <c r="N3" s="2248" t="s">
        <v>99</v>
      </c>
      <c r="O3" s="2252" t="s">
        <v>3395</v>
      </c>
      <c r="P3" s="2347"/>
      <c r="Q3" s="70"/>
      <c r="R3" s="2240" t="s">
        <v>3396</v>
      </c>
      <c r="T3" s="66"/>
      <c r="U3" s="71" t="s">
        <v>107</v>
      </c>
      <c r="V3" s="72"/>
      <c r="W3" s="72"/>
      <c r="X3" s="72"/>
      <c r="Y3" s="72"/>
      <c r="Z3" s="72"/>
      <c r="AA3" s="72"/>
      <c r="AB3" s="66"/>
      <c r="AC3" s="2194" t="s">
        <v>86</v>
      </c>
      <c r="AD3" s="66"/>
      <c r="AE3" s="71" t="s">
        <v>742</v>
      </c>
      <c r="AF3" s="2194"/>
      <c r="AG3" s="2194"/>
      <c r="AH3" s="66"/>
      <c r="BA3" s="2242" t="s">
        <v>96</v>
      </c>
      <c r="BB3" s="2243"/>
      <c r="BC3" s="2192" t="s">
        <v>3391</v>
      </c>
      <c r="BD3" s="2246" t="s">
        <v>98</v>
      </c>
      <c r="BE3" s="2248" t="s">
        <v>99</v>
      </c>
      <c r="BF3" s="2252" t="s">
        <v>3392</v>
      </c>
      <c r="BG3" s="2253"/>
      <c r="BH3" s="2254"/>
      <c r="BI3" s="2252" t="s">
        <v>3393</v>
      </c>
      <c r="BJ3" s="2347"/>
      <c r="BK3" s="2240" t="s">
        <v>3394</v>
      </c>
      <c r="BL3" s="2344" t="s">
        <v>98</v>
      </c>
      <c r="BM3" s="2248" t="s">
        <v>99</v>
      </c>
      <c r="BN3" s="2252" t="s">
        <v>3395</v>
      </c>
      <c r="BO3" s="2347"/>
    </row>
    <row r="4" spans="2:67" s="65" customFormat="1" ht="27.75" thickBot="1">
      <c r="B4" s="2244"/>
      <c r="C4" s="2245"/>
      <c r="D4" s="2193"/>
      <c r="E4" s="2348"/>
      <c r="F4" s="2249"/>
      <c r="G4" s="2201" t="s">
        <v>3397</v>
      </c>
      <c r="H4" s="73" t="s">
        <v>3398</v>
      </c>
      <c r="I4" s="2202" t="s">
        <v>3399</v>
      </c>
      <c r="J4" s="2201" t="s">
        <v>3400</v>
      </c>
      <c r="K4" s="2202" t="s">
        <v>3401</v>
      </c>
      <c r="L4" s="2338"/>
      <c r="M4" s="2345"/>
      <c r="N4" s="2346"/>
      <c r="O4" s="2201" t="s">
        <v>3402</v>
      </c>
      <c r="P4" s="2202" t="s">
        <v>3403</v>
      </c>
      <c r="Q4" s="69"/>
      <c r="R4" s="2241"/>
      <c r="S4" s="74"/>
      <c r="T4" s="66"/>
      <c r="AB4" s="66"/>
      <c r="AD4" s="66"/>
      <c r="AH4" s="66"/>
      <c r="BA4" s="2244"/>
      <c r="BB4" s="2245"/>
      <c r="BC4" s="2193"/>
      <c r="BD4" s="2348"/>
      <c r="BE4" s="2249"/>
      <c r="BF4" s="2201" t="s">
        <v>3397</v>
      </c>
      <c r="BG4" s="73" t="s">
        <v>3398</v>
      </c>
      <c r="BH4" s="2202" t="s">
        <v>3399</v>
      </c>
      <c r="BI4" s="2201" t="s">
        <v>3400</v>
      </c>
      <c r="BJ4" s="2202" t="s">
        <v>3401</v>
      </c>
      <c r="BK4" s="2338"/>
      <c r="BL4" s="2345"/>
      <c r="BM4" s="2346"/>
      <c r="BN4" s="2201" t="s">
        <v>3402</v>
      </c>
      <c r="BO4" s="2202" t="s">
        <v>3403</v>
      </c>
    </row>
    <row r="5" spans="2:67" ht="15" thickBot="1"/>
    <row r="6" spans="2:67" ht="15" thickBot="1">
      <c r="B6" s="75" t="s">
        <v>3404</v>
      </c>
      <c r="C6" s="76"/>
      <c r="D6" s="1313"/>
      <c r="BA6" s="75" t="s">
        <v>3404</v>
      </c>
      <c r="BB6" s="76"/>
      <c r="BC6" s="1313"/>
    </row>
    <row r="7" spans="2:67" ht="15.75" thickBot="1">
      <c r="B7" s="2221" t="s">
        <v>214</v>
      </c>
      <c r="C7" s="77" t="s">
        <v>3405</v>
      </c>
      <c r="D7" s="1292"/>
      <c r="E7" s="55"/>
      <c r="F7" s="55"/>
      <c r="G7" s="55"/>
      <c r="H7" s="55"/>
      <c r="I7" s="55"/>
      <c r="M7" s="55"/>
      <c r="N7" s="55"/>
      <c r="U7" s="78" t="s">
        <v>108</v>
      </c>
      <c r="BA7" s="2221" t="s">
        <v>214</v>
      </c>
      <c r="BB7" s="77" t="s">
        <v>3405</v>
      </c>
      <c r="BC7" s="1292"/>
      <c r="BD7" s="55"/>
      <c r="BE7" s="55"/>
      <c r="BF7" s="55"/>
      <c r="BG7" s="55"/>
      <c r="BH7" s="55"/>
      <c r="BL7" s="55"/>
      <c r="BM7" s="55"/>
    </row>
    <row r="8" spans="2:67">
      <c r="B8" s="79" t="s">
        <v>3406</v>
      </c>
      <c r="C8" s="80" t="s">
        <v>3407</v>
      </c>
      <c r="D8" s="149"/>
      <c r="E8" s="81" t="s">
        <v>8</v>
      </c>
      <c r="F8" s="82">
        <v>3</v>
      </c>
      <c r="G8" s="34">
        <v>0</v>
      </c>
      <c r="H8" s="35">
        <v>1000</v>
      </c>
      <c r="I8" s="36">
        <v>1250</v>
      </c>
      <c r="J8" s="83">
        <f>SUM(G8:I8)</f>
        <v>2250</v>
      </c>
      <c r="K8" s="36">
        <v>199.3</v>
      </c>
      <c r="L8" s="37">
        <v>0</v>
      </c>
      <c r="M8" s="84" t="s">
        <v>10</v>
      </c>
      <c r="N8" s="82">
        <v>2</v>
      </c>
      <c r="O8" s="741">
        <v>3.2000000000000001E-2</v>
      </c>
      <c r="P8" s="742">
        <v>6.0000000000000001E-3</v>
      </c>
      <c r="Q8" s="85"/>
      <c r="R8" s="25">
        <f xml:space="preserve"> IF( SUM( T8:AB8 ) = 0, 0, $U$7 )</f>
        <v>0</v>
      </c>
      <c r="U8" s="86">
        <f xml:space="preserve"> IF( ISNUMBER( G8 ), 0, 1 )</f>
        <v>0</v>
      </c>
      <c r="V8" s="86">
        <f t="shared" ref="V8:W8" si="0" xml:space="preserve"> IF( ISNUMBER( H8 ), 0, 1 )</f>
        <v>0</v>
      </c>
      <c r="W8" s="86">
        <f t="shared" si="0"/>
        <v>0</v>
      </c>
      <c r="X8" s="86">
        <f xml:space="preserve"> IF( ISNUMBER( K8 ), 0, 1 )</f>
        <v>0</v>
      </c>
      <c r="Y8" s="86">
        <f xml:space="preserve"> IF( ISNUMBER( L8 ), 0, 1 )</f>
        <v>0</v>
      </c>
      <c r="Z8" s="86">
        <f xml:space="preserve"> IF( ISNUMBER( O8 ), 0, 1 )</f>
        <v>0</v>
      </c>
      <c r="AA8" s="86">
        <f xml:space="preserve"> IF( ISNUMBER( P8 ), 0, 1 )</f>
        <v>0</v>
      </c>
      <c r="AE8" s="24"/>
      <c r="AF8" s="24"/>
      <c r="AG8" s="24"/>
      <c r="BA8" s="79" t="s">
        <v>3406</v>
      </c>
      <c r="BB8" s="80" t="s">
        <v>3407</v>
      </c>
      <c r="BC8" s="149"/>
      <c r="BD8" s="81" t="s">
        <v>8</v>
      </c>
      <c r="BE8" s="82">
        <v>3</v>
      </c>
      <c r="BF8" s="34" t="s">
        <v>3408</v>
      </c>
      <c r="BG8" s="35" t="s">
        <v>3409</v>
      </c>
      <c r="BH8" s="36" t="s">
        <v>3410</v>
      </c>
      <c r="BI8" s="83" t="s">
        <v>3411</v>
      </c>
      <c r="BJ8" s="36" t="s">
        <v>3412</v>
      </c>
      <c r="BK8" s="37" t="s">
        <v>3413</v>
      </c>
      <c r="BL8" s="84" t="s">
        <v>10</v>
      </c>
      <c r="BM8" s="82">
        <v>2</v>
      </c>
      <c r="BN8" s="741" t="s">
        <v>3414</v>
      </c>
      <c r="BO8" s="742" t="s">
        <v>3415</v>
      </c>
    </row>
    <row r="9" spans="2:67">
      <c r="B9" s="148" t="s">
        <v>3416</v>
      </c>
      <c r="C9" s="80" t="s">
        <v>3417</v>
      </c>
      <c r="D9" s="80"/>
      <c r="E9" s="88" t="s">
        <v>8</v>
      </c>
      <c r="F9" s="89">
        <v>3</v>
      </c>
      <c r="G9" s="545">
        <v>0</v>
      </c>
      <c r="H9" s="546">
        <v>1000</v>
      </c>
      <c r="I9" s="547">
        <v>693.6</v>
      </c>
      <c r="J9" s="90">
        <f t="shared" ref="J9:J13" si="1">SUM(G9:I9)</f>
        <v>1693.6</v>
      </c>
      <c r="K9" s="547">
        <v>22.3</v>
      </c>
      <c r="L9" s="548">
        <v>0</v>
      </c>
      <c r="M9" s="91" t="s">
        <v>10</v>
      </c>
      <c r="N9" s="89">
        <v>2</v>
      </c>
      <c r="O9" s="743">
        <v>6.0000000000000001E-3</v>
      </c>
      <c r="P9" s="744">
        <v>0.01</v>
      </c>
      <c r="Q9" s="85"/>
      <c r="R9" s="25">
        <f t="shared" ref="R9:R13" si="2" xml:space="preserve"> IF( SUM( T9:AB9 ) = 0, 0, $U$7 )</f>
        <v>0</v>
      </c>
      <c r="U9" s="86">
        <f t="shared" ref="U9:U13" si="3" xml:space="preserve"> IF( ISNUMBER( G9 ), 0, 1 )</f>
        <v>0</v>
      </c>
      <c r="V9" s="86">
        <f t="shared" ref="V9:V13" si="4" xml:space="preserve"> IF( ISNUMBER( H9 ), 0, 1 )</f>
        <v>0</v>
      </c>
      <c r="W9" s="86">
        <f t="shared" ref="W9:W13" si="5" xml:space="preserve"> IF( ISNUMBER( I9 ), 0, 1 )</f>
        <v>0</v>
      </c>
      <c r="X9" s="86">
        <f t="shared" ref="X9:X13" si="6" xml:space="preserve"> IF( ISNUMBER( K9 ), 0, 1 )</f>
        <v>0</v>
      </c>
      <c r="Y9" s="86">
        <f t="shared" ref="Y9:Y13" si="7" xml:space="preserve"> IF( ISNUMBER( L9 ), 0, 1 )</f>
        <v>0</v>
      </c>
      <c r="Z9" s="86">
        <f t="shared" ref="Z9:Z13" si="8" xml:space="preserve"> IF( ISNUMBER( O9 ), 0, 1 )</f>
        <v>0</v>
      </c>
      <c r="AA9" s="86">
        <f t="shared" ref="AA9:AA13" si="9" xml:space="preserve"> IF( ISNUMBER( P9 ), 0, 1 )</f>
        <v>0</v>
      </c>
      <c r="AE9" s="24"/>
      <c r="AF9" s="24"/>
      <c r="AG9" s="24"/>
      <c r="BA9" s="148" t="s">
        <v>3416</v>
      </c>
      <c r="BB9" s="80" t="s">
        <v>3417</v>
      </c>
      <c r="BC9" s="80"/>
      <c r="BD9" s="88" t="s">
        <v>8</v>
      </c>
      <c r="BE9" s="89">
        <v>3</v>
      </c>
      <c r="BF9" s="545" t="s">
        <v>3418</v>
      </c>
      <c r="BG9" s="546" t="s">
        <v>3419</v>
      </c>
      <c r="BH9" s="547" t="s">
        <v>3420</v>
      </c>
      <c r="BI9" s="90" t="s">
        <v>3421</v>
      </c>
      <c r="BJ9" s="547" t="s">
        <v>3422</v>
      </c>
      <c r="BK9" s="548" t="s">
        <v>3423</v>
      </c>
      <c r="BL9" s="91" t="s">
        <v>10</v>
      </c>
      <c r="BM9" s="89">
        <v>2</v>
      </c>
      <c r="BN9" s="743" t="s">
        <v>3424</v>
      </c>
      <c r="BO9" s="744" t="s">
        <v>3425</v>
      </c>
    </row>
    <row r="10" spans="2:67">
      <c r="B10" s="87" t="s">
        <v>3426</v>
      </c>
      <c r="C10" s="80" t="s">
        <v>3427</v>
      </c>
      <c r="D10" s="80"/>
      <c r="E10" s="88" t="s">
        <v>8</v>
      </c>
      <c r="F10" s="89">
        <v>3</v>
      </c>
      <c r="G10" s="38">
        <v>0</v>
      </c>
      <c r="H10" s="39">
        <v>0</v>
      </c>
      <c r="I10" s="40">
        <v>20</v>
      </c>
      <c r="J10" s="90">
        <f t="shared" si="1"/>
        <v>20</v>
      </c>
      <c r="K10" s="40">
        <v>0.9</v>
      </c>
      <c r="L10" s="41">
        <v>1.3</v>
      </c>
      <c r="M10" s="91" t="s">
        <v>10</v>
      </c>
      <c r="N10" s="89">
        <v>2</v>
      </c>
      <c r="O10" s="745">
        <v>0.05</v>
      </c>
      <c r="P10" s="746">
        <v>2.8999999999999998E-2</v>
      </c>
      <c r="Q10" s="85"/>
      <c r="R10" s="25">
        <f t="shared" si="2"/>
        <v>0</v>
      </c>
      <c r="U10" s="86">
        <f t="shared" si="3"/>
        <v>0</v>
      </c>
      <c r="V10" s="86">
        <f t="shared" si="4"/>
        <v>0</v>
      </c>
      <c r="W10" s="86">
        <f t="shared" si="5"/>
        <v>0</v>
      </c>
      <c r="X10" s="86">
        <f t="shared" si="6"/>
        <v>0</v>
      </c>
      <c r="Y10" s="86">
        <f t="shared" si="7"/>
        <v>0</v>
      </c>
      <c r="Z10" s="86">
        <f t="shared" si="8"/>
        <v>0</v>
      </c>
      <c r="AA10" s="86">
        <f t="shared" si="9"/>
        <v>0</v>
      </c>
      <c r="AE10" s="24"/>
      <c r="AF10" s="24"/>
      <c r="AG10" s="24"/>
      <c r="BA10" s="87" t="s">
        <v>3426</v>
      </c>
      <c r="BB10" s="80" t="s">
        <v>3427</v>
      </c>
      <c r="BC10" s="80"/>
      <c r="BD10" s="88" t="s">
        <v>8</v>
      </c>
      <c r="BE10" s="89">
        <v>3</v>
      </c>
      <c r="BF10" s="38" t="s">
        <v>3428</v>
      </c>
      <c r="BG10" s="39" t="s">
        <v>3429</v>
      </c>
      <c r="BH10" s="40" t="s">
        <v>3430</v>
      </c>
      <c r="BI10" s="90" t="s">
        <v>3431</v>
      </c>
      <c r="BJ10" s="40" t="s">
        <v>3432</v>
      </c>
      <c r="BK10" s="41" t="s">
        <v>3433</v>
      </c>
      <c r="BL10" s="91" t="s">
        <v>10</v>
      </c>
      <c r="BM10" s="89">
        <v>2</v>
      </c>
      <c r="BN10" s="745" t="s">
        <v>3434</v>
      </c>
      <c r="BO10" s="746" t="s">
        <v>3435</v>
      </c>
    </row>
    <row r="11" spans="2:67">
      <c r="B11" s="87" t="s">
        <v>3436</v>
      </c>
      <c r="C11" s="80" t="s">
        <v>3437</v>
      </c>
      <c r="D11" s="80"/>
      <c r="E11" s="88" t="s">
        <v>8</v>
      </c>
      <c r="F11" s="89">
        <v>3</v>
      </c>
      <c r="G11" s="38">
        <v>0</v>
      </c>
      <c r="H11" s="39">
        <v>0</v>
      </c>
      <c r="I11" s="40">
        <v>0</v>
      </c>
      <c r="J11" s="90">
        <f t="shared" si="1"/>
        <v>0</v>
      </c>
      <c r="K11" s="40">
        <v>0</v>
      </c>
      <c r="L11" s="41">
        <v>0</v>
      </c>
      <c r="M11" s="91" t="s">
        <v>10</v>
      </c>
      <c r="N11" s="89">
        <v>2</v>
      </c>
      <c r="O11" s="747">
        <v>0</v>
      </c>
      <c r="P11" s="748">
        <v>0</v>
      </c>
      <c r="Q11" s="85"/>
      <c r="R11" s="25">
        <f t="shared" si="2"/>
        <v>0</v>
      </c>
      <c r="U11" s="86">
        <f t="shared" si="3"/>
        <v>0</v>
      </c>
      <c r="V11" s="86">
        <f t="shared" si="4"/>
        <v>0</v>
      </c>
      <c r="W11" s="86">
        <f t="shared" si="5"/>
        <v>0</v>
      </c>
      <c r="X11" s="86">
        <f t="shared" si="6"/>
        <v>0</v>
      </c>
      <c r="Y11" s="86">
        <f t="shared" si="7"/>
        <v>0</v>
      </c>
      <c r="Z11" s="86">
        <f t="shared" si="8"/>
        <v>0</v>
      </c>
      <c r="AA11" s="86">
        <f t="shared" si="9"/>
        <v>0</v>
      </c>
      <c r="AE11" s="24"/>
      <c r="AF11" s="24"/>
      <c r="AG11" s="24"/>
      <c r="BA11" s="87" t="s">
        <v>3436</v>
      </c>
      <c r="BB11" s="80" t="s">
        <v>3437</v>
      </c>
      <c r="BC11" s="80"/>
      <c r="BD11" s="88" t="s">
        <v>8</v>
      </c>
      <c r="BE11" s="89">
        <v>3</v>
      </c>
      <c r="BF11" s="38" t="s">
        <v>3438</v>
      </c>
      <c r="BG11" s="39" t="s">
        <v>3439</v>
      </c>
      <c r="BH11" s="40" t="s">
        <v>3440</v>
      </c>
      <c r="BI11" s="90" t="s">
        <v>3441</v>
      </c>
      <c r="BJ11" s="40" t="s">
        <v>3442</v>
      </c>
      <c r="BK11" s="41" t="s">
        <v>3443</v>
      </c>
      <c r="BL11" s="91" t="s">
        <v>10</v>
      </c>
      <c r="BM11" s="89">
        <v>2</v>
      </c>
      <c r="BN11" s="747" t="s">
        <v>3444</v>
      </c>
      <c r="BO11" s="748" t="s">
        <v>3445</v>
      </c>
    </row>
    <row r="12" spans="2:67" ht="15" customHeight="1">
      <c r="B12" s="87" t="s">
        <v>3446</v>
      </c>
      <c r="C12" s="80" t="s">
        <v>3447</v>
      </c>
      <c r="D12" s="80"/>
      <c r="E12" s="88" t="s">
        <v>8</v>
      </c>
      <c r="F12" s="89">
        <v>3</v>
      </c>
      <c r="G12" s="38">
        <v>0</v>
      </c>
      <c r="H12" s="39">
        <v>0</v>
      </c>
      <c r="I12" s="40">
        <v>1123.7</v>
      </c>
      <c r="J12" s="90">
        <f t="shared" si="1"/>
        <v>1123.7</v>
      </c>
      <c r="K12" s="40">
        <v>262</v>
      </c>
      <c r="L12" s="41">
        <v>217.6</v>
      </c>
      <c r="M12" s="91" t="s">
        <v>10</v>
      </c>
      <c r="N12" s="89">
        <v>2</v>
      </c>
      <c r="O12" s="747">
        <v>5.7000000000000002E-2</v>
      </c>
      <c r="P12" s="748">
        <v>5.2000000000000005E-2</v>
      </c>
      <c r="Q12" s="85"/>
      <c r="R12" s="25">
        <f t="shared" si="2"/>
        <v>0</v>
      </c>
      <c r="U12" s="86">
        <f t="shared" si="3"/>
        <v>0</v>
      </c>
      <c r="V12" s="86">
        <f t="shared" si="4"/>
        <v>0</v>
      </c>
      <c r="W12" s="86">
        <f t="shared" si="5"/>
        <v>0</v>
      </c>
      <c r="X12" s="86">
        <f t="shared" si="6"/>
        <v>0</v>
      </c>
      <c r="Y12" s="86">
        <f t="shared" si="7"/>
        <v>0</v>
      </c>
      <c r="Z12" s="86">
        <f t="shared" si="8"/>
        <v>0</v>
      </c>
      <c r="AA12" s="86">
        <f t="shared" si="9"/>
        <v>0</v>
      </c>
      <c r="AE12" s="24"/>
      <c r="AF12" s="24"/>
      <c r="AG12" s="24"/>
      <c r="BA12" s="87" t="s">
        <v>3446</v>
      </c>
      <c r="BB12" s="80" t="s">
        <v>3447</v>
      </c>
      <c r="BC12" s="80"/>
      <c r="BD12" s="88" t="s">
        <v>8</v>
      </c>
      <c r="BE12" s="89">
        <v>3</v>
      </c>
      <c r="BF12" s="38" t="s">
        <v>3448</v>
      </c>
      <c r="BG12" s="39" t="s">
        <v>3449</v>
      </c>
      <c r="BH12" s="40" t="s">
        <v>3450</v>
      </c>
      <c r="BI12" s="90" t="s">
        <v>3451</v>
      </c>
      <c r="BJ12" s="40" t="s">
        <v>3452</v>
      </c>
      <c r="BK12" s="41" t="s">
        <v>3453</v>
      </c>
      <c r="BL12" s="91" t="s">
        <v>10</v>
      </c>
      <c r="BM12" s="89">
        <v>2</v>
      </c>
      <c r="BN12" s="747" t="s">
        <v>3454</v>
      </c>
      <c r="BO12" s="748" t="s">
        <v>3455</v>
      </c>
    </row>
    <row r="13" spans="2:67" ht="15" customHeight="1" thickBot="1">
      <c r="B13" s="306" t="s">
        <v>3456</v>
      </c>
      <c r="C13" s="80" t="s">
        <v>3457</v>
      </c>
      <c r="D13" s="80"/>
      <c r="E13" s="88" t="s">
        <v>8</v>
      </c>
      <c r="F13" s="89">
        <v>3</v>
      </c>
      <c r="G13" s="549">
        <v>0</v>
      </c>
      <c r="H13" s="550">
        <v>0</v>
      </c>
      <c r="I13" s="551">
        <v>0</v>
      </c>
      <c r="J13" s="90">
        <f t="shared" si="1"/>
        <v>0</v>
      </c>
      <c r="K13" s="551">
        <v>0</v>
      </c>
      <c r="L13" s="552">
        <v>0</v>
      </c>
      <c r="M13" s="92" t="s">
        <v>10</v>
      </c>
      <c r="N13" s="93">
        <v>2</v>
      </c>
      <c r="O13" s="749">
        <v>0</v>
      </c>
      <c r="P13" s="750">
        <v>0</v>
      </c>
      <c r="Q13" s="85"/>
      <c r="R13" s="25">
        <f t="shared" si="2"/>
        <v>0</v>
      </c>
      <c r="U13" s="86">
        <f t="shared" si="3"/>
        <v>0</v>
      </c>
      <c r="V13" s="86">
        <f t="shared" si="4"/>
        <v>0</v>
      </c>
      <c r="W13" s="86">
        <f t="shared" si="5"/>
        <v>0</v>
      </c>
      <c r="X13" s="86">
        <f t="shared" si="6"/>
        <v>0</v>
      </c>
      <c r="Y13" s="86">
        <f t="shared" si="7"/>
        <v>0</v>
      </c>
      <c r="Z13" s="86">
        <f t="shared" si="8"/>
        <v>0</v>
      </c>
      <c r="AA13" s="86">
        <f t="shared" si="9"/>
        <v>0</v>
      </c>
      <c r="AE13" s="24"/>
      <c r="AF13" s="24"/>
      <c r="AG13" s="24"/>
      <c r="BA13" s="306" t="s">
        <v>3456</v>
      </c>
      <c r="BB13" s="80" t="s">
        <v>3457</v>
      </c>
      <c r="BC13" s="80"/>
      <c r="BD13" s="88" t="s">
        <v>8</v>
      </c>
      <c r="BE13" s="89">
        <v>3</v>
      </c>
      <c r="BF13" s="549" t="s">
        <v>3458</v>
      </c>
      <c r="BG13" s="550" t="s">
        <v>3459</v>
      </c>
      <c r="BH13" s="551" t="s">
        <v>3460</v>
      </c>
      <c r="BI13" s="90" t="s">
        <v>3461</v>
      </c>
      <c r="BJ13" s="551" t="s">
        <v>3462</v>
      </c>
      <c r="BK13" s="552" t="s">
        <v>3463</v>
      </c>
      <c r="BL13" s="92" t="s">
        <v>10</v>
      </c>
      <c r="BM13" s="93">
        <v>2</v>
      </c>
      <c r="BN13" s="749" t="s">
        <v>3464</v>
      </c>
      <c r="BO13" s="750" t="s">
        <v>3465</v>
      </c>
    </row>
    <row r="14" spans="2:67" ht="15" customHeight="1" thickBot="1">
      <c r="B14" s="94" t="s">
        <v>3466</v>
      </c>
      <c r="C14" s="95" t="s">
        <v>680</v>
      </c>
      <c r="D14" s="95"/>
      <c r="E14" s="96" t="s">
        <v>8</v>
      </c>
      <c r="F14" s="93">
        <v>3</v>
      </c>
      <c r="G14" s="97">
        <f t="shared" ref="G14:L14" si="10">SUM(G8:G13)</f>
        <v>0</v>
      </c>
      <c r="H14" s="98">
        <f t="shared" si="10"/>
        <v>2000</v>
      </c>
      <c r="I14" s="99">
        <f t="shared" si="10"/>
        <v>3087.3</v>
      </c>
      <c r="J14" s="97">
        <f t="shared" si="10"/>
        <v>5087.3</v>
      </c>
      <c r="K14" s="99">
        <f t="shared" si="10"/>
        <v>484.5</v>
      </c>
      <c r="L14" s="100">
        <f t="shared" si="10"/>
        <v>218.9</v>
      </c>
      <c r="O14" s="101"/>
      <c r="P14" s="101"/>
      <c r="Q14" s="85"/>
      <c r="AE14" s="24"/>
      <c r="AF14" s="24"/>
      <c r="AG14" s="24"/>
      <c r="BA14" s="94" t="s">
        <v>3466</v>
      </c>
      <c r="BB14" s="95" t="s">
        <v>680</v>
      </c>
      <c r="BC14" s="95"/>
      <c r="BD14" s="96" t="s">
        <v>8</v>
      </c>
      <c r="BE14" s="93">
        <v>3</v>
      </c>
      <c r="BF14" s="97" t="s">
        <v>3467</v>
      </c>
      <c r="BG14" s="98" t="s">
        <v>3468</v>
      </c>
      <c r="BH14" s="99" t="s">
        <v>3469</v>
      </c>
      <c r="BI14" s="97" t="s">
        <v>3470</v>
      </c>
      <c r="BJ14" s="99" t="s">
        <v>3471</v>
      </c>
      <c r="BK14" s="100" t="s">
        <v>3472</v>
      </c>
      <c r="BN14" s="101"/>
      <c r="BO14" s="101"/>
    </row>
    <row r="15" spans="2:67" ht="15" customHeight="1" thickBot="1">
      <c r="E15" s="103"/>
      <c r="F15" s="103"/>
      <c r="G15" s="104"/>
      <c r="H15" s="104"/>
      <c r="I15" s="104"/>
      <c r="J15" s="104"/>
      <c r="K15" s="105"/>
      <c r="L15" s="105"/>
      <c r="M15" s="103"/>
      <c r="N15" s="103"/>
      <c r="O15" s="101"/>
      <c r="P15" s="101"/>
      <c r="Q15" s="85"/>
      <c r="AE15" s="24"/>
      <c r="AF15" s="24"/>
      <c r="AG15" s="24"/>
      <c r="BD15" s="103"/>
      <c r="BE15" s="103"/>
      <c r="BF15" s="104"/>
      <c r="BG15" s="104"/>
      <c r="BH15" s="104"/>
      <c r="BI15" s="104"/>
      <c r="BJ15" s="105"/>
      <c r="BK15" s="105"/>
      <c r="BL15" s="103"/>
      <c r="BM15" s="103"/>
      <c r="BN15" s="101"/>
      <c r="BO15" s="101"/>
    </row>
    <row r="16" spans="2:67" ht="15" customHeight="1" thickBot="1">
      <c r="B16" s="106" t="s">
        <v>236</v>
      </c>
      <c r="C16" s="107" t="s">
        <v>3473</v>
      </c>
      <c r="D16" s="1292"/>
      <c r="E16" s="108"/>
      <c r="F16" s="108"/>
      <c r="G16" s="105"/>
      <c r="H16" s="105"/>
      <c r="I16" s="105"/>
      <c r="J16" s="105"/>
      <c r="K16" s="105"/>
      <c r="L16" s="105"/>
      <c r="M16" s="108"/>
      <c r="N16" s="108"/>
      <c r="O16" s="101"/>
      <c r="P16" s="101"/>
      <c r="Q16" s="2"/>
      <c r="AE16" s="24"/>
      <c r="AF16" s="24"/>
      <c r="AG16" s="24"/>
      <c r="BA16" s="106" t="s">
        <v>236</v>
      </c>
      <c r="BB16" s="107" t="s">
        <v>3473</v>
      </c>
      <c r="BC16" s="1292"/>
      <c r="BD16" s="108"/>
      <c r="BE16" s="108"/>
      <c r="BF16" s="105"/>
      <c r="BG16" s="105"/>
      <c r="BH16" s="105"/>
      <c r="BI16" s="105"/>
      <c r="BJ16" s="105"/>
      <c r="BK16" s="105"/>
      <c r="BL16" s="108"/>
      <c r="BM16" s="108"/>
      <c r="BN16" s="101"/>
      <c r="BO16" s="101"/>
    </row>
    <row r="17" spans="2:67" ht="15" customHeight="1">
      <c r="B17" s="79" t="s">
        <v>3474</v>
      </c>
      <c r="C17" s="109" t="s">
        <v>3475</v>
      </c>
      <c r="D17" s="109"/>
      <c r="E17" s="81" t="s">
        <v>3476</v>
      </c>
      <c r="F17" s="82">
        <v>3</v>
      </c>
      <c r="G17" s="34">
        <v>0</v>
      </c>
      <c r="H17" s="35">
        <v>38.700000000000003</v>
      </c>
      <c r="I17" s="36">
        <v>200.4</v>
      </c>
      <c r="J17" s="83">
        <f>SUM(G17:I17)</f>
        <v>239.10000000000002</v>
      </c>
      <c r="K17" s="36">
        <v>1.4</v>
      </c>
      <c r="L17" s="42">
        <v>0</v>
      </c>
      <c r="M17" s="84" t="s">
        <v>10</v>
      </c>
      <c r="N17" s="82">
        <v>2</v>
      </c>
      <c r="O17" s="741">
        <v>2.3E-2</v>
      </c>
      <c r="P17" s="742">
        <v>3.5000000000000003E-2</v>
      </c>
      <c r="Q17" s="85"/>
      <c r="R17" s="25">
        <f xml:space="preserve"> IF( SUM( T17:AB17 ) = 0, 0, $U$7 )</f>
        <v>0</v>
      </c>
      <c r="U17" s="86">
        <f xml:space="preserve"> IF( ISNUMBER( G17 ), 0, 1 )</f>
        <v>0</v>
      </c>
      <c r="V17" s="86">
        <f t="shared" ref="V17:W20" si="11" xml:space="preserve"> IF( ISNUMBER( H17 ), 0, 1 )</f>
        <v>0</v>
      </c>
      <c r="W17" s="86">
        <f t="shared" si="11"/>
        <v>0</v>
      </c>
      <c r="X17" s="86">
        <f xml:space="preserve"> IF( ISNUMBER( K17 ), 0, 1 )</f>
        <v>0</v>
      </c>
      <c r="Y17" s="86">
        <f xml:space="preserve"> IF( ISNUMBER( L17 ), 0, 1 )</f>
        <v>0</v>
      </c>
      <c r="Z17" s="86">
        <f xml:space="preserve"> IF( ISNUMBER( O17 ), 0, 1 )</f>
        <v>0</v>
      </c>
      <c r="AA17" s="86">
        <f xml:space="preserve"> IF( ISNUMBER( P17 ), 0, 1 )</f>
        <v>0</v>
      </c>
      <c r="AE17" s="24"/>
      <c r="AF17" s="24"/>
      <c r="AG17" s="24"/>
      <c r="BA17" s="79" t="s">
        <v>3474</v>
      </c>
      <c r="BB17" s="109" t="s">
        <v>3475</v>
      </c>
      <c r="BC17" s="109"/>
      <c r="BD17" s="81" t="s">
        <v>3476</v>
      </c>
      <c r="BE17" s="82">
        <v>3</v>
      </c>
      <c r="BF17" s="34" t="s">
        <v>3477</v>
      </c>
      <c r="BG17" s="35" t="s">
        <v>3478</v>
      </c>
      <c r="BH17" s="36" t="s">
        <v>3479</v>
      </c>
      <c r="BI17" s="83" t="s">
        <v>3480</v>
      </c>
      <c r="BJ17" s="36" t="s">
        <v>3481</v>
      </c>
      <c r="BK17" s="42" t="s">
        <v>3482</v>
      </c>
      <c r="BL17" s="84" t="s">
        <v>10</v>
      </c>
      <c r="BM17" s="82">
        <v>2</v>
      </c>
      <c r="BN17" s="741" t="s">
        <v>3483</v>
      </c>
      <c r="BO17" s="742" t="s">
        <v>3484</v>
      </c>
    </row>
    <row r="18" spans="2:67" ht="15" customHeight="1">
      <c r="B18" s="87" t="s">
        <v>3485</v>
      </c>
      <c r="C18" s="80" t="s">
        <v>3486</v>
      </c>
      <c r="D18" s="80"/>
      <c r="E18" s="88" t="s">
        <v>3476</v>
      </c>
      <c r="F18" s="89">
        <v>3</v>
      </c>
      <c r="G18" s="38">
        <v>0</v>
      </c>
      <c r="H18" s="39">
        <v>0</v>
      </c>
      <c r="I18" s="40">
        <v>0</v>
      </c>
      <c r="J18" s="90">
        <f t="shared" ref="J18" si="12">SUM(G18:I18)</f>
        <v>0</v>
      </c>
      <c r="K18" s="40">
        <v>0</v>
      </c>
      <c r="L18" s="43">
        <v>0</v>
      </c>
      <c r="M18" s="91" t="s">
        <v>10</v>
      </c>
      <c r="N18" s="89">
        <v>2</v>
      </c>
      <c r="O18" s="745">
        <v>0</v>
      </c>
      <c r="P18" s="746">
        <v>0</v>
      </c>
      <c r="Q18" s="85"/>
      <c r="R18" s="25">
        <f t="shared" ref="R18:R20" si="13" xml:space="preserve"> IF( SUM( T18:AB18 ) = 0, 0, $U$7 )</f>
        <v>0</v>
      </c>
      <c r="U18" s="86">
        <f t="shared" ref="U18:U20" si="14" xml:space="preserve"> IF( ISNUMBER( G18 ), 0, 1 )</f>
        <v>0</v>
      </c>
      <c r="V18" s="86">
        <f t="shared" si="11"/>
        <v>0</v>
      </c>
      <c r="W18" s="86">
        <f t="shared" si="11"/>
        <v>0</v>
      </c>
      <c r="X18" s="86">
        <f t="shared" ref="X18:Y20" si="15" xml:space="preserve"> IF( ISNUMBER( K18 ), 0, 1 )</f>
        <v>0</v>
      </c>
      <c r="Y18" s="86">
        <f t="shared" si="15"/>
        <v>0</v>
      </c>
      <c r="Z18" s="86">
        <f t="shared" ref="Z18:AA20" si="16" xml:space="preserve"> IF( ISNUMBER( O18 ), 0, 1 )</f>
        <v>0</v>
      </c>
      <c r="AA18" s="86">
        <f t="shared" si="16"/>
        <v>0</v>
      </c>
      <c r="AE18" s="24"/>
      <c r="AF18" s="24"/>
      <c r="AG18" s="24"/>
      <c r="BA18" s="87" t="s">
        <v>3485</v>
      </c>
      <c r="BB18" s="80" t="s">
        <v>3486</v>
      </c>
      <c r="BC18" s="80"/>
      <c r="BD18" s="88" t="s">
        <v>3476</v>
      </c>
      <c r="BE18" s="89">
        <v>3</v>
      </c>
      <c r="BF18" s="38" t="s">
        <v>3487</v>
      </c>
      <c r="BG18" s="39" t="s">
        <v>3488</v>
      </c>
      <c r="BH18" s="40" t="s">
        <v>3489</v>
      </c>
      <c r="BI18" s="90" t="s">
        <v>3490</v>
      </c>
      <c r="BJ18" s="40" t="s">
        <v>3491</v>
      </c>
      <c r="BK18" s="43" t="s">
        <v>3492</v>
      </c>
      <c r="BL18" s="91" t="s">
        <v>10</v>
      </c>
      <c r="BM18" s="89">
        <v>2</v>
      </c>
      <c r="BN18" s="745" t="s">
        <v>3493</v>
      </c>
      <c r="BO18" s="746" t="s">
        <v>3494</v>
      </c>
    </row>
    <row r="19" spans="2:67" ht="15" customHeight="1">
      <c r="B19" s="87" t="s">
        <v>3495</v>
      </c>
      <c r="C19" s="80" t="s">
        <v>3496</v>
      </c>
      <c r="D19" s="80"/>
      <c r="E19" s="88" t="s">
        <v>3476</v>
      </c>
      <c r="F19" s="89">
        <v>3</v>
      </c>
      <c r="G19" s="38">
        <v>0</v>
      </c>
      <c r="H19" s="39">
        <v>0</v>
      </c>
      <c r="I19" s="40">
        <v>153.6</v>
      </c>
      <c r="J19" s="90">
        <f>SUM(G19:I19)</f>
        <v>153.6</v>
      </c>
      <c r="K19" s="40">
        <v>41.3</v>
      </c>
      <c r="L19" s="43">
        <v>0</v>
      </c>
      <c r="M19" s="91" t="s">
        <v>10</v>
      </c>
      <c r="N19" s="89">
        <v>2</v>
      </c>
      <c r="O19" s="745">
        <v>6.6000000000000003E-2</v>
      </c>
      <c r="P19" s="746">
        <v>3.3000000000000002E-2</v>
      </c>
      <c r="Q19" s="2"/>
      <c r="R19" s="25">
        <f t="shared" si="13"/>
        <v>0</v>
      </c>
      <c r="U19" s="86">
        <f t="shared" si="14"/>
        <v>0</v>
      </c>
      <c r="V19" s="86">
        <f t="shared" si="11"/>
        <v>0</v>
      </c>
      <c r="W19" s="86">
        <f t="shared" si="11"/>
        <v>0</v>
      </c>
      <c r="X19" s="86">
        <f t="shared" si="15"/>
        <v>0</v>
      </c>
      <c r="Y19" s="86">
        <f t="shared" si="15"/>
        <v>0</v>
      </c>
      <c r="Z19" s="86">
        <f t="shared" si="16"/>
        <v>0</v>
      </c>
      <c r="AA19" s="86">
        <f t="shared" si="16"/>
        <v>0</v>
      </c>
      <c r="AE19" s="24"/>
      <c r="AF19" s="24"/>
      <c r="AG19" s="24"/>
      <c r="BA19" s="87" t="s">
        <v>3495</v>
      </c>
      <c r="BB19" s="80" t="s">
        <v>3496</v>
      </c>
      <c r="BC19" s="80"/>
      <c r="BD19" s="88" t="s">
        <v>3476</v>
      </c>
      <c r="BE19" s="89">
        <v>3</v>
      </c>
      <c r="BF19" s="38" t="s">
        <v>3497</v>
      </c>
      <c r="BG19" s="39" t="s">
        <v>3498</v>
      </c>
      <c r="BH19" s="40" t="s">
        <v>3499</v>
      </c>
      <c r="BI19" s="90" t="s">
        <v>3500</v>
      </c>
      <c r="BJ19" s="40" t="s">
        <v>3501</v>
      </c>
      <c r="BK19" s="43" t="s">
        <v>3502</v>
      </c>
      <c r="BL19" s="91" t="s">
        <v>10</v>
      </c>
      <c r="BM19" s="89">
        <v>2</v>
      </c>
      <c r="BN19" s="745" t="s">
        <v>3503</v>
      </c>
      <c r="BO19" s="746" t="s">
        <v>3504</v>
      </c>
    </row>
    <row r="20" spans="2:67" ht="15" customHeight="1" thickBot="1">
      <c r="B20" s="87" t="s">
        <v>3505</v>
      </c>
      <c r="C20" s="80" t="s">
        <v>3506</v>
      </c>
      <c r="D20" s="80"/>
      <c r="E20" s="88" t="s">
        <v>3476</v>
      </c>
      <c r="F20" s="89">
        <v>3</v>
      </c>
      <c r="G20" s="38">
        <v>0</v>
      </c>
      <c r="H20" s="39">
        <v>0</v>
      </c>
      <c r="I20" s="40">
        <v>0</v>
      </c>
      <c r="J20" s="90">
        <f t="shared" ref="J20" si="17">SUM(G20:I20)</f>
        <v>0</v>
      </c>
      <c r="K20" s="40">
        <v>0</v>
      </c>
      <c r="L20" s="43">
        <v>0</v>
      </c>
      <c r="M20" s="92" t="s">
        <v>10</v>
      </c>
      <c r="N20" s="93">
        <v>2</v>
      </c>
      <c r="O20" s="749">
        <v>0</v>
      </c>
      <c r="P20" s="750">
        <v>0</v>
      </c>
      <c r="Q20" s="2"/>
      <c r="R20" s="25">
        <f t="shared" si="13"/>
        <v>0</v>
      </c>
      <c r="U20" s="86">
        <f t="shared" si="14"/>
        <v>0</v>
      </c>
      <c r="V20" s="86">
        <f t="shared" si="11"/>
        <v>0</v>
      </c>
      <c r="W20" s="86">
        <f t="shared" si="11"/>
        <v>0</v>
      </c>
      <c r="X20" s="86">
        <f t="shared" si="15"/>
        <v>0</v>
      </c>
      <c r="Y20" s="86">
        <f t="shared" si="15"/>
        <v>0</v>
      </c>
      <c r="Z20" s="86">
        <f t="shared" si="16"/>
        <v>0</v>
      </c>
      <c r="AA20" s="86">
        <f t="shared" si="16"/>
        <v>0</v>
      </c>
      <c r="AE20" s="24"/>
      <c r="AF20" s="24"/>
      <c r="AG20" s="24"/>
      <c r="BA20" s="87" t="s">
        <v>3505</v>
      </c>
      <c r="BB20" s="80" t="s">
        <v>3506</v>
      </c>
      <c r="BC20" s="80"/>
      <c r="BD20" s="88" t="s">
        <v>3476</v>
      </c>
      <c r="BE20" s="89">
        <v>3</v>
      </c>
      <c r="BF20" s="38" t="s">
        <v>3507</v>
      </c>
      <c r="BG20" s="39" t="s">
        <v>3508</v>
      </c>
      <c r="BH20" s="40" t="s">
        <v>3509</v>
      </c>
      <c r="BI20" s="90" t="s">
        <v>3510</v>
      </c>
      <c r="BJ20" s="40" t="s">
        <v>3511</v>
      </c>
      <c r="BK20" s="43" t="s">
        <v>3512</v>
      </c>
      <c r="BL20" s="92" t="s">
        <v>10</v>
      </c>
      <c r="BM20" s="93">
        <v>2</v>
      </c>
      <c r="BN20" s="749" t="s">
        <v>3513</v>
      </c>
      <c r="BO20" s="750" t="s">
        <v>3514</v>
      </c>
    </row>
    <row r="21" spans="2:67" ht="15.75" customHeight="1" thickBot="1">
      <c r="B21" s="94" t="s">
        <v>3515</v>
      </c>
      <c r="C21" s="95" t="s">
        <v>680</v>
      </c>
      <c r="D21" s="95"/>
      <c r="E21" s="96" t="s">
        <v>3476</v>
      </c>
      <c r="F21" s="93">
        <v>3</v>
      </c>
      <c r="G21" s="97">
        <f>SUM(G17:G20)</f>
        <v>0</v>
      </c>
      <c r="H21" s="98">
        <f t="shared" ref="H21:K21" si="18">SUM(H17:H20)</f>
        <v>38.700000000000003</v>
      </c>
      <c r="I21" s="99">
        <f t="shared" si="18"/>
        <v>354</v>
      </c>
      <c r="J21" s="97">
        <f t="shared" si="18"/>
        <v>392.70000000000005</v>
      </c>
      <c r="K21" s="99">
        <f t="shared" si="18"/>
        <v>42.699999999999996</v>
      </c>
      <c r="L21" s="100">
        <f>SUM(L17:L20)</f>
        <v>0</v>
      </c>
      <c r="M21" s="108"/>
      <c r="N21" s="108"/>
      <c r="O21" s="101"/>
      <c r="P21" s="101"/>
      <c r="Q21" s="85"/>
      <c r="S21" s="110"/>
      <c r="T21" s="111"/>
      <c r="U21" s="112"/>
      <c r="V21" s="110"/>
      <c r="W21" s="110"/>
      <c r="X21" s="110"/>
      <c r="Y21" s="110"/>
      <c r="Z21" s="110"/>
      <c r="AA21" s="110"/>
      <c r="AB21" s="111"/>
      <c r="AD21" s="111"/>
      <c r="AE21" s="24"/>
      <c r="AF21" s="24"/>
      <c r="AG21" s="24"/>
      <c r="AH21" s="111"/>
      <c r="BA21" s="94" t="s">
        <v>3515</v>
      </c>
      <c r="BB21" s="95" t="s">
        <v>680</v>
      </c>
      <c r="BC21" s="95"/>
      <c r="BD21" s="96" t="s">
        <v>3476</v>
      </c>
      <c r="BE21" s="93">
        <v>3</v>
      </c>
      <c r="BF21" s="97" t="s">
        <v>3516</v>
      </c>
      <c r="BG21" s="98" t="s">
        <v>3517</v>
      </c>
      <c r="BH21" s="99" t="s">
        <v>3518</v>
      </c>
      <c r="BI21" s="97" t="s">
        <v>3519</v>
      </c>
      <c r="BJ21" s="99" t="s">
        <v>3520</v>
      </c>
      <c r="BK21" s="100" t="s">
        <v>3521</v>
      </c>
      <c r="BL21" s="108"/>
      <c r="BM21" s="108"/>
      <c r="BN21" s="101"/>
      <c r="BO21" s="101"/>
    </row>
    <row r="22" spans="2:67" ht="15.75" customHeight="1" thickBot="1">
      <c r="B22" s="113"/>
      <c r="C22" s="68"/>
      <c r="D22" s="68"/>
      <c r="E22" s="108"/>
      <c r="F22" s="108"/>
      <c r="G22" s="105"/>
      <c r="H22" s="105"/>
      <c r="I22" s="105"/>
      <c r="J22" s="105"/>
      <c r="K22" s="105"/>
      <c r="L22" s="105"/>
      <c r="M22" s="108"/>
      <c r="N22" s="108"/>
      <c r="O22" s="101"/>
      <c r="P22" s="101"/>
      <c r="Q22" s="85"/>
      <c r="S22" s="110"/>
      <c r="T22" s="111"/>
      <c r="U22" s="112"/>
      <c r="V22" s="110"/>
      <c r="W22" s="110"/>
      <c r="X22" s="110"/>
      <c r="Y22" s="110"/>
      <c r="Z22" s="110"/>
      <c r="AA22" s="110"/>
      <c r="AB22" s="111"/>
      <c r="AD22" s="111"/>
      <c r="AE22" s="24"/>
      <c r="AF22" s="24"/>
      <c r="AG22" s="24"/>
      <c r="AH22" s="111"/>
      <c r="BA22" s="113"/>
      <c r="BB22" s="68"/>
      <c r="BC22" s="68"/>
      <c r="BD22" s="108"/>
      <c r="BE22" s="108"/>
      <c r="BF22" s="105"/>
      <c r="BG22" s="105"/>
      <c r="BH22" s="105"/>
      <c r="BI22" s="105"/>
      <c r="BJ22" s="105"/>
      <c r="BK22" s="105"/>
      <c r="BL22" s="108"/>
      <c r="BM22" s="108"/>
      <c r="BN22" s="101"/>
      <c r="BO22" s="101"/>
    </row>
    <row r="23" spans="2:67" ht="15" thickBot="1">
      <c r="B23" s="106" t="s">
        <v>362</v>
      </c>
      <c r="C23" s="107" t="s">
        <v>3522</v>
      </c>
      <c r="D23" s="1292"/>
      <c r="E23" s="108"/>
      <c r="F23" s="108"/>
      <c r="G23" s="105"/>
      <c r="H23" s="105"/>
      <c r="I23" s="105"/>
      <c r="J23" s="105"/>
      <c r="K23" s="105"/>
      <c r="L23" s="105"/>
      <c r="M23" s="108"/>
      <c r="N23" s="108"/>
      <c r="O23" s="101"/>
      <c r="P23" s="101"/>
      <c r="Q23" s="85"/>
      <c r="S23" s="110"/>
      <c r="T23" s="111"/>
      <c r="U23" s="112"/>
      <c r="V23" s="110"/>
      <c r="W23" s="110"/>
      <c r="X23" s="110"/>
      <c r="Y23" s="110"/>
      <c r="Z23" s="110"/>
      <c r="AA23" s="110"/>
      <c r="AB23" s="111"/>
      <c r="AD23" s="111"/>
      <c r="AE23" s="24"/>
      <c r="AF23" s="24"/>
      <c r="AG23" s="24"/>
      <c r="AH23" s="111"/>
      <c r="BA23" s="106" t="s">
        <v>362</v>
      </c>
      <c r="BB23" s="107" t="s">
        <v>3522</v>
      </c>
      <c r="BC23" s="1292"/>
      <c r="BD23" s="108"/>
      <c r="BE23" s="108"/>
      <c r="BF23" s="105"/>
      <c r="BG23" s="105"/>
      <c r="BH23" s="105"/>
      <c r="BI23" s="105"/>
      <c r="BJ23" s="105"/>
      <c r="BK23" s="105"/>
      <c r="BL23" s="108"/>
      <c r="BM23" s="108"/>
      <c r="BN23" s="101"/>
      <c r="BO23" s="101"/>
    </row>
    <row r="24" spans="2:67">
      <c r="B24" s="79" t="s">
        <v>3523</v>
      </c>
      <c r="C24" s="109" t="s">
        <v>3524</v>
      </c>
      <c r="D24" s="109"/>
      <c r="E24" s="81" t="s">
        <v>3476</v>
      </c>
      <c r="F24" s="82">
        <v>3</v>
      </c>
      <c r="G24" s="34">
        <v>0</v>
      </c>
      <c r="H24" s="35">
        <v>0</v>
      </c>
      <c r="I24" s="36">
        <v>0</v>
      </c>
      <c r="J24" s="83">
        <f>SUM(G24:I24)</f>
        <v>0</v>
      </c>
      <c r="K24" s="36">
        <v>0</v>
      </c>
      <c r="L24" s="44">
        <v>0</v>
      </c>
      <c r="M24" s="84" t="s">
        <v>10</v>
      </c>
      <c r="N24" s="82">
        <v>2</v>
      </c>
      <c r="O24" s="741">
        <v>0</v>
      </c>
      <c r="P24" s="742">
        <v>0</v>
      </c>
      <c r="Q24" s="85"/>
      <c r="R24" s="25">
        <f t="shared" ref="R24:R27" si="19" xml:space="preserve"> IF( SUM( T24:AB24 ) = 0, 0, $U$7 )</f>
        <v>0</v>
      </c>
      <c r="U24" s="86">
        <f t="shared" ref="U24:W27" si="20" xml:space="preserve"> IF( ISNUMBER( G24 ), 0, 1 )</f>
        <v>0</v>
      </c>
      <c r="V24" s="86">
        <f t="shared" si="20"/>
        <v>0</v>
      </c>
      <c r="W24" s="86">
        <f t="shared" si="20"/>
        <v>0</v>
      </c>
      <c r="X24" s="86">
        <f t="shared" ref="X24:Y27" si="21" xml:space="preserve"> IF( ISNUMBER( K24 ), 0, 1 )</f>
        <v>0</v>
      </c>
      <c r="Y24" s="86">
        <f t="shared" si="21"/>
        <v>0</v>
      </c>
      <c r="Z24" s="86">
        <f t="shared" ref="Z24:AA27" si="22" xml:space="preserve"> IF( ISNUMBER( O24 ), 0, 1 )</f>
        <v>0</v>
      </c>
      <c r="AA24" s="86">
        <f t="shared" si="22"/>
        <v>0</v>
      </c>
      <c r="AE24" s="24"/>
      <c r="AF24" s="24"/>
      <c r="AG24" s="24"/>
      <c r="BA24" s="79" t="s">
        <v>3523</v>
      </c>
      <c r="BB24" s="109" t="s">
        <v>3524</v>
      </c>
      <c r="BC24" s="109"/>
      <c r="BD24" s="81" t="s">
        <v>3476</v>
      </c>
      <c r="BE24" s="82">
        <v>3</v>
      </c>
      <c r="BF24" s="34" t="s">
        <v>3525</v>
      </c>
      <c r="BG24" s="35" t="s">
        <v>3526</v>
      </c>
      <c r="BH24" s="36" t="s">
        <v>3527</v>
      </c>
      <c r="BI24" s="83" t="s">
        <v>3528</v>
      </c>
      <c r="BJ24" s="36" t="s">
        <v>3529</v>
      </c>
      <c r="BK24" s="44" t="s">
        <v>3530</v>
      </c>
      <c r="BL24" s="84" t="s">
        <v>10</v>
      </c>
      <c r="BM24" s="82">
        <v>2</v>
      </c>
      <c r="BN24" s="741" t="s">
        <v>3531</v>
      </c>
      <c r="BO24" s="742" t="s">
        <v>3532</v>
      </c>
    </row>
    <row r="25" spans="2:67">
      <c r="B25" s="87" t="s">
        <v>3533</v>
      </c>
      <c r="C25" s="80" t="s">
        <v>3534</v>
      </c>
      <c r="D25" s="80"/>
      <c r="E25" s="88" t="s">
        <v>3476</v>
      </c>
      <c r="F25" s="89">
        <v>3</v>
      </c>
      <c r="G25" s="38">
        <v>0</v>
      </c>
      <c r="H25" s="39">
        <v>0</v>
      </c>
      <c r="I25" s="40">
        <v>0</v>
      </c>
      <c r="J25" s="90">
        <f t="shared" ref="J25:J27" si="23">SUM(G25:I25)</f>
        <v>0</v>
      </c>
      <c r="K25" s="40">
        <v>0</v>
      </c>
      <c r="L25" s="45">
        <v>0</v>
      </c>
      <c r="M25" s="91" t="s">
        <v>10</v>
      </c>
      <c r="N25" s="89">
        <v>2</v>
      </c>
      <c r="O25" s="745">
        <v>0</v>
      </c>
      <c r="P25" s="746">
        <v>0</v>
      </c>
      <c r="Q25" s="85"/>
      <c r="R25" s="25">
        <f t="shared" si="19"/>
        <v>0</v>
      </c>
      <c r="U25" s="86">
        <f t="shared" si="20"/>
        <v>0</v>
      </c>
      <c r="V25" s="86">
        <f t="shared" si="20"/>
        <v>0</v>
      </c>
      <c r="W25" s="86">
        <f t="shared" si="20"/>
        <v>0</v>
      </c>
      <c r="X25" s="86">
        <f t="shared" si="21"/>
        <v>0</v>
      </c>
      <c r="Y25" s="86">
        <f t="shared" si="21"/>
        <v>0</v>
      </c>
      <c r="Z25" s="86">
        <f t="shared" si="22"/>
        <v>0</v>
      </c>
      <c r="AA25" s="86">
        <f t="shared" si="22"/>
        <v>0</v>
      </c>
      <c r="AE25" s="24"/>
      <c r="AF25" s="24"/>
      <c r="AG25" s="24"/>
      <c r="BA25" s="87" t="s">
        <v>3533</v>
      </c>
      <c r="BB25" s="80" t="s">
        <v>3534</v>
      </c>
      <c r="BC25" s="80"/>
      <c r="BD25" s="88" t="s">
        <v>3476</v>
      </c>
      <c r="BE25" s="89">
        <v>3</v>
      </c>
      <c r="BF25" s="38" t="s">
        <v>3535</v>
      </c>
      <c r="BG25" s="39" t="s">
        <v>3536</v>
      </c>
      <c r="BH25" s="40" t="s">
        <v>3537</v>
      </c>
      <c r="BI25" s="90" t="s">
        <v>3538</v>
      </c>
      <c r="BJ25" s="40" t="s">
        <v>3539</v>
      </c>
      <c r="BK25" s="45" t="s">
        <v>3540</v>
      </c>
      <c r="BL25" s="91" t="s">
        <v>10</v>
      </c>
      <c r="BM25" s="89">
        <v>2</v>
      </c>
      <c r="BN25" s="745" t="s">
        <v>3541</v>
      </c>
      <c r="BO25" s="746" t="s">
        <v>3542</v>
      </c>
    </row>
    <row r="26" spans="2:67">
      <c r="B26" s="87" t="s">
        <v>3543</v>
      </c>
      <c r="C26" s="80" t="s">
        <v>3544</v>
      </c>
      <c r="D26" s="80"/>
      <c r="E26" s="88" t="s">
        <v>3476</v>
      </c>
      <c r="F26" s="89">
        <v>3</v>
      </c>
      <c r="G26" s="38">
        <v>0</v>
      </c>
      <c r="H26" s="39">
        <v>0</v>
      </c>
      <c r="I26" s="40">
        <v>0</v>
      </c>
      <c r="J26" s="90">
        <f>SUM(G26:I26)</f>
        <v>0</v>
      </c>
      <c r="K26" s="40">
        <v>0</v>
      </c>
      <c r="L26" s="45">
        <v>0</v>
      </c>
      <c r="M26" s="91" t="s">
        <v>10</v>
      </c>
      <c r="N26" s="89">
        <v>2</v>
      </c>
      <c r="O26" s="745">
        <v>0</v>
      </c>
      <c r="P26" s="746">
        <v>0</v>
      </c>
      <c r="Q26" s="85"/>
      <c r="R26" s="25">
        <f t="shared" si="19"/>
        <v>0</v>
      </c>
      <c r="U26" s="86">
        <f t="shared" si="20"/>
        <v>0</v>
      </c>
      <c r="V26" s="86">
        <f t="shared" si="20"/>
        <v>0</v>
      </c>
      <c r="W26" s="86">
        <f t="shared" si="20"/>
        <v>0</v>
      </c>
      <c r="X26" s="86">
        <f t="shared" si="21"/>
        <v>0</v>
      </c>
      <c r="Y26" s="86">
        <f t="shared" si="21"/>
        <v>0</v>
      </c>
      <c r="Z26" s="86">
        <f t="shared" si="22"/>
        <v>0</v>
      </c>
      <c r="AA26" s="86">
        <f t="shared" si="22"/>
        <v>0</v>
      </c>
      <c r="AB26" s="114"/>
      <c r="AD26" s="114"/>
      <c r="AE26" s="24"/>
      <c r="AF26" s="24"/>
      <c r="AG26" s="24"/>
      <c r="AH26" s="114"/>
      <c r="BA26" s="87" t="s">
        <v>3543</v>
      </c>
      <c r="BB26" s="80" t="s">
        <v>3544</v>
      </c>
      <c r="BC26" s="80"/>
      <c r="BD26" s="88" t="s">
        <v>3476</v>
      </c>
      <c r="BE26" s="89">
        <v>3</v>
      </c>
      <c r="BF26" s="38" t="s">
        <v>3545</v>
      </c>
      <c r="BG26" s="39" t="s">
        <v>3546</v>
      </c>
      <c r="BH26" s="40" t="s">
        <v>3547</v>
      </c>
      <c r="BI26" s="90" t="s">
        <v>3548</v>
      </c>
      <c r="BJ26" s="40" t="s">
        <v>3549</v>
      </c>
      <c r="BK26" s="45" t="s">
        <v>3550</v>
      </c>
      <c r="BL26" s="91" t="s">
        <v>10</v>
      </c>
      <c r="BM26" s="89">
        <v>2</v>
      </c>
      <c r="BN26" s="745" t="s">
        <v>3551</v>
      </c>
      <c r="BO26" s="746" t="s">
        <v>3552</v>
      </c>
    </row>
    <row r="27" spans="2:67" ht="15" thickBot="1">
      <c r="B27" s="87" t="s">
        <v>3553</v>
      </c>
      <c r="C27" s="80" t="s">
        <v>3554</v>
      </c>
      <c r="D27" s="80"/>
      <c r="E27" s="88" t="s">
        <v>3476</v>
      </c>
      <c r="F27" s="89">
        <v>3</v>
      </c>
      <c r="G27" s="38">
        <v>0</v>
      </c>
      <c r="H27" s="39">
        <v>0</v>
      </c>
      <c r="I27" s="40">
        <v>0</v>
      </c>
      <c r="J27" s="90">
        <f t="shared" si="23"/>
        <v>0</v>
      </c>
      <c r="K27" s="40">
        <v>0</v>
      </c>
      <c r="L27" s="43">
        <v>0</v>
      </c>
      <c r="M27" s="92" t="s">
        <v>10</v>
      </c>
      <c r="N27" s="93">
        <v>2</v>
      </c>
      <c r="O27" s="749">
        <v>0</v>
      </c>
      <c r="P27" s="750">
        <v>0</v>
      </c>
      <c r="Q27" s="85"/>
      <c r="R27" s="25">
        <f t="shared" si="19"/>
        <v>0</v>
      </c>
      <c r="U27" s="86">
        <f t="shared" si="20"/>
        <v>0</v>
      </c>
      <c r="V27" s="86">
        <f t="shared" si="20"/>
        <v>0</v>
      </c>
      <c r="W27" s="86">
        <f t="shared" si="20"/>
        <v>0</v>
      </c>
      <c r="X27" s="86">
        <f t="shared" si="21"/>
        <v>0</v>
      </c>
      <c r="Y27" s="86">
        <f t="shared" si="21"/>
        <v>0</v>
      </c>
      <c r="Z27" s="86">
        <f t="shared" si="22"/>
        <v>0</v>
      </c>
      <c r="AA27" s="86">
        <f t="shared" si="22"/>
        <v>0</v>
      </c>
      <c r="AB27" s="111"/>
      <c r="AD27" s="111"/>
      <c r="AE27" s="24"/>
      <c r="AF27" s="24"/>
      <c r="AG27" s="24"/>
      <c r="AH27" s="111"/>
      <c r="BA27" s="87" t="s">
        <v>3553</v>
      </c>
      <c r="BB27" s="80" t="s">
        <v>3554</v>
      </c>
      <c r="BC27" s="80"/>
      <c r="BD27" s="88" t="s">
        <v>3476</v>
      </c>
      <c r="BE27" s="89">
        <v>3</v>
      </c>
      <c r="BF27" s="38" t="s">
        <v>3555</v>
      </c>
      <c r="BG27" s="39" t="s">
        <v>3556</v>
      </c>
      <c r="BH27" s="40" t="s">
        <v>3557</v>
      </c>
      <c r="BI27" s="90" t="s">
        <v>3558</v>
      </c>
      <c r="BJ27" s="40" t="s">
        <v>3559</v>
      </c>
      <c r="BK27" s="46" t="s">
        <v>3560</v>
      </c>
      <c r="BL27" s="92" t="s">
        <v>10</v>
      </c>
      <c r="BM27" s="93">
        <v>2</v>
      </c>
      <c r="BN27" s="749" t="s">
        <v>3561</v>
      </c>
      <c r="BO27" s="750" t="s">
        <v>3562</v>
      </c>
    </row>
    <row r="28" spans="2:67" ht="15" thickBot="1">
      <c r="B28" s="94" t="s">
        <v>3563</v>
      </c>
      <c r="C28" s="95" t="s">
        <v>680</v>
      </c>
      <c r="D28" s="95"/>
      <c r="E28" s="96" t="s">
        <v>3476</v>
      </c>
      <c r="F28" s="93">
        <v>3</v>
      </c>
      <c r="G28" s="97">
        <f>SUM(G24:G27)</f>
        <v>0</v>
      </c>
      <c r="H28" s="98">
        <f t="shared" ref="H28:K28" si="24">SUM(H24:H27)</f>
        <v>0</v>
      </c>
      <c r="I28" s="99">
        <f t="shared" si="24"/>
        <v>0</v>
      </c>
      <c r="J28" s="97">
        <f t="shared" si="24"/>
        <v>0</v>
      </c>
      <c r="K28" s="99">
        <f t="shared" si="24"/>
        <v>0</v>
      </c>
      <c r="L28" s="2127">
        <f>SUM(L24:L27)</f>
        <v>0</v>
      </c>
      <c r="M28" s="108"/>
      <c r="N28" s="108"/>
      <c r="O28" s="101"/>
      <c r="P28" s="101"/>
      <c r="Q28" s="85"/>
      <c r="S28" s="110"/>
      <c r="T28" s="111"/>
      <c r="U28" s="112"/>
      <c r="V28" s="110"/>
      <c r="W28" s="110"/>
      <c r="X28" s="110"/>
      <c r="Y28" s="110"/>
      <c r="Z28" s="110"/>
      <c r="AA28" s="110"/>
      <c r="AB28" s="111"/>
      <c r="AD28" s="111"/>
      <c r="AE28" s="24"/>
      <c r="AF28" s="24"/>
      <c r="AG28" s="24"/>
      <c r="AH28" s="111"/>
      <c r="BA28" s="94" t="s">
        <v>3563</v>
      </c>
      <c r="BB28" s="95" t="s">
        <v>680</v>
      </c>
      <c r="BC28" s="95"/>
      <c r="BD28" s="96" t="s">
        <v>3476</v>
      </c>
      <c r="BE28" s="93">
        <v>3</v>
      </c>
      <c r="BF28" s="97" t="s">
        <v>3564</v>
      </c>
      <c r="BG28" s="98" t="s">
        <v>3565</v>
      </c>
      <c r="BH28" s="99" t="s">
        <v>3566</v>
      </c>
      <c r="BI28" s="97" t="s">
        <v>3567</v>
      </c>
      <c r="BJ28" s="99" t="s">
        <v>3568</v>
      </c>
      <c r="BK28" s="115" t="s">
        <v>3569</v>
      </c>
      <c r="BL28" s="108"/>
      <c r="BM28" s="108"/>
      <c r="BN28" s="101"/>
      <c r="BO28" s="101"/>
    </row>
    <row r="29" spans="2:67" ht="15" thickBot="1">
      <c r="B29" s="113"/>
      <c r="C29" s="68"/>
      <c r="D29" s="68"/>
      <c r="E29" s="108"/>
      <c r="F29" s="108"/>
      <c r="G29" s="105"/>
      <c r="H29" s="105"/>
      <c r="I29" s="105"/>
      <c r="J29" s="105"/>
      <c r="K29" s="105"/>
      <c r="L29" s="105"/>
      <c r="M29" s="108"/>
      <c r="N29" s="108"/>
      <c r="O29" s="101"/>
      <c r="P29" s="101"/>
      <c r="Q29" s="85"/>
      <c r="S29" s="116"/>
      <c r="T29" s="111"/>
      <c r="U29" s="116"/>
      <c r="V29" s="116"/>
      <c r="W29" s="116"/>
      <c r="X29" s="116"/>
      <c r="Y29" s="116"/>
      <c r="Z29" s="116"/>
      <c r="AA29" s="116"/>
      <c r="AB29" s="111"/>
      <c r="AD29" s="111"/>
      <c r="AH29" s="111"/>
      <c r="BA29" s="113"/>
      <c r="BB29" s="68"/>
      <c r="BC29" s="68"/>
      <c r="BD29" s="108"/>
      <c r="BE29" s="108"/>
      <c r="BF29" s="105"/>
      <c r="BG29" s="105"/>
      <c r="BH29" s="105"/>
      <c r="BI29" s="105"/>
      <c r="BJ29" s="105"/>
      <c r="BK29" s="105"/>
      <c r="BL29" s="108"/>
      <c r="BM29" s="108"/>
      <c r="BN29" s="101"/>
      <c r="BO29" s="101"/>
    </row>
    <row r="30" spans="2:67" ht="15" thickBot="1">
      <c r="B30" s="106" t="s">
        <v>419</v>
      </c>
      <c r="C30" s="107" t="s">
        <v>3570</v>
      </c>
      <c r="D30" s="1292"/>
      <c r="E30" s="108"/>
      <c r="F30" s="108"/>
      <c r="G30" s="105"/>
      <c r="H30" s="105"/>
      <c r="I30" s="105"/>
      <c r="J30" s="105"/>
      <c r="K30" s="105"/>
      <c r="L30" s="105"/>
      <c r="M30" s="108"/>
      <c r="N30" s="108"/>
      <c r="O30" s="101"/>
      <c r="P30" s="101"/>
      <c r="Q30" s="2"/>
      <c r="S30" s="116"/>
      <c r="T30" s="111"/>
      <c r="U30" s="116"/>
      <c r="V30" s="116"/>
      <c r="W30" s="116"/>
      <c r="X30" s="116"/>
      <c r="Y30" s="116"/>
      <c r="Z30" s="116"/>
      <c r="AA30" s="116"/>
      <c r="AB30" s="111"/>
      <c r="AD30" s="111"/>
      <c r="AH30" s="111"/>
      <c r="BA30" s="106" t="s">
        <v>419</v>
      </c>
      <c r="BB30" s="107" t="s">
        <v>3570</v>
      </c>
      <c r="BC30" s="1292"/>
      <c r="BD30" s="108"/>
      <c r="BE30" s="108"/>
      <c r="BF30" s="105"/>
      <c r="BG30" s="105"/>
      <c r="BH30" s="105"/>
      <c r="BI30" s="105"/>
      <c r="BJ30" s="105"/>
      <c r="BK30" s="105"/>
      <c r="BL30" s="108"/>
      <c r="BM30" s="108"/>
      <c r="BN30" s="101"/>
      <c r="BO30" s="101"/>
    </row>
    <row r="31" spans="2:67">
      <c r="B31" s="79" t="s">
        <v>3571</v>
      </c>
      <c r="C31" s="109" t="s">
        <v>3572</v>
      </c>
      <c r="D31" s="109"/>
      <c r="E31" s="81" t="s">
        <v>8</v>
      </c>
      <c r="F31" s="82">
        <v>3</v>
      </c>
      <c r="G31" s="34">
        <v>0</v>
      </c>
      <c r="H31" s="35">
        <v>0</v>
      </c>
      <c r="I31" s="36">
        <v>0</v>
      </c>
      <c r="J31" s="83">
        <f>SUM(G31:I31)</f>
        <v>0</v>
      </c>
      <c r="K31" s="36">
        <v>0</v>
      </c>
      <c r="L31" s="44">
        <v>0</v>
      </c>
      <c r="M31" s="84" t="s">
        <v>10</v>
      </c>
      <c r="N31" s="82">
        <v>2</v>
      </c>
      <c r="O31" s="741">
        <v>0</v>
      </c>
      <c r="P31" s="742">
        <v>0</v>
      </c>
      <c r="Q31" s="2"/>
      <c r="R31" s="25">
        <f t="shared" ref="R31:R34" si="25" xml:space="preserve"> IF( SUM( T31:AB31 ) = 0, 0, $U$7 )</f>
        <v>0</v>
      </c>
      <c r="U31" s="86">
        <f t="shared" ref="U31:W34" si="26" xml:space="preserve"> IF( ISNUMBER( G31 ), 0, 1 )</f>
        <v>0</v>
      </c>
      <c r="V31" s="86">
        <f t="shared" si="26"/>
        <v>0</v>
      </c>
      <c r="W31" s="86">
        <f t="shared" si="26"/>
        <v>0</v>
      </c>
      <c r="X31" s="86">
        <f t="shared" ref="X31:Y34" si="27" xml:space="preserve"> IF( ISNUMBER( K31 ), 0, 1 )</f>
        <v>0</v>
      </c>
      <c r="Y31" s="86">
        <f t="shared" si="27"/>
        <v>0</v>
      </c>
      <c r="Z31" s="86">
        <f t="shared" ref="Z31:AA34" si="28" xml:space="preserve"> IF( ISNUMBER( O31 ), 0, 1 )</f>
        <v>0</v>
      </c>
      <c r="AA31" s="86">
        <f t="shared" si="28"/>
        <v>0</v>
      </c>
      <c r="BA31" s="79" t="s">
        <v>3571</v>
      </c>
      <c r="BB31" s="109" t="s">
        <v>3572</v>
      </c>
      <c r="BC31" s="109"/>
      <c r="BD31" s="81" t="s">
        <v>8</v>
      </c>
      <c r="BE31" s="82">
        <v>3</v>
      </c>
      <c r="BF31" s="34" t="s">
        <v>3573</v>
      </c>
      <c r="BG31" s="35" t="s">
        <v>3574</v>
      </c>
      <c r="BH31" s="36" t="s">
        <v>3575</v>
      </c>
      <c r="BI31" s="83" t="s">
        <v>3576</v>
      </c>
      <c r="BJ31" s="36" t="s">
        <v>3577</v>
      </c>
      <c r="BK31" s="44" t="s">
        <v>3578</v>
      </c>
      <c r="BL31" s="84" t="s">
        <v>10</v>
      </c>
      <c r="BM31" s="82">
        <v>2</v>
      </c>
      <c r="BN31" s="741" t="s">
        <v>3579</v>
      </c>
      <c r="BO31" s="742" t="s">
        <v>3580</v>
      </c>
    </row>
    <row r="32" spans="2:67">
      <c r="B32" s="87" t="s">
        <v>3581</v>
      </c>
      <c r="C32" s="80" t="s">
        <v>3582</v>
      </c>
      <c r="D32" s="80"/>
      <c r="E32" s="88" t="s">
        <v>8</v>
      </c>
      <c r="F32" s="89">
        <v>3</v>
      </c>
      <c r="G32" s="38">
        <v>0</v>
      </c>
      <c r="H32" s="39">
        <v>0</v>
      </c>
      <c r="I32" s="40">
        <v>0</v>
      </c>
      <c r="J32" s="90">
        <f t="shared" ref="J32" si="29">SUM(G32:I32)</f>
        <v>0</v>
      </c>
      <c r="K32" s="40">
        <v>0</v>
      </c>
      <c r="L32" s="45">
        <v>0</v>
      </c>
      <c r="M32" s="91" t="s">
        <v>10</v>
      </c>
      <c r="N32" s="89">
        <v>2</v>
      </c>
      <c r="O32" s="745">
        <v>0</v>
      </c>
      <c r="P32" s="746">
        <v>0</v>
      </c>
      <c r="Q32" s="85"/>
      <c r="R32" s="25">
        <f t="shared" si="25"/>
        <v>0</v>
      </c>
      <c r="U32" s="86">
        <f t="shared" si="26"/>
        <v>0</v>
      </c>
      <c r="V32" s="86">
        <f t="shared" si="26"/>
        <v>0</v>
      </c>
      <c r="W32" s="86">
        <f t="shared" si="26"/>
        <v>0</v>
      </c>
      <c r="X32" s="86">
        <f t="shared" si="27"/>
        <v>0</v>
      </c>
      <c r="Y32" s="86">
        <f t="shared" si="27"/>
        <v>0</v>
      </c>
      <c r="Z32" s="86">
        <f t="shared" si="28"/>
        <v>0</v>
      </c>
      <c r="AA32" s="86">
        <f t="shared" si="28"/>
        <v>0</v>
      </c>
      <c r="BA32" s="87" t="s">
        <v>3581</v>
      </c>
      <c r="BB32" s="80" t="s">
        <v>3582</v>
      </c>
      <c r="BC32" s="80"/>
      <c r="BD32" s="88" t="s">
        <v>8</v>
      </c>
      <c r="BE32" s="89">
        <v>3</v>
      </c>
      <c r="BF32" s="38" t="s">
        <v>3583</v>
      </c>
      <c r="BG32" s="39" t="s">
        <v>3584</v>
      </c>
      <c r="BH32" s="40" t="s">
        <v>3585</v>
      </c>
      <c r="BI32" s="90" t="s">
        <v>3586</v>
      </c>
      <c r="BJ32" s="40" t="s">
        <v>3587</v>
      </c>
      <c r="BK32" s="45" t="s">
        <v>3588</v>
      </c>
      <c r="BL32" s="91" t="s">
        <v>10</v>
      </c>
      <c r="BM32" s="89">
        <v>2</v>
      </c>
      <c r="BN32" s="745" t="s">
        <v>3589</v>
      </c>
      <c r="BO32" s="746" t="s">
        <v>3590</v>
      </c>
    </row>
    <row r="33" spans="2:67">
      <c r="B33" s="87" t="s">
        <v>3591</v>
      </c>
      <c r="C33" s="80" t="s">
        <v>3592</v>
      </c>
      <c r="D33" s="80"/>
      <c r="E33" s="88" t="s">
        <v>8</v>
      </c>
      <c r="F33" s="89">
        <v>3</v>
      </c>
      <c r="G33" s="38">
        <v>0</v>
      </c>
      <c r="H33" s="39">
        <v>0</v>
      </c>
      <c r="I33" s="40">
        <v>0</v>
      </c>
      <c r="J33" s="90">
        <f>SUM(G33:I33)</f>
        <v>0</v>
      </c>
      <c r="K33" s="40">
        <v>0</v>
      </c>
      <c r="L33" s="45">
        <v>0</v>
      </c>
      <c r="M33" s="91" t="s">
        <v>10</v>
      </c>
      <c r="N33" s="89">
        <v>2</v>
      </c>
      <c r="O33" s="745">
        <v>0</v>
      </c>
      <c r="P33" s="746">
        <v>0</v>
      </c>
      <c r="Q33" s="85"/>
      <c r="R33" s="25">
        <f t="shared" si="25"/>
        <v>0</v>
      </c>
      <c r="U33" s="86">
        <f t="shared" si="26"/>
        <v>0</v>
      </c>
      <c r="V33" s="86">
        <f t="shared" si="26"/>
        <v>0</v>
      </c>
      <c r="W33" s="86">
        <f t="shared" si="26"/>
        <v>0</v>
      </c>
      <c r="X33" s="86">
        <f t="shared" si="27"/>
        <v>0</v>
      </c>
      <c r="Y33" s="86">
        <f t="shared" si="27"/>
        <v>0</v>
      </c>
      <c r="Z33" s="86">
        <f t="shared" si="28"/>
        <v>0</v>
      </c>
      <c r="AA33" s="86">
        <f t="shared" si="28"/>
        <v>0</v>
      </c>
      <c r="AC33" s="113"/>
      <c r="BA33" s="87" t="s">
        <v>3591</v>
      </c>
      <c r="BB33" s="80" t="s">
        <v>3592</v>
      </c>
      <c r="BC33" s="80"/>
      <c r="BD33" s="88" t="s">
        <v>8</v>
      </c>
      <c r="BE33" s="89">
        <v>3</v>
      </c>
      <c r="BF33" s="38" t="s">
        <v>3593</v>
      </c>
      <c r="BG33" s="39" t="s">
        <v>3594</v>
      </c>
      <c r="BH33" s="40" t="s">
        <v>3595</v>
      </c>
      <c r="BI33" s="90" t="s">
        <v>3596</v>
      </c>
      <c r="BJ33" s="40" t="s">
        <v>3597</v>
      </c>
      <c r="BK33" s="45" t="s">
        <v>3598</v>
      </c>
      <c r="BL33" s="91" t="s">
        <v>10</v>
      </c>
      <c r="BM33" s="89">
        <v>2</v>
      </c>
      <c r="BN33" s="745" t="s">
        <v>3599</v>
      </c>
      <c r="BO33" s="746" t="s">
        <v>3600</v>
      </c>
    </row>
    <row r="34" spans="2:67" ht="15" thickBot="1">
      <c r="B34" s="87" t="s">
        <v>3601</v>
      </c>
      <c r="C34" s="80" t="s">
        <v>3602</v>
      </c>
      <c r="D34" s="80"/>
      <c r="E34" s="88" t="s">
        <v>8</v>
      </c>
      <c r="F34" s="89">
        <v>3</v>
      </c>
      <c r="G34" s="38">
        <v>0</v>
      </c>
      <c r="H34" s="39">
        <v>0</v>
      </c>
      <c r="I34" s="40">
        <v>0</v>
      </c>
      <c r="J34" s="90">
        <f t="shared" ref="J34" si="30">SUM(G34:I34)</f>
        <v>0</v>
      </c>
      <c r="K34" s="40">
        <v>0</v>
      </c>
      <c r="L34" s="45">
        <v>0</v>
      </c>
      <c r="M34" s="92" t="s">
        <v>10</v>
      </c>
      <c r="N34" s="93">
        <v>2</v>
      </c>
      <c r="O34" s="749">
        <v>0</v>
      </c>
      <c r="P34" s="750">
        <v>0</v>
      </c>
      <c r="Q34" s="85"/>
      <c r="R34" s="25">
        <f t="shared" si="25"/>
        <v>0</v>
      </c>
      <c r="U34" s="86">
        <f t="shared" si="26"/>
        <v>0</v>
      </c>
      <c r="V34" s="86">
        <f t="shared" si="26"/>
        <v>0</v>
      </c>
      <c r="W34" s="86">
        <f t="shared" si="26"/>
        <v>0</v>
      </c>
      <c r="X34" s="86">
        <f t="shared" si="27"/>
        <v>0</v>
      </c>
      <c r="Y34" s="86">
        <f t="shared" si="27"/>
        <v>0</v>
      </c>
      <c r="Z34" s="86">
        <f t="shared" si="28"/>
        <v>0</v>
      </c>
      <c r="AA34" s="86">
        <f t="shared" si="28"/>
        <v>0</v>
      </c>
      <c r="BA34" s="87" t="s">
        <v>3601</v>
      </c>
      <c r="BB34" s="80" t="s">
        <v>3602</v>
      </c>
      <c r="BC34" s="80"/>
      <c r="BD34" s="88" t="s">
        <v>8</v>
      </c>
      <c r="BE34" s="89">
        <v>3</v>
      </c>
      <c r="BF34" s="38" t="s">
        <v>3603</v>
      </c>
      <c r="BG34" s="39" t="s">
        <v>3604</v>
      </c>
      <c r="BH34" s="40" t="s">
        <v>3605</v>
      </c>
      <c r="BI34" s="90" t="s">
        <v>3606</v>
      </c>
      <c r="BJ34" s="40" t="s">
        <v>3607</v>
      </c>
      <c r="BK34" s="45" t="s">
        <v>3608</v>
      </c>
      <c r="BL34" s="92" t="s">
        <v>10</v>
      </c>
      <c r="BM34" s="93">
        <v>2</v>
      </c>
      <c r="BN34" s="749" t="s">
        <v>3609</v>
      </c>
      <c r="BO34" s="750" t="s">
        <v>3610</v>
      </c>
    </row>
    <row r="35" spans="2:67" ht="15" thickBot="1">
      <c r="B35" s="94" t="s">
        <v>3611</v>
      </c>
      <c r="C35" s="95" t="s">
        <v>680</v>
      </c>
      <c r="D35" s="95"/>
      <c r="E35" s="96" t="s">
        <v>3476</v>
      </c>
      <c r="F35" s="93">
        <v>3</v>
      </c>
      <c r="G35" s="97">
        <f xml:space="preserve"> SUM( G31:G34 )</f>
        <v>0</v>
      </c>
      <c r="H35" s="98">
        <f t="shared" ref="H35:L35" si="31" xml:space="preserve"> SUM( H31:H34 )</f>
        <v>0</v>
      </c>
      <c r="I35" s="99">
        <f t="shared" si="31"/>
        <v>0</v>
      </c>
      <c r="J35" s="97">
        <f t="shared" si="31"/>
        <v>0</v>
      </c>
      <c r="K35" s="99">
        <f t="shared" si="31"/>
        <v>0</v>
      </c>
      <c r="L35" s="117">
        <f t="shared" si="31"/>
        <v>0</v>
      </c>
      <c r="M35" s="108"/>
      <c r="N35" s="108"/>
      <c r="O35" s="101"/>
      <c r="P35" s="101"/>
      <c r="Q35" s="85"/>
      <c r="S35" s="110"/>
      <c r="T35" s="111"/>
      <c r="U35" s="112"/>
      <c r="V35" s="110"/>
      <c r="W35" s="110"/>
      <c r="X35" s="110"/>
      <c r="Y35" s="110"/>
      <c r="Z35" s="110"/>
      <c r="AA35" s="110"/>
      <c r="AB35" s="111"/>
      <c r="AD35" s="111"/>
      <c r="AH35" s="111"/>
      <c r="BA35" s="94" t="s">
        <v>3611</v>
      </c>
      <c r="BB35" s="95" t="s">
        <v>680</v>
      </c>
      <c r="BC35" s="95"/>
      <c r="BD35" s="96" t="s">
        <v>3476</v>
      </c>
      <c r="BE35" s="93">
        <v>3</v>
      </c>
      <c r="BF35" s="97" t="s">
        <v>3612</v>
      </c>
      <c r="BG35" s="98" t="s">
        <v>3613</v>
      </c>
      <c r="BH35" s="99" t="s">
        <v>3614</v>
      </c>
      <c r="BI35" s="97" t="s">
        <v>3615</v>
      </c>
      <c r="BJ35" s="99" t="s">
        <v>3616</v>
      </c>
      <c r="BK35" s="117" t="s">
        <v>3617</v>
      </c>
      <c r="BL35" s="108"/>
      <c r="BM35" s="108"/>
      <c r="BN35" s="101"/>
      <c r="BO35" s="101"/>
    </row>
    <row r="36" spans="2:67" ht="15" thickBot="1">
      <c r="B36" s="113"/>
      <c r="C36" s="68"/>
      <c r="D36" s="68"/>
      <c r="E36" s="108"/>
      <c r="F36" s="108"/>
      <c r="G36" s="105"/>
      <c r="H36" s="105"/>
      <c r="I36" s="105"/>
      <c r="J36" s="105"/>
      <c r="K36" s="105"/>
      <c r="L36" s="105"/>
      <c r="M36" s="108"/>
      <c r="N36" s="108"/>
      <c r="O36" s="101"/>
      <c r="P36" s="101"/>
      <c r="Q36" s="85"/>
      <c r="S36" s="110"/>
      <c r="T36" s="114"/>
      <c r="U36" s="112"/>
      <c r="V36" s="110"/>
      <c r="W36" s="110"/>
      <c r="X36" s="110"/>
      <c r="Y36" s="110"/>
      <c r="Z36" s="110"/>
      <c r="AA36" s="110"/>
      <c r="AB36" s="114"/>
      <c r="AD36" s="114"/>
      <c r="AH36" s="114"/>
      <c r="BA36" s="113"/>
      <c r="BB36" s="68"/>
      <c r="BC36" s="68"/>
      <c r="BD36" s="108"/>
      <c r="BE36" s="108"/>
      <c r="BF36" s="105"/>
      <c r="BG36" s="105"/>
      <c r="BH36" s="105"/>
      <c r="BI36" s="105"/>
      <c r="BJ36" s="105"/>
      <c r="BK36" s="105"/>
      <c r="BL36" s="108"/>
      <c r="BM36" s="108"/>
      <c r="BN36" s="101"/>
      <c r="BO36" s="101"/>
    </row>
    <row r="37" spans="2:67" ht="15" thickBot="1">
      <c r="B37" s="106" t="s">
        <v>493</v>
      </c>
      <c r="C37" s="107" t="s">
        <v>3618</v>
      </c>
      <c r="D37" s="1292"/>
      <c r="E37" s="108"/>
      <c r="F37" s="108"/>
      <c r="G37" s="105"/>
      <c r="H37" s="105"/>
      <c r="I37" s="105"/>
      <c r="J37" s="105"/>
      <c r="K37" s="105"/>
      <c r="L37" s="105"/>
      <c r="M37" s="108"/>
      <c r="N37" s="108"/>
      <c r="O37" s="101"/>
      <c r="P37" s="101"/>
      <c r="Q37" s="85"/>
      <c r="S37" s="110"/>
      <c r="T37" s="114"/>
      <c r="U37" s="112"/>
      <c r="V37" s="110"/>
      <c r="W37" s="110"/>
      <c r="X37" s="110"/>
      <c r="Y37" s="110"/>
      <c r="Z37" s="110"/>
      <c r="AA37" s="110"/>
      <c r="AB37" s="114"/>
      <c r="AD37" s="114"/>
      <c r="AH37" s="114"/>
      <c r="BA37" s="106" t="s">
        <v>493</v>
      </c>
      <c r="BB37" s="107" t="s">
        <v>3618</v>
      </c>
      <c r="BC37" s="1292"/>
      <c r="BD37" s="108"/>
      <c r="BE37" s="108"/>
      <c r="BF37" s="105"/>
      <c r="BG37" s="105"/>
      <c r="BH37" s="105"/>
      <c r="BI37" s="105"/>
      <c r="BJ37" s="105"/>
      <c r="BK37" s="105"/>
      <c r="BL37" s="108"/>
      <c r="BM37" s="108"/>
      <c r="BN37" s="101"/>
      <c r="BO37" s="101"/>
    </row>
    <row r="38" spans="2:67" ht="15" thickBot="1">
      <c r="B38" s="508" t="s">
        <v>3619</v>
      </c>
      <c r="C38" s="509" t="s">
        <v>3618</v>
      </c>
      <c r="D38" s="509"/>
      <c r="E38" s="121" t="s">
        <v>8</v>
      </c>
      <c r="F38" s="122">
        <v>3</v>
      </c>
      <c r="G38" s="411">
        <v>0</v>
      </c>
      <c r="H38" s="412">
        <v>0</v>
      </c>
      <c r="I38" s="413">
        <v>0</v>
      </c>
      <c r="J38" s="123">
        <f>SUM(G38:I38)</f>
        <v>0</v>
      </c>
      <c r="K38" s="413">
        <v>0</v>
      </c>
      <c r="L38" s="414">
        <v>0</v>
      </c>
      <c r="M38" s="415" t="s">
        <v>10</v>
      </c>
      <c r="N38" s="122">
        <v>2</v>
      </c>
      <c r="O38" s="751">
        <v>0</v>
      </c>
      <c r="P38" s="752">
        <v>0</v>
      </c>
      <c r="Q38" s="85"/>
      <c r="R38" s="25">
        <f t="shared" ref="R38" si="32" xml:space="preserve"> IF( SUM( T38:AB38 ) = 0, 0, $U$7 )</f>
        <v>0</v>
      </c>
      <c r="S38" s="110"/>
      <c r="T38" s="114"/>
      <c r="U38" s="86">
        <f t="shared" ref="U38" si="33" xml:space="preserve"> IF( ISNUMBER( G38 ), 0, 1 )</f>
        <v>0</v>
      </c>
      <c r="V38" s="86">
        <f t="shared" ref="V38" si="34" xml:space="preserve"> IF( ISNUMBER( H38 ), 0, 1 )</f>
        <v>0</v>
      </c>
      <c r="W38" s="86">
        <f t="shared" ref="W38" si="35" xml:space="preserve"> IF( ISNUMBER( I38 ), 0, 1 )</f>
        <v>0</v>
      </c>
      <c r="X38" s="86">
        <f t="shared" ref="X38" si="36" xml:space="preserve"> IF( ISNUMBER( K38 ), 0, 1 )</f>
        <v>0</v>
      </c>
      <c r="Y38" s="86">
        <f t="shared" ref="Y38" si="37" xml:space="preserve"> IF( ISNUMBER( L38 ), 0, 1 )</f>
        <v>0</v>
      </c>
      <c r="Z38" s="86">
        <f t="shared" ref="Z38" si="38" xml:space="preserve"> IF( ISNUMBER( O38 ), 0, 1 )</f>
        <v>0</v>
      </c>
      <c r="AA38" s="86">
        <f t="shared" ref="AA38" si="39" xml:space="preserve"> IF( ISNUMBER( P38 ), 0, 1 )</f>
        <v>0</v>
      </c>
      <c r="AB38" s="114"/>
      <c r="AD38" s="114"/>
      <c r="AH38" s="114"/>
      <c r="BA38" s="508" t="s">
        <v>3619</v>
      </c>
      <c r="BB38" s="509" t="s">
        <v>3618</v>
      </c>
      <c r="BC38" s="509"/>
      <c r="BD38" s="121" t="s">
        <v>8</v>
      </c>
      <c r="BE38" s="122">
        <v>3</v>
      </c>
      <c r="BF38" s="411" t="s">
        <v>3620</v>
      </c>
      <c r="BG38" s="412" t="s">
        <v>3621</v>
      </c>
      <c r="BH38" s="413" t="s">
        <v>3622</v>
      </c>
      <c r="BI38" s="123" t="s">
        <v>3623</v>
      </c>
      <c r="BJ38" s="413" t="s">
        <v>3624</v>
      </c>
      <c r="BK38" s="414" t="s">
        <v>3625</v>
      </c>
      <c r="BL38" s="415" t="s">
        <v>10</v>
      </c>
      <c r="BM38" s="122">
        <v>2</v>
      </c>
      <c r="BN38" s="751" t="s">
        <v>3626</v>
      </c>
      <c r="BO38" s="752" t="s">
        <v>3627</v>
      </c>
    </row>
    <row r="39" spans="2:67" ht="15" thickBot="1">
      <c r="B39" s="113"/>
      <c r="C39" s="68"/>
      <c r="D39" s="68"/>
      <c r="E39" s="108"/>
      <c r="F39" s="108"/>
      <c r="G39" s="105"/>
      <c r="H39" s="105"/>
      <c r="I39" s="105"/>
      <c r="J39" s="105"/>
      <c r="K39" s="105"/>
      <c r="L39" s="105"/>
      <c r="M39" s="108"/>
      <c r="N39" s="108"/>
      <c r="O39" s="101"/>
      <c r="P39" s="101"/>
      <c r="Q39" s="85"/>
      <c r="R39" s="112"/>
      <c r="S39" s="110"/>
      <c r="T39" s="114"/>
      <c r="U39" s="112"/>
      <c r="V39" s="110"/>
      <c r="W39" s="110"/>
      <c r="X39" s="110"/>
      <c r="Y39" s="110"/>
      <c r="Z39" s="110"/>
      <c r="AA39" s="110"/>
      <c r="AB39" s="114"/>
      <c r="AD39" s="114"/>
      <c r="AH39" s="114"/>
      <c r="BA39" s="113"/>
      <c r="BB39" s="68"/>
      <c r="BC39" s="68"/>
      <c r="BD39" s="108"/>
      <c r="BE39" s="108"/>
      <c r="BF39" s="105"/>
      <c r="BG39" s="105"/>
      <c r="BH39" s="105"/>
      <c r="BI39" s="105"/>
      <c r="BJ39" s="105"/>
      <c r="BK39" s="105"/>
      <c r="BL39" s="108"/>
      <c r="BM39" s="108"/>
      <c r="BN39" s="101"/>
      <c r="BO39" s="101"/>
    </row>
    <row r="40" spans="2:67" ht="15" thickBot="1">
      <c r="B40" s="106" t="s">
        <v>1970</v>
      </c>
      <c r="C40" s="107" t="s">
        <v>680</v>
      </c>
      <c r="D40" s="1292"/>
      <c r="E40" s="108"/>
      <c r="F40" s="108"/>
      <c r="G40" s="105"/>
      <c r="H40" s="105"/>
      <c r="I40" s="105"/>
      <c r="J40" s="105"/>
      <c r="K40" s="105"/>
      <c r="L40" s="105"/>
      <c r="M40" s="108"/>
      <c r="N40" s="108"/>
      <c r="O40" s="101"/>
      <c r="P40" s="101"/>
      <c r="Q40" s="110"/>
      <c r="S40" s="110"/>
      <c r="T40" s="114"/>
      <c r="U40" s="118"/>
      <c r="V40" s="110"/>
      <c r="W40" s="110"/>
      <c r="X40" s="110"/>
      <c r="Y40" s="110"/>
      <c r="Z40" s="110"/>
      <c r="AA40" s="110"/>
      <c r="AB40" s="114"/>
      <c r="AD40" s="114"/>
      <c r="AH40" s="114"/>
      <c r="BA40" s="106" t="s">
        <v>1970</v>
      </c>
      <c r="BB40" s="107" t="s">
        <v>680</v>
      </c>
      <c r="BC40" s="1292"/>
      <c r="BD40" s="108"/>
      <c r="BE40" s="108"/>
      <c r="BF40" s="105"/>
      <c r="BG40" s="105"/>
      <c r="BH40" s="105"/>
      <c r="BI40" s="105"/>
      <c r="BJ40" s="105"/>
      <c r="BK40" s="105"/>
      <c r="BL40" s="108"/>
      <c r="BM40" s="108"/>
      <c r="BN40" s="101"/>
      <c r="BO40" s="101"/>
    </row>
    <row r="41" spans="2:67" ht="23.25" thickBot="1">
      <c r="B41" s="119" t="s">
        <v>3628</v>
      </c>
      <c r="C41" s="120" t="s">
        <v>3629</v>
      </c>
      <c r="D41" s="120"/>
      <c r="E41" s="121" t="s">
        <v>8</v>
      </c>
      <c r="F41" s="122">
        <v>3</v>
      </c>
      <c r="G41" s="123">
        <f xml:space="preserve"> G14 + G21 + G28 + G35 + G38</f>
        <v>0</v>
      </c>
      <c r="H41" s="124">
        <f t="shared" ref="H41:L41" si="40" xml:space="preserve"> H14 + H21 + H28 + H35 + H38</f>
        <v>2038.7</v>
      </c>
      <c r="I41" s="125">
        <f t="shared" si="40"/>
        <v>3441.3</v>
      </c>
      <c r="J41" s="123">
        <f t="shared" si="40"/>
        <v>5480</v>
      </c>
      <c r="K41" s="125">
        <f t="shared" si="40"/>
        <v>527.20000000000005</v>
      </c>
      <c r="L41" s="126">
        <f t="shared" si="40"/>
        <v>218.9</v>
      </c>
      <c r="M41" s="108"/>
      <c r="N41" s="108"/>
      <c r="O41" s="101"/>
      <c r="P41" s="101"/>
      <c r="Q41" s="116"/>
      <c r="R41" s="1164" t="str">
        <f xml:space="preserve"> IF( SUM( AB41:AD41 ) = 0, 0, AG41 )</f>
        <v>Please provide explanation why 'Mark to Market' does not equal the 'Financial instruments' totals from table 1C.</v>
      </c>
      <c r="S41" s="110"/>
      <c r="T41" s="114"/>
      <c r="U41" s="112"/>
      <c r="V41" s="110"/>
      <c r="W41" s="110"/>
      <c r="X41" s="110"/>
      <c r="Y41" s="110"/>
      <c r="Z41" s="110"/>
      <c r="AA41" s="110"/>
      <c r="AB41" s="114"/>
      <c r="AC41" s="86">
        <f xml:space="preserve"> IF( (AE41 - AF41) = 0, 0, 1 )</f>
        <v>1</v>
      </c>
      <c r="AD41" s="114"/>
      <c r="AE41" s="105">
        <f xml:space="preserve"> ROUND( K41, 3 )</f>
        <v>527.20000000000005</v>
      </c>
      <c r="AF41" s="105">
        <f xml:space="preserve"> ROUND( ('1C'!K11 + '1C'!K18 + '1C'!K26 + '1C'!K36), 3 )</f>
        <v>-545.02499999999998</v>
      </c>
      <c r="AG41" s="24" t="s">
        <v>3630</v>
      </c>
      <c r="AH41" s="114"/>
      <c r="BA41" s="119" t="s">
        <v>3628</v>
      </c>
      <c r="BB41" s="120" t="s">
        <v>3629</v>
      </c>
      <c r="BC41" s="120"/>
      <c r="BD41" s="121" t="s">
        <v>8</v>
      </c>
      <c r="BE41" s="122">
        <v>3</v>
      </c>
      <c r="BF41" s="123" t="s">
        <v>3631</v>
      </c>
      <c r="BG41" s="124" t="s">
        <v>3632</v>
      </c>
      <c r="BH41" s="125" t="s">
        <v>3633</v>
      </c>
      <c r="BI41" s="123" t="s">
        <v>3634</v>
      </c>
      <c r="BJ41" s="125" t="s">
        <v>3635</v>
      </c>
      <c r="BK41" s="126" t="s">
        <v>3636</v>
      </c>
      <c r="BL41" s="108"/>
      <c r="BM41" s="108"/>
      <c r="BN41" s="101"/>
      <c r="BO41" s="101"/>
    </row>
    <row r="42" spans="2:67">
      <c r="B42" s="113"/>
      <c r="C42" s="68"/>
      <c r="D42" s="68"/>
      <c r="E42" s="108"/>
      <c r="F42" s="108"/>
      <c r="M42" s="108"/>
      <c r="N42" s="108"/>
      <c r="O42" s="101"/>
      <c r="P42" s="101"/>
      <c r="Q42" s="116"/>
      <c r="S42" s="103"/>
      <c r="T42" s="114"/>
      <c r="U42" s="103"/>
      <c r="V42" s="103"/>
      <c r="W42" s="103"/>
      <c r="X42" s="103"/>
      <c r="Y42" s="103"/>
      <c r="Z42" s="103"/>
      <c r="AA42" s="103"/>
      <c r="AB42" s="114"/>
      <c r="AD42" s="114"/>
      <c r="AH42" s="114"/>
      <c r="BA42" s="113"/>
      <c r="BB42" s="68"/>
      <c r="BC42" s="68"/>
      <c r="BD42" s="108"/>
      <c r="BE42" s="108"/>
      <c r="BL42" s="108"/>
      <c r="BM42" s="108"/>
      <c r="BN42" s="101"/>
      <c r="BO42" s="101"/>
    </row>
    <row r="43" spans="2:67">
      <c r="B43" s="2256" t="s">
        <v>275</v>
      </c>
      <c r="C43" s="2256"/>
      <c r="D43" s="2195"/>
      <c r="E43" s="108"/>
      <c r="F43" s="108"/>
      <c r="M43" s="108"/>
      <c r="N43" s="108"/>
      <c r="O43" s="101"/>
      <c r="P43" s="101"/>
      <c r="Q43" s="116"/>
      <c r="S43" s="103"/>
      <c r="T43" s="114"/>
      <c r="U43" s="103"/>
      <c r="V43" s="103"/>
      <c r="W43" s="103"/>
      <c r="X43" s="103"/>
      <c r="Y43" s="103"/>
      <c r="Z43" s="103"/>
      <c r="AA43" s="103"/>
      <c r="AB43" s="114"/>
      <c r="AD43" s="114"/>
      <c r="AH43" s="114"/>
    </row>
    <row r="44" spans="2:67">
      <c r="B44" s="127"/>
      <c r="C44" s="128"/>
      <c r="D44" s="128"/>
      <c r="E44" s="108"/>
      <c r="F44" s="108"/>
      <c r="M44" s="108"/>
      <c r="N44" s="108"/>
      <c r="Q44" s="116"/>
      <c r="S44" s="112"/>
      <c r="T44" s="114"/>
      <c r="U44" s="112"/>
      <c r="V44" s="112"/>
      <c r="W44" s="112"/>
      <c r="X44" s="112"/>
      <c r="Y44" s="112"/>
      <c r="Z44" s="112"/>
      <c r="AA44" s="112"/>
      <c r="AB44" s="114"/>
      <c r="AD44" s="114"/>
      <c r="AH44" s="114"/>
    </row>
    <row r="45" spans="2:67">
      <c r="B45" s="26"/>
      <c r="C45" s="129" t="s">
        <v>249</v>
      </c>
      <c r="D45" s="129"/>
      <c r="E45" s="108"/>
      <c r="F45" s="108"/>
      <c r="M45" s="108"/>
      <c r="N45" s="108"/>
      <c r="Q45" s="116"/>
      <c r="S45" s="112"/>
      <c r="T45" s="114"/>
      <c r="U45" s="112"/>
      <c r="V45" s="112"/>
      <c r="W45" s="112"/>
      <c r="X45" s="112"/>
      <c r="Y45" s="112"/>
      <c r="Z45" s="112"/>
      <c r="AA45" s="112"/>
      <c r="AB45" s="114"/>
      <c r="AD45" s="114"/>
      <c r="AH45" s="114"/>
    </row>
    <row r="46" spans="2:67">
      <c r="B46" s="127"/>
      <c r="C46" s="128"/>
      <c r="D46" s="128"/>
      <c r="E46" s="108"/>
      <c r="F46" s="108"/>
      <c r="M46" s="108"/>
      <c r="N46" s="108"/>
      <c r="Q46" s="116"/>
      <c r="S46" s="112"/>
      <c r="T46" s="114"/>
      <c r="U46" s="112"/>
      <c r="V46" s="112"/>
      <c r="W46" s="112"/>
      <c r="X46" s="112"/>
      <c r="Y46" s="112"/>
      <c r="Z46" s="112"/>
      <c r="AA46" s="112"/>
      <c r="AB46" s="114"/>
      <c r="AD46" s="114"/>
      <c r="AH46" s="114"/>
    </row>
    <row r="47" spans="2:67">
      <c r="B47" s="130"/>
      <c r="C47" s="129" t="s">
        <v>250</v>
      </c>
      <c r="D47" s="129"/>
      <c r="Q47" s="116"/>
      <c r="T47" s="114"/>
      <c r="AB47" s="114"/>
      <c r="AD47" s="114"/>
      <c r="AH47" s="114"/>
    </row>
    <row r="48" spans="2:67">
      <c r="B48" s="131"/>
      <c r="C48" s="129"/>
      <c r="D48" s="129"/>
      <c r="Q48" s="118"/>
    </row>
    <row r="49" spans="2:21" ht="15" thickBot="1">
      <c r="B49" s="129"/>
      <c r="C49" s="129"/>
      <c r="D49" s="129"/>
      <c r="Q49" s="118"/>
      <c r="U49" s="103"/>
    </row>
    <row r="50" spans="2:21" ht="21" thickBot="1">
      <c r="B50" s="1166" t="s">
        <v>251</v>
      </c>
      <c r="C50" s="133"/>
      <c r="D50" s="133"/>
      <c r="E50" s="134"/>
      <c r="F50" s="134"/>
      <c r="G50" s="134"/>
      <c r="H50" s="134"/>
      <c r="I50" s="134"/>
      <c r="J50" s="134"/>
      <c r="K50" s="134"/>
      <c r="L50" s="134"/>
      <c r="M50" s="134"/>
      <c r="N50" s="134"/>
      <c r="O50" s="134"/>
      <c r="P50" s="135"/>
      <c r="Q50" s="2"/>
    </row>
    <row r="51" spans="2:21">
      <c r="B51" s="136"/>
      <c r="C51" s="137"/>
      <c r="D51" s="137"/>
      <c r="E51" s="69"/>
      <c r="F51" s="69"/>
      <c r="G51" s="69"/>
      <c r="H51" s="103"/>
      <c r="I51" s="103"/>
      <c r="J51" s="103"/>
      <c r="P51" t="s">
        <v>3637</v>
      </c>
      <c r="Q51" s="2"/>
    </row>
    <row r="52" spans="2:21" ht="33" customHeight="1">
      <c r="B52" s="103"/>
      <c r="C52" s="138"/>
      <c r="D52" s="138"/>
      <c r="E52" s="103"/>
      <c r="F52" s="103"/>
      <c r="G52" s="103"/>
      <c r="H52" s="103"/>
      <c r="I52" s="103"/>
      <c r="J52" s="103"/>
      <c r="Q52" s="2"/>
    </row>
    <row r="53" spans="2:21">
      <c r="B53" s="139"/>
      <c r="C53" s="138"/>
      <c r="D53" s="138"/>
      <c r="E53" s="103"/>
      <c r="F53" s="103"/>
      <c r="G53" s="103"/>
      <c r="H53" s="103"/>
      <c r="I53" s="103"/>
      <c r="J53" s="103"/>
      <c r="Q53" s="2"/>
    </row>
    <row r="54" spans="2:21" hidden="1">
      <c r="B54" s="103"/>
      <c r="C54" s="138"/>
      <c r="D54" s="138"/>
      <c r="E54" s="103"/>
      <c r="F54" s="103"/>
      <c r="G54" s="103"/>
      <c r="H54" s="103"/>
      <c r="I54" s="103"/>
      <c r="J54" s="110"/>
      <c r="Q54" s="2"/>
    </row>
  </sheetData>
  <sheetProtection algorithmName="SHA-512" hashValue="UEWyrV07zsjHztZ5BZOwQyWGfKHvQB6hXxWgtRzmkC56w0JEchtz76J2rjnjeqHEC2a1ERATG9aQM7UmA5guFw==" saltValue="xHAtT89zBeMUnyzIZCJvCA==" spinCount="100000" sheet="1" objects="1" scenarios="1"/>
  <mergeCells count="20">
    <mergeCell ref="BK3:BK4"/>
    <mergeCell ref="BL3:BL4"/>
    <mergeCell ref="BM3:BM4"/>
    <mergeCell ref="BN3:BO3"/>
    <mergeCell ref="BA3:BB4"/>
    <mergeCell ref="BD3:BD4"/>
    <mergeCell ref="BE3:BE4"/>
    <mergeCell ref="BF3:BH3"/>
    <mergeCell ref="BI3:BJ3"/>
    <mergeCell ref="R3:R4"/>
    <mergeCell ref="B43:C43"/>
    <mergeCell ref="B3:C4"/>
    <mergeCell ref="M3:M4"/>
    <mergeCell ref="N3:N4"/>
    <mergeCell ref="O3:P3"/>
    <mergeCell ref="E3:E4"/>
    <mergeCell ref="F3:F4"/>
    <mergeCell ref="G3:I3"/>
    <mergeCell ref="J3:K3"/>
    <mergeCell ref="L3:L4"/>
  </mergeCells>
  <conditionalFormatting sqref="R8:R13">
    <cfRule type="cellIs" dxfId="135" priority="6" operator="equal">
      <formula>0</formula>
    </cfRule>
  </conditionalFormatting>
  <conditionalFormatting sqref="R17:R20">
    <cfRule type="cellIs" dxfId="134" priority="5" operator="equal">
      <formula>0</formula>
    </cfRule>
  </conditionalFormatting>
  <conditionalFormatting sqref="R24:R27">
    <cfRule type="cellIs" dxfId="133" priority="4" operator="equal">
      <formula>0</formula>
    </cfRule>
  </conditionalFormatting>
  <conditionalFormatting sqref="R31:R34">
    <cfRule type="cellIs" dxfId="132" priority="3" operator="equal">
      <formula>0</formula>
    </cfRule>
  </conditionalFormatting>
  <conditionalFormatting sqref="R38">
    <cfRule type="cellIs" dxfId="131" priority="1" operator="equal">
      <formula>0</formula>
    </cfRule>
  </conditionalFormatting>
  <conditionalFormatting sqref="R41">
    <cfRule type="cellIs" dxfId="130"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 updated June 2018&amp;R&amp;G</oddHeader>
    <oddFooter>&amp;L&amp;9&amp;K857362&amp;A&amp;R&amp;9&amp;K857362Printed: &amp;D &amp;T</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pageSetUpPr fitToPage="1"/>
  </sheetPr>
  <dimension ref="A1:BN62"/>
  <sheetViews>
    <sheetView showGridLines="0" topLeftCell="A30" zoomScale="80" zoomScaleNormal="80" workbookViewId="0">
      <selection activeCell="B41" sqref="B41:N52"/>
    </sheetView>
  </sheetViews>
  <sheetFormatPr defaultColWidth="0" defaultRowHeight="14.25" zeroHeight="1"/>
  <cols>
    <col min="1" max="1" width="0.625" customWidth="1"/>
    <col min="2" max="2" width="7.125" customWidth="1"/>
    <col min="3" max="3" width="59.625" customWidth="1"/>
    <col min="4" max="4" width="1.125" hidden="1" customWidth="1"/>
    <col min="5" max="6" width="5.125" customWidth="1"/>
    <col min="7" max="15" width="12.625" customWidth="1"/>
    <col min="16" max="16" width="2.625" style="65" customWidth="1"/>
    <col min="17" max="17" width="49.625" style="65" bestFit="1" customWidth="1"/>
    <col min="18" max="18" width="18.625" style="65" bestFit="1" customWidth="1"/>
    <col min="19" max="19" width="1.625" style="65" customWidth="1"/>
    <col min="20" max="20" width="1.625" style="66" hidden="1" customWidth="1"/>
    <col min="21" max="28" width="4.625" style="65" hidden="1" customWidth="1"/>
    <col min="29" max="29" width="1.625" style="66" hidden="1" customWidth="1"/>
    <col min="30" max="30" width="10.125" hidden="1" customWidth="1"/>
    <col min="31" max="31" width="1.625" style="66" hidden="1" customWidth="1"/>
    <col min="32" max="33" width="5.625" hidden="1" customWidth="1"/>
    <col min="34" max="34" width="64.125" hidden="1" customWidth="1"/>
    <col min="35" max="35" width="1.625" style="66" hidden="1" customWidth="1"/>
    <col min="36" max="52" width="8.625" hidden="1" customWidth="1"/>
    <col min="53" max="53" width="7.125" hidden="1" customWidth="1"/>
    <col min="54" max="54" width="59.625" hidden="1" customWidth="1"/>
    <col min="55" max="55" width="1.125" hidden="1" customWidth="1"/>
    <col min="56" max="57" width="5.125" hidden="1" customWidth="1"/>
    <col min="58" max="66" width="12.625" hidden="1" customWidth="1"/>
    <col min="67" max="16384" width="8.625" hidden="1"/>
  </cols>
  <sheetData>
    <row r="1" spans="2:66" ht="20.25">
      <c r="B1" s="61" t="s">
        <v>3638</v>
      </c>
      <c r="C1" s="61"/>
      <c r="D1" s="61"/>
      <c r="E1" s="61"/>
      <c r="F1" s="61"/>
      <c r="G1" s="61"/>
      <c r="H1" s="61"/>
      <c r="I1" s="61"/>
      <c r="J1" s="61"/>
      <c r="K1" s="61"/>
      <c r="L1" s="61"/>
      <c r="M1" s="61"/>
      <c r="N1" s="61"/>
      <c r="O1" s="63" t="str">
        <f>Validation!B3</f>
        <v>Thames Water</v>
      </c>
      <c r="P1" s="61"/>
      <c r="Q1" s="61"/>
      <c r="R1" s="64" t="s">
        <v>94</v>
      </c>
      <c r="BA1" s="61" t="s">
        <v>95</v>
      </c>
      <c r="BB1" s="61"/>
      <c r="BC1" s="61"/>
      <c r="BD1" s="61"/>
      <c r="BE1" s="61"/>
      <c r="BF1" s="61"/>
      <c r="BG1" s="61"/>
      <c r="BH1" s="61"/>
      <c r="BI1" s="61"/>
      <c r="BJ1" s="61"/>
      <c r="BK1" s="61"/>
      <c r="BL1" s="61"/>
      <c r="BM1" s="61"/>
      <c r="BN1" s="63"/>
    </row>
    <row r="2" spans="2:66" ht="15" thickBot="1">
      <c r="B2" s="68" t="s">
        <v>80</v>
      </c>
      <c r="C2" s="65"/>
      <c r="D2" s="65"/>
      <c r="E2" s="65"/>
      <c r="F2" s="65"/>
      <c r="G2" s="65"/>
      <c r="H2" s="65"/>
      <c r="I2" s="65"/>
      <c r="J2" s="65"/>
      <c r="K2" s="65"/>
      <c r="L2" s="65"/>
      <c r="M2" s="65"/>
      <c r="N2" s="65"/>
      <c r="O2" s="65"/>
      <c r="BA2" s="68" t="s">
        <v>80</v>
      </c>
      <c r="BB2" s="65"/>
      <c r="BC2" s="65"/>
      <c r="BD2" s="65"/>
      <c r="BE2" s="65"/>
      <c r="BF2" s="65"/>
      <c r="BG2" s="65"/>
      <c r="BH2" s="65"/>
      <c r="BI2" s="65"/>
      <c r="BJ2" s="65"/>
      <c r="BK2" s="65"/>
      <c r="BL2" s="65"/>
      <c r="BM2" s="65"/>
      <c r="BN2" s="65"/>
    </row>
    <row r="3" spans="2:66" ht="15" customHeight="1">
      <c r="B3" s="2242" t="s">
        <v>96</v>
      </c>
      <c r="C3" s="2243"/>
      <c r="D3" s="2192" t="s">
        <v>2690</v>
      </c>
      <c r="E3" s="2246" t="s">
        <v>98</v>
      </c>
      <c r="F3" s="2248" t="s">
        <v>99</v>
      </c>
      <c r="G3" s="2336" t="s">
        <v>3639</v>
      </c>
      <c r="H3" s="2337"/>
      <c r="I3" s="2339"/>
      <c r="J3" s="2340" t="s">
        <v>3640</v>
      </c>
      <c r="K3" s="2339"/>
      <c r="L3" s="2340" t="s">
        <v>749</v>
      </c>
      <c r="M3" s="2337"/>
      <c r="N3" s="2339"/>
      <c r="O3" s="2329" t="s">
        <v>680</v>
      </c>
      <c r="Q3" s="2240" t="s">
        <v>675</v>
      </c>
      <c r="R3" s="2240" t="s">
        <v>103</v>
      </c>
      <c r="BA3" s="2242" t="s">
        <v>96</v>
      </c>
      <c r="BB3" s="2243"/>
      <c r="BC3" s="2192" t="s">
        <v>2690</v>
      </c>
      <c r="BD3" s="2246" t="s">
        <v>98</v>
      </c>
      <c r="BE3" s="2248" t="s">
        <v>99</v>
      </c>
      <c r="BF3" s="2336" t="s">
        <v>3639</v>
      </c>
      <c r="BG3" s="2337"/>
      <c r="BH3" s="2339"/>
      <c r="BI3" s="2340" t="s">
        <v>3640</v>
      </c>
      <c r="BJ3" s="2339"/>
      <c r="BK3" s="2340" t="s">
        <v>749</v>
      </c>
      <c r="BL3" s="2337"/>
      <c r="BM3" s="2339"/>
      <c r="BN3" s="2329" t="s">
        <v>680</v>
      </c>
    </row>
    <row r="4" spans="2:66" ht="41.25" customHeight="1" thickBot="1">
      <c r="B4" s="2244"/>
      <c r="C4" s="2245"/>
      <c r="D4" s="2193"/>
      <c r="E4" s="2247"/>
      <c r="F4" s="2249"/>
      <c r="G4" s="181" t="s">
        <v>3641</v>
      </c>
      <c r="H4" s="182" t="s">
        <v>3642</v>
      </c>
      <c r="I4" s="183" t="s">
        <v>3643</v>
      </c>
      <c r="J4" s="184" t="s">
        <v>3644</v>
      </c>
      <c r="K4" s="183" t="s">
        <v>3645</v>
      </c>
      <c r="L4" s="184" t="s">
        <v>3646</v>
      </c>
      <c r="M4" s="182" t="s">
        <v>3647</v>
      </c>
      <c r="N4" s="183" t="s">
        <v>3648</v>
      </c>
      <c r="O4" s="2330"/>
      <c r="Q4" s="2241"/>
      <c r="R4" s="2241"/>
      <c r="U4" s="2255" t="s">
        <v>107</v>
      </c>
      <c r="V4" s="2255"/>
      <c r="W4" s="2255"/>
      <c r="X4" s="2255"/>
      <c r="Y4" s="2255"/>
      <c r="Z4" s="2255"/>
      <c r="AA4" s="2255"/>
      <c r="AB4" s="2255"/>
      <c r="AD4" s="2194" t="s">
        <v>86</v>
      </c>
      <c r="AF4" s="71" t="s">
        <v>742</v>
      </c>
      <c r="AG4" s="583"/>
      <c r="AH4" s="583"/>
      <c r="BA4" s="2244"/>
      <c r="BB4" s="2245"/>
      <c r="BC4" s="2193"/>
      <c r="BD4" s="2247"/>
      <c r="BE4" s="2249"/>
      <c r="BF4" s="181" t="s">
        <v>3641</v>
      </c>
      <c r="BG4" s="182" t="s">
        <v>3642</v>
      </c>
      <c r="BH4" s="183" t="s">
        <v>3643</v>
      </c>
      <c r="BI4" s="184" t="s">
        <v>3644</v>
      </c>
      <c r="BJ4" s="183" t="s">
        <v>3645</v>
      </c>
      <c r="BK4" s="184" t="s">
        <v>3646</v>
      </c>
      <c r="BL4" s="182" t="s">
        <v>3647</v>
      </c>
      <c r="BM4" s="183" t="s">
        <v>3648</v>
      </c>
      <c r="BN4" s="2330"/>
    </row>
    <row r="5" spans="2:66" ht="15" customHeight="1" thickBot="1">
      <c r="B5" s="65"/>
      <c r="C5" s="65"/>
      <c r="D5" s="65"/>
      <c r="E5" s="65"/>
      <c r="F5" s="65"/>
      <c r="G5" s="65"/>
      <c r="H5" s="65"/>
      <c r="I5" s="65"/>
      <c r="J5" s="65"/>
      <c r="K5" s="65"/>
      <c r="L5" s="65"/>
      <c r="M5" s="65"/>
      <c r="N5" s="65"/>
      <c r="O5" s="65"/>
      <c r="U5" s="2331"/>
      <c r="V5" s="2331"/>
      <c r="W5" s="2331"/>
      <c r="X5" s="2331"/>
      <c r="Y5" s="2331"/>
      <c r="Z5" s="2331"/>
      <c r="AA5" s="2331"/>
      <c r="AB5" s="2331"/>
      <c r="AD5" s="211"/>
      <c r="AF5" s="211"/>
      <c r="BA5" s="65"/>
      <c r="BB5" s="65"/>
      <c r="BC5" s="65"/>
      <c r="BD5" s="65"/>
      <c r="BE5" s="65"/>
      <c r="BF5" s="65"/>
      <c r="BG5" s="65"/>
      <c r="BH5" s="65"/>
      <c r="BI5" s="65"/>
      <c r="BJ5" s="65"/>
      <c r="BK5" s="65"/>
      <c r="BL5" s="65"/>
      <c r="BM5" s="65"/>
      <c r="BN5" s="65"/>
    </row>
    <row r="6" spans="2:66" s="65" customFormat="1" ht="15" thickBot="1">
      <c r="B6" s="106" t="s">
        <v>214</v>
      </c>
      <c r="C6" s="107" t="s">
        <v>779</v>
      </c>
      <c r="D6" s="1292"/>
      <c r="R6" s="25">
        <f xml:space="preserve"> IF( SUM( T6:AC6 ) = 0, 0, $O$9 )</f>
        <v>0</v>
      </c>
      <c r="T6" s="66"/>
      <c r="U6" s="78" t="s">
        <v>108</v>
      </c>
      <c r="V6" s="78"/>
      <c r="W6" s="78"/>
      <c r="X6" s="78"/>
      <c r="Y6" s="78"/>
      <c r="Z6" s="78"/>
      <c r="AA6" s="177"/>
      <c r="AB6" s="177"/>
      <c r="AC6" s="66"/>
      <c r="AD6"/>
      <c r="AE6" s="66"/>
      <c r="AF6"/>
      <c r="AG6"/>
      <c r="AH6"/>
      <c r="AI6" s="66"/>
      <c r="BA6" s="106" t="s">
        <v>214</v>
      </c>
      <c r="BB6" s="107" t="s">
        <v>779</v>
      </c>
      <c r="BC6" s="1292"/>
    </row>
    <row r="7" spans="2:66" ht="14.25" customHeight="1">
      <c r="B7" s="79" t="s">
        <v>3649</v>
      </c>
      <c r="C7" s="109" t="s">
        <v>869</v>
      </c>
      <c r="D7" s="109"/>
      <c r="E7" s="81" t="s">
        <v>8</v>
      </c>
      <c r="F7" s="82">
        <v>3</v>
      </c>
      <c r="G7" s="352">
        <v>6.8620000000000001</v>
      </c>
      <c r="H7" s="353">
        <v>2.1840000000000002</v>
      </c>
      <c r="I7" s="343">
        <v>1.2569999999999999</v>
      </c>
      <c r="J7" s="342">
        <v>54.192999999999998</v>
      </c>
      <c r="K7" s="343">
        <v>0</v>
      </c>
      <c r="L7" s="342">
        <v>-5.0000000000000001E-3</v>
      </c>
      <c r="M7" s="353">
        <v>-13.833</v>
      </c>
      <c r="N7" s="343">
        <v>3.7999999999999999E-2</v>
      </c>
      <c r="O7" s="173">
        <f t="shared" ref="O7:O15" si="0">SUM(G7:N7)</f>
        <v>50.695999999999998</v>
      </c>
      <c r="R7" s="25">
        <f xml:space="preserve"> IF( SUM( T7:AC7 ) = 0, 0, $U$6 )</f>
        <v>0</v>
      </c>
      <c r="U7" s="86">
        <f>IF(Validation!$H$3=1,0,IF(ISNUMBER(G7),0,1))</f>
        <v>0</v>
      </c>
      <c r="V7" s="86">
        <f>IF(Validation!$H$3=1,0,IF(ISNUMBER(H7),0,1))</f>
        <v>0</v>
      </c>
      <c r="W7" s="86">
        <f>IF(Validation!$H$3=1,0,IF(ISNUMBER(I7),0,1))</f>
        <v>0</v>
      </c>
      <c r="X7" s="86">
        <f>IF(Validation!$H$3=1,0,IF(ISNUMBER(J7),0,1))</f>
        <v>0</v>
      </c>
      <c r="Y7" s="86">
        <f>IF(Validation!$H$3=1,0,IF(ISNUMBER(K7),0,1))</f>
        <v>0</v>
      </c>
      <c r="Z7" s="86">
        <f>IF(Validation!$H$3=1,0,IF(ISNUMBER(L7),0,1))</f>
        <v>0</v>
      </c>
      <c r="AA7" s="86">
        <f>IF(Validation!$H$3=1,0,IF(ISNUMBER(M7),0,1))</f>
        <v>0</v>
      </c>
      <c r="AB7" s="86">
        <f>IF(Validation!$H$3=1,0,IF(ISNUMBER(N7),0,1))</f>
        <v>0</v>
      </c>
      <c r="BA7" s="79" t="s">
        <v>3649</v>
      </c>
      <c r="BB7" s="109" t="s">
        <v>869</v>
      </c>
      <c r="BC7" s="109"/>
      <c r="BD7" s="81" t="s">
        <v>8</v>
      </c>
      <c r="BE7" s="82">
        <v>3</v>
      </c>
      <c r="BF7" s="352" t="s">
        <v>3650</v>
      </c>
      <c r="BG7" s="353" t="s">
        <v>3651</v>
      </c>
      <c r="BH7" s="343" t="s">
        <v>3652</v>
      </c>
      <c r="BI7" s="342" t="s">
        <v>3653</v>
      </c>
      <c r="BJ7" s="343" t="s">
        <v>3654</v>
      </c>
      <c r="BK7" s="342" t="s">
        <v>3655</v>
      </c>
      <c r="BL7" s="353" t="s">
        <v>3656</v>
      </c>
      <c r="BM7" s="343" t="s">
        <v>3657</v>
      </c>
      <c r="BN7" s="173" t="s">
        <v>3658</v>
      </c>
    </row>
    <row r="8" spans="2:66" ht="14.25" customHeight="1">
      <c r="B8" s="87" t="s">
        <v>3659</v>
      </c>
      <c r="C8" s="80" t="s">
        <v>877</v>
      </c>
      <c r="D8" s="80"/>
      <c r="E8" s="88" t="s">
        <v>8</v>
      </c>
      <c r="F8" s="89">
        <v>3</v>
      </c>
      <c r="G8" s="354">
        <v>-8.4000000000000005E-2</v>
      </c>
      <c r="H8" s="341">
        <v>-2.7E-2</v>
      </c>
      <c r="I8" s="344">
        <v>-1.4999999999999999E-2</v>
      </c>
      <c r="J8" s="340">
        <v>-3.9E-2</v>
      </c>
      <c r="K8" s="344">
        <v>0</v>
      </c>
      <c r="L8" s="340">
        <v>0</v>
      </c>
      <c r="M8" s="341">
        <v>-9.6319999999999997</v>
      </c>
      <c r="N8" s="344">
        <v>-0.79300000000000004</v>
      </c>
      <c r="O8" s="206">
        <f t="shared" si="0"/>
        <v>-10.589999999999998</v>
      </c>
      <c r="R8" s="25">
        <f t="shared" ref="R8:R14" si="1" xml:space="preserve"> IF( SUM( T8:AC8 ) = 0, 0, $U$6 )</f>
        <v>0</v>
      </c>
      <c r="U8" s="86">
        <f>IF(Validation!$H$3=1,0,IF(ISNUMBER(G8),0,1))</f>
        <v>0</v>
      </c>
      <c r="V8" s="86">
        <f>IF(Validation!$H$3=1,0,IF(ISNUMBER(H8),0,1))</f>
        <v>0</v>
      </c>
      <c r="W8" s="86">
        <f>IF(Validation!$H$3=1,0,IF(ISNUMBER(I8),0,1))</f>
        <v>0</v>
      </c>
      <c r="X8" s="86">
        <f>IF(Validation!$H$3=1,0,IF(ISNUMBER(J8),0,1))</f>
        <v>0</v>
      </c>
      <c r="Y8" s="86">
        <f>IF(Validation!$H$3=1,0,IF(ISNUMBER(K8),0,1))</f>
        <v>0</v>
      </c>
      <c r="Z8" s="86">
        <f>IF(Validation!$H$3=1,0,IF(ISNUMBER(L8),0,1))</f>
        <v>0</v>
      </c>
      <c r="AA8" s="86">
        <f>IF(Validation!$H$3=1,0,IF(ISNUMBER(M8),0,1))</f>
        <v>0</v>
      </c>
      <c r="AB8" s="86">
        <f>IF(Validation!$H$3=1,0,IF(ISNUMBER(N8),0,1))</f>
        <v>0</v>
      </c>
      <c r="BA8" s="87" t="s">
        <v>3659</v>
      </c>
      <c r="BB8" s="80" t="s">
        <v>877</v>
      </c>
      <c r="BC8" s="80"/>
      <c r="BD8" s="88" t="s">
        <v>8</v>
      </c>
      <c r="BE8" s="89">
        <v>3</v>
      </c>
      <c r="BF8" s="354" t="s">
        <v>3660</v>
      </c>
      <c r="BG8" s="341" t="s">
        <v>3661</v>
      </c>
      <c r="BH8" s="344" t="s">
        <v>3662</v>
      </c>
      <c r="BI8" s="340" t="s">
        <v>3663</v>
      </c>
      <c r="BJ8" s="344" t="s">
        <v>3664</v>
      </c>
      <c r="BK8" s="340" t="s">
        <v>3665</v>
      </c>
      <c r="BL8" s="341" t="s">
        <v>3666</v>
      </c>
      <c r="BM8" s="344" t="s">
        <v>3667</v>
      </c>
      <c r="BN8" s="206" t="s">
        <v>3668</v>
      </c>
    </row>
    <row r="9" spans="2:66" ht="14.25" customHeight="1">
      <c r="B9" s="87" t="s">
        <v>3669</v>
      </c>
      <c r="C9" s="80" t="s">
        <v>3670</v>
      </c>
      <c r="D9" s="80"/>
      <c r="E9" s="88" t="s">
        <v>8</v>
      </c>
      <c r="F9" s="89">
        <v>3</v>
      </c>
      <c r="G9" s="354">
        <v>1.163</v>
      </c>
      <c r="H9" s="341">
        <v>0.36399999999999999</v>
      </c>
      <c r="I9" s="344">
        <v>0.20499999999999999</v>
      </c>
      <c r="J9" s="340">
        <v>3.53</v>
      </c>
      <c r="K9" s="344">
        <v>4.0000000000000001E-3</v>
      </c>
      <c r="L9" s="340">
        <v>3.0000000000000001E-3</v>
      </c>
      <c r="M9" s="341">
        <v>6.8000000000000005E-2</v>
      </c>
      <c r="N9" s="344">
        <v>4.0000000000000001E-3</v>
      </c>
      <c r="O9" s="206">
        <f t="shared" si="0"/>
        <v>5.3409999999999993</v>
      </c>
      <c r="R9" s="25">
        <f t="shared" si="1"/>
        <v>0</v>
      </c>
      <c r="U9" s="86">
        <f>IF(Validation!$H$3=1,0,IF(ISNUMBER(G9),0,1))</f>
        <v>0</v>
      </c>
      <c r="V9" s="86">
        <f>IF(Validation!$H$3=1,0,IF(ISNUMBER(H9),0,1))</f>
        <v>0</v>
      </c>
      <c r="W9" s="86">
        <f>IF(Validation!$H$3=1,0,IF(ISNUMBER(I9),0,1))</f>
        <v>0</v>
      </c>
      <c r="X9" s="86">
        <f>IF(Validation!$H$3=1,0,IF(ISNUMBER(J9),0,1))</f>
        <v>0</v>
      </c>
      <c r="Y9" s="86">
        <f>IF(Validation!$H$3=1,0,IF(ISNUMBER(K9),0,1))</f>
        <v>0</v>
      </c>
      <c r="Z9" s="86">
        <f>IF(Validation!$H$3=1,0,IF(ISNUMBER(L9),0,1))</f>
        <v>0</v>
      </c>
      <c r="AA9" s="86">
        <f>IF(Validation!$H$3=1,0,IF(ISNUMBER(M9),0,1))</f>
        <v>0</v>
      </c>
      <c r="AB9" s="86">
        <f>IF(Validation!$H$3=1,0,IF(ISNUMBER(N9),0,1))</f>
        <v>0</v>
      </c>
      <c r="BA9" s="87" t="s">
        <v>3669</v>
      </c>
      <c r="BB9" s="80" t="s">
        <v>3670</v>
      </c>
      <c r="BC9" s="80"/>
      <c r="BD9" s="88" t="s">
        <v>8</v>
      </c>
      <c r="BE9" s="89">
        <v>3</v>
      </c>
      <c r="BF9" s="354" t="s">
        <v>3671</v>
      </c>
      <c r="BG9" s="341" t="s">
        <v>3672</v>
      </c>
      <c r="BH9" s="344" t="s">
        <v>3673</v>
      </c>
      <c r="BI9" s="340" t="s">
        <v>3674</v>
      </c>
      <c r="BJ9" s="344" t="s">
        <v>3675</v>
      </c>
      <c r="BK9" s="340" t="s">
        <v>3676</v>
      </c>
      <c r="BL9" s="341" t="s">
        <v>3677</v>
      </c>
      <c r="BM9" s="344" t="s">
        <v>3678</v>
      </c>
      <c r="BN9" s="206" t="s">
        <v>3679</v>
      </c>
    </row>
    <row r="10" spans="2:66" ht="14.25" customHeight="1">
      <c r="B10" s="87" t="s">
        <v>3680</v>
      </c>
      <c r="C10" s="80" t="s">
        <v>3681</v>
      </c>
      <c r="D10" s="80"/>
      <c r="E10" s="88" t="s">
        <v>8</v>
      </c>
      <c r="F10" s="89">
        <v>3</v>
      </c>
      <c r="G10" s="354">
        <v>0</v>
      </c>
      <c r="H10" s="341">
        <v>0</v>
      </c>
      <c r="I10" s="344">
        <v>0</v>
      </c>
      <c r="J10" s="340">
        <v>2.39</v>
      </c>
      <c r="K10" s="344">
        <v>0</v>
      </c>
      <c r="L10" s="340">
        <v>8.9999999999999993E-3</v>
      </c>
      <c r="M10" s="341">
        <v>9.6000000000000002E-2</v>
      </c>
      <c r="N10" s="344">
        <v>1E-3</v>
      </c>
      <c r="O10" s="206">
        <f t="shared" si="0"/>
        <v>2.496</v>
      </c>
      <c r="R10" s="25">
        <f t="shared" si="1"/>
        <v>0</v>
      </c>
      <c r="U10" s="86">
        <f>IF(Validation!$H$3=1,0,IF(ISNUMBER(G10),0,1))</f>
        <v>0</v>
      </c>
      <c r="V10" s="86">
        <f>IF(Validation!$H$3=1,0,IF(ISNUMBER(H10),0,1))</f>
        <v>0</v>
      </c>
      <c r="W10" s="86">
        <f>IF(Validation!$H$3=1,0,IF(ISNUMBER(I10),0,1))</f>
        <v>0</v>
      </c>
      <c r="X10" s="86">
        <f>IF(Validation!$H$3=1,0,IF(ISNUMBER(J10),0,1))</f>
        <v>0</v>
      </c>
      <c r="Y10" s="86">
        <f>IF(Validation!$H$3=1,0,IF(ISNUMBER(K10),0,1))</f>
        <v>0</v>
      </c>
      <c r="Z10" s="86">
        <f>IF(Validation!$H$3=1,0,IF(ISNUMBER(L10),0,1))</f>
        <v>0</v>
      </c>
      <c r="AA10" s="86">
        <f>IF(Validation!$H$3=1,0,IF(ISNUMBER(M10),0,1))</f>
        <v>0</v>
      </c>
      <c r="AB10" s="86">
        <f>IF(Validation!$H$3=1,0,IF(ISNUMBER(N10),0,1))</f>
        <v>0</v>
      </c>
      <c r="BA10" s="87" t="s">
        <v>3680</v>
      </c>
      <c r="BB10" s="80" t="s">
        <v>3681</v>
      </c>
      <c r="BC10" s="80"/>
      <c r="BD10" s="88" t="s">
        <v>8</v>
      </c>
      <c r="BE10" s="89">
        <v>3</v>
      </c>
      <c r="BF10" s="354" t="s">
        <v>3682</v>
      </c>
      <c r="BG10" s="341" t="s">
        <v>3683</v>
      </c>
      <c r="BH10" s="344" t="s">
        <v>3684</v>
      </c>
      <c r="BI10" s="340" t="s">
        <v>3685</v>
      </c>
      <c r="BJ10" s="344" t="s">
        <v>3686</v>
      </c>
      <c r="BK10" s="340" t="s">
        <v>3687</v>
      </c>
      <c r="BL10" s="341" t="s">
        <v>3688</v>
      </c>
      <c r="BM10" s="344" t="s">
        <v>3689</v>
      </c>
      <c r="BN10" s="206" t="s">
        <v>3690</v>
      </c>
    </row>
    <row r="11" spans="2:66" ht="14.25" customHeight="1">
      <c r="B11" s="87" t="s">
        <v>3691</v>
      </c>
      <c r="C11" s="237" t="s">
        <v>901</v>
      </c>
      <c r="D11" s="237"/>
      <c r="E11" s="256" t="s">
        <v>8</v>
      </c>
      <c r="F11" s="239">
        <v>3</v>
      </c>
      <c r="G11" s="354">
        <v>45.965000000000003</v>
      </c>
      <c r="H11" s="341">
        <v>14.603</v>
      </c>
      <c r="I11" s="344">
        <v>8.4190000000000005</v>
      </c>
      <c r="J11" s="340">
        <v>0</v>
      </c>
      <c r="K11" s="344">
        <v>0</v>
      </c>
      <c r="L11" s="340">
        <v>0</v>
      </c>
      <c r="M11" s="341">
        <v>0</v>
      </c>
      <c r="N11" s="344">
        <v>0</v>
      </c>
      <c r="O11" s="206">
        <f t="shared" si="0"/>
        <v>68.987000000000009</v>
      </c>
      <c r="R11" s="25">
        <f t="shared" si="1"/>
        <v>0</v>
      </c>
      <c r="U11" s="86">
        <f>IF(Validation!$H$3=1,0,IF(ISNUMBER(G11),0,1))</f>
        <v>0</v>
      </c>
      <c r="V11" s="86">
        <f>IF(Validation!$H$3=1,0,IF(ISNUMBER(H11),0,1))</f>
        <v>0</v>
      </c>
      <c r="W11" s="86">
        <f>IF(Validation!$H$3=1,0,IF(ISNUMBER(I11),0,1))</f>
        <v>0</v>
      </c>
      <c r="X11" s="86">
        <f>IF(Validation!$H$3=1,0,IF(ISNUMBER(J11),0,1))</f>
        <v>0</v>
      </c>
      <c r="Y11" s="86">
        <f>IF(Validation!$H$3=1,0,IF(ISNUMBER(K11),0,1))</f>
        <v>0</v>
      </c>
      <c r="Z11" s="86">
        <f>IF(Validation!$H$3=1,0,IF(ISNUMBER(L11),0,1))</f>
        <v>0</v>
      </c>
      <c r="AA11" s="86">
        <f>IF(Validation!$H$3=1,0,IF(ISNUMBER(M11),0,1))</f>
        <v>0</v>
      </c>
      <c r="AB11" s="86">
        <f>IF(Validation!$H$3=1,0,IF(ISNUMBER(N11),0,1))</f>
        <v>0</v>
      </c>
      <c r="BA11" s="87" t="s">
        <v>3691</v>
      </c>
      <c r="BB11" s="237" t="s">
        <v>901</v>
      </c>
      <c r="BC11" s="237"/>
      <c r="BD11" s="256" t="s">
        <v>8</v>
      </c>
      <c r="BE11" s="239">
        <v>3</v>
      </c>
      <c r="BF11" s="1596" t="s">
        <v>3692</v>
      </c>
      <c r="BG11" s="1401" t="s">
        <v>3693</v>
      </c>
      <c r="BH11" s="1612" t="s">
        <v>3694</v>
      </c>
      <c r="BI11" s="1400" t="s">
        <v>3695</v>
      </c>
      <c r="BJ11" s="1612" t="s">
        <v>3696</v>
      </c>
      <c r="BK11" s="1400" t="s">
        <v>3697</v>
      </c>
      <c r="BL11" s="1401" t="s">
        <v>3698</v>
      </c>
      <c r="BM11" s="1612" t="s">
        <v>3699</v>
      </c>
      <c r="BN11" s="1504" t="s">
        <v>3700</v>
      </c>
    </row>
    <row r="12" spans="2:66" ht="14.25" customHeight="1">
      <c r="B12" s="87" t="s">
        <v>3701</v>
      </c>
      <c r="C12" s="237" t="s">
        <v>909</v>
      </c>
      <c r="D12" s="237"/>
      <c r="E12" s="256" t="s">
        <v>8</v>
      </c>
      <c r="F12" s="239">
        <v>3</v>
      </c>
      <c r="G12" s="354">
        <v>0</v>
      </c>
      <c r="H12" s="341">
        <v>0</v>
      </c>
      <c r="I12" s="344">
        <v>0</v>
      </c>
      <c r="J12" s="340">
        <v>0</v>
      </c>
      <c r="K12" s="344">
        <v>0</v>
      </c>
      <c r="L12" s="340">
        <v>0</v>
      </c>
      <c r="M12" s="341">
        <v>0</v>
      </c>
      <c r="N12" s="344">
        <v>0</v>
      </c>
      <c r="O12" s="206">
        <f t="shared" si="0"/>
        <v>0</v>
      </c>
      <c r="R12" s="25">
        <f t="shared" si="1"/>
        <v>0</v>
      </c>
      <c r="U12" s="86">
        <f>IF(Validation!$H$3=1,0,IF(ISNUMBER(G12),0,1))</f>
        <v>0</v>
      </c>
      <c r="V12" s="86">
        <f>IF(Validation!$H$3=1,0,IF(ISNUMBER(H12),0,1))</f>
        <v>0</v>
      </c>
      <c r="W12" s="86">
        <f>IF(Validation!$H$3=1,0,IF(ISNUMBER(I12),0,1))</f>
        <v>0</v>
      </c>
      <c r="X12" s="86">
        <f>IF(Validation!$H$3=1,0,IF(ISNUMBER(J12),0,1))</f>
        <v>0</v>
      </c>
      <c r="Y12" s="86">
        <f>IF(Validation!$H$3=1,0,IF(ISNUMBER(K12),0,1))</f>
        <v>0</v>
      </c>
      <c r="Z12" s="86">
        <f>IF(Validation!$H$3=1,0,IF(ISNUMBER(L12),0,1))</f>
        <v>0</v>
      </c>
      <c r="AA12" s="86">
        <f>IF(Validation!$H$3=1,0,IF(ISNUMBER(M12),0,1))</f>
        <v>0</v>
      </c>
      <c r="AB12" s="86">
        <f>IF(Validation!$H$3=1,0,IF(ISNUMBER(N12),0,1))</f>
        <v>0</v>
      </c>
      <c r="BA12" s="87" t="s">
        <v>3701</v>
      </c>
      <c r="BB12" s="237" t="s">
        <v>909</v>
      </c>
      <c r="BC12" s="237"/>
      <c r="BD12" s="256" t="s">
        <v>8</v>
      </c>
      <c r="BE12" s="239">
        <v>3</v>
      </c>
      <c r="BF12" s="1596" t="s">
        <v>3702</v>
      </c>
      <c r="BG12" s="1401" t="s">
        <v>3703</v>
      </c>
      <c r="BH12" s="1612" t="s">
        <v>3704</v>
      </c>
      <c r="BI12" s="1400" t="s">
        <v>3705</v>
      </c>
      <c r="BJ12" s="1612" t="s">
        <v>3706</v>
      </c>
      <c r="BK12" s="1400" t="s">
        <v>3707</v>
      </c>
      <c r="BL12" s="1401" t="s">
        <v>3708</v>
      </c>
      <c r="BM12" s="1612" t="s">
        <v>3709</v>
      </c>
      <c r="BN12" s="1504" t="s">
        <v>3710</v>
      </c>
    </row>
    <row r="13" spans="2:66" ht="14.25" customHeight="1">
      <c r="B13" s="87" t="s">
        <v>3711</v>
      </c>
      <c r="C13" s="237" t="s">
        <v>917</v>
      </c>
      <c r="D13" s="237"/>
      <c r="E13" s="256" t="s">
        <v>8</v>
      </c>
      <c r="F13" s="239">
        <v>3</v>
      </c>
      <c r="G13" s="354">
        <v>56.749000000000002</v>
      </c>
      <c r="H13" s="341">
        <v>15.67</v>
      </c>
      <c r="I13" s="344">
        <v>7.3380000000000001</v>
      </c>
      <c r="J13" s="340">
        <v>110.039</v>
      </c>
      <c r="K13" s="344">
        <v>0.76200000000000001</v>
      </c>
      <c r="L13" s="340">
        <v>11.042</v>
      </c>
      <c r="M13" s="341">
        <v>50.082999999999998</v>
      </c>
      <c r="N13" s="344">
        <v>19.126999999999999</v>
      </c>
      <c r="O13" s="206">
        <f t="shared" si="0"/>
        <v>270.81</v>
      </c>
      <c r="R13" s="25">
        <f t="shared" si="1"/>
        <v>0</v>
      </c>
      <c r="U13" s="86">
        <f>IF(Validation!$H$3=1,0,IF(ISNUMBER(G13),0,1))</f>
        <v>0</v>
      </c>
      <c r="V13" s="86">
        <f>IF(Validation!$H$3=1,0,IF(ISNUMBER(H13),0,1))</f>
        <v>0</v>
      </c>
      <c r="W13" s="86">
        <f>IF(Validation!$H$3=1,0,IF(ISNUMBER(I13),0,1))</f>
        <v>0</v>
      </c>
      <c r="X13" s="86">
        <f>IF(Validation!$H$3=1,0,IF(ISNUMBER(J13),0,1))</f>
        <v>0</v>
      </c>
      <c r="Y13" s="86">
        <f>IF(Validation!$H$3=1,0,IF(ISNUMBER(K13),0,1))</f>
        <v>0</v>
      </c>
      <c r="Z13" s="86">
        <f>IF(Validation!$H$3=1,0,IF(ISNUMBER(L13),0,1))</f>
        <v>0</v>
      </c>
      <c r="AA13" s="86">
        <f>IF(Validation!$H$3=1,0,IF(ISNUMBER(M13),0,1))</f>
        <v>0</v>
      </c>
      <c r="AB13" s="86">
        <f>IF(Validation!$H$3=1,0,IF(ISNUMBER(N13),0,1))</f>
        <v>0</v>
      </c>
      <c r="BA13" s="87" t="s">
        <v>3711</v>
      </c>
      <c r="BB13" s="237" t="s">
        <v>917</v>
      </c>
      <c r="BC13" s="237"/>
      <c r="BD13" s="256" t="s">
        <v>8</v>
      </c>
      <c r="BE13" s="239">
        <v>3</v>
      </c>
      <c r="BF13" s="1596" t="s">
        <v>3712</v>
      </c>
      <c r="BG13" s="1401" t="s">
        <v>3713</v>
      </c>
      <c r="BH13" s="1612" t="s">
        <v>3714</v>
      </c>
      <c r="BI13" s="1400" t="s">
        <v>3715</v>
      </c>
      <c r="BJ13" s="1612" t="s">
        <v>3716</v>
      </c>
      <c r="BK13" s="1400" t="s">
        <v>3717</v>
      </c>
      <c r="BL13" s="1401" t="s">
        <v>3718</v>
      </c>
      <c r="BM13" s="1612" t="s">
        <v>3719</v>
      </c>
      <c r="BN13" s="1504" t="s">
        <v>3720</v>
      </c>
    </row>
    <row r="14" spans="2:66" ht="14.25" customHeight="1">
      <c r="B14" s="87" t="s">
        <v>3721</v>
      </c>
      <c r="C14" s="80" t="s">
        <v>3722</v>
      </c>
      <c r="D14" s="80"/>
      <c r="E14" s="88" t="s">
        <v>8</v>
      </c>
      <c r="F14" s="89">
        <v>3</v>
      </c>
      <c r="G14" s="354">
        <v>0</v>
      </c>
      <c r="H14" s="341">
        <v>0</v>
      </c>
      <c r="I14" s="344">
        <v>0</v>
      </c>
      <c r="J14" s="340">
        <v>28.538</v>
      </c>
      <c r="K14" s="344">
        <v>0</v>
      </c>
      <c r="L14" s="340">
        <v>0</v>
      </c>
      <c r="M14" s="341">
        <v>9.0050000000000008</v>
      </c>
      <c r="N14" s="344">
        <v>0.85099999999999998</v>
      </c>
      <c r="O14" s="206">
        <f t="shared" si="0"/>
        <v>38.393999999999998</v>
      </c>
      <c r="R14" s="25">
        <f t="shared" si="1"/>
        <v>0</v>
      </c>
      <c r="U14" s="86">
        <f>IF(Validation!$H$3=1,0,IF(ISNUMBER(G14),0,1))</f>
        <v>0</v>
      </c>
      <c r="V14" s="86">
        <f>IF(Validation!$H$3=1,0,IF(ISNUMBER(H14),0,1))</f>
        <v>0</v>
      </c>
      <c r="W14" s="86">
        <f>IF(Validation!$H$3=1,0,IF(ISNUMBER(I14),0,1))</f>
        <v>0</v>
      </c>
      <c r="X14" s="86">
        <f>IF(Validation!$H$3=1,0,IF(ISNUMBER(J14),0,1))</f>
        <v>0</v>
      </c>
      <c r="Y14" s="86">
        <f>IF(Validation!$H$3=1,0,IF(ISNUMBER(K14),0,1))</f>
        <v>0</v>
      </c>
      <c r="Z14" s="86">
        <f>IF(Validation!$H$3=1,0,IF(ISNUMBER(L14),0,1))</f>
        <v>0</v>
      </c>
      <c r="AA14" s="86">
        <f>IF(Validation!$H$3=1,0,IF(ISNUMBER(M14),0,1))</f>
        <v>0</v>
      </c>
      <c r="AB14" s="86">
        <f>IF(Validation!$H$3=1,0,IF(ISNUMBER(N14),0,1))</f>
        <v>0</v>
      </c>
      <c r="BA14" s="87" t="s">
        <v>3721</v>
      </c>
      <c r="BB14" s="80" t="s">
        <v>3722</v>
      </c>
      <c r="BC14" s="80"/>
      <c r="BD14" s="88" t="s">
        <v>8</v>
      </c>
      <c r="BE14" s="89">
        <v>3</v>
      </c>
      <c r="BF14" s="354" t="s">
        <v>3723</v>
      </c>
      <c r="BG14" s="341" t="s">
        <v>3724</v>
      </c>
      <c r="BH14" s="344" t="s">
        <v>3725</v>
      </c>
      <c r="BI14" s="340" t="s">
        <v>3726</v>
      </c>
      <c r="BJ14" s="344" t="s">
        <v>3727</v>
      </c>
      <c r="BK14" s="340" t="s">
        <v>3728</v>
      </c>
      <c r="BL14" s="341" t="s">
        <v>3729</v>
      </c>
      <c r="BM14" s="344" t="s">
        <v>3730</v>
      </c>
      <c r="BN14" s="206" t="s">
        <v>3731</v>
      </c>
    </row>
    <row r="15" spans="2:66" ht="14.25" customHeight="1" thickBot="1">
      <c r="B15" s="94" t="s">
        <v>3732</v>
      </c>
      <c r="C15" s="95" t="s">
        <v>933</v>
      </c>
      <c r="D15" s="95"/>
      <c r="E15" s="96" t="s">
        <v>8</v>
      </c>
      <c r="F15" s="93">
        <v>3</v>
      </c>
      <c r="G15" s="207">
        <f>SUM(G7:G14)</f>
        <v>110.655</v>
      </c>
      <c r="H15" s="168">
        <f>SUM(H7:H14)</f>
        <v>32.793999999999997</v>
      </c>
      <c r="I15" s="169">
        <f>SUM(I7:I14)</f>
        <v>17.204000000000001</v>
      </c>
      <c r="J15" s="167">
        <f>SUM(J7:J14)</f>
        <v>198.65100000000001</v>
      </c>
      <c r="K15" s="169">
        <f t="shared" ref="K15:N15" si="2">SUM(K7:K14)</f>
        <v>0.76600000000000001</v>
      </c>
      <c r="L15" s="167">
        <f t="shared" si="2"/>
        <v>11.048999999999999</v>
      </c>
      <c r="M15" s="168">
        <f t="shared" si="2"/>
        <v>35.786999999999999</v>
      </c>
      <c r="N15" s="169">
        <f t="shared" si="2"/>
        <v>19.227999999999998</v>
      </c>
      <c r="O15" s="174">
        <f t="shared" si="0"/>
        <v>426.13400000000001</v>
      </c>
      <c r="AA15" s="177"/>
      <c r="AB15" s="177"/>
      <c r="BA15" s="94" t="s">
        <v>3732</v>
      </c>
      <c r="BB15" s="95" t="s">
        <v>933</v>
      </c>
      <c r="BC15" s="95"/>
      <c r="BD15" s="96" t="s">
        <v>8</v>
      </c>
      <c r="BE15" s="93">
        <v>3</v>
      </c>
      <c r="BF15" s="207" t="s">
        <v>3733</v>
      </c>
      <c r="BG15" s="168" t="s">
        <v>3734</v>
      </c>
      <c r="BH15" s="169" t="s">
        <v>3735</v>
      </c>
      <c r="BI15" s="167" t="s">
        <v>3736</v>
      </c>
      <c r="BJ15" s="169" t="s">
        <v>3737</v>
      </c>
      <c r="BK15" s="167" t="s">
        <v>3738</v>
      </c>
      <c r="BL15" s="168" t="s">
        <v>3739</v>
      </c>
      <c r="BM15" s="169" t="s">
        <v>3740</v>
      </c>
      <c r="BN15" s="174" t="s">
        <v>3741</v>
      </c>
    </row>
    <row r="16" spans="2:66" ht="15" thickBot="1">
      <c r="AA16" s="177"/>
      <c r="AB16" s="177"/>
    </row>
    <row r="17" spans="2:66" ht="14.25" customHeight="1">
      <c r="B17" s="79" t="s">
        <v>3742</v>
      </c>
      <c r="C17" s="109" t="s">
        <v>941</v>
      </c>
      <c r="D17" s="109"/>
      <c r="E17" s="81" t="s">
        <v>8</v>
      </c>
      <c r="F17" s="82">
        <v>3</v>
      </c>
      <c r="G17" s="352">
        <v>3.0259999999999998</v>
      </c>
      <c r="H17" s="353">
        <v>0.39600000000000002</v>
      </c>
      <c r="I17" s="343">
        <v>0.105</v>
      </c>
      <c r="J17" s="342">
        <v>0.47799999999999998</v>
      </c>
      <c r="K17" s="343">
        <v>0</v>
      </c>
      <c r="L17" s="342">
        <v>1.6E-2</v>
      </c>
      <c r="M17" s="353">
        <v>4.9000000000000002E-2</v>
      </c>
      <c r="N17" s="343">
        <v>2.7E-2</v>
      </c>
      <c r="O17" s="173">
        <f>SUM(G17:N17)</f>
        <v>4.0970000000000004</v>
      </c>
      <c r="R17" s="25">
        <f t="shared" ref="R17" si="3" xml:space="preserve"> IF( SUM( T17:AC17 ) = 0, 0, $U$6 )</f>
        <v>0</v>
      </c>
      <c r="U17" s="86">
        <f>IF(Validation!$H$3=1,0,IF(ISNUMBER(G17),0,1))</f>
        <v>0</v>
      </c>
      <c r="V17" s="86">
        <f>IF(Validation!$H$3=1,0,IF(ISNUMBER(H17),0,1))</f>
        <v>0</v>
      </c>
      <c r="W17" s="86">
        <f>IF(Validation!$H$3=1,0,IF(ISNUMBER(I17),0,1))</f>
        <v>0</v>
      </c>
      <c r="X17" s="86">
        <f>IF(Validation!$H$3=1,0,IF(ISNUMBER(J17),0,1))</f>
        <v>0</v>
      </c>
      <c r="Y17" s="86">
        <f>IF(Validation!$H$3=1,0,IF(ISNUMBER(K17),0,1))</f>
        <v>0</v>
      </c>
      <c r="Z17" s="86">
        <f>IF(Validation!$H$3=1,0,IF(ISNUMBER(L17),0,1))</f>
        <v>0</v>
      </c>
      <c r="AA17" s="86">
        <f>IF(Validation!$H$3=1,0,IF(ISNUMBER(M17),0,1))</f>
        <v>0</v>
      </c>
      <c r="AB17" s="86">
        <f>IF(Validation!$H$3=1,0,IF(ISNUMBER(N17),0,1))</f>
        <v>0</v>
      </c>
      <c r="BA17" s="79" t="s">
        <v>3742</v>
      </c>
      <c r="BB17" s="109" t="s">
        <v>941</v>
      </c>
      <c r="BC17" s="109"/>
      <c r="BD17" s="81" t="s">
        <v>8</v>
      </c>
      <c r="BE17" s="82">
        <v>3</v>
      </c>
      <c r="BF17" s="352" t="s">
        <v>3743</v>
      </c>
      <c r="BG17" s="353" t="s">
        <v>3744</v>
      </c>
      <c r="BH17" s="343" t="s">
        <v>3745</v>
      </c>
      <c r="BI17" s="342" t="s">
        <v>3746</v>
      </c>
      <c r="BJ17" s="343" t="s">
        <v>3747</v>
      </c>
      <c r="BK17" s="342" t="s">
        <v>3748</v>
      </c>
      <c r="BL17" s="353" t="s">
        <v>3749</v>
      </c>
      <c r="BM17" s="343" t="s">
        <v>3750</v>
      </c>
      <c r="BN17" s="173" t="s">
        <v>3751</v>
      </c>
    </row>
    <row r="18" spans="2:66" ht="14.25" customHeight="1" thickBot="1">
      <c r="B18" s="94" t="s">
        <v>3752</v>
      </c>
      <c r="C18" s="95" t="s">
        <v>949</v>
      </c>
      <c r="D18" s="95"/>
      <c r="E18" s="96" t="s">
        <v>8</v>
      </c>
      <c r="F18" s="93">
        <v>3</v>
      </c>
      <c r="G18" s="207">
        <f t="shared" ref="G18:N18" si="4">G15 + G17</f>
        <v>113.681</v>
      </c>
      <c r="H18" s="168">
        <f t="shared" si="4"/>
        <v>33.19</v>
      </c>
      <c r="I18" s="169">
        <f t="shared" si="4"/>
        <v>17.309000000000001</v>
      </c>
      <c r="J18" s="167">
        <f t="shared" si="4"/>
        <v>199.12900000000002</v>
      </c>
      <c r="K18" s="169">
        <f t="shared" si="4"/>
        <v>0.76600000000000001</v>
      </c>
      <c r="L18" s="167">
        <f t="shared" si="4"/>
        <v>11.065</v>
      </c>
      <c r="M18" s="168">
        <f t="shared" si="4"/>
        <v>35.835999999999999</v>
      </c>
      <c r="N18" s="169">
        <f t="shared" si="4"/>
        <v>19.254999999999999</v>
      </c>
      <c r="O18" s="174">
        <f>SUM(G18:N18)</f>
        <v>430.23099999999999</v>
      </c>
      <c r="AA18" s="177"/>
      <c r="AB18" s="177"/>
      <c r="BA18" s="94" t="s">
        <v>3752</v>
      </c>
      <c r="BB18" s="95" t="s">
        <v>949</v>
      </c>
      <c r="BC18" s="95"/>
      <c r="BD18" s="96" t="s">
        <v>8</v>
      </c>
      <c r="BE18" s="93">
        <v>3</v>
      </c>
      <c r="BF18" s="207" t="s">
        <v>3753</v>
      </c>
      <c r="BG18" s="168" t="s">
        <v>3754</v>
      </c>
      <c r="BH18" s="169" t="s">
        <v>3755</v>
      </c>
      <c r="BI18" s="167" t="s">
        <v>3756</v>
      </c>
      <c r="BJ18" s="169" t="s">
        <v>3757</v>
      </c>
      <c r="BK18" s="167" t="s">
        <v>3758</v>
      </c>
      <c r="BL18" s="168" t="s">
        <v>3759</v>
      </c>
      <c r="BM18" s="169" t="s">
        <v>3760</v>
      </c>
      <c r="BN18" s="174" t="s">
        <v>3761</v>
      </c>
    </row>
    <row r="19" spans="2:66" ht="15" thickBot="1">
      <c r="AA19" s="177"/>
      <c r="AB19" s="177"/>
    </row>
    <row r="20" spans="2:66" s="65" customFormat="1" ht="15" thickBot="1">
      <c r="B20" s="106" t="s">
        <v>236</v>
      </c>
      <c r="C20" s="107" t="s">
        <v>956</v>
      </c>
      <c r="D20" s="1292"/>
      <c r="G20" s="2186" t="s">
        <v>3762</v>
      </c>
      <c r="H20" s="2187"/>
      <c r="T20" s="66"/>
      <c r="AA20" s="177"/>
      <c r="AB20" s="177"/>
      <c r="AC20" s="66"/>
      <c r="AD20"/>
      <c r="AE20" s="66"/>
      <c r="AF20"/>
      <c r="AG20"/>
      <c r="AH20"/>
      <c r="AI20" s="66"/>
      <c r="BA20" s="106" t="s">
        <v>236</v>
      </c>
      <c r="BB20" s="107" t="s">
        <v>956</v>
      </c>
      <c r="BC20" s="1292"/>
    </row>
    <row r="21" spans="2:66" ht="14.25" customHeight="1">
      <c r="B21" s="79" t="s">
        <v>3763</v>
      </c>
      <c r="C21" s="109" t="s">
        <v>958</v>
      </c>
      <c r="D21" s="109"/>
      <c r="E21" s="81" t="s">
        <v>8</v>
      </c>
      <c r="F21" s="82">
        <v>3</v>
      </c>
      <c r="G21" s="352">
        <v>70.798000000000002</v>
      </c>
      <c r="H21" s="353">
        <v>-2E-3</v>
      </c>
      <c r="I21" s="343">
        <v>4.0000000000000001E-3</v>
      </c>
      <c r="J21" s="342">
        <v>0</v>
      </c>
      <c r="K21" s="343">
        <v>0</v>
      </c>
      <c r="L21" s="342">
        <v>0</v>
      </c>
      <c r="M21" s="353">
        <v>0</v>
      </c>
      <c r="N21" s="343">
        <v>0</v>
      </c>
      <c r="O21" s="173">
        <f t="shared" ref="O21:O33" si="5">SUM(G21:N21)</f>
        <v>70.800000000000011</v>
      </c>
      <c r="R21" s="25">
        <f t="shared" ref="R21:R31" si="6" xml:space="preserve"> IF( SUM( T21:AC21 ) = 0, 0, $U$6 )</f>
        <v>0</v>
      </c>
      <c r="U21" s="86">
        <f>IF(Validation!$H$3=1,0,IF(ISNUMBER(G21),0,1))</f>
        <v>0</v>
      </c>
      <c r="V21" s="86">
        <f>IF(Validation!$H$3=1,0,IF(ISNUMBER(H21),0,1))</f>
        <v>0</v>
      </c>
      <c r="W21" s="86">
        <f>IF(Validation!$H$3=1,0,IF(ISNUMBER(I21),0,1))</f>
        <v>0</v>
      </c>
      <c r="X21" s="86">
        <f>IF(Validation!$H$3=1,0,IF(ISNUMBER(J21),0,1))</f>
        <v>0</v>
      </c>
      <c r="Y21" s="86">
        <f>IF(Validation!$H$3=1,0,IF(ISNUMBER(K21),0,1))</f>
        <v>0</v>
      </c>
      <c r="Z21" s="86">
        <f>IF(Validation!$H$3=1,0,IF(ISNUMBER(L21),0,1))</f>
        <v>0</v>
      </c>
      <c r="AA21" s="86">
        <f>IF(Validation!$H$3=1,0,IF(ISNUMBER(M21),0,1))</f>
        <v>0</v>
      </c>
      <c r="AB21" s="86">
        <f>IF(Validation!$H$3=1,0,IF(ISNUMBER(N21),0,1))</f>
        <v>0</v>
      </c>
      <c r="BA21" s="79" t="s">
        <v>3763</v>
      </c>
      <c r="BB21" s="109" t="s">
        <v>958</v>
      </c>
      <c r="BC21" s="109"/>
      <c r="BD21" s="81" t="s">
        <v>8</v>
      </c>
      <c r="BE21" s="82">
        <v>3</v>
      </c>
      <c r="BF21" s="352" t="s">
        <v>3764</v>
      </c>
      <c r="BG21" s="353" t="s">
        <v>3765</v>
      </c>
      <c r="BH21" s="343" t="s">
        <v>3766</v>
      </c>
      <c r="BI21" s="342" t="s">
        <v>3767</v>
      </c>
      <c r="BJ21" s="343" t="s">
        <v>3768</v>
      </c>
      <c r="BK21" s="342" t="s">
        <v>3769</v>
      </c>
      <c r="BL21" s="353" t="s">
        <v>3770</v>
      </c>
      <c r="BM21" s="343" t="s">
        <v>3771</v>
      </c>
      <c r="BN21" s="173" t="s">
        <v>3772</v>
      </c>
    </row>
    <row r="22" spans="2:66" ht="14.25" customHeight="1">
      <c r="B22" s="87" t="s">
        <v>3773</v>
      </c>
      <c r="C22" s="80" t="s">
        <v>2922</v>
      </c>
      <c r="D22" s="80"/>
      <c r="E22" s="88" t="s">
        <v>8</v>
      </c>
      <c r="F22" s="89">
        <v>3</v>
      </c>
      <c r="G22" s="2171">
        <v>28.021003832869702</v>
      </c>
      <c r="H22" s="2172">
        <v>3.5146126477681525</v>
      </c>
      <c r="I22" s="2173">
        <v>1.2258292121172865</v>
      </c>
      <c r="J22" s="2174">
        <v>115.45111809594727</v>
      </c>
      <c r="K22" s="2173">
        <v>0.21593632727298243</v>
      </c>
      <c r="L22" s="2174">
        <v>1.2463041727321305</v>
      </c>
      <c r="M22" s="2172">
        <v>78.232732730723896</v>
      </c>
      <c r="N22" s="2173">
        <v>7.6755260536020904</v>
      </c>
      <c r="O22" s="206">
        <f t="shared" si="5"/>
        <v>235.58306307303349</v>
      </c>
      <c r="R22" s="25">
        <f t="shared" si="6"/>
        <v>0</v>
      </c>
      <c r="U22" s="86">
        <f>IF(Validation!$H$3=1,0,IF(ISNUMBER(G22),0,1))</f>
        <v>0</v>
      </c>
      <c r="V22" s="86">
        <f>IF(Validation!$H$3=1,0,IF(ISNUMBER(H22),0,1))</f>
        <v>0</v>
      </c>
      <c r="W22" s="86">
        <f>IF(Validation!$H$3=1,0,IF(ISNUMBER(I22),0,1))</f>
        <v>0</v>
      </c>
      <c r="X22" s="86">
        <f>IF(Validation!$H$3=1,0,IF(ISNUMBER(J22),0,1))</f>
        <v>0</v>
      </c>
      <c r="Y22" s="86">
        <f>IF(Validation!$H$3=1,0,IF(ISNUMBER(K22),0,1))</f>
        <v>0</v>
      </c>
      <c r="Z22" s="86">
        <f>IF(Validation!$H$3=1,0,IF(ISNUMBER(L22),0,1))</f>
        <v>0</v>
      </c>
      <c r="AA22" s="86">
        <f>IF(Validation!$H$3=1,0,IF(ISNUMBER(M22),0,1))</f>
        <v>0</v>
      </c>
      <c r="AB22" s="86">
        <f>IF(Validation!$H$3=1,0,IF(ISNUMBER(N22),0,1))</f>
        <v>0</v>
      </c>
      <c r="BA22" s="87" t="s">
        <v>3773</v>
      </c>
      <c r="BB22" s="80" t="s">
        <v>2922</v>
      </c>
      <c r="BC22" s="80"/>
      <c r="BD22" s="88" t="s">
        <v>8</v>
      </c>
      <c r="BE22" s="89">
        <v>3</v>
      </c>
      <c r="BF22" s="354" t="s">
        <v>3774</v>
      </c>
      <c r="BG22" s="341" t="s">
        <v>3775</v>
      </c>
      <c r="BH22" s="344" t="s">
        <v>3776</v>
      </c>
      <c r="BI22" s="340" t="s">
        <v>3777</v>
      </c>
      <c r="BJ22" s="344" t="s">
        <v>3778</v>
      </c>
      <c r="BK22" s="340" t="s">
        <v>3779</v>
      </c>
      <c r="BL22" s="341" t="s">
        <v>3780</v>
      </c>
      <c r="BM22" s="344" t="s">
        <v>3781</v>
      </c>
      <c r="BN22" s="206" t="s">
        <v>3782</v>
      </c>
    </row>
    <row r="23" spans="2:66" ht="14.25" customHeight="1">
      <c r="B23" s="87" t="s">
        <v>3783</v>
      </c>
      <c r="C23" s="80" t="s">
        <v>974</v>
      </c>
      <c r="D23" s="80"/>
      <c r="E23" s="88" t="s">
        <v>8</v>
      </c>
      <c r="F23" s="89">
        <v>3</v>
      </c>
      <c r="G23" s="354">
        <v>31.373999999999999</v>
      </c>
      <c r="H23" s="341">
        <v>-1.623</v>
      </c>
      <c r="I23" s="344">
        <v>0</v>
      </c>
      <c r="J23" s="340">
        <v>0</v>
      </c>
      <c r="K23" s="344">
        <v>0</v>
      </c>
      <c r="L23" s="340">
        <v>0</v>
      </c>
      <c r="M23" s="341">
        <v>0</v>
      </c>
      <c r="N23" s="344">
        <v>0</v>
      </c>
      <c r="O23" s="206">
        <f t="shared" si="5"/>
        <v>29.750999999999998</v>
      </c>
      <c r="R23" s="25">
        <f t="shared" si="6"/>
        <v>0</v>
      </c>
      <c r="U23" s="86">
        <f>IF(Validation!$H$3=1,0,IF(ISNUMBER(G23),0,1))</f>
        <v>0</v>
      </c>
      <c r="V23" s="86">
        <f>IF(Validation!$H$3=1,0,IF(ISNUMBER(H23),0,1))</f>
        <v>0</v>
      </c>
      <c r="W23" s="86">
        <f>IF(Validation!$H$3=1,0,IF(ISNUMBER(I23),0,1))</f>
        <v>0</v>
      </c>
      <c r="X23" s="86">
        <f>IF(Validation!$H$3=1,0,IF(ISNUMBER(J23),0,1))</f>
        <v>0</v>
      </c>
      <c r="Y23" s="86">
        <f>IF(Validation!$H$3=1,0,IF(ISNUMBER(K23),0,1))</f>
        <v>0</v>
      </c>
      <c r="Z23" s="86">
        <f>IF(Validation!$H$3=1,0,IF(ISNUMBER(L23),0,1))</f>
        <v>0</v>
      </c>
      <c r="AA23" s="86">
        <f>IF(Validation!$H$3=1,0,IF(ISNUMBER(M23),0,1))</f>
        <v>0</v>
      </c>
      <c r="AB23" s="86">
        <f>IF(Validation!$H$3=1,0,IF(ISNUMBER(N23),0,1))</f>
        <v>0</v>
      </c>
      <c r="BA23" s="87" t="s">
        <v>3783</v>
      </c>
      <c r="BB23" s="80" t="s">
        <v>974</v>
      </c>
      <c r="BC23" s="80"/>
      <c r="BD23" s="88" t="s">
        <v>8</v>
      </c>
      <c r="BE23" s="89">
        <v>3</v>
      </c>
      <c r="BF23" s="354" t="s">
        <v>3784</v>
      </c>
      <c r="BG23" s="341" t="s">
        <v>3785</v>
      </c>
      <c r="BH23" s="344" t="s">
        <v>3786</v>
      </c>
      <c r="BI23" s="340" t="s">
        <v>3787</v>
      </c>
      <c r="BJ23" s="344" t="s">
        <v>3788</v>
      </c>
      <c r="BK23" s="340" t="s">
        <v>3789</v>
      </c>
      <c r="BL23" s="341" t="s">
        <v>3790</v>
      </c>
      <c r="BM23" s="344" t="s">
        <v>3791</v>
      </c>
      <c r="BN23" s="206" t="s">
        <v>3792</v>
      </c>
    </row>
    <row r="24" spans="2:66" ht="14.25" customHeight="1">
      <c r="B24" s="87" t="s">
        <v>3793</v>
      </c>
      <c r="C24" s="80" t="s">
        <v>982</v>
      </c>
      <c r="D24" s="80"/>
      <c r="E24" s="88" t="s">
        <v>8</v>
      </c>
      <c r="F24" s="89">
        <v>3</v>
      </c>
      <c r="G24" s="354">
        <v>4.3296251312518308</v>
      </c>
      <c r="H24" s="341">
        <v>0.10335509447089496</v>
      </c>
      <c r="I24" s="344">
        <v>4.9055455734580353E-2</v>
      </c>
      <c r="J24" s="340">
        <v>137.359793255434</v>
      </c>
      <c r="K24" s="344">
        <v>1.5735935090774205E-4</v>
      </c>
      <c r="L24" s="340">
        <v>1.1146693781922892E-2</v>
      </c>
      <c r="M24" s="341">
        <v>-1.28041812280559</v>
      </c>
      <c r="N24" s="344">
        <v>1.8985141618671128E-3</v>
      </c>
      <c r="O24" s="206">
        <f t="shared" si="5"/>
        <v>140.5746133813804</v>
      </c>
      <c r="R24" s="25">
        <f t="shared" si="6"/>
        <v>0</v>
      </c>
      <c r="U24" s="86">
        <f>IF(Validation!$H$3=1,0,IF(ISNUMBER(G24),0,1))</f>
        <v>0</v>
      </c>
      <c r="V24" s="86">
        <f>IF(Validation!$H$3=1,0,IF(ISNUMBER(H24),0,1))</f>
        <v>0</v>
      </c>
      <c r="W24" s="86">
        <f>IF(Validation!$H$3=1,0,IF(ISNUMBER(I24),0,1))</f>
        <v>0</v>
      </c>
      <c r="X24" s="86">
        <f>IF(Validation!$H$3=1,0,IF(ISNUMBER(J24),0,1))</f>
        <v>0</v>
      </c>
      <c r="Y24" s="86">
        <f>IF(Validation!$H$3=1,0,IF(ISNUMBER(K24),0,1))</f>
        <v>0</v>
      </c>
      <c r="Z24" s="86">
        <f>IF(Validation!$H$3=1,0,IF(ISNUMBER(L24),0,1))</f>
        <v>0</v>
      </c>
      <c r="AA24" s="86">
        <f>IF(Validation!$H$3=1,0,IF(ISNUMBER(M24),0,1))</f>
        <v>0</v>
      </c>
      <c r="AB24" s="86">
        <f>IF(Validation!$H$3=1,0,IF(ISNUMBER(N24),0,1))</f>
        <v>0</v>
      </c>
      <c r="BA24" s="87" t="s">
        <v>3793</v>
      </c>
      <c r="BB24" s="80" t="s">
        <v>982</v>
      </c>
      <c r="BC24" s="80"/>
      <c r="BD24" s="88" t="s">
        <v>8</v>
      </c>
      <c r="BE24" s="89">
        <v>3</v>
      </c>
      <c r="BF24" s="354" t="s">
        <v>3794</v>
      </c>
      <c r="BG24" s="341" t="s">
        <v>3795</v>
      </c>
      <c r="BH24" s="344" t="s">
        <v>3796</v>
      </c>
      <c r="BI24" s="340" t="s">
        <v>3797</v>
      </c>
      <c r="BJ24" s="344" t="s">
        <v>3798</v>
      </c>
      <c r="BK24" s="340" t="s">
        <v>3799</v>
      </c>
      <c r="BL24" s="341" t="s">
        <v>3800</v>
      </c>
      <c r="BM24" s="344" t="s">
        <v>3801</v>
      </c>
      <c r="BN24" s="206" t="s">
        <v>3802</v>
      </c>
    </row>
    <row r="25" spans="2:66" ht="14.25" customHeight="1">
      <c r="B25" s="87" t="s">
        <v>3803</v>
      </c>
      <c r="C25" s="80" t="s">
        <v>990</v>
      </c>
      <c r="D25" s="80"/>
      <c r="E25" s="256" t="s">
        <v>8</v>
      </c>
      <c r="F25" s="239">
        <v>3</v>
      </c>
      <c r="G25" s="2171">
        <v>3.8380000000000001</v>
      </c>
      <c r="H25" s="2172">
        <v>3.4710000000000001</v>
      </c>
      <c r="I25" s="2173">
        <v>0</v>
      </c>
      <c r="J25" s="2174">
        <v>1.0999999999999999E-2</v>
      </c>
      <c r="K25" s="2173">
        <v>0</v>
      </c>
      <c r="L25" s="2174">
        <v>0</v>
      </c>
      <c r="M25" s="2172">
        <v>0</v>
      </c>
      <c r="N25" s="2173">
        <v>0</v>
      </c>
      <c r="O25" s="206">
        <f t="shared" si="5"/>
        <v>7.32</v>
      </c>
      <c r="R25" s="25">
        <f t="shared" si="6"/>
        <v>0</v>
      </c>
      <c r="U25" s="86">
        <f>IF(Validation!$H$3=1,0,IF(ISNUMBER(G25),0,1))</f>
        <v>0</v>
      </c>
      <c r="V25" s="86">
        <f>IF(Validation!$H$3=1,0,IF(ISNUMBER(H25),0,1))</f>
        <v>0</v>
      </c>
      <c r="W25" s="86">
        <f>IF(Validation!$H$3=1,0,IF(ISNUMBER(I25),0,1))</f>
        <v>0</v>
      </c>
      <c r="X25" s="86">
        <f>IF(Validation!$H$3=1,0,IF(ISNUMBER(J25),0,1))</f>
        <v>0</v>
      </c>
      <c r="Y25" s="86">
        <f>IF(Validation!$H$3=1,0,IF(ISNUMBER(K25),0,1))</f>
        <v>0</v>
      </c>
      <c r="Z25" s="86">
        <f>IF(Validation!$H$3=1,0,IF(ISNUMBER(L25),0,1))</f>
        <v>0</v>
      </c>
      <c r="AA25" s="86">
        <f>IF(Validation!$H$3=1,0,IF(ISNUMBER(M25),0,1))</f>
        <v>0</v>
      </c>
      <c r="AB25" s="86">
        <f>IF(Validation!$H$3=1,0,IF(ISNUMBER(N25),0,1))</f>
        <v>0</v>
      </c>
      <c r="BA25" s="87" t="s">
        <v>3803</v>
      </c>
      <c r="BB25" s="80" t="s">
        <v>990</v>
      </c>
      <c r="BC25" s="80"/>
      <c r="BD25" s="256" t="s">
        <v>8</v>
      </c>
      <c r="BE25" s="239">
        <v>3</v>
      </c>
      <c r="BF25" s="1596" t="s">
        <v>3804</v>
      </c>
      <c r="BG25" s="1401" t="s">
        <v>3805</v>
      </c>
      <c r="BH25" s="1612" t="s">
        <v>3806</v>
      </c>
      <c r="BI25" s="1400" t="s">
        <v>3807</v>
      </c>
      <c r="BJ25" s="1612" t="s">
        <v>3808</v>
      </c>
      <c r="BK25" s="1400" t="s">
        <v>3809</v>
      </c>
      <c r="BL25" s="1401" t="s">
        <v>3810</v>
      </c>
      <c r="BM25" s="1612" t="s">
        <v>3811</v>
      </c>
      <c r="BN25" s="1504" t="s">
        <v>3812</v>
      </c>
    </row>
    <row r="26" spans="2:66" ht="14.25" customHeight="1">
      <c r="B26" s="87" t="s">
        <v>3813</v>
      </c>
      <c r="C26" s="80" t="s">
        <v>3814</v>
      </c>
      <c r="D26" s="80"/>
      <c r="E26" s="88" t="s">
        <v>8</v>
      </c>
      <c r="F26" s="89">
        <v>3</v>
      </c>
      <c r="G26" s="208">
        <f t="shared" ref="G26:N26" si="7">SUM(G21:G25)</f>
        <v>138.3606289641215</v>
      </c>
      <c r="H26" s="209">
        <f t="shared" si="7"/>
        <v>5.4639677422390474</v>
      </c>
      <c r="I26" s="166">
        <f t="shared" si="7"/>
        <v>1.2788846678518668</v>
      </c>
      <c r="J26" s="210">
        <f t="shared" si="7"/>
        <v>252.82191135138126</v>
      </c>
      <c r="K26" s="166">
        <f t="shared" si="7"/>
        <v>0.21609368662389017</v>
      </c>
      <c r="L26" s="210">
        <f t="shared" si="7"/>
        <v>1.2574508665140534</v>
      </c>
      <c r="M26" s="209">
        <f t="shared" si="7"/>
        <v>76.952314607918311</v>
      </c>
      <c r="N26" s="166">
        <f t="shared" si="7"/>
        <v>7.6774245677639579</v>
      </c>
      <c r="O26" s="206">
        <f t="shared" si="5"/>
        <v>484.02867645441387</v>
      </c>
      <c r="P26" s="110"/>
      <c r="Q26" s="110"/>
      <c r="S26" s="110"/>
      <c r="T26" s="114"/>
      <c r="V26" s="211"/>
      <c r="W26" s="211"/>
      <c r="X26" s="211"/>
      <c r="Y26" s="211"/>
      <c r="Z26" s="211"/>
      <c r="AA26" s="177"/>
      <c r="AB26" s="177"/>
      <c r="AC26" s="114"/>
      <c r="AE26" s="114"/>
      <c r="AI26" s="114"/>
      <c r="BA26" s="87" t="s">
        <v>3813</v>
      </c>
      <c r="BB26" s="80" t="s">
        <v>3814</v>
      </c>
      <c r="BC26" s="80"/>
      <c r="BD26" s="88" t="s">
        <v>8</v>
      </c>
      <c r="BE26" s="89">
        <v>3</v>
      </c>
      <c r="BF26" s="208" t="s">
        <v>3815</v>
      </c>
      <c r="BG26" s="209" t="s">
        <v>3816</v>
      </c>
      <c r="BH26" s="166" t="s">
        <v>3817</v>
      </c>
      <c r="BI26" s="210" t="s">
        <v>3818</v>
      </c>
      <c r="BJ26" s="166" t="s">
        <v>3819</v>
      </c>
      <c r="BK26" s="210" t="s">
        <v>3820</v>
      </c>
      <c r="BL26" s="209" t="s">
        <v>3821</v>
      </c>
      <c r="BM26" s="166" t="s">
        <v>3822</v>
      </c>
      <c r="BN26" s="206" t="s">
        <v>3823</v>
      </c>
    </row>
    <row r="27" spans="2:66" ht="14.25" customHeight="1">
      <c r="B27" s="87" t="s">
        <v>3824</v>
      </c>
      <c r="C27" s="80" t="s">
        <v>941</v>
      </c>
      <c r="D27" s="80"/>
      <c r="E27" s="88" t="s">
        <v>8</v>
      </c>
      <c r="F27" s="89">
        <v>3</v>
      </c>
      <c r="G27" s="354">
        <v>0.04</v>
      </c>
      <c r="H27" s="341">
        <v>0</v>
      </c>
      <c r="I27" s="344">
        <v>0</v>
      </c>
      <c r="J27" s="340">
        <v>0</v>
      </c>
      <c r="K27" s="344">
        <v>0</v>
      </c>
      <c r="L27" s="340">
        <v>0</v>
      </c>
      <c r="M27" s="341">
        <v>0</v>
      </c>
      <c r="N27" s="344">
        <v>0</v>
      </c>
      <c r="O27" s="206">
        <f t="shared" si="5"/>
        <v>0.04</v>
      </c>
      <c r="P27" s="116"/>
      <c r="Q27" s="116"/>
      <c r="R27" s="25">
        <f t="shared" si="6"/>
        <v>0</v>
      </c>
      <c r="U27" s="86">
        <f>IF(Validation!$H$3=1,0,IF(ISNUMBER(G27),0,1))</f>
        <v>0</v>
      </c>
      <c r="V27" s="86">
        <f>IF(Validation!$H$3=1,0,IF(ISNUMBER(H27),0,1))</f>
        <v>0</v>
      </c>
      <c r="W27" s="86">
        <f>IF(Validation!$H$3=1,0,IF(ISNUMBER(I27),0,1))</f>
        <v>0</v>
      </c>
      <c r="X27" s="86">
        <f>IF(Validation!$H$3=1,0,IF(ISNUMBER(J27),0,1))</f>
        <v>0</v>
      </c>
      <c r="Y27" s="86">
        <f>IF(Validation!$H$3=1,0,IF(ISNUMBER(K27),0,1))</f>
        <v>0</v>
      </c>
      <c r="Z27" s="86">
        <f>IF(Validation!$H$3=1,0,IF(ISNUMBER(L27),0,1))</f>
        <v>0</v>
      </c>
      <c r="AA27" s="86">
        <f>IF(Validation!$H$3=1,0,IF(ISNUMBER(M27),0,1))</f>
        <v>0</v>
      </c>
      <c r="AB27" s="86">
        <f>IF(Validation!$H$3=1,0,IF(ISNUMBER(N27),0,1))</f>
        <v>0</v>
      </c>
      <c r="BA27" s="87" t="s">
        <v>3824</v>
      </c>
      <c r="BB27" s="80" t="s">
        <v>941</v>
      </c>
      <c r="BC27" s="80"/>
      <c r="BD27" s="88" t="s">
        <v>8</v>
      </c>
      <c r="BE27" s="89">
        <v>3</v>
      </c>
      <c r="BF27" s="354" t="s">
        <v>3825</v>
      </c>
      <c r="BG27" s="341" t="s">
        <v>3826</v>
      </c>
      <c r="BH27" s="344" t="s">
        <v>3827</v>
      </c>
      <c r="BI27" s="340" t="s">
        <v>3828</v>
      </c>
      <c r="BJ27" s="344" t="s">
        <v>3829</v>
      </c>
      <c r="BK27" s="340" t="s">
        <v>3830</v>
      </c>
      <c r="BL27" s="341" t="s">
        <v>3831</v>
      </c>
      <c r="BM27" s="344" t="s">
        <v>3832</v>
      </c>
      <c r="BN27" s="206" t="s">
        <v>3833</v>
      </c>
    </row>
    <row r="28" spans="2:66" ht="14.25" customHeight="1" thickBot="1">
      <c r="B28" s="94" t="s">
        <v>3834</v>
      </c>
      <c r="C28" s="95" t="s">
        <v>1013</v>
      </c>
      <c r="D28" s="95"/>
      <c r="E28" s="96" t="s">
        <v>8</v>
      </c>
      <c r="F28" s="93">
        <v>3</v>
      </c>
      <c r="G28" s="207">
        <f t="shared" ref="G28:N28" si="8">SUM(G26:G27)</f>
        <v>138.40062896412149</v>
      </c>
      <c r="H28" s="168">
        <f t="shared" si="8"/>
        <v>5.4639677422390474</v>
      </c>
      <c r="I28" s="169">
        <f t="shared" si="8"/>
        <v>1.2788846678518668</v>
      </c>
      <c r="J28" s="167">
        <f t="shared" si="8"/>
        <v>252.82191135138126</v>
      </c>
      <c r="K28" s="169">
        <f t="shared" si="8"/>
        <v>0.21609368662389017</v>
      </c>
      <c r="L28" s="167">
        <f t="shared" si="8"/>
        <v>1.2574508665140534</v>
      </c>
      <c r="M28" s="168">
        <f t="shared" si="8"/>
        <v>76.952314607918311</v>
      </c>
      <c r="N28" s="169">
        <f t="shared" si="8"/>
        <v>7.6774245677639579</v>
      </c>
      <c r="O28" s="174">
        <f t="shared" si="5"/>
        <v>484.06867645441389</v>
      </c>
      <c r="P28" s="116"/>
      <c r="Q28" s="116"/>
      <c r="S28" s="116"/>
      <c r="T28" s="111"/>
      <c r="V28" s="211"/>
      <c r="W28" s="211"/>
      <c r="X28" s="211"/>
      <c r="Y28" s="211"/>
      <c r="Z28" s="211"/>
      <c r="AA28" s="177"/>
      <c r="AB28" s="177"/>
      <c r="AC28" s="111"/>
      <c r="AE28" s="111"/>
      <c r="AI28" s="111"/>
      <c r="BA28" s="94" t="s">
        <v>3834</v>
      </c>
      <c r="BB28" s="95" t="s">
        <v>1013</v>
      </c>
      <c r="BC28" s="95"/>
      <c r="BD28" s="96" t="s">
        <v>8</v>
      </c>
      <c r="BE28" s="93">
        <v>3</v>
      </c>
      <c r="BF28" s="207" t="s">
        <v>3835</v>
      </c>
      <c r="BG28" s="168" t="s">
        <v>3836</v>
      </c>
      <c r="BH28" s="169" t="s">
        <v>3837</v>
      </c>
      <c r="BI28" s="167" t="s">
        <v>3838</v>
      </c>
      <c r="BJ28" s="169" t="s">
        <v>3839</v>
      </c>
      <c r="BK28" s="167" t="s">
        <v>3840</v>
      </c>
      <c r="BL28" s="168" t="s">
        <v>3841</v>
      </c>
      <c r="BM28" s="169" t="s">
        <v>3842</v>
      </c>
      <c r="BN28" s="174" t="s">
        <v>3843</v>
      </c>
    </row>
    <row r="29" spans="2:66" ht="15" thickBot="1">
      <c r="AA29" s="177"/>
      <c r="AB29" s="177"/>
      <c r="AD29" s="2"/>
      <c r="AE29" s="111"/>
      <c r="AF29" s="2"/>
      <c r="AG29" s="2"/>
      <c r="AH29" s="2"/>
      <c r="AI29" s="111"/>
    </row>
    <row r="30" spans="2:66" s="65" customFormat="1" ht="15" thickBot="1">
      <c r="B30" s="2221" t="s">
        <v>362</v>
      </c>
      <c r="C30" s="77" t="s">
        <v>1020</v>
      </c>
      <c r="D30" s="1314"/>
      <c r="E30" s="669"/>
      <c r="F30" s="669"/>
      <c r="G30" s="669"/>
      <c r="H30" s="669"/>
      <c r="I30" s="669"/>
      <c r="J30" s="669"/>
      <c r="K30" s="669"/>
      <c r="L30" s="669"/>
      <c r="M30" s="669"/>
      <c r="N30" s="669"/>
      <c r="O30" s="669"/>
      <c r="T30" s="66"/>
      <c r="AA30" s="177"/>
      <c r="AB30" s="177"/>
      <c r="AC30" s="66"/>
      <c r="AD30" s="2"/>
      <c r="AE30" s="111"/>
      <c r="AF30" s="2"/>
      <c r="AG30" s="2"/>
      <c r="AH30" s="2"/>
      <c r="AI30" s="111"/>
      <c r="BA30" s="2221" t="s">
        <v>362</v>
      </c>
      <c r="BB30" s="77" t="s">
        <v>1020</v>
      </c>
      <c r="BC30" s="1314"/>
      <c r="BD30" s="669"/>
      <c r="BE30" s="669"/>
      <c r="BF30" s="669"/>
      <c r="BG30" s="669"/>
      <c r="BH30" s="669"/>
      <c r="BI30" s="669"/>
      <c r="BJ30" s="669"/>
      <c r="BK30" s="669"/>
      <c r="BL30" s="669"/>
      <c r="BM30" s="669"/>
      <c r="BN30" s="669"/>
    </row>
    <row r="31" spans="2:66" ht="14.25" customHeight="1" thickBot="1">
      <c r="B31" s="152" t="s">
        <v>3844</v>
      </c>
      <c r="C31" s="321" t="s">
        <v>1020</v>
      </c>
      <c r="D31" s="321"/>
      <c r="E31" s="153" t="s">
        <v>8</v>
      </c>
      <c r="F31" s="154">
        <v>3</v>
      </c>
      <c r="G31" s="665"/>
      <c r="H31" s="666"/>
      <c r="I31" s="667"/>
      <c r="J31" s="668"/>
      <c r="K31" s="667"/>
      <c r="L31" s="668"/>
      <c r="M31" s="666"/>
      <c r="N31" s="667"/>
      <c r="O31" s="329">
        <f t="shared" si="5"/>
        <v>0</v>
      </c>
      <c r="P31" s="116"/>
      <c r="Q31" s="1164" t="str">
        <f xml:space="preserve"> IF( SUM( AC31:AE31 ) = 0, 0, AH31 )</f>
        <v>The total column of line 4D.20 should equal the total column of line 2E.14</v>
      </c>
      <c r="R31" s="25" t="str">
        <f t="shared" si="6"/>
        <v>Please complete all cells in row</v>
      </c>
      <c r="U31" s="86">
        <f>IF(Validation!$H$3=1,0,IF(ISNUMBER(G31),0,1))</f>
        <v>1</v>
      </c>
      <c r="V31" s="86">
        <f>IF(Validation!$H$3=1,0,IF(ISNUMBER(H31),0,1))</f>
        <v>1</v>
      </c>
      <c r="W31" s="86">
        <f>IF(Validation!$H$3=1,0,IF(ISNUMBER(I31),0,1))</f>
        <v>1</v>
      </c>
      <c r="X31" s="86">
        <f>IF(Validation!$H$3=1,0,IF(ISNUMBER(J31),0,1))</f>
        <v>1</v>
      </c>
      <c r="Y31" s="86">
        <f>IF(Validation!$H$3=1,0,IF(ISNUMBER(K31),0,1))</f>
        <v>1</v>
      </c>
      <c r="Z31" s="86">
        <f>IF(Validation!$H$3=1,0,IF(ISNUMBER(L31),0,1))</f>
        <v>1</v>
      </c>
      <c r="AA31" s="86">
        <f>IF(Validation!$H$3=1,0,IF(ISNUMBER(M31),0,1))</f>
        <v>1</v>
      </c>
      <c r="AB31" s="86">
        <f>IF(Validation!$H$3=1,0,IF(ISNUMBER(N31),0,1))</f>
        <v>1</v>
      </c>
      <c r="AD31" s="86">
        <f xml:space="preserve"> IF( (AF31 - AG31) = 0, 0, 1 )</f>
        <v>1</v>
      </c>
      <c r="AF31" s="143">
        <f xml:space="preserve"> O31</f>
        <v>0</v>
      </c>
      <c r="AG31" s="143">
        <f>'2E'!J24</f>
        <v>35.473999999999997</v>
      </c>
      <c r="AH31" s="1342" t="s">
        <v>3845</v>
      </c>
      <c r="BA31" s="152" t="s">
        <v>3844</v>
      </c>
      <c r="BB31" s="321" t="s">
        <v>1020</v>
      </c>
      <c r="BC31" s="321"/>
      <c r="BD31" s="153" t="s">
        <v>8</v>
      </c>
      <c r="BE31" s="154">
        <v>3</v>
      </c>
      <c r="BF31" s="665" t="s">
        <v>3846</v>
      </c>
      <c r="BG31" s="666" t="s">
        <v>3847</v>
      </c>
      <c r="BH31" s="667" t="s">
        <v>3848</v>
      </c>
      <c r="BI31" s="668" t="s">
        <v>3849</v>
      </c>
      <c r="BJ31" s="667" t="s">
        <v>3850</v>
      </c>
      <c r="BK31" s="668" t="s">
        <v>3851</v>
      </c>
      <c r="BL31" s="666" t="s">
        <v>3852</v>
      </c>
      <c r="BM31" s="667" t="s">
        <v>3853</v>
      </c>
      <c r="BN31" s="329" t="s">
        <v>3854</v>
      </c>
    </row>
    <row r="32" spans="2:66" ht="15" thickBot="1">
      <c r="AA32" s="177"/>
      <c r="AB32" s="177"/>
      <c r="AD32" s="2"/>
      <c r="AE32" s="111"/>
      <c r="AF32" s="2"/>
      <c r="AG32" s="2"/>
      <c r="AH32" s="2"/>
      <c r="AI32" s="111"/>
    </row>
    <row r="33" spans="2:66" ht="14.25" customHeight="1" thickBot="1">
      <c r="B33" s="119" t="s">
        <v>3855</v>
      </c>
      <c r="C33" s="120" t="s">
        <v>1030</v>
      </c>
      <c r="D33" s="120"/>
      <c r="E33" s="121" t="s">
        <v>8</v>
      </c>
      <c r="F33" s="122">
        <v>3</v>
      </c>
      <c r="G33" s="663">
        <f>G18+G28-G31</f>
        <v>252.08162896412148</v>
      </c>
      <c r="H33" s="637">
        <f t="shared" ref="H33:N33" si="9">H18+H28-H31</f>
        <v>38.653967742239047</v>
      </c>
      <c r="I33" s="212">
        <f t="shared" si="9"/>
        <v>18.587884667851867</v>
      </c>
      <c r="J33" s="636">
        <f t="shared" si="9"/>
        <v>451.95091135138125</v>
      </c>
      <c r="K33" s="212">
        <f t="shared" si="9"/>
        <v>0.98209368662389018</v>
      </c>
      <c r="L33" s="636">
        <f t="shared" si="9"/>
        <v>12.322450866514053</v>
      </c>
      <c r="M33" s="637">
        <f t="shared" si="9"/>
        <v>112.78831460791831</v>
      </c>
      <c r="N33" s="212">
        <f t="shared" si="9"/>
        <v>26.932424567763956</v>
      </c>
      <c r="O33" s="416">
        <f t="shared" si="5"/>
        <v>914.29967645441388</v>
      </c>
      <c r="P33" s="116"/>
      <c r="Q33" s="116"/>
      <c r="S33" s="116"/>
      <c r="T33" s="111"/>
      <c r="U33" s="177"/>
      <c r="V33" s="177"/>
      <c r="W33" s="177"/>
      <c r="X33" s="177"/>
      <c r="Y33" s="177"/>
      <c r="Z33" s="177"/>
      <c r="AA33" s="177"/>
      <c r="AB33" s="177"/>
      <c r="AC33" s="111"/>
      <c r="AE33" s="111"/>
      <c r="AI33" s="111"/>
      <c r="BA33" s="119" t="s">
        <v>3855</v>
      </c>
      <c r="BB33" s="120" t="s">
        <v>1030</v>
      </c>
      <c r="BC33" s="120"/>
      <c r="BD33" s="121" t="s">
        <v>8</v>
      </c>
      <c r="BE33" s="122">
        <v>3</v>
      </c>
      <c r="BF33" s="663" t="s">
        <v>3856</v>
      </c>
      <c r="BG33" s="637" t="s">
        <v>3857</v>
      </c>
      <c r="BH33" s="212" t="s">
        <v>3858</v>
      </c>
      <c r="BI33" s="636" t="s">
        <v>3859</v>
      </c>
      <c r="BJ33" s="212" t="s">
        <v>3860</v>
      </c>
      <c r="BK33" s="636" t="s">
        <v>3861</v>
      </c>
      <c r="BL33" s="637" t="s">
        <v>3862</v>
      </c>
      <c r="BM33" s="212" t="s">
        <v>3863</v>
      </c>
      <c r="BN33" s="416" t="s">
        <v>3864</v>
      </c>
    </row>
    <row r="34" spans="2:66" ht="15" thickBot="1">
      <c r="P34" s="116"/>
      <c r="Q34" s="116"/>
      <c r="S34" s="116"/>
      <c r="T34" s="111"/>
      <c r="U34" s="177"/>
      <c r="V34" s="177"/>
      <c r="W34" s="177"/>
      <c r="X34" s="177"/>
      <c r="Y34" s="177"/>
      <c r="Z34" s="177"/>
      <c r="AA34" s="177"/>
      <c r="AB34" s="177"/>
      <c r="AC34" s="111"/>
      <c r="AE34" s="111"/>
      <c r="AI34" s="111"/>
    </row>
    <row r="35" spans="2:66" s="65" customFormat="1" ht="15" thickBot="1">
      <c r="B35" s="106" t="s">
        <v>362</v>
      </c>
      <c r="C35" s="107" t="s">
        <v>1037</v>
      </c>
      <c r="D35" s="1292"/>
      <c r="P35" s="116"/>
      <c r="Q35" s="116"/>
      <c r="S35" s="116"/>
      <c r="T35" s="111"/>
      <c r="U35" s="177"/>
      <c r="V35" s="177"/>
      <c r="W35" s="177"/>
      <c r="X35" s="177"/>
      <c r="Y35" s="177"/>
      <c r="Z35" s="177"/>
      <c r="AA35" s="177"/>
      <c r="AB35" s="177"/>
      <c r="AC35" s="111"/>
      <c r="AD35"/>
      <c r="AE35" s="111"/>
      <c r="AF35"/>
      <c r="AG35"/>
      <c r="AH35"/>
      <c r="AI35" s="111"/>
      <c r="BA35" s="106" t="s">
        <v>362</v>
      </c>
      <c r="BB35" s="107" t="s">
        <v>1037</v>
      </c>
      <c r="BC35" s="1292"/>
    </row>
    <row r="36" spans="2:66" ht="14.25" customHeight="1">
      <c r="B36" s="79" t="s">
        <v>3865</v>
      </c>
      <c r="C36" s="109" t="s">
        <v>1039</v>
      </c>
      <c r="D36" s="109"/>
      <c r="E36" s="81" t="s">
        <v>8</v>
      </c>
      <c r="F36" s="82">
        <v>3</v>
      </c>
      <c r="G36" s="352"/>
      <c r="H36" s="353"/>
      <c r="I36" s="343"/>
      <c r="J36" s="342"/>
      <c r="K36" s="343"/>
      <c r="L36" s="342"/>
      <c r="M36" s="353"/>
      <c r="N36" s="343"/>
      <c r="O36" s="173">
        <f>SUM(G36:N36)</f>
        <v>0</v>
      </c>
      <c r="P36" s="116"/>
      <c r="Q36" s="116"/>
      <c r="R36" s="25" t="str">
        <f t="shared" ref="R36:R37" si="10" xml:space="preserve"> IF( SUM( T36:AC36 ) = 0, 0, $U$6 )</f>
        <v>Please complete all cells in row</v>
      </c>
      <c r="U36" s="86">
        <f>IF(Validation!$H$3=1,0,IF(ISNUMBER(G36),0,1))</f>
        <v>1</v>
      </c>
      <c r="V36" s="86">
        <f>IF(Validation!$H$3=1,0,IF(ISNUMBER(H36),0,1))</f>
        <v>1</v>
      </c>
      <c r="W36" s="86">
        <f>IF(Validation!$H$3=1,0,IF(ISNUMBER(I36),0,1))</f>
        <v>1</v>
      </c>
      <c r="X36" s="86">
        <f>IF(Validation!$H$3=1,0,IF(ISNUMBER(J36),0,1))</f>
        <v>1</v>
      </c>
      <c r="Y36" s="86">
        <f>IF(Validation!$H$3=1,0,IF(ISNUMBER(K36),0,1))</f>
        <v>1</v>
      </c>
      <c r="Z36" s="86">
        <f>IF(Validation!$H$3=1,0,IF(ISNUMBER(L36),0,1))</f>
        <v>1</v>
      </c>
      <c r="AA36" s="86">
        <f>IF(Validation!$H$3=1,0,IF(ISNUMBER(M36),0,1))</f>
        <v>1</v>
      </c>
      <c r="AB36" s="86">
        <f>IF(Validation!$H$3=1,0,IF(ISNUMBER(N36),0,1))</f>
        <v>1</v>
      </c>
      <c r="BA36" s="79" t="s">
        <v>3865</v>
      </c>
      <c r="BB36" s="109" t="s">
        <v>1039</v>
      </c>
      <c r="BC36" s="109"/>
      <c r="BD36" s="81" t="s">
        <v>8</v>
      </c>
      <c r="BE36" s="82">
        <v>3</v>
      </c>
      <c r="BF36" s="352" t="s">
        <v>3866</v>
      </c>
      <c r="BG36" s="353" t="s">
        <v>3867</v>
      </c>
      <c r="BH36" s="343" t="s">
        <v>3868</v>
      </c>
      <c r="BI36" s="342" t="s">
        <v>3869</v>
      </c>
      <c r="BJ36" s="343" t="s">
        <v>3870</v>
      </c>
      <c r="BK36" s="342" t="s">
        <v>3871</v>
      </c>
      <c r="BL36" s="353" t="s">
        <v>3872</v>
      </c>
      <c r="BM36" s="343" t="s">
        <v>3873</v>
      </c>
      <c r="BN36" s="173" t="s">
        <v>3874</v>
      </c>
    </row>
    <row r="37" spans="2:66" ht="14.25" customHeight="1" thickBot="1">
      <c r="B37" s="94" t="s">
        <v>3875</v>
      </c>
      <c r="C37" s="95" t="s">
        <v>1047</v>
      </c>
      <c r="D37" s="95"/>
      <c r="E37" s="96" t="s">
        <v>8</v>
      </c>
      <c r="F37" s="93">
        <v>3</v>
      </c>
      <c r="G37" s="657"/>
      <c r="H37" s="390"/>
      <c r="I37" s="656"/>
      <c r="J37" s="389"/>
      <c r="K37" s="656"/>
      <c r="L37" s="389"/>
      <c r="M37" s="390"/>
      <c r="N37" s="656"/>
      <c r="O37" s="174">
        <f>SUM(G37:N37)</f>
        <v>0</v>
      </c>
      <c r="P37" s="116"/>
      <c r="Q37" s="116"/>
      <c r="R37" s="25" t="str">
        <f t="shared" si="10"/>
        <v>Please complete all cells in row</v>
      </c>
      <c r="U37" s="86">
        <f>IF(Validation!$H$3=1,0,IF(ISNUMBER(G37),0,1))</f>
        <v>1</v>
      </c>
      <c r="V37" s="86">
        <f>IF(Validation!$H$3=1,0,IF(ISNUMBER(H37),0,1))</f>
        <v>1</v>
      </c>
      <c r="W37" s="86">
        <f>IF(Validation!$H$3=1,0,IF(ISNUMBER(I37),0,1))</f>
        <v>1</v>
      </c>
      <c r="X37" s="86">
        <f>IF(Validation!$H$3=1,0,IF(ISNUMBER(J37),0,1))</f>
        <v>1</v>
      </c>
      <c r="Y37" s="86">
        <f>IF(Validation!$H$3=1,0,IF(ISNUMBER(K37),0,1))</f>
        <v>1</v>
      </c>
      <c r="Z37" s="86">
        <f>IF(Validation!$H$3=1,0,IF(ISNUMBER(L37),0,1))</f>
        <v>1</v>
      </c>
      <c r="AA37" s="86">
        <f>IF(Validation!$H$3=1,0,IF(ISNUMBER(M37),0,1))</f>
        <v>1</v>
      </c>
      <c r="AB37" s="86">
        <f>IF(Validation!$H$3=1,0,IF(ISNUMBER(N37),0,1))</f>
        <v>1</v>
      </c>
      <c r="BA37" s="94" t="s">
        <v>3875</v>
      </c>
      <c r="BB37" s="95" t="s">
        <v>1047</v>
      </c>
      <c r="BC37" s="95"/>
      <c r="BD37" s="96" t="s">
        <v>8</v>
      </c>
      <c r="BE37" s="93">
        <v>3</v>
      </c>
      <c r="BF37" s="657" t="s">
        <v>3876</v>
      </c>
      <c r="BG37" s="390" t="s">
        <v>3877</v>
      </c>
      <c r="BH37" s="656" t="s">
        <v>3878</v>
      </c>
      <c r="BI37" s="389" t="s">
        <v>3879</v>
      </c>
      <c r="BJ37" s="656" t="s">
        <v>3880</v>
      </c>
      <c r="BK37" s="389" t="s">
        <v>3881</v>
      </c>
      <c r="BL37" s="390" t="s">
        <v>3882</v>
      </c>
      <c r="BM37" s="656" t="s">
        <v>3883</v>
      </c>
      <c r="BN37" s="174" t="s">
        <v>3884</v>
      </c>
    </row>
    <row r="38" spans="2:66" ht="15" thickBot="1">
      <c r="P38" s="116"/>
      <c r="Q38" s="116"/>
      <c r="S38" s="116"/>
      <c r="T38" s="111"/>
      <c r="U38" s="177"/>
      <c r="V38" s="177"/>
      <c r="W38" s="177"/>
      <c r="X38" s="177"/>
      <c r="Y38" s="177"/>
      <c r="Z38" s="177"/>
      <c r="AA38" s="177"/>
      <c r="AB38" s="177"/>
      <c r="AC38" s="111"/>
      <c r="AE38" s="111"/>
      <c r="AI38" s="111"/>
    </row>
    <row r="39" spans="2:66" ht="14.25" customHeight="1" thickBot="1">
      <c r="B39" s="119" t="s">
        <v>3885</v>
      </c>
      <c r="C39" s="120" t="s">
        <v>1055</v>
      </c>
      <c r="D39" s="120"/>
      <c r="E39" s="121" t="s">
        <v>8</v>
      </c>
      <c r="F39" s="122">
        <v>3</v>
      </c>
      <c r="G39" s="663">
        <f t="shared" ref="G39:N39" si="11">G33 + G36 + G37</f>
        <v>252.08162896412148</v>
      </c>
      <c r="H39" s="637">
        <f t="shared" si="11"/>
        <v>38.653967742239047</v>
      </c>
      <c r="I39" s="212">
        <f t="shared" si="11"/>
        <v>18.587884667851867</v>
      </c>
      <c r="J39" s="636">
        <f t="shared" si="11"/>
        <v>451.95091135138125</v>
      </c>
      <c r="K39" s="212">
        <f t="shared" si="11"/>
        <v>0.98209368662389018</v>
      </c>
      <c r="L39" s="636">
        <f t="shared" si="11"/>
        <v>12.322450866514053</v>
      </c>
      <c r="M39" s="637">
        <f t="shared" si="11"/>
        <v>112.78831460791831</v>
      </c>
      <c r="N39" s="212">
        <f t="shared" si="11"/>
        <v>26.932424567763956</v>
      </c>
      <c r="O39" s="416">
        <f>SUM(G39:N39)</f>
        <v>914.29967645441388</v>
      </c>
      <c r="P39" s="116"/>
      <c r="Q39" s="116"/>
      <c r="S39" s="116"/>
      <c r="T39" s="111"/>
      <c r="U39" s="177"/>
      <c r="V39" s="177"/>
      <c r="W39" s="177"/>
      <c r="X39" s="177"/>
      <c r="Y39" s="177"/>
      <c r="Z39" s="177"/>
      <c r="AA39" s="177"/>
      <c r="AB39" s="177"/>
      <c r="AC39" s="111"/>
      <c r="AE39" s="111"/>
      <c r="AI39" s="111"/>
      <c r="BA39" s="119" t="s">
        <v>3885</v>
      </c>
      <c r="BB39" s="120" t="s">
        <v>1055</v>
      </c>
      <c r="BC39" s="120"/>
      <c r="BD39" s="121" t="s">
        <v>8</v>
      </c>
      <c r="BE39" s="122">
        <v>3</v>
      </c>
      <c r="BF39" s="663" t="s">
        <v>3886</v>
      </c>
      <c r="BG39" s="637" t="s">
        <v>3887</v>
      </c>
      <c r="BH39" s="212" t="s">
        <v>3888</v>
      </c>
      <c r="BI39" s="636" t="s">
        <v>3889</v>
      </c>
      <c r="BJ39" s="212" t="s">
        <v>3890</v>
      </c>
      <c r="BK39" s="636" t="s">
        <v>3891</v>
      </c>
      <c r="BL39" s="637" t="s">
        <v>3892</v>
      </c>
      <c r="BM39" s="212" t="s">
        <v>3893</v>
      </c>
      <c r="BN39" s="416" t="s">
        <v>3894</v>
      </c>
    </row>
    <row r="40" spans="2:66" ht="15" thickBot="1">
      <c r="P40" s="116"/>
      <c r="Q40" s="116"/>
      <c r="S40" s="110"/>
      <c r="T40" s="114"/>
      <c r="U40" s="177"/>
      <c r="V40" s="177"/>
      <c r="W40" s="177"/>
      <c r="X40" s="177"/>
      <c r="Y40" s="177"/>
      <c r="Z40" s="177"/>
      <c r="AA40" s="177"/>
      <c r="AB40" s="177"/>
      <c r="AC40" s="114"/>
      <c r="AE40" s="114"/>
      <c r="AI40" s="114"/>
    </row>
    <row r="41" spans="2:66" ht="15" thickBot="1">
      <c r="B41" s="106" t="s">
        <v>419</v>
      </c>
      <c r="C41" s="107" t="s">
        <v>3020</v>
      </c>
      <c r="D41" s="1292"/>
      <c r="E41" s="65"/>
      <c r="F41" s="65"/>
      <c r="P41" s="116"/>
      <c r="Q41" s="116"/>
      <c r="S41" s="110"/>
      <c r="T41" s="114"/>
      <c r="U41" s="177"/>
      <c r="V41" s="177"/>
      <c r="W41" s="177"/>
      <c r="X41" s="177"/>
      <c r="Y41" s="177"/>
      <c r="Z41" s="177"/>
      <c r="AA41" s="177"/>
      <c r="AB41" s="177"/>
      <c r="AC41" s="114"/>
      <c r="AE41" s="114"/>
      <c r="AI41" s="114"/>
      <c r="BA41" s="106" t="s">
        <v>419</v>
      </c>
      <c r="BB41" s="107" t="s">
        <v>3020</v>
      </c>
      <c r="BC41" s="1292"/>
      <c r="BD41" s="65"/>
      <c r="BE41" s="65"/>
    </row>
    <row r="42" spans="2:66" ht="14.25" customHeight="1" thickBot="1">
      <c r="B42" s="79" t="s">
        <v>3895</v>
      </c>
      <c r="C42" s="109" t="s">
        <v>3896</v>
      </c>
      <c r="D42" s="109"/>
      <c r="E42" s="81" t="s">
        <v>16</v>
      </c>
      <c r="F42" s="185">
        <v>3</v>
      </c>
      <c r="G42" s="355">
        <v>702657.65399999998</v>
      </c>
      <c r="P42" s="116"/>
      <c r="Q42" s="116"/>
      <c r="R42" s="25">
        <f t="shared" ref="R42:R49" si="12" xml:space="preserve"> IF( SUM( T42:AC42 ) = 0, 0, $U$6 )</f>
        <v>0</v>
      </c>
      <c r="S42" s="110"/>
      <c r="T42" s="114"/>
      <c r="U42" s="86">
        <f>IF(Validation!$H$3=1,0,IF(ISNUMBER(G42),0,1))</f>
        <v>0</v>
      </c>
      <c r="V42" s="177"/>
      <c r="W42" s="177"/>
      <c r="X42" s="177"/>
      <c r="Y42" s="177"/>
      <c r="Z42" s="177"/>
      <c r="AA42" s="177"/>
      <c r="AB42" s="177"/>
      <c r="AC42" s="114"/>
      <c r="AE42" s="114"/>
      <c r="AI42" s="114"/>
      <c r="BA42" s="79" t="s">
        <v>3895</v>
      </c>
      <c r="BB42" s="109" t="s">
        <v>3896</v>
      </c>
      <c r="BC42" s="109"/>
      <c r="BD42" s="81" t="s">
        <v>16</v>
      </c>
      <c r="BE42" s="185">
        <v>3</v>
      </c>
      <c r="BF42" s="355" t="s">
        <v>3897</v>
      </c>
    </row>
    <row r="43" spans="2:66" ht="14.25" customHeight="1" thickBot="1">
      <c r="B43" s="87" t="s">
        <v>3895</v>
      </c>
      <c r="C43" s="80" t="s">
        <v>3896</v>
      </c>
      <c r="D43" s="80"/>
      <c r="E43" s="88" t="s">
        <v>16</v>
      </c>
      <c r="F43" s="89">
        <v>3</v>
      </c>
      <c r="H43" s="355">
        <v>325096.755</v>
      </c>
      <c r="P43" s="116"/>
      <c r="Q43" s="116"/>
      <c r="R43" s="25">
        <f t="shared" si="12"/>
        <v>0</v>
      </c>
      <c r="U43" s="177"/>
      <c r="V43" s="86">
        <f>IF(Validation!$H$3=1,0,IF(ISNUMBER(H43),0,1))</f>
        <v>0</v>
      </c>
      <c r="W43" s="177"/>
      <c r="X43" s="177"/>
      <c r="Y43" s="177"/>
      <c r="Z43" s="177"/>
      <c r="AA43" s="177"/>
      <c r="AB43" s="177"/>
      <c r="BA43" s="87" t="s">
        <v>3895</v>
      </c>
      <c r="BB43" s="80" t="s">
        <v>3896</v>
      </c>
      <c r="BC43" s="80"/>
      <c r="BD43" s="88" t="s">
        <v>16</v>
      </c>
      <c r="BE43" s="89">
        <v>3</v>
      </c>
      <c r="BG43" s="355" t="s">
        <v>3898</v>
      </c>
    </row>
    <row r="44" spans="2:66" ht="14.25" customHeight="1" thickBot="1">
      <c r="B44" s="87" t="s">
        <v>3895</v>
      </c>
      <c r="C44" s="80" t="s">
        <v>3896</v>
      </c>
      <c r="D44" s="80"/>
      <c r="E44" s="88" t="s">
        <v>16</v>
      </c>
      <c r="F44" s="89">
        <v>3</v>
      </c>
      <c r="I44" s="355">
        <v>179347.81200000001</v>
      </c>
      <c r="P44" s="116"/>
      <c r="Q44" s="116"/>
      <c r="R44" s="25">
        <f t="shared" si="12"/>
        <v>0</v>
      </c>
      <c r="U44" s="177"/>
      <c r="V44" s="177"/>
      <c r="W44" s="86">
        <f>IF(Validation!$H$3=1,0,IF(ISNUMBER(I44),0,1))</f>
        <v>0</v>
      </c>
      <c r="X44" s="177"/>
      <c r="Y44" s="177"/>
      <c r="Z44" s="177"/>
      <c r="AA44" s="177"/>
      <c r="AB44" s="177"/>
      <c r="BA44" s="87" t="s">
        <v>3895</v>
      </c>
      <c r="BB44" s="80" t="s">
        <v>3896</v>
      </c>
      <c r="BC44" s="80"/>
      <c r="BD44" s="88" t="s">
        <v>16</v>
      </c>
      <c r="BE44" s="89">
        <v>3</v>
      </c>
      <c r="BH44" s="355" t="s">
        <v>3899</v>
      </c>
    </row>
    <row r="45" spans="2:66" ht="14.25" customHeight="1" thickBot="1">
      <c r="B45" s="87" t="s">
        <v>3895</v>
      </c>
      <c r="C45" s="80" t="s">
        <v>3900</v>
      </c>
      <c r="D45" s="80"/>
      <c r="E45" s="88" t="s">
        <v>17</v>
      </c>
      <c r="F45" s="89">
        <v>3</v>
      </c>
      <c r="J45" s="355">
        <v>354102.55499999999</v>
      </c>
      <c r="P45" s="118"/>
      <c r="Q45" s="118"/>
      <c r="R45" s="25">
        <f t="shared" si="12"/>
        <v>0</v>
      </c>
      <c r="U45" s="177"/>
      <c r="V45" s="177"/>
      <c r="W45" s="177"/>
      <c r="X45" s="86">
        <f>IF(Validation!$H$3=1,0,IF(ISNUMBER(J45),0,1))</f>
        <v>0</v>
      </c>
      <c r="Y45" s="177"/>
      <c r="Z45" s="177"/>
      <c r="AA45" s="177"/>
      <c r="AB45" s="177"/>
      <c r="BA45" s="87" t="s">
        <v>3895</v>
      </c>
      <c r="BB45" s="80" t="s">
        <v>3900</v>
      </c>
      <c r="BC45" s="80"/>
      <c r="BD45" s="88" t="s">
        <v>17</v>
      </c>
      <c r="BE45" s="89">
        <v>3</v>
      </c>
      <c r="BI45" s="355" t="s">
        <v>3901</v>
      </c>
    </row>
    <row r="46" spans="2:66" ht="14.25" customHeight="1" thickBot="1">
      <c r="B46" s="87" t="s">
        <v>3895</v>
      </c>
      <c r="C46" s="80" t="s">
        <v>3900</v>
      </c>
      <c r="D46" s="80"/>
      <c r="E46" s="88" t="s">
        <v>17</v>
      </c>
      <c r="F46" s="89">
        <v>3</v>
      </c>
      <c r="K46" s="355">
        <v>8391.7780000000002</v>
      </c>
      <c r="P46" s="118"/>
      <c r="Q46" s="118"/>
      <c r="R46" s="25">
        <f t="shared" si="12"/>
        <v>0</v>
      </c>
      <c r="U46" s="177"/>
      <c r="V46" s="177"/>
      <c r="W46" s="177"/>
      <c r="X46" s="177"/>
      <c r="Y46" s="86">
        <f>IF(Validation!$H$3=1,0,IF(ISNUMBER(K46),0,1))</f>
        <v>0</v>
      </c>
      <c r="Z46" s="177"/>
      <c r="AA46" s="177"/>
      <c r="AB46" s="177"/>
      <c r="BA46" s="87" t="s">
        <v>3895</v>
      </c>
      <c r="BB46" s="80" t="s">
        <v>3900</v>
      </c>
      <c r="BC46" s="80"/>
      <c r="BD46" s="88" t="s">
        <v>17</v>
      </c>
      <c r="BE46" s="89">
        <v>3</v>
      </c>
      <c r="BJ46" s="355" t="s">
        <v>3902</v>
      </c>
    </row>
    <row r="47" spans="2:66" ht="14.25" customHeight="1" thickBot="1">
      <c r="B47" s="87" t="s">
        <v>3895</v>
      </c>
      <c r="C47" s="80" t="s">
        <v>3903</v>
      </c>
      <c r="D47" s="80"/>
      <c r="E47" s="88" t="s">
        <v>18</v>
      </c>
      <c r="F47" s="89">
        <v>3</v>
      </c>
      <c r="L47" s="355">
        <v>1384487.236</v>
      </c>
      <c r="P47" s="118"/>
      <c r="Q47" s="118"/>
      <c r="R47" s="25">
        <f t="shared" si="12"/>
        <v>0</v>
      </c>
      <c r="U47" s="177"/>
      <c r="V47" s="177"/>
      <c r="W47" s="177"/>
      <c r="X47" s="177"/>
      <c r="Y47" s="177"/>
      <c r="Z47" s="86">
        <f>IF(Validation!$H$3=1,0,IF(ISNUMBER(L47),0,1))</f>
        <v>0</v>
      </c>
      <c r="AA47" s="177"/>
      <c r="AB47" s="177"/>
      <c r="BA47" s="87" t="s">
        <v>3895</v>
      </c>
      <c r="BB47" s="80" t="s">
        <v>3903</v>
      </c>
      <c r="BC47" s="80"/>
      <c r="BD47" s="88" t="s">
        <v>18</v>
      </c>
      <c r="BE47" s="89">
        <v>3</v>
      </c>
      <c r="BK47" s="355" t="s">
        <v>3904</v>
      </c>
    </row>
    <row r="48" spans="2:66" ht="14.25" customHeight="1" thickBot="1">
      <c r="B48" s="87" t="s">
        <v>3895</v>
      </c>
      <c r="C48" s="80" t="s">
        <v>3905</v>
      </c>
      <c r="D48" s="80"/>
      <c r="E48" s="88" t="s">
        <v>19</v>
      </c>
      <c r="F48" s="89">
        <v>3</v>
      </c>
      <c r="M48" s="355">
        <f>366.217</f>
        <v>366.21699999999998</v>
      </c>
      <c r="P48" s="118"/>
      <c r="Q48" s="118"/>
      <c r="R48" s="25">
        <f t="shared" si="12"/>
        <v>0</v>
      </c>
      <c r="S48" s="110"/>
      <c r="T48" s="114"/>
      <c r="U48" s="177"/>
      <c r="V48" s="177"/>
      <c r="W48" s="177"/>
      <c r="X48" s="177"/>
      <c r="Y48" s="177"/>
      <c r="Z48" s="177"/>
      <c r="AA48" s="86">
        <f>IF(Validation!$H$3=1,0,IF(ISNUMBER(M48),0,1))</f>
        <v>0</v>
      </c>
      <c r="AB48" s="177"/>
      <c r="AC48" s="114"/>
      <c r="AE48" s="114"/>
      <c r="AI48" s="114"/>
      <c r="BA48" s="87" t="s">
        <v>3895</v>
      </c>
      <c r="BB48" s="80" t="s">
        <v>3905</v>
      </c>
      <c r="BC48" s="80"/>
      <c r="BD48" s="88" t="s">
        <v>19</v>
      </c>
      <c r="BE48" s="89">
        <v>3</v>
      </c>
      <c r="BL48" s="355" t="s">
        <v>3906</v>
      </c>
    </row>
    <row r="49" spans="2:65" ht="14.25" customHeight="1" thickBot="1">
      <c r="B49" s="87" t="s">
        <v>3895</v>
      </c>
      <c r="C49" s="80" t="s">
        <v>3907</v>
      </c>
      <c r="D49" s="80"/>
      <c r="E49" s="88" t="s">
        <v>19</v>
      </c>
      <c r="F49" s="89">
        <v>3</v>
      </c>
      <c r="N49" s="356">
        <v>365.24700000000001</v>
      </c>
      <c r="P49" s="118"/>
      <c r="Q49" s="118"/>
      <c r="R49" s="25">
        <f t="shared" si="12"/>
        <v>0</v>
      </c>
      <c r="U49" s="177"/>
      <c r="V49" s="177"/>
      <c r="W49" s="177"/>
      <c r="X49" s="177"/>
      <c r="Y49" s="177"/>
      <c r="Z49" s="177"/>
      <c r="AA49" s="177"/>
      <c r="AB49" s="86">
        <f>IF(Validation!$H$3=1,0,IF(ISNUMBER(N49),0,1))</f>
        <v>0</v>
      </c>
      <c r="BA49" s="87" t="s">
        <v>3895</v>
      </c>
      <c r="BB49" s="80" t="s">
        <v>3907</v>
      </c>
      <c r="BC49" s="80"/>
      <c r="BD49" s="88" t="s">
        <v>19</v>
      </c>
      <c r="BE49" s="89">
        <v>3</v>
      </c>
      <c r="BM49" s="356" t="s">
        <v>3908</v>
      </c>
    </row>
    <row r="50" spans="2:65" ht="14.25" customHeight="1">
      <c r="B50" s="87" t="s">
        <v>3909</v>
      </c>
      <c r="C50" s="80" t="s">
        <v>3034</v>
      </c>
      <c r="D50" s="80"/>
      <c r="E50" s="88" t="s">
        <v>3910</v>
      </c>
      <c r="F50" s="89">
        <v>3</v>
      </c>
      <c r="G50" s="163">
        <f xml:space="preserve"> IF( G42 = 0, 0, G18 *1000000 / G42 )</f>
        <v>161.78717950747605</v>
      </c>
      <c r="H50" s="164">
        <f xml:space="preserve"> IF( H43 = 0, 0, H18 *1000000 / H43 )</f>
        <v>102.09268314597603</v>
      </c>
      <c r="I50" s="164">
        <f xml:space="preserve"> IF( I44 = 0, 0, I18 *1000000 / I44 )</f>
        <v>96.510795459272174</v>
      </c>
      <c r="J50" s="164">
        <f xml:space="preserve"> IF( J45 = 0, 0, J18 *1000000 / J45 )</f>
        <v>562.34838520156973</v>
      </c>
      <c r="K50" s="164">
        <f xml:space="preserve"> IF( K46 = 0, 0, K18 *1000000 / K46 )</f>
        <v>91.27982174933608</v>
      </c>
      <c r="L50" s="164">
        <f xml:space="preserve"> IF( L47 = 0, 0, L18 *1000000 / L47 )</f>
        <v>7.9921285745966966</v>
      </c>
      <c r="M50" s="164">
        <f xml:space="preserve"> IF( M48 = 0, 0, M18 *1000000 / M48 )</f>
        <v>97854.550717197737</v>
      </c>
      <c r="N50" s="327">
        <f xml:space="preserve"> IF( N49 = 0, 0, N18 *1000000 / N49 )</f>
        <v>52717.749906227837</v>
      </c>
      <c r="P50" s="118"/>
      <c r="Q50" s="118"/>
      <c r="U50" s="177"/>
      <c r="V50" s="177"/>
      <c r="W50" s="177"/>
      <c r="X50" s="177"/>
      <c r="Y50" s="177"/>
      <c r="Z50" s="177"/>
      <c r="AA50" s="177"/>
      <c r="AB50" s="177"/>
      <c r="BA50" s="87" t="s">
        <v>3909</v>
      </c>
      <c r="BB50" s="80" t="s">
        <v>3034</v>
      </c>
      <c r="BC50" s="80"/>
      <c r="BD50" s="88" t="s">
        <v>3910</v>
      </c>
      <c r="BE50" s="89">
        <v>3</v>
      </c>
      <c r="BF50" s="163" t="s">
        <v>3911</v>
      </c>
      <c r="BG50" s="164" t="s">
        <v>3912</v>
      </c>
      <c r="BH50" s="164" t="s">
        <v>3913</v>
      </c>
      <c r="BI50" s="164" t="s">
        <v>3914</v>
      </c>
      <c r="BJ50" s="164" t="s">
        <v>3915</v>
      </c>
      <c r="BK50" s="164" t="s">
        <v>3916</v>
      </c>
      <c r="BL50" s="164" t="s">
        <v>3917</v>
      </c>
      <c r="BM50" s="327" t="s">
        <v>3918</v>
      </c>
    </row>
    <row r="51" spans="2:65">
      <c r="B51" s="87" t="s">
        <v>3919</v>
      </c>
      <c r="C51" s="80" t="s">
        <v>3043</v>
      </c>
      <c r="D51" s="80"/>
      <c r="E51" s="88" t="s">
        <v>13</v>
      </c>
      <c r="F51" s="89">
        <v>3</v>
      </c>
      <c r="G51" s="354">
        <v>15018.284</v>
      </c>
      <c r="H51" s="341">
        <v>15018.284</v>
      </c>
      <c r="I51" s="344">
        <v>15018.284</v>
      </c>
      <c r="J51" s="340">
        <v>15018.284</v>
      </c>
      <c r="K51" s="344">
        <v>15018.284</v>
      </c>
      <c r="L51" s="340">
        <v>15018.284</v>
      </c>
      <c r="M51" s="341">
        <v>15018.284</v>
      </c>
      <c r="N51" s="344">
        <v>15018.284</v>
      </c>
      <c r="P51" s="118"/>
      <c r="Q51" s="118"/>
      <c r="R51" s="25">
        <f t="shared" ref="R51" si="13" xml:space="preserve"> IF( SUM( T51:AC51 ) = 0, 0, $U$6 )</f>
        <v>0</v>
      </c>
      <c r="U51" s="86">
        <f>IF(Validation!$H$3=1,0,IF(ISNUMBER(G51),0,1))</f>
        <v>0</v>
      </c>
      <c r="V51" s="86">
        <f>IF(Validation!$H$3=1,0,IF(ISNUMBER(H51),0,1))</f>
        <v>0</v>
      </c>
      <c r="W51" s="86">
        <f>IF(Validation!$H$3=1,0,IF(ISNUMBER(I51),0,1))</f>
        <v>0</v>
      </c>
      <c r="X51" s="86">
        <f>IF(Validation!$H$3=1,0,IF(ISNUMBER(J51),0,1))</f>
        <v>0</v>
      </c>
      <c r="Y51" s="86">
        <f>IF(Validation!$H$3=1,0,IF(ISNUMBER(K51),0,1))</f>
        <v>0</v>
      </c>
      <c r="Z51" s="86">
        <f>IF(Validation!$H$3=1,0,IF(ISNUMBER(L51),0,1))</f>
        <v>0</v>
      </c>
      <c r="AA51" s="86">
        <f>IF(Validation!$H$3=1,0,IF(ISNUMBER(M51),0,1))</f>
        <v>0</v>
      </c>
      <c r="AB51" s="86">
        <f>IF(Validation!$H$3=1,0,IF(ISNUMBER(N51),0,1))</f>
        <v>0</v>
      </c>
      <c r="BA51" s="87" t="s">
        <v>3919</v>
      </c>
      <c r="BB51" s="80" t="s">
        <v>3043</v>
      </c>
      <c r="BC51" s="80"/>
      <c r="BD51" s="88" t="s">
        <v>13</v>
      </c>
      <c r="BE51" s="89">
        <v>3</v>
      </c>
      <c r="BF51" s="354" t="s">
        <v>3920</v>
      </c>
      <c r="BG51" s="341" t="s">
        <v>3921</v>
      </c>
      <c r="BH51" s="344" t="s">
        <v>3922</v>
      </c>
      <c r="BI51" s="340" t="s">
        <v>3923</v>
      </c>
      <c r="BJ51" s="344" t="s">
        <v>3924</v>
      </c>
      <c r="BK51" s="340" t="s">
        <v>3925</v>
      </c>
      <c r="BL51" s="341" t="s">
        <v>3926</v>
      </c>
      <c r="BM51" s="344" t="s">
        <v>3927</v>
      </c>
    </row>
    <row r="52" spans="2:65" ht="15" thickBot="1">
      <c r="B52" s="94" t="s">
        <v>3928</v>
      </c>
      <c r="C52" s="95" t="s">
        <v>3034</v>
      </c>
      <c r="D52" s="95"/>
      <c r="E52" s="96" t="s">
        <v>3051</v>
      </c>
      <c r="F52" s="194">
        <v>3</v>
      </c>
      <c r="G52" s="167">
        <f xml:space="preserve"> IF( G51 = 0, 0, G18 * 1000 / G51 )</f>
        <v>7.5695066094102366</v>
      </c>
      <c r="H52" s="168">
        <f t="shared" ref="H52:L52" si="14" xml:space="preserve"> IF( H51 = 0, 0, H18 * 1000 / H51 )</f>
        <v>2.2099728570854036</v>
      </c>
      <c r="I52" s="169">
        <f t="shared" si="14"/>
        <v>1.1525284779539393</v>
      </c>
      <c r="J52" s="167">
        <f t="shared" si="14"/>
        <v>13.259104701975275</v>
      </c>
      <c r="K52" s="169">
        <f t="shared" si="14"/>
        <v>5.1004495586846006E-2</v>
      </c>
      <c r="L52" s="167">
        <f t="shared" si="14"/>
        <v>0.73676859486742963</v>
      </c>
      <c r="M52" s="168">
        <f t="shared" ref="M52" si="15" xml:space="preserve"> IF( M51 = 0, 0, M18 * 1000 / M51 )</f>
        <v>2.3861580990211664</v>
      </c>
      <c r="N52" s="169">
        <f t="shared" ref="N52" si="16" xml:space="preserve"> IF( N51 = 0, 0, N18 * 1000 / N51 )</f>
        <v>1.2821038675257439</v>
      </c>
      <c r="P52" s="118"/>
      <c r="Q52" s="118"/>
      <c r="U52" s="113"/>
      <c r="V52" s="113"/>
      <c r="W52" s="113"/>
      <c r="X52" s="113"/>
      <c r="Y52" s="113"/>
      <c r="Z52" s="113"/>
      <c r="AA52" s="113"/>
      <c r="AB52" s="113"/>
      <c r="BA52" s="94" t="s">
        <v>3928</v>
      </c>
      <c r="BB52" s="95" t="s">
        <v>3034</v>
      </c>
      <c r="BC52" s="95"/>
      <c r="BD52" s="96" t="s">
        <v>3051</v>
      </c>
      <c r="BE52" s="194">
        <v>3</v>
      </c>
      <c r="BF52" s="167" t="s">
        <v>3929</v>
      </c>
      <c r="BG52" s="168" t="s">
        <v>3930</v>
      </c>
      <c r="BH52" s="169" t="s">
        <v>3931</v>
      </c>
      <c r="BI52" s="167" t="s">
        <v>3932</v>
      </c>
      <c r="BJ52" s="169" t="s">
        <v>3933</v>
      </c>
      <c r="BK52" s="167" t="s">
        <v>3934</v>
      </c>
      <c r="BL52" s="168" t="s">
        <v>3935</v>
      </c>
      <c r="BM52" s="169" t="s">
        <v>3936</v>
      </c>
    </row>
    <row r="53" spans="2:65">
      <c r="P53" s="118"/>
      <c r="Q53" s="118"/>
      <c r="U53" s="177"/>
      <c r="V53" s="177"/>
      <c r="W53" s="177"/>
      <c r="X53" s="177"/>
      <c r="Y53" s="177"/>
      <c r="Z53" s="177"/>
      <c r="AA53" s="177"/>
      <c r="AB53" s="177"/>
    </row>
    <row r="54" spans="2:65">
      <c r="B54" s="2256" t="s">
        <v>275</v>
      </c>
      <c r="C54" s="2256"/>
      <c r="D54" s="2195"/>
      <c r="E54" s="142"/>
      <c r="F54" s="142"/>
      <c r="G54" s="142"/>
      <c r="H54" s="142"/>
      <c r="I54" s="116"/>
      <c r="P54" s="118"/>
      <c r="Q54" s="118"/>
      <c r="U54" s="177"/>
      <c r="V54" s="177"/>
      <c r="W54" s="177"/>
      <c r="X54" s="177"/>
      <c r="Y54" s="177"/>
      <c r="Z54" s="177"/>
      <c r="AA54" s="177"/>
      <c r="AB54" s="177"/>
    </row>
    <row r="55" spans="2:65">
      <c r="B55" s="127"/>
      <c r="C55" s="128"/>
      <c r="D55" s="128"/>
      <c r="E55" s="142"/>
      <c r="F55" s="142"/>
      <c r="G55" s="142"/>
      <c r="H55" s="142"/>
      <c r="I55" s="116"/>
      <c r="P55" s="118"/>
      <c r="Q55" s="118"/>
      <c r="U55" s="177"/>
      <c r="V55" s="177"/>
      <c r="W55" s="177"/>
      <c r="X55" s="177"/>
      <c r="Y55" s="177"/>
      <c r="Z55" s="177"/>
      <c r="AA55" s="177"/>
      <c r="AB55" s="177"/>
    </row>
    <row r="56" spans="2:65">
      <c r="B56" s="26"/>
      <c r="C56" s="129" t="s">
        <v>249</v>
      </c>
      <c r="D56" s="129"/>
      <c r="E56" s="142"/>
      <c r="F56" s="142"/>
      <c r="G56" s="142"/>
      <c r="H56" s="142"/>
      <c r="I56" s="116"/>
      <c r="P56" s="118"/>
      <c r="Q56" s="118"/>
      <c r="U56" s="177"/>
      <c r="V56" s="177"/>
      <c r="W56" s="177"/>
      <c r="X56" s="177"/>
      <c r="Y56" s="177"/>
      <c r="Z56" s="177"/>
      <c r="AA56" s="177"/>
      <c r="AB56" s="177"/>
    </row>
    <row r="57" spans="2:65">
      <c r="B57" s="127"/>
      <c r="C57" s="128"/>
      <c r="D57" s="128"/>
      <c r="E57" s="142"/>
      <c r="F57" s="142"/>
      <c r="G57" s="142"/>
      <c r="H57" s="142"/>
      <c r="I57" s="116"/>
      <c r="P57" s="118"/>
      <c r="Q57" s="118"/>
      <c r="U57" s="177"/>
      <c r="V57" s="177"/>
      <c r="W57" s="177"/>
      <c r="X57" s="177"/>
      <c r="Y57" s="177"/>
      <c r="Z57" s="177"/>
      <c r="AA57" s="177"/>
      <c r="AB57" s="177"/>
    </row>
    <row r="58" spans="2:65">
      <c r="B58" s="130"/>
      <c r="C58" s="129" t="s">
        <v>250</v>
      </c>
      <c r="D58" s="129"/>
      <c r="E58" s="142"/>
      <c r="F58" s="142"/>
      <c r="G58" s="142"/>
      <c r="H58" s="142"/>
      <c r="I58" s="116"/>
      <c r="P58" s="118"/>
      <c r="Q58" s="118"/>
      <c r="U58" s="177"/>
      <c r="V58" s="177"/>
      <c r="W58" s="177"/>
      <c r="X58" s="177"/>
      <c r="Y58" s="177"/>
      <c r="Z58" s="177"/>
      <c r="AA58" s="177"/>
      <c r="AB58" s="177"/>
    </row>
    <row r="59" spans="2:65">
      <c r="B59" s="131"/>
      <c r="C59" s="129"/>
      <c r="D59" s="129"/>
      <c r="E59" s="142"/>
      <c r="F59" s="142"/>
      <c r="G59" s="142"/>
      <c r="H59" s="142"/>
      <c r="I59" s="116"/>
      <c r="P59" s="118"/>
      <c r="Q59" s="118"/>
      <c r="U59" s="177"/>
      <c r="V59" s="177"/>
      <c r="W59" s="177"/>
      <c r="X59" s="177"/>
      <c r="Y59" s="177"/>
      <c r="Z59" s="177"/>
      <c r="AA59" s="177"/>
      <c r="AB59" s="177"/>
    </row>
    <row r="60" spans="2:65" ht="15" thickBot="1">
      <c r="B60" s="155"/>
      <c r="C60" s="156"/>
      <c r="D60" s="156"/>
      <c r="E60" s="155"/>
      <c r="F60" s="155"/>
      <c r="G60" s="155"/>
      <c r="H60" s="155"/>
      <c r="I60" s="118"/>
      <c r="P60" s="118"/>
      <c r="Q60" s="118"/>
      <c r="U60" s="177"/>
      <c r="V60" s="177"/>
      <c r="W60" s="177"/>
      <c r="X60" s="177"/>
      <c r="Y60" s="177"/>
      <c r="Z60" s="177"/>
      <c r="AA60" s="177"/>
      <c r="AB60" s="177"/>
    </row>
    <row r="61" spans="2:65" ht="21" thickBot="1">
      <c r="B61" s="1166" t="s">
        <v>251</v>
      </c>
      <c r="C61" s="133"/>
      <c r="D61" s="133"/>
      <c r="E61" s="134"/>
      <c r="F61" s="134"/>
      <c r="G61" s="134"/>
      <c r="H61" s="134"/>
      <c r="I61" s="134"/>
      <c r="J61" s="134"/>
      <c r="K61" s="134"/>
      <c r="L61" s="134"/>
      <c r="M61" s="134"/>
      <c r="N61" s="134"/>
      <c r="O61" s="140"/>
      <c r="P61" s="118"/>
      <c r="Q61" s="118"/>
      <c r="U61" s="177"/>
      <c r="V61" s="177"/>
      <c r="W61" s="177"/>
      <c r="X61" s="177"/>
      <c r="Y61" s="177"/>
      <c r="Z61" s="177"/>
      <c r="AA61" s="177"/>
      <c r="AB61" s="177"/>
    </row>
    <row r="62" spans="2:65">
      <c r="B62" s="155"/>
      <c r="C62" s="156"/>
      <c r="D62" s="156"/>
      <c r="E62" s="155"/>
      <c r="F62" s="155"/>
      <c r="G62" s="155"/>
      <c r="H62" s="155"/>
      <c r="I62" s="118"/>
      <c r="P62" s="118"/>
      <c r="Q62" s="118"/>
      <c r="U62" s="177"/>
      <c r="V62" s="177"/>
      <c r="W62" s="177"/>
      <c r="X62" s="177"/>
      <c r="Y62" s="177"/>
      <c r="Z62" s="177"/>
      <c r="AA62" s="177"/>
      <c r="AB62" s="177"/>
    </row>
  </sheetData>
  <sheetProtection password="C460" sheet="1" objects="1" scenarios="1"/>
  <mergeCells count="19">
    <mergeCell ref="BK3:BM3"/>
    <mergeCell ref="BN3:BN4"/>
    <mergeCell ref="BA3:BB4"/>
    <mergeCell ref="BD3:BD4"/>
    <mergeCell ref="BE3:BE4"/>
    <mergeCell ref="BF3:BH3"/>
    <mergeCell ref="BI3:BJ3"/>
    <mergeCell ref="U5:AB5"/>
    <mergeCell ref="B54:C54"/>
    <mergeCell ref="B3:C4"/>
    <mergeCell ref="E3:E4"/>
    <mergeCell ref="F3:F4"/>
    <mergeCell ref="G3:I3"/>
    <mergeCell ref="J3:K3"/>
    <mergeCell ref="L3:N3"/>
    <mergeCell ref="O3:O4"/>
    <mergeCell ref="U4:AB4"/>
    <mergeCell ref="Q3:Q4"/>
    <mergeCell ref="R3:R4"/>
  </mergeCells>
  <conditionalFormatting sqref="Q31:R31">
    <cfRule type="cellIs" dxfId="129" priority="4" operator="equal">
      <formula>0</formula>
    </cfRule>
  </conditionalFormatting>
  <conditionalFormatting sqref="R6:R14">
    <cfRule type="cellIs" dxfId="128" priority="19" operator="equal">
      <formula>0</formula>
    </cfRule>
  </conditionalFormatting>
  <conditionalFormatting sqref="R17">
    <cfRule type="cellIs" dxfId="127" priority="18" operator="equal">
      <formula>0</formula>
    </cfRule>
  </conditionalFormatting>
  <conditionalFormatting sqref="R21:R25">
    <cfRule type="cellIs" dxfId="126" priority="17" operator="equal">
      <formula>0</formula>
    </cfRule>
  </conditionalFormatting>
  <conditionalFormatting sqref="R27">
    <cfRule type="cellIs" dxfId="125" priority="16" operator="equal">
      <formula>0</formula>
    </cfRule>
  </conditionalFormatting>
  <conditionalFormatting sqref="R36:R37">
    <cfRule type="cellIs" dxfId="124" priority="14" operator="equal">
      <formula>0</formula>
    </cfRule>
  </conditionalFormatting>
  <conditionalFormatting sqref="R42:R49">
    <cfRule type="cellIs" dxfId="123" priority="13" operator="equal">
      <formula>0</formula>
    </cfRule>
  </conditionalFormatting>
  <conditionalFormatting sqref="R51">
    <cfRule type="cellIs" dxfId="122"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33"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G42 G15:O15 G18:O18 G26:O26 G28:O28 G31:O31 G33:O33 G36:O37 G39:O39 H43 I44 J45 K46 L47 M48 N49 O7:O14 O17 O21:O25 O27</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G50:BM52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BF42 BF7:BN15 BF17:BN18 BF21:BN28 BF31:BN31 BF33:BN33 BF36:BN37 BF39:BN39 BG43 BH44 BI45 BJ46 BK47 BL48 BM49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
  <sheetViews>
    <sheetView workbookViewId="0"/>
  </sheetViews>
  <sheetFormatPr defaultRowHeight="14.25"/>
  <sheetData>
    <row r="1" spans="1:2">
      <c r="A1" t="s">
        <v>59</v>
      </c>
      <c r="B1" t="s">
        <v>60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T62"/>
  <sheetViews>
    <sheetView showGridLines="0" zoomScale="80" zoomScaleNormal="80" workbookViewId="0">
      <selection activeCell="G7" sqref="G7:L15"/>
    </sheetView>
  </sheetViews>
  <sheetFormatPr defaultColWidth="0" defaultRowHeight="14.25" zeroHeight="1"/>
  <cols>
    <col min="1" max="1" width="0.625" customWidth="1"/>
    <col min="2" max="2" width="5.625" customWidth="1"/>
    <col min="3" max="3" width="45.125" customWidth="1"/>
    <col min="4" max="4" width="0.125" hidden="1" customWidth="1"/>
    <col min="5" max="6" width="5.125" customWidth="1"/>
    <col min="7" max="13" width="11.125" customWidth="1"/>
    <col min="14" max="14" width="31.5" customWidth="1"/>
    <col min="15" max="15" width="2.5" customWidth="1"/>
    <col min="16" max="16" width="33.5" customWidth="1"/>
    <col min="17" max="17" width="1" customWidth="1"/>
    <col min="18" max="18" width="1.625" style="66" hidden="1" customWidth="1"/>
    <col min="19" max="25" width="3.5" hidden="1" customWidth="1"/>
    <col min="26" max="26" width="1.625" style="66" hidden="1" customWidth="1"/>
    <col min="27" max="27" width="9.625" style="67" hidden="1" customWidth="1"/>
    <col min="28" max="28" width="1.625" style="66" hidden="1" customWidth="1"/>
    <col min="29" max="29" width="8.625" hidden="1" customWidth="1"/>
    <col min="30" max="30" width="10.125" hidden="1" customWidth="1"/>
    <col min="31" max="31" width="77" hidden="1" customWidth="1"/>
    <col min="32" max="32" width="1.625" style="66" hidden="1" customWidth="1"/>
    <col min="33" max="33" width="5.625" hidden="1" customWidth="1"/>
    <col min="34" max="34" width="10" hidden="1" customWidth="1"/>
    <col min="35" max="35" width="51.5" hidden="1" customWidth="1"/>
    <col min="36" max="36" width="3.125" hidden="1" customWidth="1"/>
    <col min="37" max="37" width="12.625" hidden="1" customWidth="1"/>
    <col min="38" max="38" width="12.5" hidden="1" customWidth="1"/>
    <col min="39" max="39" width="13.125" hidden="1" customWidth="1"/>
    <col min="40" max="40" width="14.125" hidden="1" customWidth="1"/>
    <col min="41" max="41" width="16.625" hidden="1" customWidth="1"/>
    <col min="42" max="42" width="15.5" hidden="1" customWidth="1"/>
    <col min="43" max="43" width="13.625" hidden="1" customWidth="1"/>
    <col min="44" max="45" width="13.125" hidden="1" customWidth="1"/>
    <col min="46" max="46" width="12.5" hidden="1" customWidth="1"/>
    <col min="47" max="16384" width="8.625" hidden="1"/>
  </cols>
  <sheetData>
    <row r="1" spans="1:45" s="65" customFormat="1" ht="20.25">
      <c r="A1"/>
      <c r="B1" s="61" t="s">
        <v>3937</v>
      </c>
      <c r="C1" s="61"/>
      <c r="D1" s="61"/>
      <c r="E1" s="61"/>
      <c r="F1" s="61"/>
      <c r="G1" s="61"/>
      <c r="H1" s="61"/>
      <c r="I1" s="61"/>
      <c r="J1" s="61"/>
      <c r="K1" s="61"/>
      <c r="L1" s="61"/>
      <c r="M1" s="61"/>
      <c r="N1" s="63" t="str">
        <f>Validation!B3</f>
        <v>Thames Water</v>
      </c>
      <c r="O1" s="63"/>
      <c r="P1" s="64" t="s">
        <v>94</v>
      </c>
      <c r="R1" s="66"/>
      <c r="Z1" s="66"/>
      <c r="AA1" s="67"/>
      <c r="AB1" s="66"/>
      <c r="AC1"/>
      <c r="AD1"/>
      <c r="AE1"/>
      <c r="AF1" s="66"/>
      <c r="AH1" s="61" t="s">
        <v>3937</v>
      </c>
      <c r="AI1" s="61"/>
      <c r="AJ1" s="61"/>
      <c r="AK1" s="61"/>
      <c r="AL1" s="61"/>
      <c r="AM1" s="61"/>
      <c r="AN1" s="61"/>
      <c r="AO1" s="61"/>
      <c r="AP1" s="61"/>
      <c r="AQ1" s="61"/>
      <c r="AR1" s="61"/>
      <c r="AS1" s="61"/>
    </row>
    <row r="2" spans="1:45" s="147" customFormat="1" ht="16.5" thickBot="1">
      <c r="A2"/>
      <c r="B2" s="68" t="s">
        <v>80</v>
      </c>
      <c r="C2" s="1199"/>
      <c r="D2" s="1199"/>
      <c r="E2" s="1199"/>
      <c r="F2" s="1199"/>
      <c r="G2" s="1199"/>
      <c r="H2" s="1199"/>
      <c r="I2" s="1199"/>
      <c r="J2" s="1199"/>
      <c r="K2" s="1199"/>
      <c r="L2" s="1199"/>
      <c r="M2" s="1199"/>
      <c r="N2" s="1199"/>
      <c r="O2" s="1200"/>
      <c r="R2" s="66"/>
      <c r="Z2" s="66"/>
      <c r="AA2" s="67"/>
      <c r="AB2" s="66"/>
      <c r="AC2"/>
      <c r="AD2"/>
      <c r="AE2"/>
      <c r="AF2" s="66"/>
      <c r="AH2" s="68" t="s">
        <v>80</v>
      </c>
      <c r="AI2" s="1199"/>
      <c r="AJ2" s="1199"/>
      <c r="AK2" s="1199"/>
      <c r="AL2" s="1199"/>
      <c r="AM2" s="1199"/>
      <c r="AN2" s="1199"/>
      <c r="AO2" s="1199"/>
      <c r="AP2" s="1199"/>
      <c r="AQ2" s="1199"/>
      <c r="AR2" s="1199"/>
      <c r="AS2" s="1199"/>
    </row>
    <row r="3" spans="1:45" s="65" customFormat="1" ht="24" customHeight="1" thickBot="1">
      <c r="A3"/>
      <c r="B3" s="2352" t="s">
        <v>96</v>
      </c>
      <c r="C3" s="2353"/>
      <c r="D3" s="2210" t="s">
        <v>2690</v>
      </c>
      <c r="E3" s="2246" t="s">
        <v>98</v>
      </c>
      <c r="F3" s="2248" t="s">
        <v>99</v>
      </c>
      <c r="G3" s="2257" t="s">
        <v>745</v>
      </c>
      <c r="H3" s="2259"/>
      <c r="I3" s="2257" t="s">
        <v>2817</v>
      </c>
      <c r="J3" s="2258"/>
      <c r="K3" s="2258"/>
      <c r="L3" s="2259"/>
      <c r="M3" s="2240" t="s">
        <v>680</v>
      </c>
      <c r="N3" s="2240" t="s">
        <v>3938</v>
      </c>
      <c r="P3" s="2240" t="s">
        <v>103</v>
      </c>
      <c r="R3" s="66"/>
      <c r="S3" s="71" t="s">
        <v>107</v>
      </c>
      <c r="T3" s="72"/>
      <c r="U3" s="71"/>
      <c r="V3" s="71"/>
      <c r="W3" s="1391"/>
      <c r="X3" s="1391"/>
      <c r="Y3" s="1391"/>
      <c r="Z3" s="66"/>
      <c r="AA3" s="2194" t="s">
        <v>86</v>
      </c>
      <c r="AB3" s="66"/>
      <c r="AC3" s="71" t="s">
        <v>742</v>
      </c>
      <c r="AD3" s="2194"/>
      <c r="AE3" s="2194"/>
      <c r="AF3" s="66"/>
      <c r="AH3" s="2299" t="s">
        <v>96</v>
      </c>
      <c r="AI3" s="2300"/>
      <c r="AJ3" s="2210" t="s">
        <v>2690</v>
      </c>
      <c r="AK3" s="158" t="s">
        <v>98</v>
      </c>
      <c r="AL3" s="159" t="s">
        <v>99</v>
      </c>
      <c r="AM3" s="2350" t="s">
        <v>745</v>
      </c>
      <c r="AN3" s="2356"/>
      <c r="AO3" s="2350" t="s">
        <v>2817</v>
      </c>
      <c r="AP3" s="2351"/>
      <c r="AQ3" s="2351"/>
      <c r="AR3" s="2351"/>
      <c r="AS3" s="2240" t="s">
        <v>680</v>
      </c>
    </row>
    <row r="4" spans="1:45" s="65" customFormat="1" ht="27.75" thickBot="1">
      <c r="A4"/>
      <c r="B4" s="2354"/>
      <c r="C4" s="2355"/>
      <c r="D4" s="1728"/>
      <c r="E4" s="2247"/>
      <c r="F4" s="2249"/>
      <c r="G4" s="2201" t="s">
        <v>2818</v>
      </c>
      <c r="H4" s="1729" t="s">
        <v>2819</v>
      </c>
      <c r="I4" s="309" t="s">
        <v>2820</v>
      </c>
      <c r="J4" s="73" t="s">
        <v>2821</v>
      </c>
      <c r="K4" s="73" t="s">
        <v>2822</v>
      </c>
      <c r="L4" s="2202" t="s">
        <v>2823</v>
      </c>
      <c r="M4" s="2241"/>
      <c r="N4" s="2241"/>
      <c r="P4" s="2241"/>
      <c r="R4" s="66"/>
      <c r="W4" s="543"/>
      <c r="X4" s="543"/>
      <c r="Y4" s="543"/>
      <c r="Z4" s="66"/>
      <c r="AB4" s="66"/>
      <c r="AF4" s="66"/>
      <c r="AH4" s="754"/>
      <c r="AI4" s="754"/>
      <c r="AJ4" s="754"/>
      <c r="AK4" s="754"/>
      <c r="AL4" s="754"/>
      <c r="AM4" s="1177" t="s">
        <v>2818</v>
      </c>
      <c r="AN4" s="2216" t="s">
        <v>2819</v>
      </c>
      <c r="AO4" s="1392" t="s">
        <v>2820</v>
      </c>
      <c r="AP4" s="2213" t="s">
        <v>2821</v>
      </c>
      <c r="AQ4" s="2213" t="s">
        <v>2822</v>
      </c>
      <c r="AR4" s="755" t="s">
        <v>2823</v>
      </c>
      <c r="AS4" s="2241"/>
    </row>
    <row r="5" spans="1:45" s="65" customFormat="1" ht="15" customHeight="1" thickBot="1">
      <c r="A5"/>
      <c r="B5" s="756"/>
      <c r="C5" s="756"/>
      <c r="D5" s="756"/>
      <c r="E5" s="754"/>
      <c r="F5" s="754"/>
      <c r="G5" s="757"/>
      <c r="H5" s="757"/>
      <c r="I5" s="757"/>
      <c r="J5" s="757"/>
      <c r="K5" s="757"/>
      <c r="L5" s="757"/>
      <c r="M5" s="757"/>
      <c r="N5" s="757"/>
      <c r="O5" s="757"/>
      <c r="P5"/>
      <c r="R5" s="66"/>
      <c r="T5" s="78" t="s">
        <v>108</v>
      </c>
      <c r="U5" s="78"/>
      <c r="V5" s="78"/>
      <c r="W5" s="78"/>
      <c r="X5" s="78"/>
      <c r="Y5" s="78"/>
      <c r="Z5" s="66"/>
      <c r="AA5" s="67"/>
      <c r="AB5" s="66"/>
      <c r="AC5"/>
      <c r="AD5"/>
      <c r="AE5"/>
      <c r="AF5" s="66"/>
      <c r="AH5" s="756"/>
      <c r="AI5" s="756"/>
      <c r="AJ5" s="756"/>
      <c r="AK5" s="754"/>
      <c r="AL5" s="754"/>
      <c r="AM5" s="757"/>
      <c r="AN5" s="757"/>
      <c r="AO5" s="757"/>
      <c r="AP5" s="757"/>
      <c r="AQ5" s="757"/>
      <c r="AR5" s="757"/>
      <c r="AS5" s="757"/>
    </row>
    <row r="6" spans="1:45" ht="16.5" thickBot="1">
      <c r="A6" s="758"/>
      <c r="B6" s="759" t="s">
        <v>214</v>
      </c>
      <c r="C6" s="760" t="s">
        <v>3939</v>
      </c>
      <c r="D6" s="761"/>
      <c r="E6" s="761"/>
      <c r="F6" s="761"/>
      <c r="G6" s="761"/>
      <c r="H6" s="761"/>
      <c r="I6" s="758"/>
      <c r="J6" s="758"/>
      <c r="K6" s="758"/>
      <c r="L6" s="758"/>
      <c r="M6" s="758"/>
      <c r="N6" s="758"/>
      <c r="Q6" s="65"/>
      <c r="S6" s="65"/>
      <c r="T6" s="78"/>
      <c r="U6" s="78"/>
      <c r="V6" s="78"/>
      <c r="W6" s="78"/>
      <c r="X6" s="78"/>
      <c r="Y6" s="78"/>
      <c r="AH6" s="759" t="s">
        <v>214</v>
      </c>
      <c r="AI6" s="760" t="s">
        <v>3939</v>
      </c>
      <c r="AJ6" s="761"/>
      <c r="AK6" s="761"/>
      <c r="AL6" s="761"/>
      <c r="AM6" s="761"/>
      <c r="AN6" s="761"/>
      <c r="AO6" s="758"/>
      <c r="AP6" s="758"/>
      <c r="AQ6" s="758"/>
      <c r="AR6" s="758"/>
      <c r="AS6" s="758"/>
    </row>
    <row r="7" spans="1:45" ht="15.75">
      <c r="A7" s="758"/>
      <c r="B7" s="762" t="s">
        <v>3940</v>
      </c>
      <c r="C7" s="763" t="s">
        <v>869</v>
      </c>
      <c r="D7" s="763"/>
      <c r="E7" s="764" t="s">
        <v>8</v>
      </c>
      <c r="F7" s="765">
        <v>3</v>
      </c>
      <c r="G7" s="766">
        <v>0</v>
      </c>
      <c r="H7" s="1191">
        <v>13.356</v>
      </c>
      <c r="I7" s="1183">
        <v>0.318</v>
      </c>
      <c r="J7" s="767">
        <v>0</v>
      </c>
      <c r="K7" s="767">
        <v>9.5009999999999994</v>
      </c>
      <c r="L7" s="804">
        <v>31.361999999999998</v>
      </c>
      <c r="M7" s="768">
        <f>+SUM(G7:L7)</f>
        <v>54.536999999999992</v>
      </c>
      <c r="N7" s="769"/>
      <c r="P7" s="770">
        <f t="shared" ref="P7:P10" si="0" xml:space="preserve"> IF( SUM( R7:Z7 ) = 0, 0, $T$5 )</f>
        <v>0</v>
      </c>
      <c r="Q7" s="65"/>
      <c r="S7" s="65"/>
      <c r="T7" s="86">
        <f t="shared" ref="T7:Y7" si="1" xml:space="preserve"> IF( ISNUMBER( G7 ), 0, 1 )</f>
        <v>0</v>
      </c>
      <c r="U7" s="86">
        <f t="shared" si="1"/>
        <v>0</v>
      </c>
      <c r="V7" s="86">
        <f t="shared" si="1"/>
        <v>0</v>
      </c>
      <c r="W7" s="86">
        <f t="shared" si="1"/>
        <v>0</v>
      </c>
      <c r="X7" s="86">
        <f t="shared" si="1"/>
        <v>0</v>
      </c>
      <c r="Y7" s="86">
        <f t="shared" si="1"/>
        <v>0</v>
      </c>
      <c r="AH7" s="762" t="s">
        <v>3940</v>
      </c>
      <c r="AI7" s="763" t="s">
        <v>869</v>
      </c>
      <c r="AJ7" s="763"/>
      <c r="AK7" s="764" t="s">
        <v>8</v>
      </c>
      <c r="AL7" s="765">
        <v>3</v>
      </c>
      <c r="AM7" s="1417" t="s">
        <v>3941</v>
      </c>
      <c r="AN7" s="1418" t="s">
        <v>3942</v>
      </c>
      <c r="AO7" s="1419" t="s">
        <v>3943</v>
      </c>
      <c r="AP7" s="1420" t="s">
        <v>3944</v>
      </c>
      <c r="AQ7" s="1420" t="s">
        <v>3945</v>
      </c>
      <c r="AR7" s="1421" t="s">
        <v>3946</v>
      </c>
      <c r="AS7" s="1422" t="s">
        <v>3947</v>
      </c>
    </row>
    <row r="8" spans="1:45" ht="15.75">
      <c r="A8" s="758"/>
      <c r="B8" s="771" t="s">
        <v>3948</v>
      </c>
      <c r="C8" s="772" t="s">
        <v>877</v>
      </c>
      <c r="D8" s="772"/>
      <c r="E8" s="773" t="s">
        <v>8</v>
      </c>
      <c r="F8" s="774">
        <v>3</v>
      </c>
      <c r="G8" s="775">
        <v>0</v>
      </c>
      <c r="H8" s="1192">
        <v>-0.122</v>
      </c>
      <c r="I8" s="1184">
        <v>-0.01</v>
      </c>
      <c r="J8" s="776">
        <v>0</v>
      </c>
      <c r="K8" s="776">
        <v>-0.11799999999999999</v>
      </c>
      <c r="L8" s="806">
        <v>-1.4E-2</v>
      </c>
      <c r="M8" s="777">
        <f>+SUM(G8:L8)</f>
        <v>-0.26400000000000001</v>
      </c>
      <c r="N8" s="778"/>
      <c r="P8" s="770">
        <f t="shared" si="0"/>
        <v>0</v>
      </c>
      <c r="Q8" s="65"/>
      <c r="S8" s="65"/>
      <c r="T8" s="86">
        <f t="shared" ref="T8:T10" si="2" xml:space="preserve"> IF( ISNUMBER( G8 ), 0, 1 )</f>
        <v>0</v>
      </c>
      <c r="U8" s="86">
        <f t="shared" ref="U8:Y10" si="3" xml:space="preserve"> IF( ISNUMBER( H8 ), 0, 1 )</f>
        <v>0</v>
      </c>
      <c r="V8" s="86">
        <f t="shared" si="3"/>
        <v>0</v>
      </c>
      <c r="W8" s="86">
        <f t="shared" si="3"/>
        <v>0</v>
      </c>
      <c r="X8" s="86">
        <f t="shared" si="3"/>
        <v>0</v>
      </c>
      <c r="Y8" s="86">
        <f t="shared" si="3"/>
        <v>0</v>
      </c>
      <c r="AC8" s="24"/>
      <c r="AD8" s="24"/>
      <c r="AE8" s="24"/>
      <c r="AH8" s="771" t="s">
        <v>3948</v>
      </c>
      <c r="AI8" s="772" t="s">
        <v>877</v>
      </c>
      <c r="AJ8" s="772"/>
      <c r="AK8" s="773" t="s">
        <v>8</v>
      </c>
      <c r="AL8" s="774">
        <v>3</v>
      </c>
      <c r="AM8" s="1423" t="s">
        <v>3949</v>
      </c>
      <c r="AN8" s="1424" t="s">
        <v>3950</v>
      </c>
      <c r="AO8" s="1425" t="s">
        <v>3951</v>
      </c>
      <c r="AP8" s="1426" t="s">
        <v>3952</v>
      </c>
      <c r="AQ8" s="1426" t="s">
        <v>3953</v>
      </c>
      <c r="AR8" s="1427" t="s">
        <v>3954</v>
      </c>
      <c r="AS8" s="1428" t="s">
        <v>3955</v>
      </c>
    </row>
    <row r="9" spans="1:45" ht="15.75">
      <c r="A9" s="758"/>
      <c r="B9" s="771" t="s">
        <v>3956</v>
      </c>
      <c r="C9" s="772" t="s">
        <v>885</v>
      </c>
      <c r="D9" s="772"/>
      <c r="E9" s="773" t="s">
        <v>8</v>
      </c>
      <c r="F9" s="774">
        <v>3</v>
      </c>
      <c r="G9" s="775">
        <v>13.113</v>
      </c>
      <c r="H9" s="1192">
        <v>3.0000000000000001E-3</v>
      </c>
      <c r="I9" s="1184">
        <v>0</v>
      </c>
      <c r="J9" s="776">
        <v>0</v>
      </c>
      <c r="K9" s="776">
        <v>0</v>
      </c>
      <c r="L9" s="806">
        <v>0</v>
      </c>
      <c r="M9" s="777">
        <f>+SUM(G9:L9)</f>
        <v>13.116</v>
      </c>
      <c r="N9" s="778"/>
      <c r="P9" s="770">
        <f t="shared" si="0"/>
        <v>0</v>
      </c>
      <c r="Q9" s="65"/>
      <c r="S9" s="65"/>
      <c r="T9" s="86">
        <f t="shared" si="2"/>
        <v>0</v>
      </c>
      <c r="U9" s="86">
        <f t="shared" si="3"/>
        <v>0</v>
      </c>
      <c r="V9" s="86">
        <f t="shared" si="3"/>
        <v>0</v>
      </c>
      <c r="W9" s="86">
        <f t="shared" si="3"/>
        <v>0</v>
      </c>
      <c r="X9" s="86">
        <f t="shared" si="3"/>
        <v>0</v>
      </c>
      <c r="Y9" s="86">
        <f t="shared" si="3"/>
        <v>0</v>
      </c>
      <c r="AC9" s="24"/>
      <c r="AD9" s="24"/>
      <c r="AE9" s="24"/>
      <c r="AH9" s="771" t="s">
        <v>3956</v>
      </c>
      <c r="AI9" s="772" t="s">
        <v>885</v>
      </c>
      <c r="AJ9" s="772"/>
      <c r="AK9" s="773" t="s">
        <v>8</v>
      </c>
      <c r="AL9" s="774">
        <v>3</v>
      </c>
      <c r="AM9" s="1423" t="s">
        <v>3957</v>
      </c>
      <c r="AN9" s="1424" t="s">
        <v>3958</v>
      </c>
      <c r="AO9" s="1425" t="s">
        <v>3959</v>
      </c>
      <c r="AP9" s="1426" t="s">
        <v>3960</v>
      </c>
      <c r="AQ9" s="1426" t="s">
        <v>3961</v>
      </c>
      <c r="AR9" s="1427" t="s">
        <v>3962</v>
      </c>
      <c r="AS9" s="1428" t="s">
        <v>3963</v>
      </c>
    </row>
    <row r="10" spans="1:45" ht="15.75">
      <c r="A10" s="758"/>
      <c r="B10" s="771" t="s">
        <v>3964</v>
      </c>
      <c r="C10" s="772" t="s">
        <v>2849</v>
      </c>
      <c r="D10" s="772"/>
      <c r="E10" s="773" t="s">
        <v>8</v>
      </c>
      <c r="F10" s="774">
        <v>3</v>
      </c>
      <c r="G10" s="775">
        <v>0</v>
      </c>
      <c r="H10" s="1192">
        <v>2.5760000000000001</v>
      </c>
      <c r="I10" s="1184">
        <v>0</v>
      </c>
      <c r="J10" s="776">
        <v>0</v>
      </c>
      <c r="K10" s="776">
        <v>0</v>
      </c>
      <c r="L10" s="806">
        <v>0.107</v>
      </c>
      <c r="M10" s="777">
        <f>+SUM(G10:L10)</f>
        <v>2.6830000000000003</v>
      </c>
      <c r="N10" s="778"/>
      <c r="P10" s="770">
        <f t="shared" si="0"/>
        <v>0</v>
      </c>
      <c r="Q10" s="65"/>
      <c r="S10" s="65"/>
      <c r="T10" s="86">
        <f t="shared" si="2"/>
        <v>0</v>
      </c>
      <c r="U10" s="86">
        <f t="shared" si="3"/>
        <v>0</v>
      </c>
      <c r="V10" s="86">
        <f t="shared" si="3"/>
        <v>0</v>
      </c>
      <c r="W10" s="86">
        <f t="shared" si="3"/>
        <v>0</v>
      </c>
      <c r="X10" s="86">
        <f t="shared" si="3"/>
        <v>0</v>
      </c>
      <c r="Y10" s="86">
        <f t="shared" si="3"/>
        <v>0</v>
      </c>
      <c r="AC10" s="24"/>
      <c r="AD10" s="24"/>
      <c r="AE10" s="24"/>
      <c r="AH10" s="771" t="s">
        <v>3964</v>
      </c>
      <c r="AI10" s="772" t="s">
        <v>2849</v>
      </c>
      <c r="AJ10" s="772"/>
      <c r="AK10" s="773" t="s">
        <v>8</v>
      </c>
      <c r="AL10" s="774">
        <v>3</v>
      </c>
      <c r="AM10" s="1423" t="s">
        <v>3965</v>
      </c>
      <c r="AN10" s="1424" t="s">
        <v>3966</v>
      </c>
      <c r="AO10" s="1425" t="s">
        <v>3967</v>
      </c>
      <c r="AP10" s="1426" t="s">
        <v>3968</v>
      </c>
      <c r="AQ10" s="1426" t="s">
        <v>3969</v>
      </c>
      <c r="AR10" s="1427" t="s">
        <v>3970</v>
      </c>
      <c r="AS10" s="1428" t="s">
        <v>3971</v>
      </c>
    </row>
    <row r="11" spans="1:45" ht="15.75">
      <c r="A11" s="758"/>
      <c r="B11" s="771"/>
      <c r="C11" s="779" t="s">
        <v>1085</v>
      </c>
      <c r="D11" s="780"/>
      <c r="E11" s="781"/>
      <c r="F11" s="782"/>
      <c r="G11" s="783"/>
      <c r="H11" s="783"/>
      <c r="I11" s="783"/>
      <c r="J11" s="783"/>
      <c r="K11" s="783"/>
      <c r="L11" s="783"/>
      <c r="M11" s="783"/>
      <c r="N11" s="2039"/>
      <c r="P11" s="491"/>
      <c r="S11" s="65"/>
      <c r="AC11" s="24"/>
      <c r="AD11" s="24"/>
      <c r="AE11" s="24"/>
      <c r="AH11" s="771"/>
      <c r="AI11" s="779" t="s">
        <v>1085</v>
      </c>
      <c r="AJ11" s="780"/>
      <c r="AK11" s="781"/>
      <c r="AL11" s="782"/>
      <c r="AM11" s="1429"/>
      <c r="AN11" s="1430"/>
      <c r="AO11" s="1429"/>
      <c r="AP11" s="1429"/>
      <c r="AQ11" s="1429"/>
      <c r="AR11" s="1429"/>
      <c r="AS11" s="1431"/>
    </row>
    <row r="12" spans="1:45" ht="15.75">
      <c r="A12" s="758"/>
      <c r="B12" s="784" t="s">
        <v>3972</v>
      </c>
      <c r="C12" s="785" t="s">
        <v>3973</v>
      </c>
      <c r="D12" s="785"/>
      <c r="E12" s="773" t="s">
        <v>8</v>
      </c>
      <c r="F12" s="786">
        <v>3</v>
      </c>
      <c r="G12" s="775">
        <v>0</v>
      </c>
      <c r="H12" s="1192">
        <v>0</v>
      </c>
      <c r="I12" s="1184">
        <v>0</v>
      </c>
      <c r="J12" s="776">
        <v>0</v>
      </c>
      <c r="K12" s="776">
        <v>0</v>
      </c>
      <c r="L12" s="806">
        <v>63.095999999999997</v>
      </c>
      <c r="M12" s="777">
        <f>+SUM(G12:L12)</f>
        <v>63.095999999999997</v>
      </c>
      <c r="N12" s="778"/>
      <c r="P12" s="770">
        <f t="shared" ref="P12:P15" si="4" xml:space="preserve"> IF( SUM( R12:Z12 ) = 0, 0, $T$5 )</f>
        <v>0</v>
      </c>
      <c r="Q12" s="65"/>
      <c r="S12" s="65"/>
      <c r="T12" s="86">
        <f t="shared" ref="T12:Y15" si="5" xml:space="preserve"> IF( ISNUMBER( G12 ), 0, 1 )</f>
        <v>0</v>
      </c>
      <c r="U12" s="86">
        <f t="shared" si="5"/>
        <v>0</v>
      </c>
      <c r="V12" s="86">
        <f t="shared" si="5"/>
        <v>0</v>
      </c>
      <c r="W12" s="86">
        <f t="shared" si="5"/>
        <v>0</v>
      </c>
      <c r="X12" s="86">
        <f t="shared" si="5"/>
        <v>0</v>
      </c>
      <c r="Y12" s="86">
        <f t="shared" si="5"/>
        <v>0</v>
      </c>
      <c r="AC12" s="24"/>
      <c r="AD12" s="24"/>
      <c r="AE12" s="24"/>
      <c r="AH12" s="784" t="s">
        <v>3972</v>
      </c>
      <c r="AI12" s="785" t="s">
        <v>3973</v>
      </c>
      <c r="AJ12" s="785"/>
      <c r="AK12" s="773" t="s">
        <v>8</v>
      </c>
      <c r="AL12" s="786">
        <v>3</v>
      </c>
      <c r="AM12" s="1423" t="s">
        <v>3974</v>
      </c>
      <c r="AN12" s="1424" t="s">
        <v>3975</v>
      </c>
      <c r="AO12" s="1425" t="s">
        <v>3976</v>
      </c>
      <c r="AP12" s="1426" t="s">
        <v>3977</v>
      </c>
      <c r="AQ12" s="1426" t="s">
        <v>3978</v>
      </c>
      <c r="AR12" s="1427" t="s">
        <v>3979</v>
      </c>
      <c r="AS12" s="1428" t="s">
        <v>3980</v>
      </c>
    </row>
    <row r="13" spans="1:45" ht="15.75">
      <c r="A13" s="758"/>
      <c r="B13" s="771" t="s">
        <v>3981</v>
      </c>
      <c r="C13" s="772" t="s">
        <v>3982</v>
      </c>
      <c r="D13" s="772"/>
      <c r="E13" s="773" t="s">
        <v>8</v>
      </c>
      <c r="F13" s="786">
        <v>3</v>
      </c>
      <c r="G13" s="775">
        <v>0</v>
      </c>
      <c r="H13" s="1192">
        <v>0</v>
      </c>
      <c r="I13" s="1184">
        <v>0</v>
      </c>
      <c r="J13" s="776">
        <v>0</v>
      </c>
      <c r="K13" s="776">
        <v>0</v>
      </c>
      <c r="L13" s="806">
        <v>0</v>
      </c>
      <c r="M13" s="777">
        <f>+SUM(G13:L13)</f>
        <v>0</v>
      </c>
      <c r="N13" s="778"/>
      <c r="P13" s="770">
        <f t="shared" si="4"/>
        <v>0</v>
      </c>
      <c r="Q13" s="65"/>
      <c r="S13" s="65"/>
      <c r="T13" s="86">
        <f t="shared" si="5"/>
        <v>0</v>
      </c>
      <c r="U13" s="86">
        <f t="shared" si="5"/>
        <v>0</v>
      </c>
      <c r="V13" s="86">
        <f t="shared" si="5"/>
        <v>0</v>
      </c>
      <c r="W13" s="86">
        <f t="shared" si="5"/>
        <v>0</v>
      </c>
      <c r="X13" s="86">
        <f t="shared" si="5"/>
        <v>0</v>
      </c>
      <c r="Y13" s="86">
        <f t="shared" si="5"/>
        <v>0</v>
      </c>
      <c r="AC13" s="24"/>
      <c r="AD13" s="24"/>
      <c r="AE13" s="24"/>
      <c r="AH13" s="771" t="s">
        <v>3981</v>
      </c>
      <c r="AI13" s="772" t="s">
        <v>3982</v>
      </c>
      <c r="AJ13" s="772"/>
      <c r="AK13" s="773" t="s">
        <v>8</v>
      </c>
      <c r="AL13" s="786">
        <v>3</v>
      </c>
      <c r="AM13" s="1423" t="s">
        <v>3983</v>
      </c>
      <c r="AN13" s="1424" t="s">
        <v>3984</v>
      </c>
      <c r="AO13" s="1425" t="s">
        <v>3985</v>
      </c>
      <c r="AP13" s="1426" t="s">
        <v>3986</v>
      </c>
      <c r="AQ13" s="1426" t="s">
        <v>3987</v>
      </c>
      <c r="AR13" s="1427" t="s">
        <v>3988</v>
      </c>
      <c r="AS13" s="1428" t="s">
        <v>3989</v>
      </c>
    </row>
    <row r="14" spans="1:45" ht="15.75">
      <c r="A14" s="758"/>
      <c r="B14" s="771" t="s">
        <v>3990</v>
      </c>
      <c r="C14" s="772" t="s">
        <v>3991</v>
      </c>
      <c r="D14" s="772"/>
      <c r="E14" s="773" t="s">
        <v>8</v>
      </c>
      <c r="F14" s="786">
        <v>3</v>
      </c>
      <c r="G14" s="775">
        <v>0.8</v>
      </c>
      <c r="H14" s="1192">
        <v>26.317</v>
      </c>
      <c r="I14" s="1184">
        <v>1.649</v>
      </c>
      <c r="J14" s="776">
        <v>0</v>
      </c>
      <c r="K14" s="776">
        <v>62.128999999999998</v>
      </c>
      <c r="L14" s="806">
        <v>162.12</v>
      </c>
      <c r="M14" s="777">
        <f>+SUM(G14:L14)</f>
        <v>253.01499999999999</v>
      </c>
      <c r="N14" s="778"/>
      <c r="P14" s="770">
        <f t="shared" si="4"/>
        <v>0</v>
      </c>
      <c r="Q14" s="65"/>
      <c r="S14" s="65"/>
      <c r="T14" s="86">
        <f t="shared" si="5"/>
        <v>0</v>
      </c>
      <c r="U14" s="86">
        <f t="shared" si="5"/>
        <v>0</v>
      </c>
      <c r="V14" s="86">
        <f t="shared" si="5"/>
        <v>0</v>
      </c>
      <c r="W14" s="86">
        <f t="shared" si="5"/>
        <v>0</v>
      </c>
      <c r="X14" s="86">
        <f t="shared" si="5"/>
        <v>0</v>
      </c>
      <c r="Y14" s="86">
        <f t="shared" si="5"/>
        <v>0</v>
      </c>
      <c r="AC14" s="24"/>
      <c r="AD14" s="24"/>
      <c r="AE14" s="24"/>
      <c r="AH14" s="771" t="s">
        <v>3990</v>
      </c>
      <c r="AI14" s="772" t="s">
        <v>3991</v>
      </c>
      <c r="AJ14" s="772"/>
      <c r="AK14" s="773" t="s">
        <v>8</v>
      </c>
      <c r="AL14" s="786">
        <v>3</v>
      </c>
      <c r="AM14" s="1423" t="s">
        <v>3992</v>
      </c>
      <c r="AN14" s="1424" t="s">
        <v>3993</v>
      </c>
      <c r="AO14" s="1425" t="s">
        <v>3994</v>
      </c>
      <c r="AP14" s="1426" t="s">
        <v>3995</v>
      </c>
      <c r="AQ14" s="1426" t="s">
        <v>3996</v>
      </c>
      <c r="AR14" s="1427" t="s">
        <v>3997</v>
      </c>
      <c r="AS14" s="1428" t="s">
        <v>3998</v>
      </c>
    </row>
    <row r="15" spans="1:45" ht="15.75">
      <c r="A15" s="758"/>
      <c r="B15" s="771" t="s">
        <v>3999</v>
      </c>
      <c r="C15" s="772" t="s">
        <v>925</v>
      </c>
      <c r="D15" s="772"/>
      <c r="E15" s="773" t="s">
        <v>8</v>
      </c>
      <c r="F15" s="786">
        <v>3</v>
      </c>
      <c r="G15" s="775">
        <v>0</v>
      </c>
      <c r="H15" s="1192">
        <v>3.4950000000000001</v>
      </c>
      <c r="I15" s="1184">
        <v>6.3019999999999996</v>
      </c>
      <c r="J15" s="776">
        <v>0</v>
      </c>
      <c r="K15" s="776">
        <v>5.734</v>
      </c>
      <c r="L15" s="806">
        <v>60.44</v>
      </c>
      <c r="M15" s="777">
        <f>+SUM(G15:L15)</f>
        <v>75.971000000000004</v>
      </c>
      <c r="N15" s="778"/>
      <c r="P15" s="770">
        <f t="shared" si="4"/>
        <v>0</v>
      </c>
      <c r="Q15" s="65"/>
      <c r="S15" s="65"/>
      <c r="T15" s="86">
        <f t="shared" si="5"/>
        <v>0</v>
      </c>
      <c r="U15" s="86">
        <f t="shared" si="5"/>
        <v>0</v>
      </c>
      <c r="V15" s="86">
        <f t="shared" si="5"/>
        <v>0</v>
      </c>
      <c r="W15" s="86">
        <f t="shared" si="5"/>
        <v>0</v>
      </c>
      <c r="X15" s="86">
        <f t="shared" si="5"/>
        <v>0</v>
      </c>
      <c r="Y15" s="86">
        <f t="shared" si="5"/>
        <v>0</v>
      </c>
      <c r="AC15" s="24"/>
      <c r="AD15" s="24"/>
      <c r="AE15" s="24"/>
      <c r="AH15" s="771" t="s">
        <v>3999</v>
      </c>
      <c r="AI15" s="772" t="s">
        <v>925</v>
      </c>
      <c r="AJ15" s="772"/>
      <c r="AK15" s="773" t="s">
        <v>8</v>
      </c>
      <c r="AL15" s="786">
        <v>3</v>
      </c>
      <c r="AM15" s="1423" t="s">
        <v>4000</v>
      </c>
      <c r="AN15" s="1424" t="s">
        <v>4001</v>
      </c>
      <c r="AO15" s="1425" t="s">
        <v>4002</v>
      </c>
      <c r="AP15" s="1426" t="s">
        <v>4003</v>
      </c>
      <c r="AQ15" s="1426" t="s">
        <v>4004</v>
      </c>
      <c r="AR15" s="1427" t="s">
        <v>4005</v>
      </c>
      <c r="AS15" s="1428" t="s">
        <v>4006</v>
      </c>
    </row>
    <row r="16" spans="1:45" ht="16.5" thickBot="1">
      <c r="A16" s="758"/>
      <c r="B16" s="787" t="s">
        <v>4007</v>
      </c>
      <c r="C16" s="788" t="s">
        <v>4008</v>
      </c>
      <c r="D16" s="788"/>
      <c r="E16" s="789" t="s">
        <v>8</v>
      </c>
      <c r="F16" s="790">
        <v>3</v>
      </c>
      <c r="G16" s="791">
        <f t="shared" ref="G16" si="6">+SUM(G7:G15)</f>
        <v>13.913</v>
      </c>
      <c r="H16" s="1193">
        <f>+SUM(H7:H15)</f>
        <v>45.625</v>
      </c>
      <c r="I16" s="1185">
        <f>+SUM(I7:I15)</f>
        <v>8.2590000000000003</v>
      </c>
      <c r="J16" s="792">
        <f>+SUM(J7:J15)</f>
        <v>0</v>
      </c>
      <c r="K16" s="792">
        <f>+SUM(K7:K15)</f>
        <v>77.245999999999995</v>
      </c>
      <c r="L16" s="1202">
        <f>+SUM(L7:L15)</f>
        <v>317.11099999999999</v>
      </c>
      <c r="M16" s="793">
        <f>+SUM(G16:L16)</f>
        <v>462.154</v>
      </c>
      <c r="N16" s="794"/>
      <c r="P16" s="491"/>
      <c r="S16" s="65"/>
      <c r="AC16" s="24"/>
      <c r="AD16" s="24"/>
      <c r="AE16" s="24"/>
      <c r="AH16" s="787" t="s">
        <v>4007</v>
      </c>
      <c r="AI16" s="788" t="s">
        <v>4008</v>
      </c>
      <c r="AJ16" s="788"/>
      <c r="AK16" s="789" t="s">
        <v>8</v>
      </c>
      <c r="AL16" s="790">
        <v>3</v>
      </c>
      <c r="AM16" s="1432" t="s">
        <v>4009</v>
      </c>
      <c r="AN16" s="1433" t="s">
        <v>4010</v>
      </c>
      <c r="AO16" s="1434" t="s">
        <v>4011</v>
      </c>
      <c r="AP16" s="1435" t="s">
        <v>4012</v>
      </c>
      <c r="AQ16" s="1435" t="s">
        <v>4013</v>
      </c>
      <c r="AR16" s="1436" t="s">
        <v>4014</v>
      </c>
      <c r="AS16" s="1437" t="s">
        <v>4015</v>
      </c>
    </row>
    <row r="17" spans="1:45" ht="16.5" thickBot="1">
      <c r="A17" s="758"/>
      <c r="B17" s="758"/>
      <c r="C17" s="758"/>
      <c r="D17" s="758"/>
      <c r="E17" s="758"/>
      <c r="F17" s="758"/>
      <c r="G17" s="758"/>
      <c r="H17" s="758"/>
      <c r="I17" s="758"/>
      <c r="J17" s="758"/>
      <c r="K17" s="758"/>
      <c r="L17" s="758"/>
      <c r="M17" s="758"/>
      <c r="N17" s="2120"/>
      <c r="P17" s="491"/>
      <c r="S17" s="65"/>
      <c r="AC17" s="24"/>
      <c r="AD17" s="24"/>
      <c r="AE17" s="24"/>
      <c r="AH17" s="758"/>
      <c r="AI17" s="758"/>
      <c r="AJ17" s="758"/>
      <c r="AK17" s="758"/>
      <c r="AL17" s="758"/>
      <c r="AM17" s="1438"/>
      <c r="AN17" s="1438"/>
      <c r="AO17" s="1438"/>
      <c r="AP17" s="1438"/>
      <c r="AQ17" s="1438"/>
      <c r="AR17" s="1438"/>
      <c r="AS17" s="1438"/>
    </row>
    <row r="18" spans="1:45" ht="15.75">
      <c r="A18" s="758"/>
      <c r="B18" s="762" t="s">
        <v>4016</v>
      </c>
      <c r="C18" s="763" t="s">
        <v>941</v>
      </c>
      <c r="D18" s="763"/>
      <c r="E18" s="764" t="s">
        <v>8</v>
      </c>
      <c r="F18" s="765">
        <v>3</v>
      </c>
      <c r="G18" s="766">
        <v>0</v>
      </c>
      <c r="H18" s="1191">
        <v>2.3340000000000001</v>
      </c>
      <c r="I18" s="1183">
        <v>0</v>
      </c>
      <c r="J18" s="767">
        <v>0</v>
      </c>
      <c r="K18" s="767">
        <v>0</v>
      </c>
      <c r="L18" s="804">
        <v>3.722</v>
      </c>
      <c r="M18" s="768">
        <f>+SUM(G18:L18)</f>
        <v>6.056</v>
      </c>
      <c r="N18" s="769"/>
      <c r="P18" s="770">
        <f t="shared" ref="P18" si="7" xml:space="preserve"> IF( SUM( R18:Z18 ) = 0, 0, $T$5 )</f>
        <v>0</v>
      </c>
      <c r="Q18" s="65"/>
      <c r="S18" s="65"/>
      <c r="T18" s="86">
        <f t="shared" ref="T18:Y18" si="8" xml:space="preserve"> IF( ISNUMBER( G18 ), 0, 1 )</f>
        <v>0</v>
      </c>
      <c r="U18" s="86">
        <f t="shared" si="8"/>
        <v>0</v>
      </c>
      <c r="V18" s="86">
        <f t="shared" si="8"/>
        <v>0</v>
      </c>
      <c r="W18" s="86">
        <f t="shared" si="8"/>
        <v>0</v>
      </c>
      <c r="X18" s="86">
        <f t="shared" si="8"/>
        <v>0</v>
      </c>
      <c r="Y18" s="86">
        <f t="shared" si="8"/>
        <v>0</v>
      </c>
      <c r="AC18" s="24"/>
      <c r="AD18" s="24"/>
      <c r="AE18" s="24"/>
      <c r="AH18" s="762" t="s">
        <v>4016</v>
      </c>
      <c r="AI18" s="763" t="s">
        <v>941</v>
      </c>
      <c r="AJ18" s="763"/>
      <c r="AK18" s="764" t="s">
        <v>8</v>
      </c>
      <c r="AL18" s="765">
        <v>3</v>
      </c>
      <c r="AM18" s="1417" t="s">
        <v>4017</v>
      </c>
      <c r="AN18" s="1418" t="s">
        <v>4018</v>
      </c>
      <c r="AO18" s="1419" t="s">
        <v>4019</v>
      </c>
      <c r="AP18" s="1420" t="s">
        <v>4020</v>
      </c>
      <c r="AQ18" s="1420" t="s">
        <v>4021</v>
      </c>
      <c r="AR18" s="1421" t="s">
        <v>4022</v>
      </c>
      <c r="AS18" s="1422" t="s">
        <v>4023</v>
      </c>
    </row>
    <row r="19" spans="1:45" ht="16.5" thickBot="1">
      <c r="A19" s="758"/>
      <c r="B19" s="787" t="s">
        <v>4024</v>
      </c>
      <c r="C19" s="788" t="s">
        <v>949</v>
      </c>
      <c r="D19" s="788"/>
      <c r="E19" s="789" t="s">
        <v>8</v>
      </c>
      <c r="F19" s="790">
        <v>3</v>
      </c>
      <c r="G19" s="791">
        <f t="shared" ref="G19" si="9">+G16+G18</f>
        <v>13.913</v>
      </c>
      <c r="H19" s="1193">
        <f>+H16+H18</f>
        <v>47.959000000000003</v>
      </c>
      <c r="I19" s="1185">
        <f>+I16+I18</f>
        <v>8.2590000000000003</v>
      </c>
      <c r="J19" s="792">
        <f>+J16+J18</f>
        <v>0</v>
      </c>
      <c r="K19" s="792">
        <f>+K16+K18</f>
        <v>77.245999999999995</v>
      </c>
      <c r="L19" s="1202">
        <f>+L16+L18</f>
        <v>320.83299999999997</v>
      </c>
      <c r="M19" s="793">
        <f>+SUM(G19:L19)</f>
        <v>468.21</v>
      </c>
      <c r="N19" s="794"/>
      <c r="P19" s="491"/>
      <c r="S19" s="65"/>
      <c r="AC19" s="24"/>
      <c r="AD19" s="24"/>
      <c r="AE19" s="24"/>
      <c r="AH19" s="787" t="s">
        <v>4024</v>
      </c>
      <c r="AI19" s="788" t="s">
        <v>949</v>
      </c>
      <c r="AJ19" s="788"/>
      <c r="AK19" s="789" t="s">
        <v>8</v>
      </c>
      <c r="AL19" s="790">
        <v>3</v>
      </c>
      <c r="AM19" s="1432" t="s">
        <v>4025</v>
      </c>
      <c r="AN19" s="1433" t="s">
        <v>4026</v>
      </c>
      <c r="AO19" s="1434" t="s">
        <v>4027</v>
      </c>
      <c r="AP19" s="1435" t="s">
        <v>4028</v>
      </c>
      <c r="AQ19" s="1435" t="s">
        <v>4029</v>
      </c>
      <c r="AR19" s="1436" t="s">
        <v>4030</v>
      </c>
      <c r="AS19" s="1437" t="s">
        <v>4031</v>
      </c>
    </row>
    <row r="20" spans="1:45" ht="16.5" thickBot="1">
      <c r="A20" s="758"/>
      <c r="B20" s="758"/>
      <c r="C20" s="758"/>
      <c r="D20" s="758"/>
      <c r="E20" s="758"/>
      <c r="F20" s="758"/>
      <c r="G20" s="758"/>
      <c r="H20" s="758"/>
      <c r="I20" s="758"/>
      <c r="J20" s="758"/>
      <c r="K20" s="758"/>
      <c r="L20" s="758"/>
      <c r="M20" s="758"/>
      <c r="N20" s="2120"/>
      <c r="P20" s="491"/>
      <c r="S20" s="65"/>
      <c r="AC20" s="24"/>
      <c r="AD20" s="24"/>
      <c r="AE20" s="24"/>
      <c r="AH20" s="758"/>
      <c r="AI20" s="758"/>
      <c r="AJ20" s="758"/>
      <c r="AK20" s="758"/>
      <c r="AL20" s="758"/>
      <c r="AM20" s="1438"/>
      <c r="AN20" s="1438"/>
      <c r="AO20" s="1438"/>
      <c r="AP20" s="1438"/>
      <c r="AQ20" s="1438"/>
      <c r="AR20" s="1438"/>
      <c r="AS20" s="1438"/>
    </row>
    <row r="21" spans="1:45" ht="16.5" thickBot="1">
      <c r="A21" s="758"/>
      <c r="B21" s="759" t="s">
        <v>236</v>
      </c>
      <c r="C21" s="760" t="s">
        <v>4032</v>
      </c>
      <c r="D21" s="2215"/>
      <c r="E21" s="761"/>
      <c r="F21" s="761"/>
      <c r="G21" s="758"/>
      <c r="H21" s="758"/>
      <c r="I21" s="758"/>
      <c r="J21" s="758"/>
      <c r="K21" s="758"/>
      <c r="L21" s="758"/>
      <c r="M21" s="758"/>
      <c r="N21" s="2120"/>
      <c r="P21" s="491"/>
      <c r="R21" s="111"/>
      <c r="S21" s="65"/>
      <c r="Z21" s="111"/>
      <c r="AB21" s="111"/>
      <c r="AC21" s="24"/>
      <c r="AD21" s="24"/>
      <c r="AE21" s="24"/>
      <c r="AF21" s="111"/>
      <c r="AH21" s="759" t="s">
        <v>236</v>
      </c>
      <c r="AI21" s="760" t="s">
        <v>4032</v>
      </c>
      <c r="AJ21" s="2215"/>
      <c r="AK21" s="761"/>
      <c r="AL21" s="761"/>
      <c r="AM21" s="1438"/>
      <c r="AN21" s="1438"/>
      <c r="AO21" s="1438"/>
      <c r="AP21" s="1438"/>
      <c r="AQ21" s="1438"/>
      <c r="AR21" s="1438"/>
      <c r="AS21" s="1438"/>
    </row>
    <row r="22" spans="1:45" ht="15.75">
      <c r="A22" s="758"/>
      <c r="B22" s="762" t="s">
        <v>4033</v>
      </c>
      <c r="C22" s="763" t="s">
        <v>958</v>
      </c>
      <c r="D22" s="763"/>
      <c r="E22" s="764" t="s">
        <v>8</v>
      </c>
      <c r="F22" s="765">
        <v>3</v>
      </c>
      <c r="G22" s="795">
        <v>0</v>
      </c>
      <c r="H22" s="1194">
        <v>6.2858851926954085</v>
      </c>
      <c r="I22" s="795">
        <v>4.7197112960627861</v>
      </c>
      <c r="J22" s="796">
        <v>0</v>
      </c>
      <c r="K22" s="796">
        <v>0</v>
      </c>
      <c r="L22" s="1781">
        <v>134.57484032944441</v>
      </c>
      <c r="M22" s="768">
        <f t="shared" ref="M22:M31" si="10">+SUM(G22:L22)</f>
        <v>145.5804368182026</v>
      </c>
      <c r="N22" s="769"/>
      <c r="P22" s="770">
        <f t="shared" ref="P22:P26" si="11" xml:space="preserve"> IF( SUM( R22:Z22 ) = 0, 0, $T$5 )</f>
        <v>0</v>
      </c>
      <c r="Q22" s="65"/>
      <c r="R22" s="111"/>
      <c r="S22" s="65"/>
      <c r="T22" s="86">
        <f t="shared" ref="T22:Y26" si="12" xml:space="preserve"> IF( ISNUMBER( G22 ), 0, 1 )</f>
        <v>0</v>
      </c>
      <c r="U22" s="86">
        <f t="shared" si="12"/>
        <v>0</v>
      </c>
      <c r="V22" s="86">
        <f t="shared" si="12"/>
        <v>0</v>
      </c>
      <c r="W22" s="86">
        <f t="shared" si="12"/>
        <v>0</v>
      </c>
      <c r="X22" s="86">
        <f t="shared" si="12"/>
        <v>0</v>
      </c>
      <c r="Y22" s="86">
        <f t="shared" si="12"/>
        <v>0</v>
      </c>
      <c r="Z22" s="111"/>
      <c r="AB22" s="111"/>
      <c r="AC22" s="24"/>
      <c r="AD22" s="24"/>
      <c r="AE22" s="24"/>
      <c r="AF22" s="111"/>
      <c r="AH22" s="762" t="s">
        <v>4033</v>
      </c>
      <c r="AI22" s="763" t="s">
        <v>958</v>
      </c>
      <c r="AJ22" s="763"/>
      <c r="AK22" s="764" t="s">
        <v>8</v>
      </c>
      <c r="AL22" s="765">
        <v>3</v>
      </c>
      <c r="AM22" s="1439" t="s">
        <v>4034</v>
      </c>
      <c r="AN22" s="1440" t="s">
        <v>4035</v>
      </c>
      <c r="AO22" s="1441" t="s">
        <v>4036</v>
      </c>
      <c r="AP22" s="1442" t="s">
        <v>4037</v>
      </c>
      <c r="AQ22" s="1442" t="s">
        <v>4038</v>
      </c>
      <c r="AR22" s="1443" t="s">
        <v>4039</v>
      </c>
      <c r="AS22" s="1422" t="s">
        <v>4040</v>
      </c>
    </row>
    <row r="23" spans="1:45" ht="15.75">
      <c r="A23" s="758"/>
      <c r="B23" s="771" t="s">
        <v>4041</v>
      </c>
      <c r="C23" s="772" t="s">
        <v>2922</v>
      </c>
      <c r="D23" s="772"/>
      <c r="E23" s="773" t="s">
        <v>8</v>
      </c>
      <c r="F23" s="774">
        <v>3</v>
      </c>
      <c r="G23" s="797">
        <v>2.1488923882887555E-2</v>
      </c>
      <c r="H23" s="1195">
        <v>15.523377478348067</v>
      </c>
      <c r="I23" s="797">
        <v>1.6177735409377132</v>
      </c>
      <c r="J23" s="798">
        <v>0</v>
      </c>
      <c r="K23" s="798">
        <v>76.192288373370587</v>
      </c>
      <c r="L23" s="1782">
        <v>92.40272480503171</v>
      </c>
      <c r="M23" s="777">
        <f t="shared" si="10"/>
        <v>185.75765312157097</v>
      </c>
      <c r="N23" s="778"/>
      <c r="P23" s="770">
        <f t="shared" si="11"/>
        <v>0</v>
      </c>
      <c r="Q23" s="65"/>
      <c r="R23" s="111"/>
      <c r="S23" s="65"/>
      <c r="T23" s="86">
        <f t="shared" si="12"/>
        <v>0</v>
      </c>
      <c r="U23" s="86">
        <f t="shared" si="12"/>
        <v>0</v>
      </c>
      <c r="V23" s="86">
        <f t="shared" si="12"/>
        <v>0</v>
      </c>
      <c r="W23" s="86">
        <f t="shared" si="12"/>
        <v>0</v>
      </c>
      <c r="X23" s="86">
        <f t="shared" si="12"/>
        <v>0</v>
      </c>
      <c r="Y23" s="86">
        <f xml:space="preserve"> IF( ISNUMBER( L23 ), 0, 1 )</f>
        <v>0</v>
      </c>
      <c r="Z23" s="111"/>
      <c r="AB23" s="111"/>
      <c r="AC23" s="24"/>
      <c r="AD23" s="24"/>
      <c r="AE23" s="24"/>
      <c r="AF23" s="111"/>
      <c r="AH23" s="771" t="s">
        <v>4041</v>
      </c>
      <c r="AI23" s="772" t="s">
        <v>2922</v>
      </c>
      <c r="AJ23" s="772"/>
      <c r="AK23" s="773" t="s">
        <v>8</v>
      </c>
      <c r="AL23" s="774">
        <v>3</v>
      </c>
      <c r="AM23" s="1444" t="s">
        <v>4042</v>
      </c>
      <c r="AN23" s="1445" t="s">
        <v>4043</v>
      </c>
      <c r="AO23" s="1446" t="s">
        <v>4044</v>
      </c>
      <c r="AP23" s="1447" t="s">
        <v>4045</v>
      </c>
      <c r="AQ23" s="1447" t="s">
        <v>4046</v>
      </c>
      <c r="AR23" s="1448" t="s">
        <v>4047</v>
      </c>
      <c r="AS23" s="1428" t="s">
        <v>4048</v>
      </c>
    </row>
    <row r="24" spans="1:45" ht="15.75">
      <c r="A24" s="758"/>
      <c r="B24" s="771" t="s">
        <v>4049</v>
      </c>
      <c r="C24" s="772" t="s">
        <v>974</v>
      </c>
      <c r="D24" s="772"/>
      <c r="E24" s="773" t="s">
        <v>8</v>
      </c>
      <c r="F24" s="774">
        <v>3</v>
      </c>
      <c r="G24" s="797">
        <v>0</v>
      </c>
      <c r="H24" s="1195">
        <v>1.9540892622208079</v>
      </c>
      <c r="I24" s="797">
        <v>0.33528750874400953</v>
      </c>
      <c r="J24" s="798">
        <v>0</v>
      </c>
      <c r="K24" s="798">
        <v>0</v>
      </c>
      <c r="L24" s="1782">
        <v>64.913960524018833</v>
      </c>
      <c r="M24" s="777">
        <f t="shared" si="10"/>
        <v>67.203337294983655</v>
      </c>
      <c r="N24" s="778"/>
      <c r="P24" s="770">
        <f t="shared" si="11"/>
        <v>0</v>
      </c>
      <c r="Q24" s="65"/>
      <c r="S24" s="65"/>
      <c r="T24" s="86">
        <f t="shared" si="12"/>
        <v>0</v>
      </c>
      <c r="U24" s="86">
        <f t="shared" si="12"/>
        <v>0</v>
      </c>
      <c r="V24" s="86">
        <f t="shared" si="12"/>
        <v>0</v>
      </c>
      <c r="W24" s="86">
        <f t="shared" si="12"/>
        <v>0</v>
      </c>
      <c r="X24" s="86">
        <f t="shared" si="12"/>
        <v>0</v>
      </c>
      <c r="Y24" s="86">
        <f t="shared" si="12"/>
        <v>0</v>
      </c>
      <c r="AC24" s="24"/>
      <c r="AD24" s="24"/>
      <c r="AE24" s="24"/>
      <c r="AH24" s="771" t="s">
        <v>4049</v>
      </c>
      <c r="AI24" s="772" t="s">
        <v>974</v>
      </c>
      <c r="AJ24" s="772"/>
      <c r="AK24" s="773" t="s">
        <v>8</v>
      </c>
      <c r="AL24" s="774">
        <v>3</v>
      </c>
      <c r="AM24" s="1444" t="s">
        <v>4050</v>
      </c>
      <c r="AN24" s="1445" t="s">
        <v>4051</v>
      </c>
      <c r="AO24" s="1446" t="s">
        <v>4052</v>
      </c>
      <c r="AP24" s="1447" t="s">
        <v>4053</v>
      </c>
      <c r="AQ24" s="1447" t="s">
        <v>4054</v>
      </c>
      <c r="AR24" s="1448" t="s">
        <v>4055</v>
      </c>
      <c r="AS24" s="1428" t="s">
        <v>4056</v>
      </c>
    </row>
    <row r="25" spans="1:45" ht="15.75">
      <c r="A25" s="758"/>
      <c r="B25" s="771" t="s">
        <v>4057</v>
      </c>
      <c r="C25" s="772" t="s">
        <v>982</v>
      </c>
      <c r="D25" s="772"/>
      <c r="E25" s="773" t="s">
        <v>8</v>
      </c>
      <c r="F25" s="774">
        <v>3</v>
      </c>
      <c r="G25" s="797">
        <v>0</v>
      </c>
      <c r="H25" s="1195">
        <v>-1.3813189626353544</v>
      </c>
      <c r="I25" s="797">
        <v>2.7080983690393461E-2</v>
      </c>
      <c r="J25" s="798">
        <v>0</v>
      </c>
      <c r="K25" s="798">
        <v>7.5178891305354698</v>
      </c>
      <c r="L25" s="1782">
        <v>59.74464802752879</v>
      </c>
      <c r="M25" s="777">
        <f t="shared" si="10"/>
        <v>65.908299179119297</v>
      </c>
      <c r="N25" s="778"/>
      <c r="P25" s="770">
        <f t="shared" si="11"/>
        <v>0</v>
      </c>
      <c r="Q25" s="65"/>
      <c r="S25" s="65"/>
      <c r="T25" s="86">
        <f t="shared" si="12"/>
        <v>0</v>
      </c>
      <c r="U25" s="86">
        <f t="shared" si="12"/>
        <v>0</v>
      </c>
      <c r="V25" s="86">
        <f t="shared" si="12"/>
        <v>0</v>
      </c>
      <c r="W25" s="86">
        <f t="shared" si="12"/>
        <v>0</v>
      </c>
      <c r="X25" s="86">
        <f t="shared" si="12"/>
        <v>0</v>
      </c>
      <c r="Y25" s="86">
        <f t="shared" si="12"/>
        <v>0</v>
      </c>
      <c r="AC25" s="24"/>
      <c r="AD25" s="24"/>
      <c r="AE25" s="24"/>
      <c r="AH25" s="771" t="s">
        <v>4057</v>
      </c>
      <c r="AI25" s="772" t="s">
        <v>982</v>
      </c>
      <c r="AJ25" s="772"/>
      <c r="AK25" s="773" t="s">
        <v>8</v>
      </c>
      <c r="AL25" s="774">
        <v>3</v>
      </c>
      <c r="AM25" s="1444" t="s">
        <v>4058</v>
      </c>
      <c r="AN25" s="1445" t="s">
        <v>4059</v>
      </c>
      <c r="AO25" s="1446" t="s">
        <v>4060</v>
      </c>
      <c r="AP25" s="1447" t="s">
        <v>4061</v>
      </c>
      <c r="AQ25" s="1447" t="s">
        <v>4062</v>
      </c>
      <c r="AR25" s="1448" t="s">
        <v>4063</v>
      </c>
      <c r="AS25" s="1428" t="s">
        <v>4064</v>
      </c>
    </row>
    <row r="26" spans="1:45" ht="15.75">
      <c r="A26" s="758"/>
      <c r="B26" s="771" t="s">
        <v>4065</v>
      </c>
      <c r="C26" s="772" t="s">
        <v>990</v>
      </c>
      <c r="D26" s="772"/>
      <c r="E26" s="773" t="s">
        <v>8</v>
      </c>
      <c r="F26" s="774">
        <v>3</v>
      </c>
      <c r="G26" s="797">
        <v>0</v>
      </c>
      <c r="H26" s="1195">
        <v>0</v>
      </c>
      <c r="I26" s="797">
        <v>6.4169760000000006E-2</v>
      </c>
      <c r="J26" s="798">
        <v>0</v>
      </c>
      <c r="K26" s="798">
        <v>0</v>
      </c>
      <c r="L26" s="1782">
        <v>8.2260048914245552</v>
      </c>
      <c r="M26" s="777">
        <f t="shared" si="10"/>
        <v>8.2901746514245556</v>
      </c>
      <c r="N26" s="778"/>
      <c r="P26" s="770">
        <f t="shared" si="11"/>
        <v>0</v>
      </c>
      <c r="Q26" s="65"/>
      <c r="S26" s="65"/>
      <c r="T26" s="86">
        <f t="shared" si="12"/>
        <v>0</v>
      </c>
      <c r="U26" s="86">
        <f t="shared" si="12"/>
        <v>0</v>
      </c>
      <c r="V26" s="86">
        <f t="shared" si="12"/>
        <v>0</v>
      </c>
      <c r="W26" s="86">
        <f t="shared" si="12"/>
        <v>0</v>
      </c>
      <c r="X26" s="86">
        <f t="shared" si="12"/>
        <v>0</v>
      </c>
      <c r="Y26" s="86">
        <f t="shared" si="12"/>
        <v>0</v>
      </c>
      <c r="AB26" s="114"/>
      <c r="AC26" s="24"/>
      <c r="AD26" s="24"/>
      <c r="AE26" s="24"/>
      <c r="AF26" s="114"/>
      <c r="AH26" s="771" t="s">
        <v>4065</v>
      </c>
      <c r="AI26" s="772" t="s">
        <v>990</v>
      </c>
      <c r="AJ26" s="772"/>
      <c r="AK26" s="773" t="s">
        <v>8</v>
      </c>
      <c r="AL26" s="774">
        <v>3</v>
      </c>
      <c r="AM26" s="1444" t="s">
        <v>4066</v>
      </c>
      <c r="AN26" s="1445" t="s">
        <v>4067</v>
      </c>
      <c r="AO26" s="1446" t="s">
        <v>4068</v>
      </c>
      <c r="AP26" s="1447" t="s">
        <v>4069</v>
      </c>
      <c r="AQ26" s="1447" t="s">
        <v>4070</v>
      </c>
      <c r="AR26" s="1448" t="s">
        <v>4071</v>
      </c>
      <c r="AS26" s="1428" t="s">
        <v>4072</v>
      </c>
    </row>
    <row r="27" spans="1:45" ht="15.75">
      <c r="A27" s="758"/>
      <c r="B27" s="771" t="s">
        <v>4073</v>
      </c>
      <c r="C27" s="772" t="s">
        <v>998</v>
      </c>
      <c r="D27" s="772"/>
      <c r="E27" s="773" t="s">
        <v>8</v>
      </c>
      <c r="F27" s="774">
        <v>3</v>
      </c>
      <c r="G27" s="799">
        <f t="shared" ref="G27" si="13">SUM(G22:G26)</f>
        <v>2.1488923882887555E-2</v>
      </c>
      <c r="H27" s="1196">
        <f>SUM(H22:H26)</f>
        <v>22.382032970628931</v>
      </c>
      <c r="I27" s="799">
        <f>SUM(I22:I26)</f>
        <v>6.7640230894349029</v>
      </c>
      <c r="J27" s="1783">
        <f>SUM(J22:J26)</f>
        <v>0</v>
      </c>
      <c r="K27" s="1783">
        <f>SUM(K22:K26)</f>
        <v>83.710177503906053</v>
      </c>
      <c r="L27" s="1784">
        <f>SUM(L22:L26)</f>
        <v>359.86217857744833</v>
      </c>
      <c r="M27" s="799">
        <f t="shared" si="10"/>
        <v>472.73990106530113</v>
      </c>
      <c r="N27" s="778"/>
      <c r="P27" s="491"/>
      <c r="S27" s="65"/>
      <c r="AB27" s="111"/>
      <c r="AC27" s="24"/>
      <c r="AD27" s="24"/>
      <c r="AE27" s="24"/>
      <c r="AF27" s="111"/>
      <c r="AH27" s="771" t="s">
        <v>4073</v>
      </c>
      <c r="AI27" s="772" t="s">
        <v>998</v>
      </c>
      <c r="AJ27" s="772"/>
      <c r="AK27" s="773" t="s">
        <v>8</v>
      </c>
      <c r="AL27" s="774">
        <v>3</v>
      </c>
      <c r="AM27" s="1449" t="s">
        <v>4074</v>
      </c>
      <c r="AN27" s="1450" t="s">
        <v>4075</v>
      </c>
      <c r="AO27" s="1451" t="s">
        <v>4076</v>
      </c>
      <c r="AP27" s="1449" t="s">
        <v>4077</v>
      </c>
      <c r="AQ27" s="1449" t="s">
        <v>4078</v>
      </c>
      <c r="AR27" s="1452" t="s">
        <v>4079</v>
      </c>
      <c r="AS27" s="1449" t="s">
        <v>4080</v>
      </c>
    </row>
    <row r="28" spans="1:45" ht="15.75">
      <c r="A28" s="758"/>
      <c r="B28" s="771" t="s">
        <v>4081</v>
      </c>
      <c r="C28" s="772" t="s">
        <v>941</v>
      </c>
      <c r="D28" s="772"/>
      <c r="E28" s="773" t="s">
        <v>8</v>
      </c>
      <c r="F28" s="774">
        <v>3</v>
      </c>
      <c r="G28" s="775">
        <v>0</v>
      </c>
      <c r="H28" s="1192">
        <v>0</v>
      </c>
      <c r="I28" s="797">
        <v>0</v>
      </c>
      <c r="J28" s="798">
        <v>0</v>
      </c>
      <c r="K28" s="798">
        <v>0</v>
      </c>
      <c r="L28" s="1782">
        <v>3.6996290000000001E-2</v>
      </c>
      <c r="M28" s="777">
        <f t="shared" si="10"/>
        <v>3.6996290000000001E-2</v>
      </c>
      <c r="N28" s="778"/>
      <c r="P28" s="770">
        <f t="shared" ref="P28" si="14" xml:space="preserve"> IF( SUM( R28:Z28 ) = 0, 0, $T$5 )</f>
        <v>0</v>
      </c>
      <c r="Q28" s="65"/>
      <c r="R28" s="111"/>
      <c r="S28" s="65"/>
      <c r="T28" s="86">
        <f t="shared" ref="T28:Y28" si="15" xml:space="preserve"> IF( ISNUMBER( G28 ), 0, 1 )</f>
        <v>0</v>
      </c>
      <c r="U28" s="86">
        <f t="shared" si="15"/>
        <v>0</v>
      </c>
      <c r="V28" s="86">
        <f t="shared" si="15"/>
        <v>0</v>
      </c>
      <c r="W28" s="86">
        <f t="shared" si="15"/>
        <v>0</v>
      </c>
      <c r="X28" s="86">
        <f t="shared" si="15"/>
        <v>0</v>
      </c>
      <c r="Y28" s="86">
        <f t="shared" si="15"/>
        <v>0</v>
      </c>
      <c r="Z28" s="111"/>
      <c r="AB28" s="111"/>
      <c r="AC28" s="24"/>
      <c r="AD28" s="24"/>
      <c r="AE28" s="24"/>
      <c r="AF28" s="111"/>
      <c r="AH28" s="771" t="s">
        <v>4081</v>
      </c>
      <c r="AI28" s="772" t="s">
        <v>941</v>
      </c>
      <c r="AJ28" s="772"/>
      <c r="AK28" s="773" t="s">
        <v>8</v>
      </c>
      <c r="AL28" s="774">
        <v>3</v>
      </c>
      <c r="AM28" s="1423" t="s">
        <v>4082</v>
      </c>
      <c r="AN28" s="1424" t="s">
        <v>4083</v>
      </c>
      <c r="AO28" s="1446" t="s">
        <v>4084</v>
      </c>
      <c r="AP28" s="1447" t="s">
        <v>4085</v>
      </c>
      <c r="AQ28" s="1447" t="s">
        <v>4086</v>
      </c>
      <c r="AR28" s="1448" t="s">
        <v>4087</v>
      </c>
      <c r="AS28" s="1428" t="s">
        <v>4088</v>
      </c>
    </row>
    <row r="29" spans="1:45" ht="15.75">
      <c r="A29" s="758"/>
      <c r="B29" s="771" t="s">
        <v>4089</v>
      </c>
      <c r="C29" s="772" t="s">
        <v>1013</v>
      </c>
      <c r="D29" s="772"/>
      <c r="E29" s="773" t="s">
        <v>8</v>
      </c>
      <c r="F29" s="774">
        <v>3</v>
      </c>
      <c r="G29" s="799">
        <f t="shared" ref="G29:L29" si="16">SUM(G27:G28)</f>
        <v>2.1488923882887555E-2</v>
      </c>
      <c r="H29" s="1196">
        <f t="shared" si="16"/>
        <v>22.382032970628931</v>
      </c>
      <c r="I29" s="799">
        <f t="shared" si="16"/>
        <v>6.7640230894349029</v>
      </c>
      <c r="J29" s="1783">
        <f t="shared" si="16"/>
        <v>0</v>
      </c>
      <c r="K29" s="1783">
        <f t="shared" si="16"/>
        <v>83.710177503906053</v>
      </c>
      <c r="L29" s="1784">
        <f t="shared" si="16"/>
        <v>359.89917486744832</v>
      </c>
      <c r="M29" s="799">
        <f t="shared" si="10"/>
        <v>472.77689735530112</v>
      </c>
      <c r="N29" s="778"/>
      <c r="P29" s="491"/>
      <c r="R29" s="111"/>
      <c r="S29" s="65"/>
      <c r="Z29" s="111"/>
      <c r="AB29" s="111"/>
      <c r="AF29" s="111"/>
      <c r="AH29" s="771" t="s">
        <v>4089</v>
      </c>
      <c r="AI29" s="772" t="s">
        <v>1013</v>
      </c>
      <c r="AJ29" s="772"/>
      <c r="AK29" s="773" t="s">
        <v>8</v>
      </c>
      <c r="AL29" s="774">
        <v>3</v>
      </c>
      <c r="AM29" s="1449" t="s">
        <v>4090</v>
      </c>
      <c r="AN29" s="1450" t="s">
        <v>4091</v>
      </c>
      <c r="AO29" s="1451" t="s">
        <v>4092</v>
      </c>
      <c r="AP29" s="1449" t="s">
        <v>4093</v>
      </c>
      <c r="AQ29" s="1449" t="s">
        <v>4094</v>
      </c>
      <c r="AR29" s="1452" t="s">
        <v>4095</v>
      </c>
      <c r="AS29" s="1449" t="s">
        <v>4096</v>
      </c>
    </row>
    <row r="30" spans="1:45" ht="22.5">
      <c r="A30" s="758"/>
      <c r="B30" s="771" t="s">
        <v>4097</v>
      </c>
      <c r="C30" s="772" t="s">
        <v>1020</v>
      </c>
      <c r="D30" s="772"/>
      <c r="E30" s="773" t="s">
        <v>8</v>
      </c>
      <c r="F30" s="800">
        <v>3</v>
      </c>
      <c r="G30" s="775">
        <v>0</v>
      </c>
      <c r="H30" s="1192">
        <v>0</v>
      </c>
      <c r="I30" s="797">
        <v>0</v>
      </c>
      <c r="J30" s="798">
        <v>0</v>
      </c>
      <c r="K30" s="798">
        <v>5.0000000000000001E-3</v>
      </c>
      <c r="L30" s="1782">
        <v>58.441000000000003</v>
      </c>
      <c r="M30" s="777">
        <f t="shared" si="10"/>
        <v>58.446000000000005</v>
      </c>
      <c r="N30" s="778"/>
      <c r="P30" s="1345" t="str">
        <f>IF(SUM(R30:Z30)&lt;&gt;0,$T$5,IF(SUM(Z30:AB30)=0,0,$AE$30))</f>
        <v>Table 4J does not equal table 2B, please provide reasoning and reconciliation in your commentary</v>
      </c>
      <c r="Q30" s="65"/>
      <c r="R30" s="111"/>
      <c r="S30" s="65"/>
      <c r="T30" s="86">
        <f t="shared" ref="T30:Y30" si="17" xml:space="preserve"> IF( ISNUMBER( G30 ), 0, 1 )</f>
        <v>0</v>
      </c>
      <c r="U30" s="86">
        <f t="shared" si="17"/>
        <v>0</v>
      </c>
      <c r="V30" s="86">
        <f t="shared" si="17"/>
        <v>0</v>
      </c>
      <c r="W30" s="86">
        <f t="shared" si="17"/>
        <v>0</v>
      </c>
      <c r="X30" s="86">
        <f t="shared" si="17"/>
        <v>0</v>
      </c>
      <c r="Y30" s="86">
        <f t="shared" si="17"/>
        <v>0</v>
      </c>
      <c r="Z30" s="111"/>
      <c r="AA30" s="86">
        <f xml:space="preserve"> IF( (AC30 - AD30) = 0, 0, 1 )</f>
        <v>1</v>
      </c>
      <c r="AB30" s="111"/>
      <c r="AC30" s="105">
        <f>+M30</f>
        <v>58.446000000000005</v>
      </c>
      <c r="AD30" s="105">
        <f xml:space="preserve"> ROUND( ('2B'!G30+'2B'!H30), 3 )</f>
        <v>58.445999999999998</v>
      </c>
      <c r="AE30" s="24" t="s">
        <v>4098</v>
      </c>
      <c r="AF30" s="111"/>
      <c r="AH30" s="771" t="s">
        <v>4097</v>
      </c>
      <c r="AI30" s="772" t="s">
        <v>1020</v>
      </c>
      <c r="AJ30" s="772"/>
      <c r="AK30" s="773" t="s">
        <v>8</v>
      </c>
      <c r="AL30" s="800">
        <v>3</v>
      </c>
      <c r="AM30" s="1423" t="s">
        <v>4099</v>
      </c>
      <c r="AN30" s="1424" t="s">
        <v>4100</v>
      </c>
      <c r="AO30" s="1446" t="s">
        <v>4101</v>
      </c>
      <c r="AP30" s="1447" t="s">
        <v>4102</v>
      </c>
      <c r="AQ30" s="1447" t="s">
        <v>4103</v>
      </c>
      <c r="AR30" s="1448" t="s">
        <v>4104</v>
      </c>
      <c r="AS30" s="1428" t="s">
        <v>4105</v>
      </c>
    </row>
    <row r="31" spans="1:45" ht="16.5" thickBot="1">
      <c r="A31" s="758"/>
      <c r="B31" s="787" t="s">
        <v>4106</v>
      </c>
      <c r="C31" s="788" t="s">
        <v>1030</v>
      </c>
      <c r="D31" s="788"/>
      <c r="E31" s="789" t="s">
        <v>8</v>
      </c>
      <c r="F31" s="786">
        <v>3</v>
      </c>
      <c r="G31" s="801">
        <f t="shared" ref="G31" si="18">G19+G29-G30</f>
        <v>13.934488923882888</v>
      </c>
      <c r="H31" s="1197">
        <f>H19+H29-H30</f>
        <v>70.34103297062893</v>
      </c>
      <c r="I31" s="801">
        <f t="shared" ref="I31:L31" si="19">I19+I29-I30</f>
        <v>15.023023089434904</v>
      </c>
      <c r="J31" s="809">
        <f t="shared" si="19"/>
        <v>0</v>
      </c>
      <c r="K31" s="809">
        <f t="shared" si="19"/>
        <v>160.95117750390605</v>
      </c>
      <c r="L31" s="1785">
        <f t="shared" si="19"/>
        <v>622.29117486744826</v>
      </c>
      <c r="M31" s="793">
        <f t="shared" si="10"/>
        <v>882.54089735530101</v>
      </c>
      <c r="N31" s="794"/>
      <c r="P31" s="491"/>
      <c r="S31" s="65"/>
      <c r="AH31" s="787" t="s">
        <v>4106</v>
      </c>
      <c r="AI31" s="788" t="s">
        <v>1030</v>
      </c>
      <c r="AJ31" s="788"/>
      <c r="AK31" s="789" t="s">
        <v>8</v>
      </c>
      <c r="AL31" s="786">
        <v>3</v>
      </c>
      <c r="AM31" s="1453" t="s">
        <v>4107</v>
      </c>
      <c r="AN31" s="1454" t="s">
        <v>4108</v>
      </c>
      <c r="AO31" s="1454" t="s">
        <v>4109</v>
      </c>
      <c r="AP31" s="1454" t="s">
        <v>4110</v>
      </c>
      <c r="AQ31" s="1454" t="s">
        <v>4111</v>
      </c>
      <c r="AR31" s="1454" t="s">
        <v>4112</v>
      </c>
      <c r="AS31" s="1428" t="s">
        <v>4113</v>
      </c>
    </row>
    <row r="32" spans="1:45" ht="16.5" thickBot="1">
      <c r="A32" s="758"/>
      <c r="B32" s="758"/>
      <c r="C32" s="758"/>
      <c r="D32" s="758"/>
      <c r="E32" s="758"/>
      <c r="F32" s="758"/>
      <c r="G32" s="758"/>
      <c r="H32" s="758"/>
      <c r="I32" s="758"/>
      <c r="J32" s="758"/>
      <c r="K32" s="758"/>
      <c r="L32" s="758"/>
      <c r="M32" s="758"/>
      <c r="N32" s="2120"/>
      <c r="P32" s="491"/>
      <c r="S32" s="65"/>
      <c r="AH32" s="758"/>
      <c r="AI32" s="758"/>
      <c r="AJ32" s="758"/>
      <c r="AK32" s="758"/>
      <c r="AL32" s="758"/>
      <c r="AM32" s="1438"/>
      <c r="AN32" s="1438"/>
      <c r="AO32" s="1438"/>
      <c r="AP32" s="1438"/>
      <c r="AQ32" s="1438"/>
      <c r="AR32" s="1438"/>
      <c r="AS32" s="1438"/>
    </row>
    <row r="33" spans="1:45" ht="16.5" thickBot="1">
      <c r="A33" s="758"/>
      <c r="B33" s="759" t="s">
        <v>362</v>
      </c>
      <c r="C33" s="760" t="s">
        <v>4114</v>
      </c>
      <c r="D33" s="2215"/>
      <c r="E33" s="802"/>
      <c r="F33" s="802"/>
      <c r="G33" s="802"/>
      <c r="H33" s="802"/>
      <c r="I33" s="802"/>
      <c r="J33" s="802"/>
      <c r="K33" s="802"/>
      <c r="L33" s="802"/>
      <c r="M33" s="802"/>
      <c r="N33" s="2120"/>
      <c r="P33" s="491"/>
      <c r="S33" s="65"/>
      <c r="AA33" s="113"/>
      <c r="AH33" s="759" t="s">
        <v>362</v>
      </c>
      <c r="AI33" s="760" t="s">
        <v>4114</v>
      </c>
      <c r="AJ33" s="2215"/>
      <c r="AK33" s="802"/>
      <c r="AL33" s="802"/>
      <c r="AM33" s="258"/>
      <c r="AN33" s="258"/>
      <c r="AO33" s="258"/>
      <c r="AP33" s="258"/>
      <c r="AQ33" s="258"/>
      <c r="AR33" s="258"/>
      <c r="AS33" s="258"/>
    </row>
    <row r="34" spans="1:45" ht="15.75">
      <c r="A34" s="758"/>
      <c r="B34" s="762" t="s">
        <v>4115</v>
      </c>
      <c r="C34" s="763" t="s">
        <v>1039</v>
      </c>
      <c r="D34" s="763"/>
      <c r="E34" s="764" t="s">
        <v>8</v>
      </c>
      <c r="F34" s="803">
        <v>3</v>
      </c>
      <c r="G34" s="766">
        <v>3.6999999999999998E-2</v>
      </c>
      <c r="H34" s="1191">
        <v>1.024</v>
      </c>
      <c r="I34" s="1183">
        <v>8.3000000000000004E-2</v>
      </c>
      <c r="J34" s="767">
        <v>0</v>
      </c>
      <c r="K34" s="804">
        <v>2.956</v>
      </c>
      <c r="L34" s="804">
        <v>6.25</v>
      </c>
      <c r="M34" s="1203">
        <f>+SUM(G34:L34)</f>
        <v>10.35</v>
      </c>
      <c r="N34" s="805"/>
      <c r="P34" s="770">
        <f t="shared" ref="P34:P35" si="20" xml:space="preserve"> IF( SUM( R34:Z34 ) = 0, 0, $T$5 )</f>
        <v>0</v>
      </c>
      <c r="Q34" s="65"/>
      <c r="S34" s="65"/>
      <c r="T34" s="86">
        <f t="shared" ref="T34:Y35" si="21" xml:space="preserve"> IF( ISNUMBER( G34 ), 0, 1 )</f>
        <v>0</v>
      </c>
      <c r="U34" s="86">
        <f t="shared" si="21"/>
        <v>0</v>
      </c>
      <c r="V34" s="86">
        <f t="shared" si="21"/>
        <v>0</v>
      </c>
      <c r="W34" s="86">
        <f t="shared" si="21"/>
        <v>0</v>
      </c>
      <c r="X34" s="86">
        <f t="shared" si="21"/>
        <v>0</v>
      </c>
      <c r="Y34" s="86">
        <f t="shared" si="21"/>
        <v>0</v>
      </c>
      <c r="AH34" s="762" t="s">
        <v>4115</v>
      </c>
      <c r="AI34" s="763" t="s">
        <v>1039</v>
      </c>
      <c r="AJ34" s="763"/>
      <c r="AK34" s="764" t="s">
        <v>8</v>
      </c>
      <c r="AL34" s="803">
        <v>3</v>
      </c>
      <c r="AM34" s="1417" t="s">
        <v>4116</v>
      </c>
      <c r="AN34" s="1418" t="s">
        <v>4117</v>
      </c>
      <c r="AO34" s="1419" t="s">
        <v>4118</v>
      </c>
      <c r="AP34" s="1420" t="s">
        <v>4119</v>
      </c>
      <c r="AQ34" s="1421" t="s">
        <v>4120</v>
      </c>
      <c r="AR34" s="1421" t="s">
        <v>4121</v>
      </c>
      <c r="AS34" s="1455" t="s">
        <v>4122</v>
      </c>
    </row>
    <row r="35" spans="1:45" ht="15.75">
      <c r="A35" s="758"/>
      <c r="B35" s="771" t="s">
        <v>4123</v>
      </c>
      <c r="C35" s="772" t="s">
        <v>1047</v>
      </c>
      <c r="D35" s="772"/>
      <c r="E35" s="773" t="s">
        <v>8</v>
      </c>
      <c r="F35" s="800">
        <v>3</v>
      </c>
      <c r="G35" s="775">
        <v>0</v>
      </c>
      <c r="H35" s="1192">
        <v>0</v>
      </c>
      <c r="I35" s="1184">
        <v>0</v>
      </c>
      <c r="J35" s="776">
        <v>0</v>
      </c>
      <c r="K35" s="806">
        <v>0</v>
      </c>
      <c r="L35" s="806">
        <v>0</v>
      </c>
      <c r="M35" s="1204">
        <f>+SUM(G35:L35)</f>
        <v>0</v>
      </c>
      <c r="N35" s="807"/>
      <c r="P35" s="770">
        <f t="shared" si="20"/>
        <v>0</v>
      </c>
      <c r="Q35" s="65"/>
      <c r="R35" s="111"/>
      <c r="S35" s="65"/>
      <c r="T35" s="86">
        <f t="shared" si="21"/>
        <v>0</v>
      </c>
      <c r="U35" s="86">
        <f t="shared" si="21"/>
        <v>0</v>
      </c>
      <c r="V35" s="86">
        <f t="shared" si="21"/>
        <v>0</v>
      </c>
      <c r="W35" s="86">
        <f t="shared" si="21"/>
        <v>0</v>
      </c>
      <c r="X35" s="86">
        <f t="shared" si="21"/>
        <v>0</v>
      </c>
      <c r="Y35" s="86">
        <f t="shared" si="21"/>
        <v>0</v>
      </c>
      <c r="Z35" s="111"/>
      <c r="AB35" s="111"/>
      <c r="AF35" s="111"/>
      <c r="AH35" s="771" t="s">
        <v>4123</v>
      </c>
      <c r="AI35" s="772" t="s">
        <v>1047</v>
      </c>
      <c r="AJ35" s="772"/>
      <c r="AK35" s="773" t="s">
        <v>8</v>
      </c>
      <c r="AL35" s="800">
        <v>3</v>
      </c>
      <c r="AM35" s="1423" t="s">
        <v>4124</v>
      </c>
      <c r="AN35" s="1424" t="s">
        <v>4125</v>
      </c>
      <c r="AO35" s="1425" t="s">
        <v>4126</v>
      </c>
      <c r="AP35" s="1426" t="s">
        <v>4127</v>
      </c>
      <c r="AQ35" s="1427" t="s">
        <v>4128</v>
      </c>
      <c r="AR35" s="1427" t="s">
        <v>4129</v>
      </c>
      <c r="AS35" s="1456" t="s">
        <v>4130</v>
      </c>
    </row>
    <row r="36" spans="1:45" ht="16.5" thickBot="1">
      <c r="A36" s="758"/>
      <c r="B36" s="787" t="s">
        <v>4131</v>
      </c>
      <c r="C36" s="788" t="s">
        <v>1055</v>
      </c>
      <c r="D36" s="788"/>
      <c r="E36" s="789" t="s">
        <v>8</v>
      </c>
      <c r="F36" s="808">
        <v>3</v>
      </c>
      <c r="G36" s="801">
        <f t="shared" ref="G36" si="22">SUM(G31:G35)</f>
        <v>13.971488923882889</v>
      </c>
      <c r="H36" s="1197">
        <f>SUM(H31:H35)</f>
        <v>71.365032970628931</v>
      </c>
      <c r="I36" s="1189">
        <f>SUM(I31:I35)</f>
        <v>15.106023089434904</v>
      </c>
      <c r="J36" s="809">
        <f>SUM(J31:J35)</f>
        <v>0</v>
      </c>
      <c r="K36" s="810">
        <f>SUM(K31:K35)</f>
        <v>163.90717750390604</v>
      </c>
      <c r="L36" s="810">
        <f>SUM(L31:L35)</f>
        <v>628.54117486744826</v>
      </c>
      <c r="M36" s="1205">
        <f>+SUM(G36:L36)</f>
        <v>892.89089735530104</v>
      </c>
      <c r="N36" s="794"/>
      <c r="P36" s="491"/>
      <c r="R36" s="114"/>
      <c r="S36" s="65"/>
      <c r="Z36" s="114"/>
      <c r="AB36" s="114"/>
      <c r="AF36" s="114"/>
      <c r="AH36" s="787" t="s">
        <v>4131</v>
      </c>
      <c r="AI36" s="788" t="s">
        <v>1055</v>
      </c>
      <c r="AJ36" s="788"/>
      <c r="AK36" s="789" t="s">
        <v>8</v>
      </c>
      <c r="AL36" s="808">
        <v>3</v>
      </c>
      <c r="AM36" s="1453" t="s">
        <v>4132</v>
      </c>
      <c r="AN36" s="1454" t="s">
        <v>4133</v>
      </c>
      <c r="AO36" s="1457" t="s">
        <v>4134</v>
      </c>
      <c r="AP36" s="1458" t="s">
        <v>4135</v>
      </c>
      <c r="AQ36" s="1459" t="s">
        <v>4136</v>
      </c>
      <c r="AR36" s="1459" t="s">
        <v>4137</v>
      </c>
      <c r="AS36" s="1460" t="s">
        <v>4138</v>
      </c>
    </row>
    <row r="37" spans="1:45" ht="16.5" thickBot="1">
      <c r="A37" s="758"/>
      <c r="B37" s="819"/>
      <c r="C37" s="812"/>
      <c r="D37" s="812"/>
      <c r="E37" s="813"/>
      <c r="F37" s="813"/>
      <c r="G37" s="813"/>
      <c r="H37" s="813"/>
      <c r="I37" s="813"/>
      <c r="J37" s="813"/>
      <c r="K37" s="813"/>
      <c r="L37" s="813"/>
      <c r="M37" s="813"/>
      <c r="N37" s="2121"/>
      <c r="P37" s="491"/>
      <c r="R37" s="114"/>
      <c r="S37" s="65"/>
      <c r="Z37" s="114"/>
      <c r="AB37" s="114"/>
      <c r="AF37" s="114"/>
      <c r="AH37" s="819"/>
      <c r="AI37" s="812"/>
      <c r="AJ37" s="812"/>
      <c r="AK37" s="813"/>
      <c r="AL37" s="813"/>
      <c r="AM37" s="1461"/>
      <c r="AN37" s="1461"/>
      <c r="AO37" s="1461"/>
      <c r="AP37" s="1461"/>
      <c r="AQ37" s="1461"/>
      <c r="AR37" s="1461"/>
      <c r="AS37" s="1461"/>
    </row>
    <row r="38" spans="1:45" ht="16.5" thickBot="1">
      <c r="A38" s="758"/>
      <c r="B38" s="759" t="s">
        <v>419</v>
      </c>
      <c r="C38" s="1725" t="s">
        <v>4139</v>
      </c>
      <c r="D38" s="2215"/>
      <c r="E38" s="813"/>
      <c r="F38" s="813"/>
      <c r="G38" s="814"/>
      <c r="H38" s="814"/>
      <c r="I38" s="814"/>
      <c r="J38" s="814"/>
      <c r="K38" s="814"/>
      <c r="L38" s="814"/>
      <c r="M38" s="814"/>
      <c r="N38" s="2120"/>
      <c r="P38" s="491"/>
      <c r="R38" s="114"/>
      <c r="Z38" s="114"/>
      <c r="AB38" s="114"/>
      <c r="AF38" s="114"/>
      <c r="AH38" s="759" t="s">
        <v>419</v>
      </c>
      <c r="AI38" s="760" t="s">
        <v>4139</v>
      </c>
      <c r="AJ38" s="2215"/>
      <c r="AK38" s="813"/>
      <c r="AL38" s="813"/>
      <c r="AM38" s="1462"/>
      <c r="AN38" s="1462"/>
      <c r="AO38" s="1462"/>
      <c r="AP38" s="1462"/>
      <c r="AQ38" s="1462"/>
      <c r="AR38" s="1462"/>
      <c r="AS38" s="1462"/>
    </row>
    <row r="39" spans="1:45" ht="15.75">
      <c r="A39" s="758"/>
      <c r="B39" s="762" t="s">
        <v>4140</v>
      </c>
      <c r="C39" s="2119" t="s">
        <v>4141</v>
      </c>
      <c r="D39" s="815"/>
      <c r="E39" s="764" t="s">
        <v>8</v>
      </c>
      <c r="F39" s="765">
        <v>3</v>
      </c>
      <c r="G39" s="766">
        <v>7.2999999999999995E-2</v>
      </c>
      <c r="H39" s="1191">
        <v>0.255</v>
      </c>
      <c r="I39" s="1183">
        <v>4.2999999999999997E-2</v>
      </c>
      <c r="J39" s="767">
        <v>0</v>
      </c>
      <c r="K39" s="804">
        <v>0.38500000000000001</v>
      </c>
      <c r="L39" s="804">
        <v>1.635</v>
      </c>
      <c r="M39" s="1206">
        <f t="shared" ref="M39:M49" si="23">+SUM(G39:L39)</f>
        <v>2.391</v>
      </c>
      <c r="N39" s="805"/>
      <c r="P39" s="1345">
        <f t="shared" ref="P39:P48" si="24">(IF(SUM(T39:Z39)=0,IF(S39=1,AE$39,0),$T$5))</f>
        <v>0</v>
      </c>
      <c r="Q39" s="65"/>
      <c r="R39" s="114"/>
      <c r="S39" s="1855">
        <f xml:space="preserve"> IF( AND(OR(C39 = "Item 1",C39=""), OR( G39 &lt;&gt; 0, H39 &lt;&gt; 0, I39 &lt;&gt; 0, J39 &lt;&gt; 0, K39 &lt;&gt; 0, L39 &lt;&gt; 0) ), 1, 0 )</f>
        <v>0</v>
      </c>
      <c r="T39" s="1855">
        <f xml:space="preserve"> IF(AND($C39="Item 1",$M39=0), 0, IF( ISNUMBER( G39 ), 0, 1 ))</f>
        <v>0</v>
      </c>
      <c r="U39" s="1855">
        <f t="shared" ref="U39:Y39" si="25" xml:space="preserve"> IF(AND($C39="Item 1",$M39=0), 0, IF( ISNUMBER( H39 ), 0, 1 ))</f>
        <v>0</v>
      </c>
      <c r="V39" s="1855">
        <f t="shared" si="25"/>
        <v>0</v>
      </c>
      <c r="W39" s="1855">
        <f t="shared" si="25"/>
        <v>0</v>
      </c>
      <c r="X39" s="1855">
        <f t="shared" si="25"/>
        <v>0</v>
      </c>
      <c r="Y39" s="1855">
        <f t="shared" si="25"/>
        <v>0</v>
      </c>
      <c r="AB39" s="114"/>
      <c r="AE39" t="s">
        <v>4142</v>
      </c>
      <c r="AF39" s="114"/>
      <c r="AH39" s="762" t="s">
        <v>4140</v>
      </c>
      <c r="AI39" s="1482" t="s">
        <v>4143</v>
      </c>
      <c r="AJ39" s="1496"/>
      <c r="AK39" s="764" t="s">
        <v>8</v>
      </c>
      <c r="AL39" s="765">
        <v>3</v>
      </c>
      <c r="AM39" s="1417" t="s">
        <v>4143</v>
      </c>
      <c r="AN39" s="1418" t="s">
        <v>4144</v>
      </c>
      <c r="AO39" s="1419" t="s">
        <v>4145</v>
      </c>
      <c r="AP39" s="1420" t="s">
        <v>4146</v>
      </c>
      <c r="AQ39" s="1421" t="s">
        <v>4147</v>
      </c>
      <c r="AR39" s="1421" t="s">
        <v>4148</v>
      </c>
      <c r="AS39" s="1463" t="s">
        <v>4149</v>
      </c>
    </row>
    <row r="40" spans="1:45" ht="15.75">
      <c r="A40" s="758"/>
      <c r="B40" s="771" t="s">
        <v>4150</v>
      </c>
      <c r="C40" s="2119" t="s">
        <v>4151</v>
      </c>
      <c r="D40" s="776"/>
      <c r="E40" s="773" t="s">
        <v>8</v>
      </c>
      <c r="F40" s="774">
        <v>3</v>
      </c>
      <c r="G40" s="775"/>
      <c r="H40" s="1192"/>
      <c r="I40" s="1184"/>
      <c r="J40" s="776"/>
      <c r="K40" s="806"/>
      <c r="L40" s="806"/>
      <c r="M40" s="1207">
        <f t="shared" si="23"/>
        <v>0</v>
      </c>
      <c r="N40" s="807"/>
      <c r="P40" s="1345">
        <f t="shared" si="24"/>
        <v>0</v>
      </c>
      <c r="Q40" s="65"/>
      <c r="R40" s="114"/>
      <c r="S40" s="1855">
        <f xml:space="preserve"> IF( AND(OR(C40 = "Item 2",C40=""), OR( G40 &lt;&gt; 0, H40 &lt;&gt; 0, I40 &lt;&gt; 0, J40 &lt;&gt; 0, K40 &lt;&gt; 0, L40 &lt;&gt; 0) ), 1, 0 )</f>
        <v>0</v>
      </c>
      <c r="T40" s="1855">
        <f xml:space="preserve"> IF(AND($C40="Item 2",$M40=0), 0, IF( ISNUMBER( G40 ), 0, 1 ))</f>
        <v>0</v>
      </c>
      <c r="U40" s="1855">
        <f t="shared" ref="U40:Y40" si="26" xml:space="preserve"> IF(AND($C40="Item 2",$M40=0), 0, IF( ISNUMBER( H40 ), 0, 1 ))</f>
        <v>0</v>
      </c>
      <c r="V40" s="1855">
        <f t="shared" si="26"/>
        <v>0</v>
      </c>
      <c r="W40" s="1855">
        <f t="shared" si="26"/>
        <v>0</v>
      </c>
      <c r="X40" s="1855">
        <f t="shared" si="26"/>
        <v>0</v>
      </c>
      <c r="Y40" s="1855">
        <f t="shared" si="26"/>
        <v>0</v>
      </c>
      <c r="Z40" s="114"/>
      <c r="AB40" s="114"/>
      <c r="AF40" s="114"/>
      <c r="AH40" s="771" t="s">
        <v>4150</v>
      </c>
      <c r="AI40" s="1482" t="s">
        <v>4152</v>
      </c>
      <c r="AJ40" s="1497"/>
      <c r="AK40" s="773" t="s">
        <v>8</v>
      </c>
      <c r="AL40" s="774">
        <v>3</v>
      </c>
      <c r="AM40" s="1423" t="s">
        <v>4152</v>
      </c>
      <c r="AN40" s="1424" t="s">
        <v>4153</v>
      </c>
      <c r="AO40" s="1425" t="s">
        <v>4154</v>
      </c>
      <c r="AP40" s="1426" t="s">
        <v>4155</v>
      </c>
      <c r="AQ40" s="1427" t="s">
        <v>4156</v>
      </c>
      <c r="AR40" s="1427" t="s">
        <v>4157</v>
      </c>
      <c r="AS40" s="1464" t="s">
        <v>4158</v>
      </c>
    </row>
    <row r="41" spans="1:45" ht="15.75">
      <c r="A41" s="758"/>
      <c r="B41" s="771" t="s">
        <v>4159</v>
      </c>
      <c r="C41" s="2119" t="s">
        <v>4160</v>
      </c>
      <c r="D41" s="776"/>
      <c r="E41" s="773" t="s">
        <v>8</v>
      </c>
      <c r="F41" s="774">
        <v>3</v>
      </c>
      <c r="G41" s="775"/>
      <c r="H41" s="1192"/>
      <c r="I41" s="1184"/>
      <c r="J41" s="776"/>
      <c r="K41" s="806"/>
      <c r="L41" s="806"/>
      <c r="M41" s="1207">
        <f t="shared" si="23"/>
        <v>0</v>
      </c>
      <c r="N41" s="816"/>
      <c r="P41" s="1345">
        <f t="shared" si="24"/>
        <v>0</v>
      </c>
      <c r="Q41" s="65"/>
      <c r="R41" s="114"/>
      <c r="S41" s="1855">
        <f xml:space="preserve"> IF( AND(OR(C41 = "Item 3",C41=""), OR( G41 &lt;&gt; 0, H41 &lt;&gt; 0, I41 &lt;&gt; 0, J41 &lt;&gt; 0, K41 &lt;&gt; 0, L41 &lt;&gt; 0) ), 1, 0 )</f>
        <v>0</v>
      </c>
      <c r="T41" s="1855">
        <f xml:space="preserve"> IF(AND($C41="Item 3",$M41=0), 0, IF( ISNUMBER( G41 ), 0, 1 ))</f>
        <v>0</v>
      </c>
      <c r="U41" s="1855">
        <f t="shared" ref="U41:Y41" si="27" xml:space="preserve"> IF(AND($C41="Item 3",$M41=0), 0, IF( ISNUMBER( H41 ), 0, 1 ))</f>
        <v>0</v>
      </c>
      <c r="V41" s="1855">
        <f t="shared" si="27"/>
        <v>0</v>
      </c>
      <c r="W41" s="1855">
        <f t="shared" si="27"/>
        <v>0</v>
      </c>
      <c r="X41" s="1855">
        <f t="shared" si="27"/>
        <v>0</v>
      </c>
      <c r="Y41" s="1855">
        <f t="shared" si="27"/>
        <v>0</v>
      </c>
      <c r="Z41" s="114"/>
      <c r="AB41" s="114"/>
      <c r="AC41" s="105"/>
      <c r="AD41" s="105"/>
      <c r="AE41" s="24"/>
      <c r="AF41" s="114"/>
      <c r="AH41" s="771" t="s">
        <v>4159</v>
      </c>
      <c r="AI41" s="1482" t="s">
        <v>4161</v>
      </c>
      <c r="AJ41" s="1497"/>
      <c r="AK41" s="773" t="s">
        <v>8</v>
      </c>
      <c r="AL41" s="774">
        <v>3</v>
      </c>
      <c r="AM41" s="1423" t="s">
        <v>4161</v>
      </c>
      <c r="AN41" s="1424" t="s">
        <v>4162</v>
      </c>
      <c r="AO41" s="1425" t="s">
        <v>4163</v>
      </c>
      <c r="AP41" s="1426" t="s">
        <v>4164</v>
      </c>
      <c r="AQ41" s="1427" t="s">
        <v>4165</v>
      </c>
      <c r="AR41" s="1427" t="s">
        <v>4166</v>
      </c>
      <c r="AS41" s="1464" t="s">
        <v>4167</v>
      </c>
    </row>
    <row r="42" spans="1:45" ht="15.75">
      <c r="A42" s="758"/>
      <c r="B42" s="817" t="s">
        <v>4168</v>
      </c>
      <c r="C42" s="2119" t="s">
        <v>4169</v>
      </c>
      <c r="D42" s="776"/>
      <c r="E42" s="773" t="s">
        <v>8</v>
      </c>
      <c r="F42" s="774">
        <v>3</v>
      </c>
      <c r="G42" s="775"/>
      <c r="H42" s="1192"/>
      <c r="I42" s="1184"/>
      <c r="J42" s="776"/>
      <c r="K42" s="806"/>
      <c r="L42" s="806"/>
      <c r="M42" s="1207">
        <f t="shared" si="23"/>
        <v>0</v>
      </c>
      <c r="N42" s="816"/>
      <c r="P42" s="1345">
        <f t="shared" si="24"/>
        <v>0</v>
      </c>
      <c r="Q42" s="65"/>
      <c r="R42" s="114"/>
      <c r="S42" s="1855">
        <f xml:space="preserve"> IF( AND(OR(C42 = "Item 4",C42=""), OR( G42 &lt;&gt; 0, H42 &lt;&gt; 0, I42 &lt;&gt; 0, J42 &lt;&gt; 0, K42 &lt;&gt; 0, L42 &lt;&gt; 0) ), 1, 0 )</f>
        <v>0</v>
      </c>
      <c r="T42" s="1855">
        <f xml:space="preserve"> IF(AND($C42="Item 4",$M42=0), 0, IF( ISNUMBER( G42 ), 0, 1 ))</f>
        <v>0</v>
      </c>
      <c r="U42" s="1855">
        <f t="shared" ref="U42:Y42" si="28" xml:space="preserve"> IF(AND($C42="Item 4",$M42=0), 0, IF( ISNUMBER( H42 ), 0, 1 ))</f>
        <v>0</v>
      </c>
      <c r="V42" s="1855">
        <f t="shared" si="28"/>
        <v>0</v>
      </c>
      <c r="W42" s="1855">
        <f t="shared" si="28"/>
        <v>0</v>
      </c>
      <c r="X42" s="1855">
        <f t="shared" si="28"/>
        <v>0</v>
      </c>
      <c r="Y42" s="1855">
        <f t="shared" si="28"/>
        <v>0</v>
      </c>
      <c r="Z42" s="114"/>
      <c r="AB42" s="114"/>
      <c r="AF42" s="114"/>
      <c r="AH42" s="817" t="s">
        <v>4168</v>
      </c>
      <c r="AI42" s="1482" t="s">
        <v>4170</v>
      </c>
      <c r="AJ42" s="1497"/>
      <c r="AK42" s="773" t="s">
        <v>8</v>
      </c>
      <c r="AL42" s="774">
        <v>3</v>
      </c>
      <c r="AM42" s="1423" t="s">
        <v>4170</v>
      </c>
      <c r="AN42" s="1424" t="s">
        <v>4171</v>
      </c>
      <c r="AO42" s="1425" t="s">
        <v>4172</v>
      </c>
      <c r="AP42" s="1426" t="s">
        <v>4173</v>
      </c>
      <c r="AQ42" s="1427" t="s">
        <v>4174</v>
      </c>
      <c r="AR42" s="1427" t="s">
        <v>4175</v>
      </c>
      <c r="AS42" s="1464" t="s">
        <v>4176</v>
      </c>
    </row>
    <row r="43" spans="1:45" ht="15.75">
      <c r="A43" s="758"/>
      <c r="B43" s="771" t="s">
        <v>4177</v>
      </c>
      <c r="C43" s="2119" t="s">
        <v>4178</v>
      </c>
      <c r="D43" s="776"/>
      <c r="E43" s="773" t="s">
        <v>8</v>
      </c>
      <c r="F43" s="774">
        <v>3</v>
      </c>
      <c r="G43" s="775"/>
      <c r="H43" s="1192"/>
      <c r="I43" s="1184"/>
      <c r="J43" s="776"/>
      <c r="K43" s="806"/>
      <c r="L43" s="806"/>
      <c r="M43" s="1207">
        <f t="shared" si="23"/>
        <v>0</v>
      </c>
      <c r="N43" s="816"/>
      <c r="P43" s="1345">
        <f t="shared" si="24"/>
        <v>0</v>
      </c>
      <c r="Q43" s="65"/>
      <c r="R43" s="114"/>
      <c r="S43" s="1855">
        <f xml:space="preserve"> IF( AND(OR(C43 = "Item 5",C43=""), OR( G43 &lt;&gt; 0, H43 &lt;&gt; 0, I43 &lt;&gt; 0, J43 &lt;&gt; 0, K43 &lt;&gt; 0, L43 &lt;&gt; 0) ), 1, 0 )</f>
        <v>0</v>
      </c>
      <c r="T43" s="1855">
        <f xml:space="preserve"> IF(AND($C43="Item 5",$M43=0), 0, IF( ISNUMBER( G43 ), 0, 1 ))</f>
        <v>0</v>
      </c>
      <c r="U43" s="1855">
        <f t="shared" ref="U43:Y43" si="29" xml:space="preserve"> IF(AND($C43="Item 5",$M43=0), 0, IF( ISNUMBER( H43 ), 0, 1 ))</f>
        <v>0</v>
      </c>
      <c r="V43" s="1855">
        <f t="shared" si="29"/>
        <v>0</v>
      </c>
      <c r="W43" s="1855">
        <f t="shared" si="29"/>
        <v>0</v>
      </c>
      <c r="X43" s="1855">
        <f t="shared" si="29"/>
        <v>0</v>
      </c>
      <c r="Y43" s="1855">
        <f t="shared" si="29"/>
        <v>0</v>
      </c>
      <c r="Z43" s="114"/>
      <c r="AB43" s="114"/>
      <c r="AF43" s="114"/>
      <c r="AH43" s="771" t="s">
        <v>4177</v>
      </c>
      <c r="AI43" s="1482" t="s">
        <v>4179</v>
      </c>
      <c r="AJ43" s="1497"/>
      <c r="AK43" s="773" t="s">
        <v>8</v>
      </c>
      <c r="AL43" s="774">
        <v>3</v>
      </c>
      <c r="AM43" s="1423" t="s">
        <v>4179</v>
      </c>
      <c r="AN43" s="1424" t="s">
        <v>4180</v>
      </c>
      <c r="AO43" s="1425" t="s">
        <v>4181</v>
      </c>
      <c r="AP43" s="1426" t="s">
        <v>4182</v>
      </c>
      <c r="AQ43" s="1427" t="s">
        <v>4183</v>
      </c>
      <c r="AR43" s="1427" t="s">
        <v>4184</v>
      </c>
      <c r="AS43" s="1464" t="s">
        <v>4185</v>
      </c>
    </row>
    <row r="44" spans="1:45" ht="15.75">
      <c r="A44" s="758"/>
      <c r="B44" s="1169" t="s">
        <v>4186</v>
      </c>
      <c r="C44" s="2119" t="s">
        <v>4187</v>
      </c>
      <c r="D44" s="1170"/>
      <c r="E44" s="773" t="s">
        <v>8</v>
      </c>
      <c r="F44" s="774">
        <v>3</v>
      </c>
      <c r="G44" s="1171"/>
      <c r="H44" s="1198"/>
      <c r="I44" s="1190"/>
      <c r="J44" s="1170"/>
      <c r="K44" s="1172"/>
      <c r="L44" s="1172"/>
      <c r="M44" s="1207">
        <f t="shared" ref="M44:M48" si="30">+SUM(G44:L44)</f>
        <v>0</v>
      </c>
      <c r="N44" s="816"/>
      <c r="P44" s="1345">
        <f t="shared" si="24"/>
        <v>0</v>
      </c>
      <c r="Q44" s="65"/>
      <c r="R44" s="114"/>
      <c r="S44" s="1855">
        <f xml:space="preserve"> IF( AND(OR(C44 = "Item 6",C44=""), OR( G44 &lt;&gt; 0, H44 &lt;&gt; 0, I44 &lt;&gt; 0, J44 &lt;&gt; 0, K44 &lt;&gt; 0, L44 &lt;&gt; 0) ), 1, 0 )</f>
        <v>0</v>
      </c>
      <c r="T44" s="1855">
        <f xml:space="preserve"> IF(AND($C44="Item 6",$M44=0), 0, IF( ISNUMBER( G44 ), 0, 1 ))</f>
        <v>0</v>
      </c>
      <c r="U44" s="1855">
        <f t="shared" ref="U44:Y44" si="31" xml:space="preserve"> IF(AND($C44="Item 6",$M44=0), 0, IF( ISNUMBER( H44 ), 0, 1 ))</f>
        <v>0</v>
      </c>
      <c r="V44" s="1855">
        <f t="shared" si="31"/>
        <v>0</v>
      </c>
      <c r="W44" s="1855">
        <f t="shared" si="31"/>
        <v>0</v>
      </c>
      <c r="X44" s="1855">
        <f t="shared" si="31"/>
        <v>0</v>
      </c>
      <c r="Y44" s="1855">
        <f t="shared" si="31"/>
        <v>0</v>
      </c>
      <c r="Z44" s="114"/>
      <c r="AB44" s="114"/>
      <c r="AF44" s="114"/>
      <c r="AH44" s="1169" t="s">
        <v>4186</v>
      </c>
      <c r="AI44" s="1482" t="s">
        <v>4188</v>
      </c>
      <c r="AJ44" s="1498"/>
      <c r="AK44" s="773" t="s">
        <v>8</v>
      </c>
      <c r="AL44" s="774">
        <v>3</v>
      </c>
      <c r="AM44" s="1465" t="s">
        <v>4188</v>
      </c>
      <c r="AN44" s="1466" t="s">
        <v>4189</v>
      </c>
      <c r="AO44" s="1467" t="s">
        <v>4190</v>
      </c>
      <c r="AP44" s="1468" t="s">
        <v>4191</v>
      </c>
      <c r="AQ44" s="1469" t="s">
        <v>4192</v>
      </c>
      <c r="AR44" s="1469" t="s">
        <v>4193</v>
      </c>
      <c r="AS44" s="1464" t="s">
        <v>4194</v>
      </c>
    </row>
    <row r="45" spans="1:45" ht="15.75">
      <c r="A45" s="758"/>
      <c r="B45" s="1169" t="s">
        <v>4195</v>
      </c>
      <c r="C45" s="2119" t="s">
        <v>4196</v>
      </c>
      <c r="D45" s="1170"/>
      <c r="E45" s="773" t="s">
        <v>8</v>
      </c>
      <c r="F45" s="774">
        <v>3</v>
      </c>
      <c r="G45" s="1171"/>
      <c r="H45" s="1198"/>
      <c r="I45" s="1190"/>
      <c r="J45" s="1170"/>
      <c r="K45" s="1172"/>
      <c r="L45" s="1172"/>
      <c r="M45" s="1207">
        <f t="shared" si="30"/>
        <v>0</v>
      </c>
      <c r="N45" s="816"/>
      <c r="P45" s="1345">
        <f t="shared" si="24"/>
        <v>0</v>
      </c>
      <c r="Q45" s="65"/>
      <c r="R45" s="114"/>
      <c r="S45" s="1855">
        <f xml:space="preserve"> IF( AND(OR(C45 = "Item 7",C45=""), OR( G45 &lt;&gt; 0, H45 &lt;&gt; 0, I45 &lt;&gt; 0, J45 &lt;&gt; 0, K45 &lt;&gt; 0, L45 &lt;&gt; 0) ), 1, 0 )</f>
        <v>0</v>
      </c>
      <c r="T45" s="1855">
        <f xml:space="preserve"> IF(AND($C45="Item 7",$M45=0), 0, IF( ISNUMBER( G45 ), 0, 1 ))</f>
        <v>0</v>
      </c>
      <c r="U45" s="1855">
        <f t="shared" ref="U45:Y45" si="32" xml:space="preserve"> IF(AND($C45="Item 7",$M45=0), 0, IF( ISNUMBER( H45 ), 0, 1 ))</f>
        <v>0</v>
      </c>
      <c r="V45" s="1855">
        <f t="shared" si="32"/>
        <v>0</v>
      </c>
      <c r="W45" s="1855">
        <f t="shared" si="32"/>
        <v>0</v>
      </c>
      <c r="X45" s="1855">
        <f t="shared" si="32"/>
        <v>0</v>
      </c>
      <c r="Y45" s="1855">
        <f t="shared" si="32"/>
        <v>0</v>
      </c>
      <c r="Z45" s="114"/>
      <c r="AB45" s="114"/>
      <c r="AF45" s="114"/>
      <c r="AH45" s="1169" t="s">
        <v>4195</v>
      </c>
      <c r="AI45" s="1482" t="s">
        <v>4197</v>
      </c>
      <c r="AJ45" s="1498"/>
      <c r="AK45" s="773" t="s">
        <v>8</v>
      </c>
      <c r="AL45" s="774">
        <v>3</v>
      </c>
      <c r="AM45" s="1465" t="s">
        <v>4197</v>
      </c>
      <c r="AN45" s="1466" t="s">
        <v>4198</v>
      </c>
      <c r="AO45" s="1467" t="s">
        <v>4199</v>
      </c>
      <c r="AP45" s="1468" t="s">
        <v>4200</v>
      </c>
      <c r="AQ45" s="1469" t="s">
        <v>4201</v>
      </c>
      <c r="AR45" s="1469" t="s">
        <v>4202</v>
      </c>
      <c r="AS45" s="1464" t="s">
        <v>4203</v>
      </c>
    </row>
    <row r="46" spans="1:45" ht="15.75">
      <c r="A46" s="758"/>
      <c r="B46" s="1169" t="s">
        <v>4204</v>
      </c>
      <c r="C46" s="2119" t="s">
        <v>4205</v>
      </c>
      <c r="D46" s="1170"/>
      <c r="E46" s="773" t="s">
        <v>8</v>
      </c>
      <c r="F46" s="774">
        <v>3</v>
      </c>
      <c r="G46" s="1171"/>
      <c r="H46" s="1198"/>
      <c r="I46" s="1190"/>
      <c r="J46" s="1170"/>
      <c r="K46" s="1172"/>
      <c r="L46" s="1172"/>
      <c r="M46" s="1207">
        <f t="shared" si="30"/>
        <v>0</v>
      </c>
      <c r="N46" s="816"/>
      <c r="P46" s="1345">
        <f t="shared" si="24"/>
        <v>0</v>
      </c>
      <c r="Q46" s="65"/>
      <c r="R46" s="114"/>
      <c r="S46" s="1855">
        <f xml:space="preserve"> IF( AND(OR(C46 = "Item 8",C46=""), OR( G46 &lt;&gt; 0, H46 &lt;&gt; 0, I46 &lt;&gt; 0, J46 &lt;&gt; 0, K46 &lt;&gt; 0, L46 &lt;&gt; 0) ), 1, 0 )</f>
        <v>0</v>
      </c>
      <c r="T46" s="1855">
        <f xml:space="preserve"> IF(AND($C46="Item 8",$M46=0), 0, IF( ISNUMBER( G46 ), 0, 1 ))</f>
        <v>0</v>
      </c>
      <c r="U46" s="1855">
        <f t="shared" ref="U46:Y46" si="33" xml:space="preserve"> IF(AND($C46="Item 8",$M46=0), 0, IF( ISNUMBER( H46 ), 0, 1 ))</f>
        <v>0</v>
      </c>
      <c r="V46" s="1855">
        <f t="shared" si="33"/>
        <v>0</v>
      </c>
      <c r="W46" s="1855">
        <f t="shared" si="33"/>
        <v>0</v>
      </c>
      <c r="X46" s="1855">
        <f t="shared" si="33"/>
        <v>0</v>
      </c>
      <c r="Y46" s="1855">
        <f t="shared" si="33"/>
        <v>0</v>
      </c>
      <c r="Z46" s="114"/>
      <c r="AB46" s="114"/>
      <c r="AF46" s="114"/>
      <c r="AH46" s="1169" t="s">
        <v>4204</v>
      </c>
      <c r="AI46" s="1482" t="s">
        <v>4206</v>
      </c>
      <c r="AJ46" s="1498"/>
      <c r="AK46" s="773" t="s">
        <v>8</v>
      </c>
      <c r="AL46" s="774">
        <v>3</v>
      </c>
      <c r="AM46" s="1465" t="s">
        <v>4206</v>
      </c>
      <c r="AN46" s="1466" t="s">
        <v>4207</v>
      </c>
      <c r="AO46" s="1467" t="s">
        <v>4208</v>
      </c>
      <c r="AP46" s="1468" t="s">
        <v>4209</v>
      </c>
      <c r="AQ46" s="1469" t="s">
        <v>4210</v>
      </c>
      <c r="AR46" s="1469" t="s">
        <v>4211</v>
      </c>
      <c r="AS46" s="1464" t="s">
        <v>4212</v>
      </c>
    </row>
    <row r="47" spans="1:45" ht="15.75">
      <c r="A47" s="758"/>
      <c r="B47" s="1169" t="s">
        <v>4213</v>
      </c>
      <c r="C47" s="2119" t="s">
        <v>4214</v>
      </c>
      <c r="D47" s="1170"/>
      <c r="E47" s="773" t="s">
        <v>8</v>
      </c>
      <c r="F47" s="774">
        <v>3</v>
      </c>
      <c r="G47" s="1171"/>
      <c r="H47" s="1198"/>
      <c r="I47" s="1190"/>
      <c r="J47" s="1170"/>
      <c r="K47" s="1172"/>
      <c r="L47" s="1172"/>
      <c r="M47" s="1207">
        <f t="shared" si="30"/>
        <v>0</v>
      </c>
      <c r="N47" s="816"/>
      <c r="P47" s="1345">
        <f t="shared" si="24"/>
        <v>0</v>
      </c>
      <c r="Q47" s="65"/>
      <c r="R47" s="114"/>
      <c r="S47" s="1855">
        <f xml:space="preserve"> IF( AND(OR(C47 = "Item 9",C47=""), OR( G47 &lt;&gt; 0, H47 &lt;&gt; 0, I47 &lt;&gt; 0, J47 &lt;&gt; 0, K47 &lt;&gt; 0, L47 &lt;&gt; 0) ), 1, 0 )</f>
        <v>0</v>
      </c>
      <c r="T47" s="1855">
        <f xml:space="preserve"> IF(AND($C47="Item 9",$M47=0), 0, IF( ISNUMBER( G47 ), 0, 1 ))</f>
        <v>0</v>
      </c>
      <c r="U47" s="1855">
        <f t="shared" ref="U47:Y47" si="34" xml:space="preserve"> IF(AND($C47="Item 9",$M47=0), 0, IF( ISNUMBER( H47 ), 0, 1 ))</f>
        <v>0</v>
      </c>
      <c r="V47" s="1855">
        <f t="shared" si="34"/>
        <v>0</v>
      </c>
      <c r="W47" s="1855">
        <f t="shared" si="34"/>
        <v>0</v>
      </c>
      <c r="X47" s="1855">
        <f t="shared" si="34"/>
        <v>0</v>
      </c>
      <c r="Y47" s="1855">
        <f t="shared" si="34"/>
        <v>0</v>
      </c>
      <c r="Z47" s="114"/>
      <c r="AB47" s="114"/>
      <c r="AF47" s="114"/>
      <c r="AH47" s="1169" t="s">
        <v>4213</v>
      </c>
      <c r="AI47" s="1482" t="s">
        <v>4215</v>
      </c>
      <c r="AJ47" s="1498"/>
      <c r="AK47" s="773" t="s">
        <v>8</v>
      </c>
      <c r="AL47" s="774">
        <v>3</v>
      </c>
      <c r="AM47" s="1465" t="s">
        <v>4215</v>
      </c>
      <c r="AN47" s="1466" t="s">
        <v>4216</v>
      </c>
      <c r="AO47" s="1467" t="s">
        <v>4217</v>
      </c>
      <c r="AP47" s="1468" t="s">
        <v>4218</v>
      </c>
      <c r="AQ47" s="1469" t="s">
        <v>4219</v>
      </c>
      <c r="AR47" s="1469" t="s">
        <v>4220</v>
      </c>
      <c r="AS47" s="1464" t="s">
        <v>4221</v>
      </c>
    </row>
    <row r="48" spans="1:45" ht="15.75">
      <c r="A48" s="758"/>
      <c r="B48" s="1169" t="s">
        <v>4222</v>
      </c>
      <c r="C48" s="2119" t="s">
        <v>4223</v>
      </c>
      <c r="D48" s="1170"/>
      <c r="E48" s="773" t="s">
        <v>8</v>
      </c>
      <c r="F48" s="774">
        <v>3</v>
      </c>
      <c r="G48" s="1171"/>
      <c r="H48" s="1198"/>
      <c r="I48" s="1190"/>
      <c r="J48" s="1170"/>
      <c r="K48" s="1172"/>
      <c r="L48" s="1172"/>
      <c r="M48" s="1207">
        <f t="shared" si="30"/>
        <v>0</v>
      </c>
      <c r="N48" s="816"/>
      <c r="P48" s="1345">
        <f t="shared" si="24"/>
        <v>0</v>
      </c>
      <c r="Q48" s="65"/>
      <c r="S48" s="1855">
        <f xml:space="preserve"> IF( AND(OR(C48 = "Item 10",C48=""), OR( G48 &lt;&gt; 0, H48 &lt;&gt; 0, I48 &lt;&gt; 0, J48 &lt;&gt; 0, K48 &lt;&gt; 0, L48 &lt;&gt; 0) ), 1, 0 )</f>
        <v>0</v>
      </c>
      <c r="T48" s="1855">
        <f xml:space="preserve"> IF(AND($C48="Item 10",$M48=0), 0, IF( ISNUMBER( G48 ), 0, 1 ))</f>
        <v>0</v>
      </c>
      <c r="U48" s="1855">
        <f t="shared" ref="U48:Y48" si="35" xml:space="preserve"> IF(AND($C48="Item 10",$M48=0), 0, IF( ISNUMBER( H48 ), 0, 1 ))</f>
        <v>0</v>
      </c>
      <c r="V48" s="1855">
        <f t="shared" si="35"/>
        <v>0</v>
      </c>
      <c r="W48" s="1855">
        <f t="shared" si="35"/>
        <v>0</v>
      </c>
      <c r="X48" s="1855">
        <f t="shared" si="35"/>
        <v>0</v>
      </c>
      <c r="Y48" s="1855">
        <f t="shared" si="35"/>
        <v>0</v>
      </c>
      <c r="AH48" s="1169" t="s">
        <v>4222</v>
      </c>
      <c r="AI48" s="1482" t="s">
        <v>4224</v>
      </c>
      <c r="AJ48" s="1498"/>
      <c r="AK48" s="773" t="s">
        <v>8</v>
      </c>
      <c r="AL48" s="774">
        <v>3</v>
      </c>
      <c r="AM48" s="1465" t="s">
        <v>4224</v>
      </c>
      <c r="AN48" s="1466" t="s">
        <v>4225</v>
      </c>
      <c r="AO48" s="1467" t="s">
        <v>4226</v>
      </c>
      <c r="AP48" s="1468" t="s">
        <v>4227</v>
      </c>
      <c r="AQ48" s="1469" t="s">
        <v>4228</v>
      </c>
      <c r="AR48" s="1469" t="s">
        <v>4229</v>
      </c>
      <c r="AS48" s="1464" t="s">
        <v>4230</v>
      </c>
    </row>
    <row r="49" spans="1:45" ht="16.5" thickBot="1">
      <c r="A49" s="758"/>
      <c r="B49" s="787" t="s">
        <v>4231</v>
      </c>
      <c r="C49" s="788" t="s">
        <v>4232</v>
      </c>
      <c r="D49" s="788"/>
      <c r="E49" s="789" t="s">
        <v>8</v>
      </c>
      <c r="F49" s="790">
        <v>3</v>
      </c>
      <c r="G49" s="2040">
        <f t="shared" ref="G49:L49" si="36">+SUM(G39:G48)</f>
        <v>7.2999999999999995E-2</v>
      </c>
      <c r="H49" s="2041">
        <f t="shared" si="36"/>
        <v>0.255</v>
      </c>
      <c r="I49" s="2042">
        <f t="shared" si="36"/>
        <v>4.2999999999999997E-2</v>
      </c>
      <c r="J49" s="2043">
        <f t="shared" si="36"/>
        <v>0</v>
      </c>
      <c r="K49" s="2044">
        <f t="shared" si="36"/>
        <v>0.38500000000000001</v>
      </c>
      <c r="L49" s="2044">
        <f t="shared" si="36"/>
        <v>1.635</v>
      </c>
      <c r="M49" s="1208">
        <f t="shared" si="23"/>
        <v>2.391</v>
      </c>
      <c r="N49" s="818"/>
      <c r="AB49" s="114"/>
      <c r="AH49" s="787" t="s">
        <v>4231</v>
      </c>
      <c r="AI49" s="788" t="s">
        <v>4232</v>
      </c>
      <c r="AJ49" s="1483"/>
      <c r="AK49" s="789" t="s">
        <v>8</v>
      </c>
      <c r="AL49" s="790">
        <v>3</v>
      </c>
      <c r="AM49" s="1470" t="s">
        <v>4233</v>
      </c>
      <c r="AN49" s="1471" t="s">
        <v>4234</v>
      </c>
      <c r="AO49" s="1472" t="s">
        <v>4235</v>
      </c>
      <c r="AP49" s="1473" t="s">
        <v>4236</v>
      </c>
      <c r="AQ49" s="1474" t="s">
        <v>4237</v>
      </c>
      <c r="AR49" s="1474" t="s">
        <v>4238</v>
      </c>
      <c r="AS49" s="1475" t="s">
        <v>4239</v>
      </c>
    </row>
    <row r="50" spans="1:45" ht="16.5" thickBot="1">
      <c r="A50" s="758"/>
      <c r="B50" s="819"/>
      <c r="C50" s="812"/>
      <c r="D50" s="812"/>
      <c r="E50" s="813"/>
      <c r="F50" s="813"/>
      <c r="G50" s="814"/>
      <c r="H50" s="814"/>
      <c r="I50" s="814"/>
      <c r="J50" s="814"/>
      <c r="K50" s="814"/>
      <c r="L50" s="814"/>
      <c r="M50" s="814"/>
      <c r="N50" s="758"/>
      <c r="AB50" s="114"/>
      <c r="AH50" s="819"/>
      <c r="AI50" s="812"/>
      <c r="AJ50" s="812"/>
      <c r="AK50" s="813"/>
      <c r="AL50" s="813"/>
      <c r="AM50" s="1462"/>
      <c r="AN50" s="1462"/>
      <c r="AO50" s="1462"/>
      <c r="AP50" s="1462"/>
      <c r="AQ50" s="1462"/>
      <c r="AR50" s="1462"/>
      <c r="AS50" s="1462"/>
    </row>
    <row r="51" spans="1:45" ht="16.5" thickBot="1">
      <c r="A51" s="758"/>
      <c r="B51" s="759" t="s">
        <v>493</v>
      </c>
      <c r="C51" s="1725" t="s">
        <v>4240</v>
      </c>
      <c r="D51" s="2215"/>
      <c r="E51" s="813"/>
      <c r="F51" s="813"/>
      <c r="G51" s="814"/>
      <c r="H51" s="814"/>
      <c r="I51" s="814"/>
      <c r="J51" s="814"/>
      <c r="K51" s="814"/>
      <c r="L51" s="814"/>
      <c r="M51" s="814"/>
      <c r="N51" s="758"/>
      <c r="AB51" s="114"/>
      <c r="AH51" s="759" t="s">
        <v>493</v>
      </c>
      <c r="AI51" s="820" t="s">
        <v>4240</v>
      </c>
      <c r="AJ51" s="2215"/>
      <c r="AK51" s="813"/>
      <c r="AL51" s="813"/>
      <c r="AM51" s="1462"/>
      <c r="AN51" s="1462"/>
      <c r="AO51" s="1462"/>
      <c r="AP51" s="1462"/>
      <c r="AQ51" s="1462"/>
      <c r="AR51" s="1462"/>
      <c r="AS51" s="1462"/>
    </row>
    <row r="52" spans="1:45" ht="26.85" customHeight="1" thickBot="1">
      <c r="A52" s="758"/>
      <c r="B52" s="821" t="s">
        <v>4241</v>
      </c>
      <c r="C52" s="822" t="s">
        <v>4242</v>
      </c>
      <c r="D52" s="823"/>
      <c r="E52" s="824" t="s">
        <v>8</v>
      </c>
      <c r="F52" s="825">
        <v>3</v>
      </c>
      <c r="G52" s="2045">
        <f t="shared" ref="G52:L52" si="37">+G49+G36</f>
        <v>14.04448892388289</v>
      </c>
      <c r="H52" s="2046">
        <f t="shared" si="37"/>
        <v>71.620032970628927</v>
      </c>
      <c r="I52" s="2047">
        <f t="shared" si="37"/>
        <v>15.149023089434904</v>
      </c>
      <c r="J52" s="2048">
        <f t="shared" si="37"/>
        <v>0</v>
      </c>
      <c r="K52" s="2048">
        <f t="shared" si="37"/>
        <v>164.29217750390603</v>
      </c>
      <c r="L52" s="2049">
        <f t="shared" si="37"/>
        <v>630.17617486744825</v>
      </c>
      <c r="M52" s="2050">
        <f>+SUM(G52:L52)</f>
        <v>895.281897355301</v>
      </c>
      <c r="N52" s="758"/>
      <c r="P52" s="1164">
        <f xml:space="preserve"> IF( SUM( Z52:AB52 ) = 0, 0, AE52 )</f>
        <v>0</v>
      </c>
      <c r="AA52" s="86">
        <f xml:space="preserve"> IF( (AC52 - AD52) = 0, 0, 1 )</f>
        <v>0</v>
      </c>
      <c r="AB52" s="114"/>
      <c r="AC52" s="105">
        <f xml:space="preserve"> ROUND( M52, 3 )</f>
        <v>895.28200000000004</v>
      </c>
      <c r="AD52" s="105">
        <f xml:space="preserve"> ROUND( ('4D'!M39), 3 )</f>
        <v>895.28200000000004</v>
      </c>
      <c r="AE52" s="24" t="s">
        <v>4243</v>
      </c>
      <c r="AH52" s="821" t="s">
        <v>4241</v>
      </c>
      <c r="AI52" s="822" t="s">
        <v>4242</v>
      </c>
      <c r="AJ52" s="1484"/>
      <c r="AK52" s="824" t="s">
        <v>8</v>
      </c>
      <c r="AL52" s="825">
        <v>3</v>
      </c>
      <c r="AM52" s="1476" t="s">
        <v>4244</v>
      </c>
      <c r="AN52" s="1477" t="s">
        <v>4245</v>
      </c>
      <c r="AO52" s="1478" t="s">
        <v>4246</v>
      </c>
      <c r="AP52" s="1479" t="s">
        <v>4247</v>
      </c>
      <c r="AQ52" s="1479" t="s">
        <v>4248</v>
      </c>
      <c r="AR52" s="1480" t="s">
        <v>4249</v>
      </c>
      <c r="AS52" s="1481" t="s">
        <v>4250</v>
      </c>
    </row>
    <row r="53" spans="1:45"/>
    <row r="54" spans="1:45">
      <c r="B54" s="2349" t="s">
        <v>275</v>
      </c>
      <c r="C54" s="2349"/>
      <c r="D54" s="2215"/>
      <c r="E54" s="142"/>
      <c r="F54" s="142"/>
      <c r="G54" s="142"/>
      <c r="H54" s="142"/>
      <c r="I54" s="142"/>
      <c r="J54" s="142"/>
      <c r="K54" s="142"/>
      <c r="L54" s="142"/>
      <c r="M54" s="142"/>
      <c r="N54" s="142"/>
    </row>
    <row r="55" spans="1:45">
      <c r="B55" s="281"/>
      <c r="C55" s="826"/>
      <c r="D55" s="826"/>
      <c r="E55" s="142"/>
      <c r="F55" s="142"/>
      <c r="G55" s="142"/>
      <c r="H55" s="142"/>
      <c r="I55" s="142"/>
      <c r="J55" s="142"/>
      <c r="K55" s="142"/>
      <c r="L55" s="142"/>
      <c r="M55" s="142"/>
      <c r="N55" s="142"/>
    </row>
    <row r="56" spans="1:45">
      <c r="B56" s="827"/>
      <c r="C56" s="828" t="s">
        <v>249</v>
      </c>
      <c r="D56" s="828"/>
      <c r="E56" s="142"/>
      <c r="F56" s="142"/>
      <c r="G56" s="142"/>
      <c r="H56" s="142"/>
      <c r="I56" s="142"/>
      <c r="J56" s="142"/>
      <c r="K56" s="142"/>
      <c r="L56" s="142"/>
      <c r="M56" s="142"/>
      <c r="N56" s="142"/>
    </row>
    <row r="57" spans="1:45">
      <c r="B57" s="281"/>
      <c r="C57" s="826"/>
      <c r="D57" s="826"/>
      <c r="E57" s="142"/>
      <c r="F57" s="142"/>
      <c r="G57" s="142"/>
      <c r="H57" s="142" t="s">
        <v>4251</v>
      </c>
      <c r="I57" s="142"/>
      <c r="J57" s="142"/>
      <c r="K57" s="142"/>
      <c r="L57" s="142"/>
      <c r="M57" s="142"/>
      <c r="N57" s="142"/>
    </row>
    <row r="58" spans="1:45">
      <c r="B58" s="829"/>
      <c r="C58" s="828" t="s">
        <v>250</v>
      </c>
      <c r="D58" s="828"/>
      <c r="E58" s="142"/>
      <c r="F58" s="142"/>
      <c r="G58" s="142"/>
      <c r="H58" s="142"/>
      <c r="I58" s="142"/>
      <c r="J58" s="142"/>
      <c r="K58" s="142"/>
      <c r="L58" s="142"/>
      <c r="M58" s="142"/>
      <c r="N58" s="142"/>
    </row>
    <row r="59" spans="1:45" s="65" customFormat="1">
      <c r="A59"/>
      <c r="B59" s="155"/>
      <c r="C59" s="156"/>
      <c r="D59" s="156"/>
      <c r="E59" s="155"/>
      <c r="F59" s="155"/>
      <c r="G59" s="155"/>
      <c r="H59" s="155"/>
      <c r="I59" s="155"/>
      <c r="J59" s="155"/>
      <c r="K59" s="155"/>
      <c r="L59" s="155"/>
      <c r="M59" s="155"/>
      <c r="N59" s="155"/>
      <c r="O59"/>
      <c r="P59"/>
      <c r="R59" s="66"/>
      <c r="Z59" s="66"/>
      <c r="AA59" s="67"/>
      <c r="AB59" s="66"/>
      <c r="AC59"/>
      <c r="AD59"/>
      <c r="AE59"/>
      <c r="AF59" s="66"/>
    </row>
    <row r="60" spans="1:45" s="65" customFormat="1" ht="15" thickBot="1">
      <c r="A60"/>
      <c r="B60" s="155"/>
      <c r="C60" s="156"/>
      <c r="D60" s="156"/>
      <c r="E60" s="155"/>
      <c r="F60" s="155"/>
      <c r="G60" s="155"/>
      <c r="H60" s="155"/>
      <c r="I60" s="155"/>
      <c r="J60" s="155"/>
      <c r="K60" s="155"/>
      <c r="L60" s="155"/>
      <c r="M60" s="155"/>
      <c r="N60" s="155"/>
      <c r="O60"/>
      <c r="P60"/>
      <c r="R60" s="66"/>
      <c r="Z60" s="66"/>
      <c r="AA60" s="67"/>
      <c r="AB60" s="66"/>
      <c r="AC60"/>
      <c r="AD60"/>
      <c r="AE60"/>
      <c r="AF60" s="66"/>
    </row>
    <row r="61" spans="1:45" s="65" customFormat="1" ht="16.5" thickBot="1">
      <c r="A61"/>
      <c r="B61" s="1166" t="s">
        <v>251</v>
      </c>
      <c r="C61" s="830"/>
      <c r="D61" s="830"/>
      <c r="E61" s="831"/>
      <c r="F61" s="831"/>
      <c r="G61" s="831"/>
      <c r="H61" s="831"/>
      <c r="I61" s="831"/>
      <c r="J61" s="831"/>
      <c r="K61" s="831"/>
      <c r="L61" s="831"/>
      <c r="M61" s="831"/>
      <c r="N61" s="831"/>
      <c r="O61" s="832"/>
      <c r="P61"/>
      <c r="R61" s="66"/>
      <c r="Z61" s="66"/>
      <c r="AA61" s="67"/>
      <c r="AB61" s="66"/>
      <c r="AC61"/>
      <c r="AD61"/>
      <c r="AE61"/>
      <c r="AF61" s="66"/>
    </row>
    <row r="62" spans="1:45" s="65" customFormat="1">
      <c r="A62"/>
      <c r="B62" s="155"/>
      <c r="C62" s="156"/>
      <c r="D62" s="156"/>
      <c r="E62" s="155"/>
      <c r="F62" s="155"/>
      <c r="G62" s="155"/>
      <c r="H62" s="155"/>
      <c r="I62" s="155"/>
      <c r="J62" s="155"/>
      <c r="K62" s="155"/>
      <c r="L62" s="155"/>
      <c r="M62" s="155"/>
      <c r="N62" s="155"/>
      <c r="O62"/>
      <c r="P62"/>
      <c r="R62" s="66"/>
      <c r="Z62" s="66"/>
      <c r="AA62" s="67"/>
      <c r="AB62" s="66"/>
      <c r="AC62"/>
      <c r="AD62"/>
      <c r="AE62"/>
      <c r="AF62" s="66"/>
    </row>
  </sheetData>
  <sheetProtection algorithmName="SHA-512" hashValue="2ohAGx0IVrW3PbXsiEetV6pudeLV7Odrky9cf6CAsCKLkoi/nWeNxzTQonRFJ5vzCfLedMF62ITCR/3yhy1/8w==" saltValue="rg0puzyfjLJtvCHeeXai3g==" spinCount="100000" sheet="1" objects="1" scenarios="1"/>
  <mergeCells count="13">
    <mergeCell ref="B54:C54"/>
    <mergeCell ref="AO3:AR3"/>
    <mergeCell ref="AS3:AS4"/>
    <mergeCell ref="B3:C4"/>
    <mergeCell ref="E3:E4"/>
    <mergeCell ref="F3:F4"/>
    <mergeCell ref="AH3:AI3"/>
    <mergeCell ref="AM3:AN3"/>
    <mergeCell ref="P3:P4"/>
    <mergeCell ref="G3:H3"/>
    <mergeCell ref="I3:L3"/>
    <mergeCell ref="M3:M4"/>
    <mergeCell ref="N3:N4"/>
  </mergeCells>
  <conditionalFormatting sqref="P7:P10">
    <cfRule type="cellIs" dxfId="118" priority="6" operator="equal">
      <formula>0</formula>
    </cfRule>
  </conditionalFormatting>
  <conditionalFormatting sqref="P12:P15">
    <cfRule type="cellIs" dxfId="117" priority="8" operator="equal">
      <formula>0</formula>
    </cfRule>
  </conditionalFormatting>
  <conditionalFormatting sqref="P18">
    <cfRule type="cellIs" dxfId="116" priority="10" operator="equal">
      <formula>0</formula>
    </cfRule>
  </conditionalFormatting>
  <conditionalFormatting sqref="P22:P26">
    <cfRule type="cellIs" dxfId="115" priority="12" operator="equal">
      <formula>0</formula>
    </cfRule>
  </conditionalFormatting>
  <conditionalFormatting sqref="P28">
    <cfRule type="cellIs" dxfId="114" priority="14" operator="equal">
      <formula>0</formula>
    </cfRule>
  </conditionalFormatting>
  <conditionalFormatting sqref="P30">
    <cfRule type="cellIs" dxfId="113" priority="16" operator="equal">
      <formula>0</formula>
    </cfRule>
  </conditionalFormatting>
  <conditionalFormatting sqref="P34:P35">
    <cfRule type="cellIs" dxfId="112" priority="18" operator="equal">
      <formula>0</formula>
    </cfRule>
  </conditionalFormatting>
  <conditionalFormatting sqref="P39:P48">
    <cfRule type="cellIs" dxfId="111" priority="1" operator="equal">
      <formula>$AE$39</formula>
    </cfRule>
    <cfRule type="cellIs" dxfId="110" priority="2" operator="equal">
      <formula>0</formula>
    </cfRule>
  </conditionalFormatting>
  <conditionalFormatting sqref="P52">
    <cfRule type="cellIs" dxfId="109"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AY66"/>
  <sheetViews>
    <sheetView showGridLines="0" topLeftCell="C1" zoomScale="80" zoomScaleNormal="80" workbookViewId="0">
      <selection activeCell="J16" sqref="J16"/>
    </sheetView>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313" hidden="1" customWidth="1"/>
    <col min="21" max="29" width="3.5" hidden="1" customWidth="1"/>
    <col min="30" max="30" width="1.625" style="1313" hidden="1" customWidth="1"/>
    <col min="31" max="31" width="8.625" hidden="1" customWidth="1"/>
    <col min="32" max="32" width="1.625" style="1313" hidden="1" customWidth="1"/>
    <col min="33" max="33" width="10.125" hidden="1" customWidth="1"/>
    <col min="34" max="34" width="10.625" hidden="1" customWidth="1"/>
    <col min="35" max="35" width="67.625" hidden="1" customWidth="1"/>
    <col min="36" max="36" width="1.625" style="1313" hidden="1" customWidth="1"/>
    <col min="37" max="38" width="8.625" hidden="1" customWidth="1"/>
    <col min="39" max="39" width="47.625" hidden="1" customWidth="1"/>
    <col min="40" max="42" width="8.625" hidden="1" customWidth="1"/>
    <col min="43" max="43" width="11.125" hidden="1" customWidth="1"/>
    <col min="44" max="44" width="13.125" hidden="1" customWidth="1"/>
    <col min="45" max="45" width="11.625" hidden="1" customWidth="1"/>
    <col min="46" max="51" width="12.625" hidden="1" customWidth="1"/>
    <col min="52" max="16384" width="8.625" hidden="1"/>
  </cols>
  <sheetData>
    <row r="1" spans="1:51" ht="20.25">
      <c r="A1" s="834"/>
      <c r="B1" s="835" t="s">
        <v>4252</v>
      </c>
      <c r="C1" s="835"/>
      <c r="D1" s="835"/>
      <c r="E1" s="835"/>
      <c r="F1" s="835"/>
      <c r="G1" s="835"/>
      <c r="H1" s="835"/>
      <c r="I1" s="835"/>
      <c r="J1" s="836"/>
      <c r="K1" s="836"/>
      <c r="L1" s="836"/>
      <c r="M1" s="836"/>
      <c r="N1" s="836"/>
      <c r="O1" s="836"/>
      <c r="P1" s="836" t="str">
        <f>Validation!B3</f>
        <v>Thames Water</v>
      </c>
      <c r="Q1" s="835"/>
      <c r="R1" s="64" t="s">
        <v>94</v>
      </c>
      <c r="S1" s="65"/>
      <c r="T1" s="66"/>
      <c r="U1" s="65"/>
      <c r="V1" s="65"/>
      <c r="W1" s="65"/>
      <c r="X1" s="65"/>
      <c r="Y1" s="65"/>
      <c r="Z1" s="65"/>
      <c r="AA1" s="65"/>
      <c r="AB1" s="65"/>
      <c r="AC1" s="65"/>
      <c r="AD1" s="1708"/>
      <c r="AL1" s="835" t="s">
        <v>4252</v>
      </c>
      <c r="AM1" s="835"/>
      <c r="AN1" s="835"/>
      <c r="AO1" s="835"/>
      <c r="AP1" s="835"/>
      <c r="AQ1" s="835"/>
      <c r="AR1" s="835"/>
      <c r="AS1" s="835"/>
      <c r="AT1" s="836"/>
      <c r="AU1" s="836"/>
      <c r="AV1" s="836"/>
      <c r="AW1" s="836"/>
      <c r="AX1" s="836"/>
      <c r="AY1" s="836"/>
    </row>
    <row r="2" spans="1:51" ht="16.5" thickBot="1">
      <c r="A2" s="758"/>
      <c r="B2" s="68" t="s">
        <v>80</v>
      </c>
      <c r="C2" s="837"/>
      <c r="D2" s="837"/>
      <c r="E2" s="837"/>
      <c r="F2" s="837"/>
      <c r="G2" s="837"/>
      <c r="H2" s="837"/>
      <c r="I2" s="837"/>
      <c r="J2" s="758"/>
      <c r="K2" s="758"/>
      <c r="L2" s="758"/>
      <c r="M2" s="758"/>
      <c r="N2" s="758"/>
      <c r="O2" s="758"/>
      <c r="P2" s="758"/>
      <c r="Q2" s="758"/>
      <c r="R2" s="65"/>
      <c r="S2" s="65"/>
      <c r="T2" s="66"/>
      <c r="U2" s="65"/>
      <c r="V2" s="65"/>
      <c r="W2" s="65"/>
      <c r="X2" s="65"/>
      <c r="Y2" s="65"/>
      <c r="Z2" s="65"/>
      <c r="AA2" s="65"/>
      <c r="AB2" s="65"/>
      <c r="AC2" s="65"/>
      <c r="AD2" s="1708"/>
      <c r="AL2" s="68" t="s">
        <v>80</v>
      </c>
      <c r="AM2" s="837"/>
      <c r="AN2" s="837"/>
      <c r="AO2" s="837"/>
      <c r="AP2" s="837"/>
      <c r="AQ2" s="837"/>
      <c r="AR2" s="837"/>
      <c r="AS2" s="837"/>
      <c r="AT2" s="758"/>
      <c r="AU2" s="758"/>
      <c r="AV2" s="758"/>
      <c r="AW2" s="758"/>
      <c r="AX2" s="758"/>
      <c r="AY2" s="758"/>
    </row>
    <row r="3" spans="1:51" ht="16.5" customHeight="1">
      <c r="A3" s="838"/>
      <c r="B3" s="2242" t="s">
        <v>96</v>
      </c>
      <c r="C3" s="2243"/>
      <c r="D3" s="2217" t="s">
        <v>2690</v>
      </c>
      <c r="E3" s="2367" t="s">
        <v>98</v>
      </c>
      <c r="F3" s="2369" t="s">
        <v>99</v>
      </c>
      <c r="G3" s="2336" t="s">
        <v>4253</v>
      </c>
      <c r="H3" s="2337"/>
      <c r="I3" s="2339"/>
      <c r="J3" s="2340" t="s">
        <v>4254</v>
      </c>
      <c r="K3" s="2339"/>
      <c r="L3" s="2340" t="s">
        <v>749</v>
      </c>
      <c r="M3" s="2337"/>
      <c r="N3" s="2339"/>
      <c r="O3" s="2381" t="s">
        <v>680</v>
      </c>
      <c r="P3" s="2374" t="s">
        <v>3938</v>
      </c>
      <c r="Q3" s="838"/>
      <c r="R3" s="2240" t="s">
        <v>103</v>
      </c>
      <c r="S3" s="65"/>
      <c r="T3" s="66"/>
      <c r="U3" s="65"/>
      <c r="V3" s="65"/>
      <c r="W3" s="65"/>
      <c r="X3" s="65"/>
      <c r="Y3" s="78"/>
      <c r="Z3" s="78"/>
      <c r="AA3" s="78"/>
      <c r="AB3" s="78"/>
      <c r="AC3" s="78"/>
      <c r="AD3" s="66"/>
      <c r="AL3" s="2242" t="s">
        <v>4255</v>
      </c>
      <c r="AM3" s="2365" t="s">
        <v>2</v>
      </c>
      <c r="AN3" s="2217" t="s">
        <v>2690</v>
      </c>
      <c r="AO3" s="2367" t="s">
        <v>98</v>
      </c>
      <c r="AP3" s="2369" t="s">
        <v>99</v>
      </c>
      <c r="AQ3" s="2371" t="s">
        <v>4253</v>
      </c>
      <c r="AR3" s="2372"/>
      <c r="AS3" s="2373"/>
      <c r="AT3" s="2360" t="s">
        <v>4254</v>
      </c>
      <c r="AU3" s="2361"/>
      <c r="AV3" s="2362" t="s">
        <v>749</v>
      </c>
      <c r="AW3" s="2363"/>
      <c r="AX3" s="2364"/>
      <c r="AY3" s="2325" t="s">
        <v>680</v>
      </c>
    </row>
    <row r="4" spans="1:51" ht="41.25" thickBot="1">
      <c r="A4" s="838"/>
      <c r="B4" s="2244"/>
      <c r="C4" s="2245"/>
      <c r="D4" s="2218"/>
      <c r="E4" s="2379"/>
      <c r="F4" s="2380"/>
      <c r="G4" s="181" t="s">
        <v>3641</v>
      </c>
      <c r="H4" s="182" t="s">
        <v>3642</v>
      </c>
      <c r="I4" s="183" t="s">
        <v>3643</v>
      </c>
      <c r="J4" s="184" t="s">
        <v>3644</v>
      </c>
      <c r="K4" s="183" t="s">
        <v>4256</v>
      </c>
      <c r="L4" s="184" t="s">
        <v>3646</v>
      </c>
      <c r="M4" s="182" t="s">
        <v>3647</v>
      </c>
      <c r="N4" s="183" t="s">
        <v>3648</v>
      </c>
      <c r="O4" s="2382"/>
      <c r="P4" s="2375"/>
      <c r="Q4" s="838"/>
      <c r="R4" s="2241"/>
      <c r="S4" s="65"/>
      <c r="T4" s="66"/>
      <c r="U4" s="71" t="s">
        <v>107</v>
      </c>
      <c r="V4" s="71"/>
      <c r="W4" s="71"/>
      <c r="X4" s="71"/>
      <c r="Y4" s="71"/>
      <c r="Z4" s="71"/>
      <c r="AA4" s="71"/>
      <c r="AB4" s="71"/>
      <c r="AC4" s="71"/>
      <c r="AD4" s="66"/>
      <c r="AE4" s="2194" t="s">
        <v>86</v>
      </c>
      <c r="AF4" s="66"/>
      <c r="AG4" s="71" t="s">
        <v>742</v>
      </c>
      <c r="AH4" s="2194"/>
      <c r="AI4" s="2194"/>
      <c r="AJ4" s="66"/>
      <c r="AL4" s="2244"/>
      <c r="AM4" s="2366"/>
      <c r="AN4" s="2218"/>
      <c r="AO4" s="2368"/>
      <c r="AP4" s="2370"/>
      <c r="AQ4" s="839" t="s">
        <v>3641</v>
      </c>
      <c r="AR4" s="839" t="s">
        <v>3642</v>
      </c>
      <c r="AS4" s="839" t="s">
        <v>3643</v>
      </c>
      <c r="AT4" s="839" t="s">
        <v>3644</v>
      </c>
      <c r="AU4" s="839" t="s">
        <v>4256</v>
      </c>
      <c r="AV4" s="839" t="s">
        <v>3646</v>
      </c>
      <c r="AW4" s="839" t="s">
        <v>3647</v>
      </c>
      <c r="AX4" s="839" t="s">
        <v>3648</v>
      </c>
      <c r="AY4" s="2326"/>
    </row>
    <row r="5" spans="1:51" ht="16.5" thickBot="1">
      <c r="A5" s="758"/>
      <c r="B5" s="840"/>
      <c r="C5" s="840"/>
      <c r="D5" s="840"/>
      <c r="E5" s="840"/>
      <c r="F5" s="840"/>
      <c r="G5" s="840"/>
      <c r="H5" s="840"/>
      <c r="I5" s="840"/>
      <c r="J5" s="841"/>
      <c r="K5" s="841"/>
      <c r="L5" s="841"/>
      <c r="M5" s="841"/>
      <c r="N5" s="841"/>
      <c r="O5" s="841"/>
      <c r="P5" s="841"/>
      <c r="S5" s="65"/>
      <c r="T5" s="66"/>
      <c r="U5" s="65"/>
      <c r="V5" s="78" t="s">
        <v>108</v>
      </c>
      <c r="W5" s="78"/>
      <c r="X5" s="78"/>
      <c r="Y5" s="78"/>
      <c r="Z5" s="78"/>
      <c r="AA5" s="78"/>
      <c r="AB5" s="78"/>
      <c r="AC5" s="78"/>
      <c r="AD5" s="66"/>
      <c r="AL5" s="840"/>
      <c r="AM5" s="840"/>
      <c r="AN5" s="840"/>
      <c r="AO5" s="840"/>
      <c r="AP5" s="840"/>
      <c r="AQ5" s="840"/>
      <c r="AR5" s="840"/>
      <c r="AS5" s="840"/>
      <c r="AT5" s="841"/>
      <c r="AU5" s="841"/>
      <c r="AV5" s="841"/>
      <c r="AW5" s="841"/>
      <c r="AX5" s="841"/>
      <c r="AY5" s="841"/>
    </row>
    <row r="6" spans="1:51" ht="16.5" thickBot="1">
      <c r="A6" s="758"/>
      <c r="B6" s="759" t="s">
        <v>214</v>
      </c>
      <c r="C6" s="760" t="s">
        <v>3939</v>
      </c>
      <c r="D6" s="761"/>
      <c r="E6" s="761"/>
      <c r="F6" s="761"/>
      <c r="G6" s="761"/>
      <c r="H6" s="761"/>
      <c r="I6" s="761"/>
      <c r="J6" s="758"/>
      <c r="K6" s="758"/>
      <c r="L6" s="758"/>
      <c r="M6" s="758"/>
      <c r="N6" s="758"/>
      <c r="O6" s="758"/>
      <c r="P6" s="758"/>
      <c r="S6" s="65"/>
      <c r="T6" s="66"/>
      <c r="U6" s="65"/>
      <c r="V6" s="78"/>
      <c r="W6" s="78"/>
      <c r="X6" s="78"/>
      <c r="Y6" s="78"/>
      <c r="Z6" s="78"/>
      <c r="AA6" s="78"/>
      <c r="AB6" s="78"/>
      <c r="AC6" s="78"/>
      <c r="AD6" s="66"/>
      <c r="AL6" s="759" t="s">
        <v>214</v>
      </c>
      <c r="AM6" s="760" t="s">
        <v>3939</v>
      </c>
      <c r="AN6" s="761"/>
      <c r="AO6" s="761"/>
      <c r="AP6" s="761"/>
      <c r="AQ6" s="761"/>
      <c r="AR6" s="761"/>
      <c r="AS6" s="761"/>
      <c r="AT6" s="758"/>
      <c r="AU6" s="758"/>
      <c r="AV6" s="758"/>
      <c r="AW6" s="758"/>
      <c r="AX6" s="758"/>
      <c r="AY6" s="758"/>
    </row>
    <row r="7" spans="1:51" ht="15.75">
      <c r="A7" s="758"/>
      <c r="B7" s="1255" t="s">
        <v>4257</v>
      </c>
      <c r="C7" s="763" t="s">
        <v>869</v>
      </c>
      <c r="D7" s="763"/>
      <c r="E7" s="764" t="s">
        <v>8</v>
      </c>
      <c r="F7" s="765">
        <v>3</v>
      </c>
      <c r="G7" s="766">
        <v>6.8620000000000001</v>
      </c>
      <c r="H7" s="1183">
        <v>2.1840000000000002</v>
      </c>
      <c r="I7" s="767">
        <v>1.2569999999999999</v>
      </c>
      <c r="J7" s="766">
        <v>54.192999999999998</v>
      </c>
      <c r="K7" s="767">
        <v>0</v>
      </c>
      <c r="L7" s="767">
        <v>-5.0000000000000001E-3</v>
      </c>
      <c r="M7" s="767">
        <v>-13.833</v>
      </c>
      <c r="N7" s="804">
        <v>3.7999999999999999E-2</v>
      </c>
      <c r="O7" s="768">
        <f>+SUM(G7:N7)</f>
        <v>50.695999999999998</v>
      </c>
      <c r="P7" s="769"/>
      <c r="R7" s="770">
        <f t="shared" ref="R7:R10" si="0" xml:space="preserve"> IF( SUM( T7:AD7 ) = 0, 0, $V$5 )</f>
        <v>0</v>
      </c>
      <c r="S7" s="65"/>
      <c r="T7" s="66"/>
      <c r="V7" s="86">
        <f>IF(Validation!$H$3=1,0,IF(ISNUMBER(G7),0,1))</f>
        <v>0</v>
      </c>
      <c r="W7" s="86">
        <f>IF(Validation!$H$3=1,0,IF(ISNUMBER(H7),0,1))</f>
        <v>0</v>
      </c>
      <c r="X7" s="86">
        <f>IF(Validation!$H$3=1,0,IF(ISNUMBER(I7),0,1))</f>
        <v>0</v>
      </c>
      <c r="Y7" s="86">
        <f>IF(Validation!$H$3=1,0,IF(ISNUMBER(J7),0,1))</f>
        <v>0</v>
      </c>
      <c r="Z7" s="86">
        <f>IF(Validation!$H$3=1,0,IF(ISNUMBER(K7),0,1))</f>
        <v>0</v>
      </c>
      <c r="AA7" s="86">
        <f>IF(Validation!$H$3=1,0,IF(ISNUMBER(L7),0,1))</f>
        <v>0</v>
      </c>
      <c r="AB7" s="86">
        <f>IF(Validation!$H$3=1,0,IF(ISNUMBER(M7),0,1))</f>
        <v>0</v>
      </c>
      <c r="AC7" s="86">
        <f>IF(Validation!$H$3=1,0,IF(ISNUMBER(N7),0,1))</f>
        <v>0</v>
      </c>
      <c r="AD7" s="66"/>
      <c r="AL7" s="1255" t="s">
        <v>4257</v>
      </c>
      <c r="AM7" s="763" t="s">
        <v>869</v>
      </c>
      <c r="AN7" s="763"/>
      <c r="AO7" s="764" t="s">
        <v>8</v>
      </c>
      <c r="AP7" s="765">
        <v>3</v>
      </c>
      <c r="AQ7" s="1417" t="s">
        <v>4258</v>
      </c>
      <c r="AR7" s="1419" t="s">
        <v>4259</v>
      </c>
      <c r="AS7" s="1420" t="s">
        <v>4260</v>
      </c>
      <c r="AT7" s="1417" t="s">
        <v>4261</v>
      </c>
      <c r="AU7" s="1420" t="s">
        <v>4262</v>
      </c>
      <c r="AV7" s="1420" t="s">
        <v>4263</v>
      </c>
      <c r="AW7" s="1420" t="s">
        <v>4264</v>
      </c>
      <c r="AX7" s="1421" t="s">
        <v>4265</v>
      </c>
      <c r="AY7" s="1422" t="s">
        <v>4266</v>
      </c>
    </row>
    <row r="8" spans="1:51" ht="15.75">
      <c r="A8" s="758"/>
      <c r="B8" s="771" t="s">
        <v>4267</v>
      </c>
      <c r="C8" s="772" t="s">
        <v>877</v>
      </c>
      <c r="D8" s="772"/>
      <c r="E8" s="773" t="s">
        <v>8</v>
      </c>
      <c r="F8" s="774">
        <v>3</v>
      </c>
      <c r="G8" s="775">
        <v>-8.4000000000000005E-2</v>
      </c>
      <c r="H8" s="1184">
        <v>-2.7E-2</v>
      </c>
      <c r="I8" s="776">
        <v>-1.4999999999999999E-2</v>
      </c>
      <c r="J8" s="775">
        <v>-3.9E-2</v>
      </c>
      <c r="K8" s="776">
        <v>0</v>
      </c>
      <c r="L8" s="776">
        <v>0</v>
      </c>
      <c r="M8" s="776">
        <v>-9.6319999999999997</v>
      </c>
      <c r="N8" s="806">
        <v>-0.79300000000000004</v>
      </c>
      <c r="O8" s="777">
        <f t="shared" ref="O8:O10" si="1">+SUM(G8:N8)</f>
        <v>-10.589999999999998</v>
      </c>
      <c r="P8" s="778"/>
      <c r="R8" s="770">
        <f t="shared" si="0"/>
        <v>0</v>
      </c>
      <c r="S8" s="65"/>
      <c r="T8" s="66"/>
      <c r="V8" s="86">
        <f>IF(Validation!$H$3=1,0,IF(ISNUMBER(G8),0,1))</f>
        <v>0</v>
      </c>
      <c r="W8" s="86">
        <f>IF(Validation!$H$3=1,0,IF(ISNUMBER(H8),0,1))</f>
        <v>0</v>
      </c>
      <c r="X8" s="86">
        <f>IF(Validation!$H$3=1,0,IF(ISNUMBER(I8),0,1))</f>
        <v>0</v>
      </c>
      <c r="Y8" s="86">
        <f>IF(Validation!$H$3=1,0,IF(ISNUMBER(J8),0,1))</f>
        <v>0</v>
      </c>
      <c r="Z8" s="86">
        <f>IF(Validation!$H$3=1,0,IF(ISNUMBER(K8),0,1))</f>
        <v>0</v>
      </c>
      <c r="AA8" s="86">
        <f>IF(Validation!$H$3=1,0,IF(ISNUMBER(L8),0,1))</f>
        <v>0</v>
      </c>
      <c r="AB8" s="86">
        <f>IF(Validation!$H$3=1,0,IF(ISNUMBER(M8),0,1))</f>
        <v>0</v>
      </c>
      <c r="AC8" s="86">
        <f>IF(Validation!$H$3=1,0,IF(ISNUMBER(N8),0,1))</f>
        <v>0</v>
      </c>
      <c r="AD8" s="66"/>
      <c r="AL8" s="771" t="s">
        <v>4267</v>
      </c>
      <c r="AM8" s="772" t="s">
        <v>877</v>
      </c>
      <c r="AN8" s="772"/>
      <c r="AO8" s="773" t="s">
        <v>8</v>
      </c>
      <c r="AP8" s="774">
        <v>3</v>
      </c>
      <c r="AQ8" s="1423" t="s">
        <v>4268</v>
      </c>
      <c r="AR8" s="1425" t="s">
        <v>4269</v>
      </c>
      <c r="AS8" s="1426" t="s">
        <v>4270</v>
      </c>
      <c r="AT8" s="1423" t="s">
        <v>4271</v>
      </c>
      <c r="AU8" s="1426" t="s">
        <v>4272</v>
      </c>
      <c r="AV8" s="1426" t="s">
        <v>4273</v>
      </c>
      <c r="AW8" s="1426" t="s">
        <v>4274</v>
      </c>
      <c r="AX8" s="1427" t="s">
        <v>4275</v>
      </c>
      <c r="AY8" s="1428" t="s">
        <v>4276</v>
      </c>
    </row>
    <row r="9" spans="1:51" ht="15.75">
      <c r="A9" s="758"/>
      <c r="B9" s="771" t="s">
        <v>4277</v>
      </c>
      <c r="C9" s="772" t="s">
        <v>4278</v>
      </c>
      <c r="D9" s="772"/>
      <c r="E9" s="773" t="s">
        <v>8</v>
      </c>
      <c r="F9" s="774">
        <v>3</v>
      </c>
      <c r="G9" s="775">
        <v>1.163</v>
      </c>
      <c r="H9" s="1184">
        <v>0.36399999999999999</v>
      </c>
      <c r="I9" s="776">
        <v>0.20499999999999999</v>
      </c>
      <c r="J9" s="775">
        <v>3.53</v>
      </c>
      <c r="K9" s="776">
        <v>4.0000000000000001E-3</v>
      </c>
      <c r="L9" s="776">
        <v>3.0000000000000001E-3</v>
      </c>
      <c r="M9" s="776">
        <v>6.8000000000000005E-2</v>
      </c>
      <c r="N9" s="806">
        <v>4.0000000000000001E-3</v>
      </c>
      <c r="O9" s="777">
        <f t="shared" si="1"/>
        <v>5.3409999999999993</v>
      </c>
      <c r="P9" s="778"/>
      <c r="R9" s="770">
        <f t="shared" si="0"/>
        <v>0</v>
      </c>
      <c r="S9" s="65"/>
      <c r="T9" s="66"/>
      <c r="V9" s="86">
        <f>IF(Validation!$H$3=1,0,IF(ISNUMBER(G9),0,1))</f>
        <v>0</v>
      </c>
      <c r="W9" s="86">
        <f>IF(Validation!$H$3=1,0,IF(ISNUMBER(H9),0,1))</f>
        <v>0</v>
      </c>
      <c r="X9" s="86">
        <f>IF(Validation!$H$3=1,0,IF(ISNUMBER(I9),0,1))</f>
        <v>0</v>
      </c>
      <c r="Y9" s="86">
        <f>IF(Validation!$H$3=1,0,IF(ISNUMBER(J9),0,1))</f>
        <v>0</v>
      </c>
      <c r="Z9" s="86">
        <f>IF(Validation!$H$3=1,0,IF(ISNUMBER(K9),0,1))</f>
        <v>0</v>
      </c>
      <c r="AA9" s="86">
        <f>IF(Validation!$H$3=1,0,IF(ISNUMBER(L9),0,1))</f>
        <v>0</v>
      </c>
      <c r="AB9" s="86">
        <f>IF(Validation!$H$3=1,0,IF(ISNUMBER(M9),0,1))</f>
        <v>0</v>
      </c>
      <c r="AC9" s="86">
        <f>IF(Validation!$H$3=1,0,IF(ISNUMBER(N9),0,1))</f>
        <v>0</v>
      </c>
      <c r="AD9" s="66"/>
      <c r="AL9" s="771" t="s">
        <v>4277</v>
      </c>
      <c r="AM9" s="772" t="s">
        <v>4278</v>
      </c>
      <c r="AN9" s="772"/>
      <c r="AO9" s="773" t="s">
        <v>8</v>
      </c>
      <c r="AP9" s="774">
        <v>3</v>
      </c>
      <c r="AQ9" s="1423" t="s">
        <v>4279</v>
      </c>
      <c r="AR9" s="1425" t="s">
        <v>4280</v>
      </c>
      <c r="AS9" s="1426" t="s">
        <v>4281</v>
      </c>
      <c r="AT9" s="1423" t="s">
        <v>4282</v>
      </c>
      <c r="AU9" s="1426" t="s">
        <v>4283</v>
      </c>
      <c r="AV9" s="1426" t="s">
        <v>4284</v>
      </c>
      <c r="AW9" s="1426" t="s">
        <v>4285</v>
      </c>
      <c r="AX9" s="1427" t="s">
        <v>4286</v>
      </c>
      <c r="AY9" s="1428" t="s">
        <v>4287</v>
      </c>
    </row>
    <row r="10" spans="1:51" ht="15.75">
      <c r="A10" s="758"/>
      <c r="B10" s="771" t="s">
        <v>4288</v>
      </c>
      <c r="C10" s="772" t="s">
        <v>3681</v>
      </c>
      <c r="D10" s="772"/>
      <c r="E10" s="773" t="s">
        <v>8</v>
      </c>
      <c r="F10" s="774">
        <v>3</v>
      </c>
      <c r="G10" s="775">
        <v>0</v>
      </c>
      <c r="H10" s="1184">
        <v>0</v>
      </c>
      <c r="I10" s="776">
        <v>0</v>
      </c>
      <c r="J10" s="775">
        <v>2.39</v>
      </c>
      <c r="K10" s="776">
        <v>0</v>
      </c>
      <c r="L10" s="776">
        <v>8.9999999999999993E-3</v>
      </c>
      <c r="M10" s="776">
        <v>9.6000000000000002E-2</v>
      </c>
      <c r="N10" s="806">
        <v>1E-3</v>
      </c>
      <c r="O10" s="777">
        <f t="shared" si="1"/>
        <v>2.496</v>
      </c>
      <c r="P10" s="778"/>
      <c r="R10" s="770">
        <f t="shared" si="0"/>
        <v>0</v>
      </c>
      <c r="S10" s="65"/>
      <c r="T10" s="66"/>
      <c r="V10" s="86">
        <f>IF(Validation!$H$3=1,0,IF(ISNUMBER(G10),0,1))</f>
        <v>0</v>
      </c>
      <c r="W10" s="86">
        <f>IF(Validation!$H$3=1,0,IF(ISNUMBER(H10),0,1))</f>
        <v>0</v>
      </c>
      <c r="X10" s="86">
        <f>IF(Validation!$H$3=1,0,IF(ISNUMBER(I10),0,1))</f>
        <v>0</v>
      </c>
      <c r="Y10" s="86">
        <f>IF(Validation!$H$3=1,0,IF(ISNUMBER(J10),0,1))</f>
        <v>0</v>
      </c>
      <c r="Z10" s="86">
        <f>IF(Validation!$H$3=1,0,IF(ISNUMBER(K10),0,1))</f>
        <v>0</v>
      </c>
      <c r="AA10" s="86">
        <f>IF(Validation!$H$3=1,0,IF(ISNUMBER(L10),0,1))</f>
        <v>0</v>
      </c>
      <c r="AB10" s="86">
        <f>IF(Validation!$H$3=1,0,IF(ISNUMBER(M10),0,1))</f>
        <v>0</v>
      </c>
      <c r="AC10" s="86">
        <f>IF(Validation!$H$3=1,0,IF(ISNUMBER(N10),0,1))</f>
        <v>0</v>
      </c>
      <c r="AD10" s="66"/>
      <c r="AL10" s="771" t="s">
        <v>4288</v>
      </c>
      <c r="AM10" s="772" t="s">
        <v>3681</v>
      </c>
      <c r="AN10" s="772"/>
      <c r="AO10" s="773" t="s">
        <v>8</v>
      </c>
      <c r="AP10" s="774">
        <v>3</v>
      </c>
      <c r="AQ10" s="1423" t="s">
        <v>4289</v>
      </c>
      <c r="AR10" s="1425" t="s">
        <v>4290</v>
      </c>
      <c r="AS10" s="1426" t="s">
        <v>4291</v>
      </c>
      <c r="AT10" s="1423" t="s">
        <v>4292</v>
      </c>
      <c r="AU10" s="1426" t="s">
        <v>4293</v>
      </c>
      <c r="AV10" s="1426" t="s">
        <v>4294</v>
      </c>
      <c r="AW10" s="1426" t="s">
        <v>4295</v>
      </c>
      <c r="AX10" s="1427" t="s">
        <v>4296</v>
      </c>
      <c r="AY10" s="1428" t="s">
        <v>4297</v>
      </c>
    </row>
    <row r="11" spans="1:51" ht="15.75">
      <c r="A11" s="758"/>
      <c r="B11" s="1256"/>
      <c r="C11" s="779" t="s">
        <v>1085</v>
      </c>
      <c r="D11" s="780"/>
      <c r="E11" s="781"/>
      <c r="F11" s="782"/>
      <c r="G11" s="783"/>
      <c r="H11" s="783"/>
      <c r="I11" s="783"/>
      <c r="J11" s="783"/>
      <c r="K11" s="783"/>
      <c r="L11" s="783"/>
      <c r="M11" s="783"/>
      <c r="N11" s="783"/>
      <c r="O11" s="783"/>
      <c r="P11" s="2051"/>
      <c r="R11" s="491"/>
      <c r="AL11" s="1256"/>
      <c r="AM11" s="779" t="s">
        <v>1085</v>
      </c>
      <c r="AN11" s="780"/>
      <c r="AO11" s="781"/>
      <c r="AP11" s="782"/>
      <c r="AQ11" s="1429"/>
      <c r="AR11" s="1429"/>
      <c r="AS11" s="1429"/>
      <c r="AT11" s="1429"/>
      <c r="AU11" s="1429"/>
      <c r="AV11" s="1429"/>
      <c r="AW11" s="1429"/>
      <c r="AX11" s="1429"/>
      <c r="AY11" s="1431"/>
    </row>
    <row r="12" spans="1:51" ht="15.75">
      <c r="A12" s="758"/>
      <c r="B12" s="771" t="s">
        <v>4298</v>
      </c>
      <c r="C12" s="785" t="s">
        <v>3973</v>
      </c>
      <c r="D12" s="785"/>
      <c r="E12" s="773" t="s">
        <v>8</v>
      </c>
      <c r="F12" s="786">
        <v>3</v>
      </c>
      <c r="G12" s="775">
        <v>45.965000000000003</v>
      </c>
      <c r="H12" s="1184">
        <v>14.603</v>
      </c>
      <c r="I12" s="776">
        <v>8.4190000000000005</v>
      </c>
      <c r="J12" s="775">
        <v>0</v>
      </c>
      <c r="K12" s="776">
        <v>0</v>
      </c>
      <c r="L12" s="776">
        <v>0</v>
      </c>
      <c r="M12" s="776">
        <v>0</v>
      </c>
      <c r="N12" s="806">
        <v>0</v>
      </c>
      <c r="O12" s="777">
        <f t="shared" ref="O12:O16" si="2">+SUM(G12:N12)</f>
        <v>68.987000000000009</v>
      </c>
      <c r="P12" s="778"/>
      <c r="R12" s="770">
        <f t="shared" ref="R12:R15" si="3" xml:space="preserve"> IF( SUM( T12:AD12 ) = 0, 0, $V$5 )</f>
        <v>0</v>
      </c>
      <c r="S12" s="65"/>
      <c r="T12" s="66"/>
      <c r="V12" s="86">
        <f>IF(Validation!$H$3=1,0,IF(ISNUMBER(G12),0,1))</f>
        <v>0</v>
      </c>
      <c r="W12" s="86">
        <f>IF(Validation!$H$3=1,0,IF(ISNUMBER(H12),0,1))</f>
        <v>0</v>
      </c>
      <c r="X12" s="86">
        <f>IF(Validation!$H$3=1,0,IF(ISNUMBER(I12),0,1))</f>
        <v>0</v>
      </c>
      <c r="Y12" s="86">
        <f>IF(Validation!$H$3=1,0,IF(ISNUMBER(J12),0,1))</f>
        <v>0</v>
      </c>
      <c r="Z12" s="86">
        <f>IF(Validation!$H$3=1,0,IF(ISNUMBER(K12),0,1))</f>
        <v>0</v>
      </c>
      <c r="AA12" s="86">
        <f>IF(Validation!$H$3=1,0,IF(ISNUMBER(L12),0,1))</f>
        <v>0</v>
      </c>
      <c r="AB12" s="86">
        <f>IF(Validation!$H$3=1,0,IF(ISNUMBER(M12),0,1))</f>
        <v>0</v>
      </c>
      <c r="AC12" s="86">
        <f>IF(Validation!$H$3=1,0,IF(ISNUMBER(N12),0,1))</f>
        <v>0</v>
      </c>
      <c r="AD12" s="66"/>
      <c r="AL12" s="771" t="s">
        <v>4298</v>
      </c>
      <c r="AM12" s="785" t="s">
        <v>3973</v>
      </c>
      <c r="AN12" s="785"/>
      <c r="AO12" s="773" t="s">
        <v>8</v>
      </c>
      <c r="AP12" s="786">
        <v>3</v>
      </c>
      <c r="AQ12" s="1423" t="s">
        <v>4299</v>
      </c>
      <c r="AR12" s="1425" t="s">
        <v>4300</v>
      </c>
      <c r="AS12" s="1426" t="s">
        <v>4301</v>
      </c>
      <c r="AT12" s="1423" t="s">
        <v>4302</v>
      </c>
      <c r="AU12" s="1426" t="s">
        <v>4303</v>
      </c>
      <c r="AV12" s="1426" t="s">
        <v>4304</v>
      </c>
      <c r="AW12" s="1426" t="s">
        <v>4305</v>
      </c>
      <c r="AX12" s="1427" t="s">
        <v>4306</v>
      </c>
      <c r="AY12" s="1428" t="s">
        <v>4307</v>
      </c>
    </row>
    <row r="13" spans="1:51" ht="15.75">
      <c r="A13" s="758"/>
      <c r="B13" s="771" t="s">
        <v>4308</v>
      </c>
      <c r="C13" s="772" t="s">
        <v>3982</v>
      </c>
      <c r="D13" s="772"/>
      <c r="E13" s="773" t="s">
        <v>8</v>
      </c>
      <c r="F13" s="786">
        <v>3</v>
      </c>
      <c r="G13" s="775">
        <v>0</v>
      </c>
      <c r="H13" s="1184">
        <v>0</v>
      </c>
      <c r="I13" s="776">
        <v>0</v>
      </c>
      <c r="J13" s="775">
        <v>0</v>
      </c>
      <c r="K13" s="776">
        <v>0</v>
      </c>
      <c r="L13" s="776">
        <v>0</v>
      </c>
      <c r="M13" s="776">
        <v>0</v>
      </c>
      <c r="N13" s="806">
        <v>0</v>
      </c>
      <c r="O13" s="777">
        <f t="shared" si="2"/>
        <v>0</v>
      </c>
      <c r="P13" s="778"/>
      <c r="R13" s="770">
        <f t="shared" si="3"/>
        <v>0</v>
      </c>
      <c r="S13" s="65"/>
      <c r="T13" s="66"/>
      <c r="V13" s="86">
        <f>IF(Validation!$H$3=1,0,IF(ISNUMBER(G13),0,1))</f>
        <v>0</v>
      </c>
      <c r="W13" s="86">
        <f>IF(Validation!$H$3=1,0,IF(ISNUMBER(H13),0,1))</f>
        <v>0</v>
      </c>
      <c r="X13" s="86">
        <f>IF(Validation!$H$3=1,0,IF(ISNUMBER(I13),0,1))</f>
        <v>0</v>
      </c>
      <c r="Y13" s="86">
        <f>IF(Validation!$H$3=1,0,IF(ISNUMBER(J13),0,1))</f>
        <v>0</v>
      </c>
      <c r="Z13" s="86">
        <f>IF(Validation!$H$3=1,0,IF(ISNUMBER(K13),0,1))</f>
        <v>0</v>
      </c>
      <c r="AA13" s="86">
        <f>IF(Validation!$H$3=1,0,IF(ISNUMBER(L13),0,1))</f>
        <v>0</v>
      </c>
      <c r="AB13" s="86">
        <f>IF(Validation!$H$3=1,0,IF(ISNUMBER(M13),0,1))</f>
        <v>0</v>
      </c>
      <c r="AC13" s="86">
        <f>IF(Validation!$H$3=1,0,IF(ISNUMBER(N13),0,1))</f>
        <v>0</v>
      </c>
      <c r="AD13" s="66"/>
      <c r="AL13" s="771" t="s">
        <v>4308</v>
      </c>
      <c r="AM13" s="772" t="s">
        <v>3982</v>
      </c>
      <c r="AN13" s="772"/>
      <c r="AO13" s="773" t="s">
        <v>8</v>
      </c>
      <c r="AP13" s="786">
        <v>3</v>
      </c>
      <c r="AQ13" s="1423" t="s">
        <v>4309</v>
      </c>
      <c r="AR13" s="1425" t="s">
        <v>4310</v>
      </c>
      <c r="AS13" s="1426" t="s">
        <v>4311</v>
      </c>
      <c r="AT13" s="1423" t="s">
        <v>4312</v>
      </c>
      <c r="AU13" s="1426" t="s">
        <v>4313</v>
      </c>
      <c r="AV13" s="1426" t="s">
        <v>4314</v>
      </c>
      <c r="AW13" s="1426" t="s">
        <v>4315</v>
      </c>
      <c r="AX13" s="1427" t="s">
        <v>4316</v>
      </c>
      <c r="AY13" s="1428" t="s">
        <v>4317</v>
      </c>
    </row>
    <row r="14" spans="1:51" ht="15.75">
      <c r="A14" s="758"/>
      <c r="B14" s="771" t="s">
        <v>4318</v>
      </c>
      <c r="C14" s="772" t="s">
        <v>3991</v>
      </c>
      <c r="D14" s="772"/>
      <c r="E14" s="773" t="s">
        <v>8</v>
      </c>
      <c r="F14" s="786">
        <v>3</v>
      </c>
      <c r="G14" s="775">
        <v>56.173000000000002</v>
      </c>
      <c r="H14" s="1184">
        <v>15.502000000000001</v>
      </c>
      <c r="I14" s="776">
        <v>7.25</v>
      </c>
      <c r="J14" s="775">
        <v>109.143</v>
      </c>
      <c r="K14" s="776">
        <v>0.75800000000000001</v>
      </c>
      <c r="L14" s="776">
        <v>10.981999999999999</v>
      </c>
      <c r="M14" s="776">
        <v>49.798999999999999</v>
      </c>
      <c r="N14" s="806">
        <v>19.023</v>
      </c>
      <c r="O14" s="777">
        <f t="shared" si="2"/>
        <v>268.63</v>
      </c>
      <c r="P14" s="778"/>
      <c r="R14" s="770">
        <f t="shared" si="3"/>
        <v>0</v>
      </c>
      <c r="S14" s="65"/>
      <c r="T14" s="66"/>
      <c r="V14" s="86">
        <f>IF(Validation!$H$3=1,0,IF(ISNUMBER(G14),0,1))</f>
        <v>0</v>
      </c>
      <c r="W14" s="86">
        <f>IF(Validation!$H$3=1,0,IF(ISNUMBER(H14),0,1))</f>
        <v>0</v>
      </c>
      <c r="X14" s="86">
        <f>IF(Validation!$H$3=1,0,IF(ISNUMBER(I14),0,1))</f>
        <v>0</v>
      </c>
      <c r="Y14" s="86">
        <f>IF(Validation!$H$3=1,0,IF(ISNUMBER(J14),0,1))</f>
        <v>0</v>
      </c>
      <c r="Z14" s="86">
        <f>IF(Validation!$H$3=1,0,IF(ISNUMBER(K14),0,1))</f>
        <v>0</v>
      </c>
      <c r="AA14" s="86">
        <f>IF(Validation!$H$3=1,0,IF(ISNUMBER(L14),0,1))</f>
        <v>0</v>
      </c>
      <c r="AB14" s="86">
        <f>IF(Validation!$H$3=1,0,IF(ISNUMBER(M14),0,1))</f>
        <v>0</v>
      </c>
      <c r="AC14" s="86">
        <f>IF(Validation!$H$3=1,0,IF(ISNUMBER(N14),0,1))</f>
        <v>0</v>
      </c>
      <c r="AD14" s="66"/>
      <c r="AL14" s="771" t="s">
        <v>4318</v>
      </c>
      <c r="AM14" s="772" t="s">
        <v>3991</v>
      </c>
      <c r="AN14" s="772"/>
      <c r="AO14" s="773" t="s">
        <v>8</v>
      </c>
      <c r="AP14" s="786">
        <v>3</v>
      </c>
      <c r="AQ14" s="1423" t="s">
        <v>4319</v>
      </c>
      <c r="AR14" s="1425" t="s">
        <v>4320</v>
      </c>
      <c r="AS14" s="1426" t="s">
        <v>4321</v>
      </c>
      <c r="AT14" s="1423" t="s">
        <v>4322</v>
      </c>
      <c r="AU14" s="1426" t="s">
        <v>4323</v>
      </c>
      <c r="AV14" s="1426" t="s">
        <v>4324</v>
      </c>
      <c r="AW14" s="1426" t="s">
        <v>4325</v>
      </c>
      <c r="AX14" s="1427" t="s">
        <v>4326</v>
      </c>
      <c r="AY14" s="1428" t="s">
        <v>4327</v>
      </c>
    </row>
    <row r="15" spans="1:51" ht="15.75">
      <c r="A15" s="758"/>
      <c r="B15" s="771" t="s">
        <v>4328</v>
      </c>
      <c r="C15" s="772" t="s">
        <v>925</v>
      </c>
      <c r="D15" s="772"/>
      <c r="E15" s="773" t="s">
        <v>8</v>
      </c>
      <c r="F15" s="786">
        <v>3</v>
      </c>
      <c r="G15" s="775">
        <v>0</v>
      </c>
      <c r="H15" s="1184">
        <v>0</v>
      </c>
      <c r="I15" s="776">
        <v>0</v>
      </c>
      <c r="J15" s="775">
        <v>28.538</v>
      </c>
      <c r="K15" s="776">
        <v>0</v>
      </c>
      <c r="L15" s="776">
        <v>0</v>
      </c>
      <c r="M15" s="776">
        <v>9.0050000000000008</v>
      </c>
      <c r="N15" s="806">
        <v>0.85099999999999998</v>
      </c>
      <c r="O15" s="777">
        <f t="shared" si="2"/>
        <v>38.393999999999998</v>
      </c>
      <c r="P15" s="778"/>
      <c r="R15" s="770">
        <f t="shared" si="3"/>
        <v>0</v>
      </c>
      <c r="S15" s="65"/>
      <c r="T15" s="66"/>
      <c r="V15" s="86">
        <f>IF(Validation!$H$3=1,0,IF(ISNUMBER(G15),0,1))</f>
        <v>0</v>
      </c>
      <c r="W15" s="86">
        <f>IF(Validation!$H$3=1,0,IF(ISNUMBER(H15),0,1))</f>
        <v>0</v>
      </c>
      <c r="X15" s="86">
        <f>IF(Validation!$H$3=1,0,IF(ISNUMBER(I15),0,1))</f>
        <v>0</v>
      </c>
      <c r="Y15" s="86">
        <f>IF(Validation!$H$3=1,0,IF(ISNUMBER(J15),0,1))</f>
        <v>0</v>
      </c>
      <c r="Z15" s="86">
        <f>IF(Validation!$H$3=1,0,IF(ISNUMBER(K15),0,1))</f>
        <v>0</v>
      </c>
      <c r="AA15" s="86">
        <f>IF(Validation!$H$3=1,0,IF(ISNUMBER(L15),0,1))</f>
        <v>0</v>
      </c>
      <c r="AB15" s="86">
        <f>IF(Validation!$H$3=1,0,IF(ISNUMBER(M15),0,1))</f>
        <v>0</v>
      </c>
      <c r="AC15" s="86">
        <f>IF(Validation!$H$3=1,0,IF(ISNUMBER(N15),0,1))</f>
        <v>0</v>
      </c>
      <c r="AD15" s="66"/>
      <c r="AL15" s="771" t="s">
        <v>4328</v>
      </c>
      <c r="AM15" s="772" t="s">
        <v>925</v>
      </c>
      <c r="AN15" s="772"/>
      <c r="AO15" s="773" t="s">
        <v>8</v>
      </c>
      <c r="AP15" s="786">
        <v>3</v>
      </c>
      <c r="AQ15" s="1423" t="s">
        <v>4329</v>
      </c>
      <c r="AR15" s="1425" t="s">
        <v>4330</v>
      </c>
      <c r="AS15" s="1426" t="s">
        <v>4331</v>
      </c>
      <c r="AT15" s="1423" t="s">
        <v>4332</v>
      </c>
      <c r="AU15" s="1426" t="s">
        <v>4333</v>
      </c>
      <c r="AV15" s="1426" t="s">
        <v>4334</v>
      </c>
      <c r="AW15" s="1426" t="s">
        <v>4335</v>
      </c>
      <c r="AX15" s="1427" t="s">
        <v>4336</v>
      </c>
      <c r="AY15" s="1428" t="s">
        <v>4337</v>
      </c>
    </row>
    <row r="16" spans="1:51" ht="16.5" thickBot="1">
      <c r="A16" s="758"/>
      <c r="B16" s="787" t="s">
        <v>4338</v>
      </c>
      <c r="C16" s="788" t="s">
        <v>4008</v>
      </c>
      <c r="D16" s="788"/>
      <c r="E16" s="789" t="s">
        <v>8</v>
      </c>
      <c r="F16" s="790">
        <v>3</v>
      </c>
      <c r="G16" s="791">
        <f t="shared" ref="G16" si="4">+SUM(G7:G15)</f>
        <v>110.07900000000001</v>
      </c>
      <c r="H16" s="1185">
        <f t="shared" ref="H16:N16" si="5">+SUM(H7:H15)</f>
        <v>32.625999999999998</v>
      </c>
      <c r="I16" s="792">
        <f t="shared" si="5"/>
        <v>17.116</v>
      </c>
      <c r="J16" s="791">
        <f t="shared" si="5"/>
        <v>197.755</v>
      </c>
      <c r="K16" s="792">
        <f t="shared" si="5"/>
        <v>0.76200000000000001</v>
      </c>
      <c r="L16" s="792">
        <f t="shared" si="5"/>
        <v>10.988999999999999</v>
      </c>
      <c r="M16" s="792">
        <f t="shared" si="5"/>
        <v>35.503</v>
      </c>
      <c r="N16" s="1202">
        <f t="shared" si="5"/>
        <v>19.123999999999999</v>
      </c>
      <c r="O16" s="793">
        <f t="shared" si="2"/>
        <v>423.95400000000001</v>
      </c>
      <c r="P16" s="794"/>
      <c r="R16" s="491"/>
      <c r="AL16" s="787" t="s">
        <v>4338</v>
      </c>
      <c r="AM16" s="788" t="s">
        <v>4008</v>
      </c>
      <c r="AN16" s="788"/>
      <c r="AO16" s="789" t="s">
        <v>8</v>
      </c>
      <c r="AP16" s="790">
        <v>3</v>
      </c>
      <c r="AQ16" s="1432" t="s">
        <v>4339</v>
      </c>
      <c r="AR16" s="1434" t="s">
        <v>4340</v>
      </c>
      <c r="AS16" s="1435" t="s">
        <v>4341</v>
      </c>
      <c r="AT16" s="1432" t="s">
        <v>4342</v>
      </c>
      <c r="AU16" s="1435" t="s">
        <v>4343</v>
      </c>
      <c r="AV16" s="1435" t="s">
        <v>4344</v>
      </c>
      <c r="AW16" s="1435" t="s">
        <v>4345</v>
      </c>
      <c r="AX16" s="1436" t="s">
        <v>4346</v>
      </c>
      <c r="AY16" s="1437" t="s">
        <v>4347</v>
      </c>
    </row>
    <row r="17" spans="1:51" ht="16.5" thickBot="1">
      <c r="A17" s="758"/>
      <c r="B17" s="758"/>
      <c r="C17" s="758"/>
      <c r="D17" s="758"/>
      <c r="E17" s="758"/>
      <c r="F17" s="758"/>
      <c r="G17" s="758"/>
      <c r="H17" s="758"/>
      <c r="I17" s="758"/>
      <c r="J17" s="758"/>
      <c r="K17" s="758"/>
      <c r="L17" s="758"/>
      <c r="M17" s="758"/>
      <c r="N17" s="758"/>
      <c r="O17" s="758"/>
      <c r="P17" s="758"/>
      <c r="R17" s="491"/>
      <c r="AL17" s="758"/>
      <c r="AM17" s="758"/>
      <c r="AN17" s="758"/>
      <c r="AO17" s="758"/>
      <c r="AP17" s="758"/>
      <c r="AQ17" s="1438"/>
      <c r="AR17" s="1438"/>
      <c r="AS17" s="1438"/>
      <c r="AT17" s="1438"/>
      <c r="AU17" s="1438"/>
      <c r="AV17" s="1438"/>
      <c r="AW17" s="1438"/>
      <c r="AX17" s="1438"/>
      <c r="AY17" s="1438"/>
    </row>
    <row r="18" spans="1:51" ht="15.75">
      <c r="A18" s="758"/>
      <c r="B18" s="762" t="s">
        <v>4348</v>
      </c>
      <c r="C18" s="763" t="s">
        <v>941</v>
      </c>
      <c r="D18" s="763"/>
      <c r="E18" s="764" t="s">
        <v>8</v>
      </c>
      <c r="F18" s="765">
        <v>3</v>
      </c>
      <c r="G18" s="766">
        <v>3.0259999999999998</v>
      </c>
      <c r="H18" s="1183">
        <v>0.39600000000000002</v>
      </c>
      <c r="I18" s="767">
        <v>0.105</v>
      </c>
      <c r="J18" s="766">
        <v>0.47799999999999998</v>
      </c>
      <c r="K18" s="767">
        <v>0</v>
      </c>
      <c r="L18" s="767">
        <v>1.6E-2</v>
      </c>
      <c r="M18" s="767">
        <v>4.9000000000000002E-2</v>
      </c>
      <c r="N18" s="804">
        <v>2.7E-2</v>
      </c>
      <c r="O18" s="768">
        <f t="shared" ref="O18:O19" si="6">+SUM(G18:N18)</f>
        <v>4.0970000000000004</v>
      </c>
      <c r="P18" s="769"/>
      <c r="R18" s="770">
        <f t="shared" ref="R18" si="7" xml:space="preserve"> IF( SUM( T18:AD18 ) = 0, 0, $V$5 )</f>
        <v>0</v>
      </c>
      <c r="S18" s="65"/>
      <c r="T18" s="66"/>
      <c r="V18" s="86">
        <f>IF(Validation!$H$3=1,0,IF(ISNUMBER(G18),0,1))</f>
        <v>0</v>
      </c>
      <c r="W18" s="86">
        <f>IF(Validation!$H$3=1,0,IF(ISNUMBER(H18),0,1))</f>
        <v>0</v>
      </c>
      <c r="X18" s="86">
        <f>IF(Validation!$H$3=1,0,IF(ISNUMBER(I18),0,1))</f>
        <v>0</v>
      </c>
      <c r="Y18" s="86">
        <f>IF(Validation!$H$3=1,0,IF(ISNUMBER(J18),0,1))</f>
        <v>0</v>
      </c>
      <c r="Z18" s="86">
        <f>IF(Validation!$H$3=1,0,IF(ISNUMBER(K18),0,1))</f>
        <v>0</v>
      </c>
      <c r="AA18" s="86">
        <f>IF(Validation!$H$3=1,0,IF(ISNUMBER(L18),0,1))</f>
        <v>0</v>
      </c>
      <c r="AB18" s="86">
        <f>IF(Validation!$H$3=1,0,IF(ISNUMBER(M18),0,1))</f>
        <v>0</v>
      </c>
      <c r="AC18" s="86">
        <f>IF(Validation!$H$3=1,0,IF(ISNUMBER(N18),0,1))</f>
        <v>0</v>
      </c>
      <c r="AD18" s="66"/>
      <c r="AL18" s="762" t="s">
        <v>4348</v>
      </c>
      <c r="AM18" s="763" t="s">
        <v>941</v>
      </c>
      <c r="AN18" s="763"/>
      <c r="AO18" s="764" t="s">
        <v>8</v>
      </c>
      <c r="AP18" s="765">
        <v>3</v>
      </c>
      <c r="AQ18" s="1417" t="s">
        <v>4349</v>
      </c>
      <c r="AR18" s="1419" t="s">
        <v>4350</v>
      </c>
      <c r="AS18" s="1420" t="s">
        <v>4351</v>
      </c>
      <c r="AT18" s="1417" t="s">
        <v>4352</v>
      </c>
      <c r="AU18" s="1420" t="s">
        <v>4353</v>
      </c>
      <c r="AV18" s="1420" t="s">
        <v>4354</v>
      </c>
      <c r="AW18" s="1420" t="s">
        <v>4355</v>
      </c>
      <c r="AX18" s="1421" t="s">
        <v>4356</v>
      </c>
      <c r="AY18" s="1422" t="s">
        <v>4357</v>
      </c>
    </row>
    <row r="19" spans="1:51" ht="16.5" thickBot="1">
      <c r="A19" s="758"/>
      <c r="B19" s="787" t="s">
        <v>4358</v>
      </c>
      <c r="C19" s="788" t="s">
        <v>949</v>
      </c>
      <c r="D19" s="788"/>
      <c r="E19" s="789" t="s">
        <v>8</v>
      </c>
      <c r="F19" s="790">
        <v>3</v>
      </c>
      <c r="G19" s="791">
        <f t="shared" ref="G19:N19" si="8">+G16+G18</f>
        <v>113.105</v>
      </c>
      <c r="H19" s="1185">
        <f t="shared" si="8"/>
        <v>33.021999999999998</v>
      </c>
      <c r="I19" s="792">
        <f t="shared" si="8"/>
        <v>17.221</v>
      </c>
      <c r="J19" s="791">
        <f t="shared" si="8"/>
        <v>198.233</v>
      </c>
      <c r="K19" s="792">
        <f t="shared" si="8"/>
        <v>0.76200000000000001</v>
      </c>
      <c r="L19" s="792">
        <f t="shared" si="8"/>
        <v>11.004999999999999</v>
      </c>
      <c r="M19" s="792">
        <f t="shared" si="8"/>
        <v>35.552</v>
      </c>
      <c r="N19" s="1202">
        <f t="shared" si="8"/>
        <v>19.151</v>
      </c>
      <c r="O19" s="793">
        <f t="shared" si="6"/>
        <v>428.05100000000004</v>
      </c>
      <c r="P19" s="794"/>
      <c r="R19" s="491"/>
      <c r="AL19" s="787" t="s">
        <v>4358</v>
      </c>
      <c r="AM19" s="788" t="s">
        <v>949</v>
      </c>
      <c r="AN19" s="788"/>
      <c r="AO19" s="789" t="s">
        <v>8</v>
      </c>
      <c r="AP19" s="790">
        <v>3</v>
      </c>
      <c r="AQ19" s="1432" t="s">
        <v>4359</v>
      </c>
      <c r="AR19" s="1434" t="s">
        <v>4360</v>
      </c>
      <c r="AS19" s="1435" t="s">
        <v>4361</v>
      </c>
      <c r="AT19" s="1432" t="s">
        <v>4362</v>
      </c>
      <c r="AU19" s="1435" t="s">
        <v>4363</v>
      </c>
      <c r="AV19" s="1435" t="s">
        <v>4364</v>
      </c>
      <c r="AW19" s="1435" t="s">
        <v>4365</v>
      </c>
      <c r="AX19" s="1436" t="s">
        <v>4366</v>
      </c>
      <c r="AY19" s="1437" t="s">
        <v>4367</v>
      </c>
    </row>
    <row r="20" spans="1:51" ht="16.5" thickBot="1">
      <c r="A20" s="758"/>
      <c r="B20" s="758"/>
      <c r="C20" s="758"/>
      <c r="D20" s="758"/>
      <c r="E20" s="758"/>
      <c r="F20" s="758"/>
      <c r="G20" s="758"/>
      <c r="H20" s="758"/>
      <c r="I20" s="758"/>
      <c r="J20" s="758"/>
      <c r="K20" s="758"/>
      <c r="L20" s="758"/>
      <c r="M20" s="758"/>
      <c r="N20" s="758"/>
      <c r="O20" s="758"/>
      <c r="P20" s="758"/>
      <c r="R20" s="491"/>
      <c r="AL20" s="758"/>
      <c r="AM20" s="758"/>
      <c r="AN20" s="758"/>
      <c r="AO20" s="758"/>
      <c r="AP20" s="758"/>
      <c r="AQ20" s="1438"/>
      <c r="AR20" s="1438"/>
      <c r="AS20" s="1438"/>
      <c r="AT20" s="1438"/>
      <c r="AU20" s="1438"/>
      <c r="AV20" s="1438"/>
      <c r="AW20" s="1438"/>
      <c r="AX20" s="1438"/>
      <c r="AY20" s="1438"/>
    </row>
    <row r="21" spans="1:51" ht="16.5" thickBot="1">
      <c r="A21" s="758"/>
      <c r="B21" s="759" t="s">
        <v>236</v>
      </c>
      <c r="C21" s="760" t="s">
        <v>4032</v>
      </c>
      <c r="D21" s="2215"/>
      <c r="E21" s="761"/>
      <c r="F21" s="761"/>
      <c r="G21" s="2186" t="s">
        <v>3762</v>
      </c>
      <c r="H21" s="2187"/>
      <c r="I21" s="758"/>
      <c r="J21" s="758"/>
      <c r="K21" s="758"/>
      <c r="L21" s="758"/>
      <c r="M21" s="758"/>
      <c r="N21" s="758"/>
      <c r="O21" s="758"/>
      <c r="P21" s="758"/>
      <c r="R21" s="491"/>
      <c r="AL21" s="759" t="s">
        <v>236</v>
      </c>
      <c r="AM21" s="760" t="s">
        <v>4032</v>
      </c>
      <c r="AN21" s="2215"/>
      <c r="AO21" s="761"/>
      <c r="AP21" s="761"/>
      <c r="AQ21" s="1438"/>
      <c r="AR21" s="1438"/>
      <c r="AS21" s="1438"/>
      <c r="AT21" s="1438"/>
      <c r="AU21" s="1438"/>
      <c r="AV21" s="1438"/>
      <c r="AW21" s="1438"/>
      <c r="AX21" s="1438"/>
      <c r="AY21" s="1438"/>
    </row>
    <row r="22" spans="1:51" ht="15.75">
      <c r="A22" s="758"/>
      <c r="B22" s="762" t="s">
        <v>4368</v>
      </c>
      <c r="C22" s="763" t="s">
        <v>958</v>
      </c>
      <c r="D22" s="763"/>
      <c r="E22" s="764" t="s">
        <v>8</v>
      </c>
      <c r="F22" s="765">
        <v>3</v>
      </c>
      <c r="G22" s="795">
        <v>70.797585495842441</v>
      </c>
      <c r="H22" s="1186">
        <v>-2.1712174915345531E-3</v>
      </c>
      <c r="I22" s="796">
        <v>4.4806504772190213E-3</v>
      </c>
      <c r="J22" s="795">
        <v>0</v>
      </c>
      <c r="K22" s="796">
        <v>0</v>
      </c>
      <c r="L22" s="796">
        <v>8.2628814873083326E-5</v>
      </c>
      <c r="M22" s="796">
        <v>0</v>
      </c>
      <c r="N22" s="1781">
        <v>0</v>
      </c>
      <c r="O22" s="768">
        <f t="shared" ref="O22:O31" si="9">+SUM(G22:N22)</f>
        <v>70.799977557643004</v>
      </c>
      <c r="P22" s="769"/>
      <c r="R22" s="770">
        <f t="shared" ref="R22:R28" si="10" xml:space="preserve"> IF( SUM( T22:AD22 ) = 0, 0, $V$5 )</f>
        <v>0</v>
      </c>
      <c r="S22" s="65"/>
      <c r="T22" s="66"/>
      <c r="V22" s="86">
        <f>IF(Validation!$H$3=1,0,IF(ISNUMBER(G22),0,1))</f>
        <v>0</v>
      </c>
      <c r="W22" s="86">
        <f>IF(Validation!$H$3=1,0,IF(ISNUMBER(H22),0,1))</f>
        <v>0</v>
      </c>
      <c r="X22" s="86">
        <f>IF(Validation!$H$3=1,0,IF(ISNUMBER(I22),0,1))</f>
        <v>0</v>
      </c>
      <c r="Y22" s="86">
        <f>IF(Validation!$H$3=1,0,IF(ISNUMBER(J22),0,1))</f>
        <v>0</v>
      </c>
      <c r="Z22" s="86">
        <f>IF(Validation!$H$3=1,0,IF(ISNUMBER(K22),0,1))</f>
        <v>0</v>
      </c>
      <c r="AA22" s="86">
        <f>IF(Validation!$H$3=1,0,IF(ISNUMBER(L22),0,1))</f>
        <v>0</v>
      </c>
      <c r="AB22" s="86">
        <f>IF(Validation!$H$3=1,0,IF(ISNUMBER(M22),0,1))</f>
        <v>0</v>
      </c>
      <c r="AC22" s="86">
        <f>IF(Validation!$H$3=1,0,IF(ISNUMBER(N22),0,1))</f>
        <v>0</v>
      </c>
      <c r="AD22" s="66"/>
      <c r="AL22" s="762" t="s">
        <v>4368</v>
      </c>
      <c r="AM22" s="763" t="s">
        <v>958</v>
      </c>
      <c r="AN22" s="763"/>
      <c r="AO22" s="764" t="s">
        <v>8</v>
      </c>
      <c r="AP22" s="765">
        <v>3</v>
      </c>
      <c r="AQ22" s="1439" t="s">
        <v>4369</v>
      </c>
      <c r="AR22" s="1441" t="s">
        <v>4370</v>
      </c>
      <c r="AS22" s="1442" t="s">
        <v>4371</v>
      </c>
      <c r="AT22" s="1439" t="s">
        <v>4372</v>
      </c>
      <c r="AU22" s="1442" t="s">
        <v>4373</v>
      </c>
      <c r="AV22" s="1442" t="s">
        <v>4374</v>
      </c>
      <c r="AW22" s="1442" t="s">
        <v>4375</v>
      </c>
      <c r="AX22" s="1443" t="s">
        <v>4376</v>
      </c>
      <c r="AY22" s="1422" t="s">
        <v>4377</v>
      </c>
    </row>
    <row r="23" spans="1:51" ht="15.75">
      <c r="A23" s="758"/>
      <c r="B23" s="771" t="s">
        <v>4378</v>
      </c>
      <c r="C23" s="772" t="s">
        <v>2922</v>
      </c>
      <c r="D23" s="772"/>
      <c r="E23" s="773" t="s">
        <v>8</v>
      </c>
      <c r="F23" s="774">
        <v>3</v>
      </c>
      <c r="G23" s="2175">
        <v>28.021003832869702</v>
      </c>
      <c r="H23" s="2176">
        <v>3.5146126477681525</v>
      </c>
      <c r="I23" s="2177">
        <v>1.2258292121172865</v>
      </c>
      <c r="J23" s="2175">
        <v>115.45111809594727</v>
      </c>
      <c r="K23" s="2177">
        <v>0.21593632727298243</v>
      </c>
      <c r="L23" s="2177">
        <v>1.2463041727321305</v>
      </c>
      <c r="M23" s="2177">
        <v>78.232732730723896</v>
      </c>
      <c r="N23" s="2178">
        <v>7.6755260536020904</v>
      </c>
      <c r="O23" s="777">
        <f t="shared" si="9"/>
        <v>235.58306307303349</v>
      </c>
      <c r="P23" s="778"/>
      <c r="R23" s="770">
        <f t="shared" si="10"/>
        <v>0</v>
      </c>
      <c r="S23" s="65"/>
      <c r="T23" s="66"/>
      <c r="V23" s="86">
        <f>IF(Validation!$H$3=1,0,IF(ISNUMBER(G23),0,1))</f>
        <v>0</v>
      </c>
      <c r="W23" s="86">
        <f>IF(Validation!$H$3=1,0,IF(ISNUMBER(H23),0,1))</f>
        <v>0</v>
      </c>
      <c r="X23" s="86">
        <f>IF(Validation!$H$3=1,0,IF(ISNUMBER(I23),0,1))</f>
        <v>0</v>
      </c>
      <c r="Y23" s="86">
        <f>IF(Validation!$H$3=1,0,IF(ISNUMBER(J23),0,1))</f>
        <v>0</v>
      </c>
      <c r="Z23" s="86">
        <f>IF(Validation!$H$3=1,0,IF(ISNUMBER(K23),0,1))</f>
        <v>0</v>
      </c>
      <c r="AA23" s="86">
        <f>IF(Validation!$H$3=1,0,IF(ISNUMBER(L23),0,1))</f>
        <v>0</v>
      </c>
      <c r="AB23" s="86">
        <f>IF(Validation!$H$3=1,0,IF(ISNUMBER(M23),0,1))</f>
        <v>0</v>
      </c>
      <c r="AC23" s="86">
        <f>IF(Validation!$H$3=1,0,IF(ISNUMBER(N23),0,1))</f>
        <v>0</v>
      </c>
      <c r="AD23" s="66"/>
      <c r="AL23" s="771" t="s">
        <v>4378</v>
      </c>
      <c r="AM23" s="772" t="s">
        <v>2922</v>
      </c>
      <c r="AN23" s="772"/>
      <c r="AO23" s="773" t="s">
        <v>8</v>
      </c>
      <c r="AP23" s="774">
        <v>3</v>
      </c>
      <c r="AQ23" s="1444" t="s">
        <v>4379</v>
      </c>
      <c r="AR23" s="1446" t="s">
        <v>4380</v>
      </c>
      <c r="AS23" s="1447" t="s">
        <v>4381</v>
      </c>
      <c r="AT23" s="1444" t="s">
        <v>4382</v>
      </c>
      <c r="AU23" s="1447" t="s">
        <v>4383</v>
      </c>
      <c r="AV23" s="1447" t="s">
        <v>4384</v>
      </c>
      <c r="AW23" s="1447" t="s">
        <v>4385</v>
      </c>
      <c r="AX23" s="1448" t="s">
        <v>4386</v>
      </c>
      <c r="AY23" s="1428" t="s">
        <v>4387</v>
      </c>
    </row>
    <row r="24" spans="1:51" ht="15.75">
      <c r="A24" s="758"/>
      <c r="B24" s="771" t="s">
        <v>4388</v>
      </c>
      <c r="C24" s="772" t="s">
        <v>974</v>
      </c>
      <c r="D24" s="772"/>
      <c r="E24" s="773" t="s">
        <v>8</v>
      </c>
      <c r="F24" s="774">
        <v>3</v>
      </c>
      <c r="G24" s="797">
        <v>31.374159731326611</v>
      </c>
      <c r="H24" s="1187">
        <v>-1.6229308795345785</v>
      </c>
      <c r="I24" s="798">
        <v>0</v>
      </c>
      <c r="J24" s="797">
        <v>0</v>
      </c>
      <c r="K24" s="798">
        <v>0</v>
      </c>
      <c r="L24" s="798">
        <v>0</v>
      </c>
      <c r="M24" s="798">
        <v>0</v>
      </c>
      <c r="N24" s="1782">
        <v>0</v>
      </c>
      <c r="O24" s="777">
        <f t="shared" si="9"/>
        <v>29.751228851792032</v>
      </c>
      <c r="P24" s="778"/>
      <c r="R24" s="770">
        <f t="shared" si="10"/>
        <v>0</v>
      </c>
      <c r="S24" s="65"/>
      <c r="T24" s="66"/>
      <c r="V24" s="86">
        <f>IF(Validation!$H$3=1,0,IF(ISNUMBER(G24),0,1))</f>
        <v>0</v>
      </c>
      <c r="W24" s="86">
        <f>IF(Validation!$H$3=1,0,IF(ISNUMBER(H24),0,1))</f>
        <v>0</v>
      </c>
      <c r="X24" s="86">
        <f>IF(Validation!$H$3=1,0,IF(ISNUMBER(I24),0,1))</f>
        <v>0</v>
      </c>
      <c r="Y24" s="86">
        <f>IF(Validation!$H$3=1,0,IF(ISNUMBER(J24),0,1))</f>
        <v>0</v>
      </c>
      <c r="Z24" s="86">
        <f>IF(Validation!$H$3=1,0,IF(ISNUMBER(K24),0,1))</f>
        <v>0</v>
      </c>
      <c r="AA24" s="86">
        <f>IF(Validation!$H$3=1,0,IF(ISNUMBER(L24),0,1))</f>
        <v>0</v>
      </c>
      <c r="AB24" s="86">
        <f>IF(Validation!$H$3=1,0,IF(ISNUMBER(M24),0,1))</f>
        <v>0</v>
      </c>
      <c r="AC24" s="86">
        <f>IF(Validation!$H$3=1,0,IF(ISNUMBER(N24),0,1))</f>
        <v>0</v>
      </c>
      <c r="AD24" s="66"/>
      <c r="AL24" s="771" t="s">
        <v>4388</v>
      </c>
      <c r="AM24" s="772" t="s">
        <v>974</v>
      </c>
      <c r="AN24" s="772"/>
      <c r="AO24" s="773" t="s">
        <v>8</v>
      </c>
      <c r="AP24" s="774">
        <v>3</v>
      </c>
      <c r="AQ24" s="1444" t="s">
        <v>4389</v>
      </c>
      <c r="AR24" s="1446" t="s">
        <v>4390</v>
      </c>
      <c r="AS24" s="1447" t="s">
        <v>4391</v>
      </c>
      <c r="AT24" s="1444" t="s">
        <v>4392</v>
      </c>
      <c r="AU24" s="1447" t="s">
        <v>4393</v>
      </c>
      <c r="AV24" s="1447" t="s">
        <v>4394</v>
      </c>
      <c r="AW24" s="1447" t="s">
        <v>4395</v>
      </c>
      <c r="AX24" s="1448" t="s">
        <v>4396</v>
      </c>
      <c r="AY24" s="1428" t="s">
        <v>4397</v>
      </c>
    </row>
    <row r="25" spans="1:51" ht="15.75">
      <c r="A25" s="758"/>
      <c r="B25" s="771" t="s">
        <v>4398</v>
      </c>
      <c r="C25" s="772" t="s">
        <v>982</v>
      </c>
      <c r="D25" s="772"/>
      <c r="E25" s="773" t="s">
        <v>8</v>
      </c>
      <c r="F25" s="774">
        <v>3</v>
      </c>
      <c r="G25" s="2175">
        <v>4.3296251312518308</v>
      </c>
      <c r="H25" s="2176">
        <v>0.10335509447089496</v>
      </c>
      <c r="I25" s="2177">
        <v>4.9055455734580353E-2</v>
      </c>
      <c r="J25" s="2175">
        <v>137.359793255434</v>
      </c>
      <c r="K25" s="2177">
        <v>1.5735935090774205E-4</v>
      </c>
      <c r="L25" s="2177">
        <v>1.1146693781922892E-2</v>
      </c>
      <c r="M25" s="2177">
        <v>-1.28041812280559</v>
      </c>
      <c r="N25" s="2178">
        <v>1.8985141618671128E-3</v>
      </c>
      <c r="O25" s="777">
        <f t="shared" si="9"/>
        <v>140.5746133813804</v>
      </c>
      <c r="P25" s="778"/>
      <c r="R25" s="770">
        <f t="shared" si="10"/>
        <v>0</v>
      </c>
      <c r="S25" s="65"/>
      <c r="T25" s="66"/>
      <c r="V25" s="86">
        <f>IF(Validation!$H$3=1,0,IF(ISNUMBER(G25),0,1))</f>
        <v>0</v>
      </c>
      <c r="W25" s="86">
        <f>IF(Validation!$H$3=1,0,IF(ISNUMBER(H25),0,1))</f>
        <v>0</v>
      </c>
      <c r="X25" s="86">
        <f>IF(Validation!$H$3=1,0,IF(ISNUMBER(I25),0,1))</f>
        <v>0</v>
      </c>
      <c r="Y25" s="86">
        <f>IF(Validation!$H$3=1,0,IF(ISNUMBER(J25),0,1))</f>
        <v>0</v>
      </c>
      <c r="Z25" s="86">
        <f>IF(Validation!$H$3=1,0,IF(ISNUMBER(K25),0,1))</f>
        <v>0</v>
      </c>
      <c r="AA25" s="86">
        <f>IF(Validation!$H$3=1,0,IF(ISNUMBER(L25),0,1))</f>
        <v>0</v>
      </c>
      <c r="AB25" s="86">
        <f>IF(Validation!$H$3=1,0,IF(ISNUMBER(M25),0,1))</f>
        <v>0</v>
      </c>
      <c r="AC25" s="86">
        <f>IF(Validation!$H$3=1,0,IF(ISNUMBER(N25),0,1))</f>
        <v>0</v>
      </c>
      <c r="AD25" s="66"/>
      <c r="AL25" s="771" t="s">
        <v>4398</v>
      </c>
      <c r="AM25" s="772" t="s">
        <v>982</v>
      </c>
      <c r="AN25" s="772"/>
      <c r="AO25" s="773" t="s">
        <v>8</v>
      </c>
      <c r="AP25" s="774">
        <v>3</v>
      </c>
      <c r="AQ25" s="1444" t="s">
        <v>4399</v>
      </c>
      <c r="AR25" s="1446" t="s">
        <v>4400</v>
      </c>
      <c r="AS25" s="1447" t="s">
        <v>4401</v>
      </c>
      <c r="AT25" s="1444" t="s">
        <v>4402</v>
      </c>
      <c r="AU25" s="1447" t="s">
        <v>4403</v>
      </c>
      <c r="AV25" s="1447" t="s">
        <v>4404</v>
      </c>
      <c r="AW25" s="1447" t="s">
        <v>4405</v>
      </c>
      <c r="AX25" s="1448" t="s">
        <v>4406</v>
      </c>
      <c r="AY25" s="1428" t="s">
        <v>4407</v>
      </c>
    </row>
    <row r="26" spans="1:51" ht="15.75">
      <c r="A26" s="758"/>
      <c r="B26" s="771" t="s">
        <v>4408</v>
      </c>
      <c r="C26" s="772" t="s">
        <v>990</v>
      </c>
      <c r="D26" s="772"/>
      <c r="E26" s="773" t="s">
        <v>8</v>
      </c>
      <c r="F26" s="774">
        <v>3</v>
      </c>
      <c r="G26" s="797">
        <v>3.8382532123766611</v>
      </c>
      <c r="H26" s="1187">
        <v>3.4708413847999995</v>
      </c>
      <c r="I26" s="798">
        <v>0</v>
      </c>
      <c r="J26" s="797">
        <v>1.0891509999999998E-2</v>
      </c>
      <c r="K26" s="798">
        <v>0</v>
      </c>
      <c r="L26" s="798">
        <v>0</v>
      </c>
      <c r="M26" s="798">
        <v>0</v>
      </c>
      <c r="N26" s="1782">
        <v>0</v>
      </c>
      <c r="O26" s="777">
        <f t="shared" si="9"/>
        <v>7.3199861071766605</v>
      </c>
      <c r="P26" s="778"/>
      <c r="R26" s="770">
        <f t="shared" si="10"/>
        <v>0</v>
      </c>
      <c r="S26" s="65"/>
      <c r="T26" s="66"/>
      <c r="V26" s="86">
        <f>IF(Validation!$H$3=1,0,IF(ISNUMBER(G26),0,1))</f>
        <v>0</v>
      </c>
      <c r="W26" s="86">
        <f>IF(Validation!$H$3=1,0,IF(ISNUMBER(H26),0,1))</f>
        <v>0</v>
      </c>
      <c r="X26" s="86">
        <f>IF(Validation!$H$3=1,0,IF(ISNUMBER(I26),0,1))</f>
        <v>0</v>
      </c>
      <c r="Y26" s="86">
        <f>IF(Validation!$H$3=1,0,IF(ISNUMBER(J26),0,1))</f>
        <v>0</v>
      </c>
      <c r="Z26" s="86">
        <f>IF(Validation!$H$3=1,0,IF(ISNUMBER(K26),0,1))</f>
        <v>0</v>
      </c>
      <c r="AA26" s="86">
        <f>IF(Validation!$H$3=1,0,IF(ISNUMBER(L26),0,1))</f>
        <v>0</v>
      </c>
      <c r="AB26" s="86">
        <f>IF(Validation!$H$3=1,0,IF(ISNUMBER(M26),0,1))</f>
        <v>0</v>
      </c>
      <c r="AC26" s="86">
        <f>IF(Validation!$H$3=1,0,IF(ISNUMBER(N26),0,1))</f>
        <v>0</v>
      </c>
      <c r="AD26" s="66"/>
      <c r="AL26" s="771" t="s">
        <v>4408</v>
      </c>
      <c r="AM26" s="772" t="s">
        <v>990</v>
      </c>
      <c r="AN26" s="772"/>
      <c r="AO26" s="773" t="s">
        <v>8</v>
      </c>
      <c r="AP26" s="774">
        <v>3</v>
      </c>
      <c r="AQ26" s="1444" t="s">
        <v>4409</v>
      </c>
      <c r="AR26" s="1446" t="s">
        <v>4410</v>
      </c>
      <c r="AS26" s="1447" t="s">
        <v>4411</v>
      </c>
      <c r="AT26" s="1444" t="s">
        <v>4412</v>
      </c>
      <c r="AU26" s="1447" t="s">
        <v>4413</v>
      </c>
      <c r="AV26" s="1447" t="s">
        <v>4414</v>
      </c>
      <c r="AW26" s="1447" t="s">
        <v>4415</v>
      </c>
      <c r="AX26" s="1448" t="s">
        <v>4416</v>
      </c>
      <c r="AY26" s="1428" t="s">
        <v>4417</v>
      </c>
    </row>
    <row r="27" spans="1:51" ht="15.75">
      <c r="A27" s="758"/>
      <c r="B27" s="771" t="s">
        <v>4418</v>
      </c>
      <c r="C27" s="772" t="s">
        <v>998</v>
      </c>
      <c r="D27" s="772"/>
      <c r="E27" s="773" t="s">
        <v>8</v>
      </c>
      <c r="F27" s="774">
        <v>3</v>
      </c>
      <c r="G27" s="799">
        <f t="shared" ref="G27" si="11">SUM(G22:G26)</f>
        <v>138.36062740366722</v>
      </c>
      <c r="H27" s="1188">
        <f t="shared" ref="H27:N27" si="12">SUM(H22:H26)</f>
        <v>5.4637070300129338</v>
      </c>
      <c r="I27" s="799">
        <f t="shared" si="12"/>
        <v>1.2793653183290858</v>
      </c>
      <c r="J27" s="799">
        <f t="shared" si="12"/>
        <v>252.82180286138126</v>
      </c>
      <c r="K27" s="1783">
        <f t="shared" si="12"/>
        <v>0.21609368662389017</v>
      </c>
      <c r="L27" s="1783">
        <f t="shared" si="12"/>
        <v>1.2575334953289263</v>
      </c>
      <c r="M27" s="1783">
        <f t="shared" si="12"/>
        <v>76.952314607918311</v>
      </c>
      <c r="N27" s="1784">
        <f t="shared" si="12"/>
        <v>7.6774245677639579</v>
      </c>
      <c r="O27" s="799">
        <f t="shared" si="9"/>
        <v>484.02886897102559</v>
      </c>
      <c r="P27" s="778"/>
      <c r="R27" s="491"/>
      <c r="AL27" s="771" t="s">
        <v>4418</v>
      </c>
      <c r="AM27" s="772" t="s">
        <v>998</v>
      </c>
      <c r="AN27" s="772"/>
      <c r="AO27" s="773" t="s">
        <v>8</v>
      </c>
      <c r="AP27" s="774">
        <v>3</v>
      </c>
      <c r="AQ27" s="1449" t="s">
        <v>4419</v>
      </c>
      <c r="AR27" s="1451" t="s">
        <v>4420</v>
      </c>
      <c r="AS27" s="1449" t="s">
        <v>4421</v>
      </c>
      <c r="AT27" s="1449" t="s">
        <v>4422</v>
      </c>
      <c r="AU27" s="1449" t="s">
        <v>4423</v>
      </c>
      <c r="AV27" s="1449" t="s">
        <v>4424</v>
      </c>
      <c r="AW27" s="1449" t="s">
        <v>4425</v>
      </c>
      <c r="AX27" s="1452" t="s">
        <v>4426</v>
      </c>
      <c r="AY27" s="1449" t="s">
        <v>4427</v>
      </c>
    </row>
    <row r="28" spans="1:51" ht="15.75">
      <c r="A28" s="758"/>
      <c r="B28" s="771" t="s">
        <v>4428</v>
      </c>
      <c r="C28" s="772" t="s">
        <v>941</v>
      </c>
      <c r="D28" s="772"/>
      <c r="E28" s="773" t="s">
        <v>8</v>
      </c>
      <c r="F28" s="774">
        <v>3</v>
      </c>
      <c r="G28" s="775">
        <v>3.9925510000000004E-2</v>
      </c>
      <c r="H28" s="1184">
        <v>0</v>
      </c>
      <c r="I28" s="798">
        <v>0</v>
      </c>
      <c r="J28" s="775">
        <v>0</v>
      </c>
      <c r="K28" s="798">
        <v>0</v>
      </c>
      <c r="L28" s="798">
        <v>0</v>
      </c>
      <c r="M28" s="798">
        <v>0</v>
      </c>
      <c r="N28" s="1782">
        <v>0</v>
      </c>
      <c r="O28" s="777">
        <f t="shared" si="9"/>
        <v>3.9925510000000004E-2</v>
      </c>
      <c r="P28" s="778"/>
      <c r="R28" s="770">
        <f t="shared" si="10"/>
        <v>0</v>
      </c>
      <c r="S28" s="65"/>
      <c r="T28" s="66"/>
      <c r="V28" s="86">
        <f>IF(Validation!$H$3=1,0,IF(ISNUMBER(G28),0,1))</f>
        <v>0</v>
      </c>
      <c r="W28" s="86">
        <f>IF(Validation!$H$3=1,0,IF(ISNUMBER(H28),0,1))</f>
        <v>0</v>
      </c>
      <c r="X28" s="86">
        <f>IF(Validation!$H$3=1,0,IF(ISNUMBER(I28),0,1))</f>
        <v>0</v>
      </c>
      <c r="Y28" s="86">
        <f>IF(Validation!$H$3=1,0,IF(ISNUMBER(J28),0,1))</f>
        <v>0</v>
      </c>
      <c r="Z28" s="86">
        <f>IF(Validation!$H$3=1,0,IF(ISNUMBER(K28),0,1))</f>
        <v>0</v>
      </c>
      <c r="AA28" s="86">
        <f>IF(Validation!$H$3=1,0,IF(ISNUMBER(L28),0,1))</f>
        <v>0</v>
      </c>
      <c r="AB28" s="86">
        <f>IF(Validation!$H$3=1,0,IF(ISNUMBER(M28),0,1))</f>
        <v>0</v>
      </c>
      <c r="AC28" s="86">
        <f>IF(Validation!$H$3=1,0,IF(ISNUMBER(N28),0,1))</f>
        <v>0</v>
      </c>
      <c r="AD28" s="66"/>
      <c r="AL28" s="771" t="s">
        <v>4428</v>
      </c>
      <c r="AM28" s="772" t="s">
        <v>941</v>
      </c>
      <c r="AN28" s="772"/>
      <c r="AO28" s="773" t="s">
        <v>8</v>
      </c>
      <c r="AP28" s="774">
        <v>3</v>
      </c>
      <c r="AQ28" s="1423" t="s">
        <v>4429</v>
      </c>
      <c r="AR28" s="1425" t="s">
        <v>4430</v>
      </c>
      <c r="AS28" s="1447" t="s">
        <v>4431</v>
      </c>
      <c r="AT28" s="1423" t="s">
        <v>4432</v>
      </c>
      <c r="AU28" s="1447" t="s">
        <v>4433</v>
      </c>
      <c r="AV28" s="1447" t="s">
        <v>4434</v>
      </c>
      <c r="AW28" s="1447" t="s">
        <v>4435</v>
      </c>
      <c r="AX28" s="1448" t="s">
        <v>4436</v>
      </c>
      <c r="AY28" s="1428" t="s">
        <v>4437</v>
      </c>
    </row>
    <row r="29" spans="1:51" ht="15.75">
      <c r="A29" s="758"/>
      <c r="B29" s="771" t="s">
        <v>4438</v>
      </c>
      <c r="C29" s="772" t="s">
        <v>1013</v>
      </c>
      <c r="D29" s="772"/>
      <c r="E29" s="773" t="s">
        <v>8</v>
      </c>
      <c r="F29" s="774">
        <v>3</v>
      </c>
      <c r="G29" s="799">
        <f t="shared" ref="G29:I29" si="13">SUM(G27:G28)</f>
        <v>138.40055291366721</v>
      </c>
      <c r="H29" s="1188">
        <f t="shared" si="13"/>
        <v>5.4637070300129338</v>
      </c>
      <c r="I29" s="799">
        <f t="shared" si="13"/>
        <v>1.2793653183290858</v>
      </c>
      <c r="J29" s="799">
        <f t="shared" ref="J29:N29" si="14">SUM(J27:J28)</f>
        <v>252.82180286138126</v>
      </c>
      <c r="K29" s="1783">
        <f t="shared" si="14"/>
        <v>0.21609368662389017</v>
      </c>
      <c r="L29" s="1783">
        <f t="shared" si="14"/>
        <v>1.2575334953289263</v>
      </c>
      <c r="M29" s="1783">
        <f t="shared" si="14"/>
        <v>76.952314607918311</v>
      </c>
      <c r="N29" s="1784">
        <f t="shared" si="14"/>
        <v>7.6774245677639579</v>
      </c>
      <c r="O29" s="799">
        <f t="shared" si="9"/>
        <v>484.06879448102558</v>
      </c>
      <c r="P29" s="778"/>
      <c r="R29" s="491"/>
      <c r="AL29" s="771" t="s">
        <v>4438</v>
      </c>
      <c r="AM29" s="772" t="s">
        <v>1013</v>
      </c>
      <c r="AN29" s="772"/>
      <c r="AO29" s="773" t="s">
        <v>8</v>
      </c>
      <c r="AP29" s="774">
        <v>3</v>
      </c>
      <c r="AQ29" s="1449" t="s">
        <v>4439</v>
      </c>
      <c r="AR29" s="1451" t="s">
        <v>4440</v>
      </c>
      <c r="AS29" s="1449" t="s">
        <v>4441</v>
      </c>
      <c r="AT29" s="1449" t="s">
        <v>4442</v>
      </c>
      <c r="AU29" s="1449" t="s">
        <v>4443</v>
      </c>
      <c r="AV29" s="1449" t="s">
        <v>4444</v>
      </c>
      <c r="AW29" s="1449" t="s">
        <v>4445</v>
      </c>
      <c r="AX29" s="1452" t="s">
        <v>4446</v>
      </c>
      <c r="AY29" s="1449" t="s">
        <v>4447</v>
      </c>
    </row>
    <row r="30" spans="1:51" ht="33.75">
      <c r="A30" s="758"/>
      <c r="B30" s="771" t="s">
        <v>4448</v>
      </c>
      <c r="C30" s="772" t="s">
        <v>4449</v>
      </c>
      <c r="D30" s="772"/>
      <c r="E30" s="773" t="s">
        <v>8</v>
      </c>
      <c r="F30" s="800">
        <v>3</v>
      </c>
      <c r="G30" s="775">
        <v>34.822000000000003</v>
      </c>
      <c r="H30" s="1184">
        <v>0.04</v>
      </c>
      <c r="I30" s="798">
        <v>0</v>
      </c>
      <c r="J30" s="775">
        <v>0.61199999999999999</v>
      </c>
      <c r="K30" s="798">
        <v>0</v>
      </c>
      <c r="L30" s="798">
        <v>0</v>
      </c>
      <c r="M30" s="798">
        <v>0</v>
      </c>
      <c r="N30" s="1782">
        <v>0</v>
      </c>
      <c r="O30" s="777">
        <f t="shared" si="9"/>
        <v>35.474000000000004</v>
      </c>
      <c r="P30" s="778"/>
      <c r="R30" s="1345" t="str">
        <f>IF(SUM(T30:AD30)&lt;&gt; 0,$V$5,IF(SUM(AD30:AF30)=0,0,$AI$30))</f>
        <v>If table 4K does not equal table 2B, please provide reasoning and reconciliation in your commentary</v>
      </c>
      <c r="S30" s="65"/>
      <c r="T30" s="66"/>
      <c r="V30" s="86">
        <f>IF(Validation!$H$3=1,0,IF(ISNUMBER(G30),0,1))</f>
        <v>0</v>
      </c>
      <c r="W30" s="86">
        <f>IF(Validation!$H$3=1,0,IF(ISNUMBER(H30),0,1))</f>
        <v>0</v>
      </c>
      <c r="X30" s="86">
        <f>IF(Validation!$H$3=1,0,IF(ISNUMBER(I30),0,1))</f>
        <v>0</v>
      </c>
      <c r="Y30" s="86">
        <f>IF(Validation!$H$3=1,0,IF(ISNUMBER(J30),0,1))</f>
        <v>0</v>
      </c>
      <c r="Z30" s="86">
        <f>IF(Validation!$H$3=1,0,IF(ISNUMBER(K30),0,1))</f>
        <v>0</v>
      </c>
      <c r="AA30" s="86">
        <f>IF(Validation!$H$3=1,0,IF(ISNUMBER(L30),0,1))</f>
        <v>0</v>
      </c>
      <c r="AB30" s="86">
        <f>IF(Validation!$H$3=1,0,IF(ISNUMBER(M30),0,1))</f>
        <v>0</v>
      </c>
      <c r="AC30" s="86">
        <f>IF(Validation!$H$3=1,0,IF(ISNUMBER(N30),0,1))</f>
        <v>0</v>
      </c>
      <c r="AD30" s="66"/>
      <c r="AE30" s="86">
        <f xml:space="preserve"> IF( (AG30 - AH30) = 0, 0, 1 )</f>
        <v>1</v>
      </c>
      <c r="AF30" s="111"/>
      <c r="AG30" s="105">
        <f xml:space="preserve"> ROUND( O30, 3 )</f>
        <v>35.473999999999997</v>
      </c>
      <c r="AH30" s="105">
        <f xml:space="preserve"> ROUND( ('2B'!I30+'2B'!J30), 3 )</f>
        <v>0</v>
      </c>
      <c r="AI30" s="24" t="s">
        <v>4450</v>
      </c>
      <c r="AJ30" s="111"/>
      <c r="AL30" s="771" t="s">
        <v>4448</v>
      </c>
      <c r="AM30" s="772" t="s">
        <v>4449</v>
      </c>
      <c r="AN30" s="772"/>
      <c r="AO30" s="773" t="s">
        <v>8</v>
      </c>
      <c r="AP30" s="800">
        <v>3</v>
      </c>
      <c r="AQ30" s="1423" t="s">
        <v>4451</v>
      </c>
      <c r="AR30" s="1425" t="s">
        <v>4452</v>
      </c>
      <c r="AS30" s="1447" t="s">
        <v>4453</v>
      </c>
      <c r="AT30" s="1423" t="s">
        <v>4454</v>
      </c>
      <c r="AU30" s="1447" t="s">
        <v>4455</v>
      </c>
      <c r="AV30" s="1447" t="s">
        <v>4456</v>
      </c>
      <c r="AW30" s="1447" t="s">
        <v>4457</v>
      </c>
      <c r="AX30" s="1448" t="s">
        <v>4458</v>
      </c>
      <c r="AY30" s="1428" t="s">
        <v>4459</v>
      </c>
    </row>
    <row r="31" spans="1:51" ht="16.5" thickBot="1">
      <c r="A31" s="758"/>
      <c r="B31" s="787" t="s">
        <v>4460</v>
      </c>
      <c r="C31" s="788" t="s">
        <v>1030</v>
      </c>
      <c r="D31" s="788"/>
      <c r="E31" s="789" t="s">
        <v>8</v>
      </c>
      <c r="F31" s="1698">
        <v>3</v>
      </c>
      <c r="G31" s="801">
        <f t="shared" ref="G31" si="15">G19+G29-G30</f>
        <v>216.6835529136672</v>
      </c>
      <c r="H31" s="1189">
        <f>H19+H29-H30</f>
        <v>38.445707030012933</v>
      </c>
      <c r="I31" s="1189">
        <f>I19+I29-I30</f>
        <v>18.500365318329084</v>
      </c>
      <c r="J31" s="801">
        <f>J19+J29-J30</f>
        <v>450.44280286138127</v>
      </c>
      <c r="K31" s="792">
        <f t="shared" ref="K31:N31" si="16">K19+K29-K30</f>
        <v>0.97809368662389018</v>
      </c>
      <c r="L31" s="792">
        <f t="shared" si="16"/>
        <v>12.262533495328926</v>
      </c>
      <c r="M31" s="792">
        <f t="shared" si="16"/>
        <v>112.5043146079183</v>
      </c>
      <c r="N31" s="1786">
        <f t="shared" si="16"/>
        <v>26.828424567763957</v>
      </c>
      <c r="O31" s="793">
        <f t="shared" si="9"/>
        <v>876.64579448102552</v>
      </c>
      <c r="P31" s="794"/>
      <c r="R31" s="491"/>
      <c r="AL31" s="787" t="s">
        <v>4460</v>
      </c>
      <c r="AM31" s="788" t="s">
        <v>1030</v>
      </c>
      <c r="AN31" s="788"/>
      <c r="AO31" s="789" t="s">
        <v>8</v>
      </c>
      <c r="AP31" s="786">
        <v>3</v>
      </c>
      <c r="AQ31" s="1453" t="s">
        <v>4461</v>
      </c>
      <c r="AR31" s="1457" t="s">
        <v>4462</v>
      </c>
      <c r="AS31" s="1457" t="s">
        <v>4463</v>
      </c>
      <c r="AT31" s="1453" t="s">
        <v>4464</v>
      </c>
      <c r="AU31" s="1485" t="s">
        <v>4465</v>
      </c>
      <c r="AV31" s="1485" t="s">
        <v>4466</v>
      </c>
      <c r="AW31" s="1485" t="s">
        <v>4467</v>
      </c>
      <c r="AX31" s="1486" t="s">
        <v>4468</v>
      </c>
      <c r="AY31" s="1428" t="s">
        <v>4469</v>
      </c>
    </row>
    <row r="32" spans="1:51" ht="16.5" thickBot="1">
      <c r="A32" s="758"/>
      <c r="B32" s="758"/>
      <c r="C32" s="758"/>
      <c r="D32" s="758"/>
      <c r="E32" s="758"/>
      <c r="F32" s="758"/>
      <c r="G32" s="758"/>
      <c r="H32" s="758"/>
      <c r="I32" s="758"/>
      <c r="J32" s="758"/>
      <c r="K32" s="758"/>
      <c r="L32" s="758"/>
      <c r="M32" s="758"/>
      <c r="N32" s="758"/>
      <c r="O32" s="758"/>
      <c r="P32" s="758"/>
      <c r="R32" s="491"/>
      <c r="AL32" s="758"/>
      <c r="AM32" s="758"/>
      <c r="AN32" s="758"/>
      <c r="AO32" s="758"/>
      <c r="AP32" s="758"/>
      <c r="AQ32" s="1438"/>
      <c r="AR32" s="1438"/>
      <c r="AS32" s="1438"/>
      <c r="AT32" s="1438"/>
      <c r="AU32" s="1438"/>
      <c r="AV32" s="1438"/>
      <c r="AW32" s="1438"/>
      <c r="AX32" s="1438"/>
      <c r="AY32" s="1438"/>
    </row>
    <row r="33" spans="1:51" ht="16.5" thickBot="1">
      <c r="A33" s="758"/>
      <c r="B33" s="759" t="s">
        <v>362</v>
      </c>
      <c r="C33" s="760" t="s">
        <v>4114</v>
      </c>
      <c r="D33" s="2215"/>
      <c r="E33" s="802"/>
      <c r="F33" s="802"/>
      <c r="G33" s="802"/>
      <c r="H33" s="802"/>
      <c r="I33" s="802"/>
      <c r="J33" s="802"/>
      <c r="K33" s="802"/>
      <c r="L33" s="802"/>
      <c r="M33" s="802"/>
      <c r="N33" s="802"/>
      <c r="O33" s="802"/>
      <c r="P33" s="758"/>
      <c r="R33" s="491"/>
      <c r="AL33" s="759" t="s">
        <v>362</v>
      </c>
      <c r="AM33" s="760" t="s">
        <v>4114</v>
      </c>
      <c r="AN33" s="2215"/>
      <c r="AO33" s="802"/>
      <c r="AP33" s="802"/>
      <c r="AQ33" s="258"/>
      <c r="AR33" s="258"/>
      <c r="AS33" s="258"/>
      <c r="AT33" s="258"/>
      <c r="AU33" s="258"/>
      <c r="AV33" s="258"/>
      <c r="AW33" s="258"/>
      <c r="AX33" s="258"/>
      <c r="AY33" s="258"/>
    </row>
    <row r="34" spans="1:51" ht="15.75">
      <c r="A34" s="758"/>
      <c r="B34" s="762" t="s">
        <v>4470</v>
      </c>
      <c r="C34" s="763" t="s">
        <v>1039</v>
      </c>
      <c r="D34" s="763"/>
      <c r="E34" s="764" t="s">
        <v>8</v>
      </c>
      <c r="F34" s="803">
        <v>3</v>
      </c>
      <c r="G34" s="766">
        <v>2.4820000000000002</v>
      </c>
      <c r="H34" s="1183">
        <v>0.69099999999999995</v>
      </c>
      <c r="I34" s="767">
        <v>0.313</v>
      </c>
      <c r="J34" s="766">
        <v>3.7080000000000002</v>
      </c>
      <c r="K34" s="767">
        <v>3.6999999999999998E-2</v>
      </c>
      <c r="L34" s="767">
        <v>0.16300000000000001</v>
      </c>
      <c r="M34" s="804">
        <v>1.88</v>
      </c>
      <c r="N34" s="804">
        <v>0.16500000000000001</v>
      </c>
      <c r="O34" s="1203">
        <f t="shared" ref="O34:O36" si="17">+SUM(G34:N34)</f>
        <v>9.4390000000000001</v>
      </c>
      <c r="P34" s="805"/>
      <c r="R34" s="770">
        <f t="shared" ref="R34:R35" si="18" xml:space="preserve"> IF( SUM( T34:AD34 ) = 0, 0, $V$5 )</f>
        <v>0</v>
      </c>
      <c r="S34" s="65"/>
      <c r="T34" s="66"/>
      <c r="V34" s="86">
        <f>IF(Validation!$H$3=1,0,IF(ISNUMBER(G34),0,1))</f>
        <v>0</v>
      </c>
      <c r="W34" s="86">
        <f>IF(Validation!$H$3=1,0,IF(ISNUMBER(H34),0,1))</f>
        <v>0</v>
      </c>
      <c r="X34" s="86">
        <f>IF(Validation!$H$3=1,0,IF(ISNUMBER(I34),0,1))</f>
        <v>0</v>
      </c>
      <c r="Y34" s="86">
        <f>IF(Validation!$H$3=1,0,IF(ISNUMBER(J34),0,1))</f>
        <v>0</v>
      </c>
      <c r="Z34" s="86">
        <f>IF(Validation!$H$3=1,0,IF(ISNUMBER(K34),0,1))</f>
        <v>0</v>
      </c>
      <c r="AA34" s="86">
        <f>IF(Validation!$H$3=1,0,IF(ISNUMBER(L34),0,1))</f>
        <v>0</v>
      </c>
      <c r="AB34" s="86">
        <f>IF(Validation!$H$3=1,0,IF(ISNUMBER(M34),0,1))</f>
        <v>0</v>
      </c>
      <c r="AC34" s="86">
        <f>IF(Validation!$H$3=1,0,IF(ISNUMBER(N34),0,1))</f>
        <v>0</v>
      </c>
      <c r="AD34" s="66"/>
      <c r="AL34" s="762" t="s">
        <v>4470</v>
      </c>
      <c r="AM34" s="763" t="s">
        <v>1039</v>
      </c>
      <c r="AN34" s="763"/>
      <c r="AO34" s="764" t="s">
        <v>8</v>
      </c>
      <c r="AP34" s="803">
        <v>3</v>
      </c>
      <c r="AQ34" s="1417" t="s">
        <v>4471</v>
      </c>
      <c r="AR34" s="1419" t="s">
        <v>4472</v>
      </c>
      <c r="AS34" s="1420" t="s">
        <v>4473</v>
      </c>
      <c r="AT34" s="1417" t="s">
        <v>4474</v>
      </c>
      <c r="AU34" s="1420" t="s">
        <v>4475</v>
      </c>
      <c r="AV34" s="1420" t="s">
        <v>4476</v>
      </c>
      <c r="AW34" s="1421" t="s">
        <v>4477</v>
      </c>
      <c r="AX34" s="1421" t="s">
        <v>4478</v>
      </c>
      <c r="AY34" s="1455" t="s">
        <v>4479</v>
      </c>
    </row>
    <row r="35" spans="1:51" ht="15.75">
      <c r="A35" s="758"/>
      <c r="B35" s="771" t="s">
        <v>4480</v>
      </c>
      <c r="C35" s="772" t="s">
        <v>1047</v>
      </c>
      <c r="D35" s="772"/>
      <c r="E35" s="773" t="s">
        <v>8</v>
      </c>
      <c r="F35" s="800">
        <v>3</v>
      </c>
      <c r="G35" s="775">
        <v>0</v>
      </c>
      <c r="H35" s="1184">
        <v>0</v>
      </c>
      <c r="I35" s="776">
        <v>0</v>
      </c>
      <c r="J35" s="775">
        <v>0</v>
      </c>
      <c r="K35" s="776">
        <v>0</v>
      </c>
      <c r="L35" s="776">
        <v>0</v>
      </c>
      <c r="M35" s="806">
        <v>0</v>
      </c>
      <c r="N35" s="806">
        <v>0</v>
      </c>
      <c r="O35" s="1204">
        <f t="shared" si="17"/>
        <v>0</v>
      </c>
      <c r="P35" s="807"/>
      <c r="R35" s="770">
        <f t="shared" si="18"/>
        <v>0</v>
      </c>
      <c r="S35" s="65"/>
      <c r="T35" s="66"/>
      <c r="V35" s="86">
        <f>IF(Validation!$H$3=1,0,IF(ISNUMBER(G35),0,1))</f>
        <v>0</v>
      </c>
      <c r="W35" s="86">
        <f>IF(Validation!$H$3=1,0,IF(ISNUMBER(H35),0,1))</f>
        <v>0</v>
      </c>
      <c r="X35" s="86">
        <f>IF(Validation!$H$3=1,0,IF(ISNUMBER(I35),0,1))</f>
        <v>0</v>
      </c>
      <c r="Y35" s="86">
        <f>IF(Validation!$H$3=1,0,IF(ISNUMBER(J35),0,1))</f>
        <v>0</v>
      </c>
      <c r="Z35" s="86">
        <f>IF(Validation!$H$3=1,0,IF(ISNUMBER(K35),0,1))</f>
        <v>0</v>
      </c>
      <c r="AA35" s="86">
        <f>IF(Validation!$H$3=1,0,IF(ISNUMBER(L35),0,1))</f>
        <v>0</v>
      </c>
      <c r="AB35" s="86">
        <f>IF(Validation!$H$3=1,0,IF(ISNUMBER(M35),0,1))</f>
        <v>0</v>
      </c>
      <c r="AC35" s="86">
        <f>IF(Validation!$H$3=1,0,IF(ISNUMBER(N35),0,1))</f>
        <v>0</v>
      </c>
      <c r="AD35" s="66"/>
      <c r="AL35" s="771" t="s">
        <v>4480</v>
      </c>
      <c r="AM35" s="772" t="s">
        <v>1047</v>
      </c>
      <c r="AN35" s="772"/>
      <c r="AO35" s="773" t="s">
        <v>8</v>
      </c>
      <c r="AP35" s="800">
        <v>3</v>
      </c>
      <c r="AQ35" s="1423" t="s">
        <v>4481</v>
      </c>
      <c r="AR35" s="1425" t="s">
        <v>4482</v>
      </c>
      <c r="AS35" s="1426" t="s">
        <v>4483</v>
      </c>
      <c r="AT35" s="1423" t="s">
        <v>4484</v>
      </c>
      <c r="AU35" s="1426" t="s">
        <v>4485</v>
      </c>
      <c r="AV35" s="1426" t="s">
        <v>4486</v>
      </c>
      <c r="AW35" s="1427" t="s">
        <v>4487</v>
      </c>
      <c r="AX35" s="1427" t="s">
        <v>4488</v>
      </c>
      <c r="AY35" s="1456" t="s">
        <v>4489</v>
      </c>
    </row>
    <row r="36" spans="1:51" ht="16.5" thickBot="1">
      <c r="A36" s="758"/>
      <c r="B36" s="787" t="s">
        <v>4490</v>
      </c>
      <c r="C36" s="788" t="s">
        <v>1055</v>
      </c>
      <c r="D36" s="788"/>
      <c r="E36" s="789" t="s">
        <v>8</v>
      </c>
      <c r="F36" s="808">
        <v>3</v>
      </c>
      <c r="G36" s="801">
        <f t="shared" ref="G36" si="19">SUM(G31:G35)</f>
        <v>219.1655529136672</v>
      </c>
      <c r="H36" s="1189">
        <f t="shared" ref="H36:N36" si="20">SUM(H31:H35)</f>
        <v>39.136707030012936</v>
      </c>
      <c r="I36" s="809">
        <f t="shared" si="20"/>
        <v>18.813365318329083</v>
      </c>
      <c r="J36" s="801">
        <f t="shared" si="20"/>
        <v>454.15080286138129</v>
      </c>
      <c r="K36" s="809">
        <f t="shared" si="20"/>
        <v>1.0150936866238902</v>
      </c>
      <c r="L36" s="809">
        <f t="shared" si="20"/>
        <v>12.425533495328926</v>
      </c>
      <c r="M36" s="810">
        <f t="shared" si="20"/>
        <v>114.3843146079183</v>
      </c>
      <c r="N36" s="810">
        <f t="shared" si="20"/>
        <v>26.993424567763956</v>
      </c>
      <c r="O36" s="1205">
        <f t="shared" si="17"/>
        <v>886.08479448102582</v>
      </c>
      <c r="P36" s="794"/>
      <c r="R36" s="491"/>
      <c r="AL36" s="787" t="s">
        <v>4490</v>
      </c>
      <c r="AM36" s="788" t="s">
        <v>1055</v>
      </c>
      <c r="AN36" s="788"/>
      <c r="AO36" s="789" t="s">
        <v>8</v>
      </c>
      <c r="AP36" s="808">
        <v>3</v>
      </c>
      <c r="AQ36" s="1453" t="s">
        <v>4491</v>
      </c>
      <c r="AR36" s="1457" t="s">
        <v>4492</v>
      </c>
      <c r="AS36" s="1458" t="s">
        <v>4493</v>
      </c>
      <c r="AT36" s="1453" t="s">
        <v>4494</v>
      </c>
      <c r="AU36" s="1458" t="s">
        <v>4495</v>
      </c>
      <c r="AV36" s="1458" t="s">
        <v>4496</v>
      </c>
      <c r="AW36" s="1459" t="s">
        <v>4497</v>
      </c>
      <c r="AX36" s="1459" t="s">
        <v>4498</v>
      </c>
      <c r="AY36" s="1460" t="s">
        <v>4499</v>
      </c>
    </row>
    <row r="37" spans="1:51" ht="16.5" thickBot="1">
      <c r="A37" s="758"/>
      <c r="B37" s="1257"/>
      <c r="C37" s="811"/>
      <c r="D37" s="812"/>
      <c r="E37" s="813"/>
      <c r="F37" s="813"/>
      <c r="G37" s="813"/>
      <c r="H37" s="813"/>
      <c r="I37" s="813"/>
      <c r="J37" s="813"/>
      <c r="K37" s="813"/>
      <c r="L37" s="813"/>
      <c r="M37" s="813"/>
      <c r="N37" s="813"/>
      <c r="O37" s="813"/>
      <c r="P37" s="813"/>
      <c r="R37" s="491"/>
      <c r="AL37" s="1257"/>
      <c r="AM37" s="811"/>
      <c r="AN37" s="812"/>
      <c r="AO37" s="813"/>
      <c r="AP37" s="813"/>
      <c r="AQ37" s="1461"/>
      <c r="AR37" s="1461"/>
      <c r="AS37" s="1461"/>
      <c r="AT37" s="1461"/>
      <c r="AU37" s="1461"/>
      <c r="AV37" s="1461"/>
      <c r="AW37" s="1461"/>
      <c r="AX37" s="1461"/>
      <c r="AY37" s="1461"/>
    </row>
    <row r="38" spans="1:51" ht="16.5" thickBot="1">
      <c r="A38" s="758"/>
      <c r="B38" s="759" t="s">
        <v>419</v>
      </c>
      <c r="C38" s="1725" t="s">
        <v>4139</v>
      </c>
      <c r="D38" s="2215"/>
      <c r="E38" s="813"/>
      <c r="F38" s="813"/>
      <c r="G38" s="814"/>
      <c r="H38" s="814"/>
      <c r="I38" s="814"/>
      <c r="J38" s="814"/>
      <c r="K38" s="814"/>
      <c r="L38" s="814"/>
      <c r="M38" s="814"/>
      <c r="N38" s="814"/>
      <c r="O38" s="814"/>
      <c r="P38" s="758"/>
      <c r="R38" s="491"/>
      <c r="AL38" s="759" t="s">
        <v>419</v>
      </c>
      <c r="AM38" s="760" t="s">
        <v>4139</v>
      </c>
      <c r="AN38" s="2215"/>
      <c r="AO38" s="813"/>
      <c r="AP38" s="813"/>
      <c r="AQ38" s="1462"/>
      <c r="AR38" s="1462"/>
      <c r="AS38" s="1462"/>
      <c r="AT38" s="1462"/>
      <c r="AU38" s="1462"/>
      <c r="AV38" s="1462"/>
      <c r="AW38" s="1462"/>
      <c r="AX38" s="1462"/>
      <c r="AY38" s="1462"/>
    </row>
    <row r="39" spans="1:51" ht="15.75">
      <c r="A39" s="758"/>
      <c r="B39" s="762" t="s">
        <v>4500</v>
      </c>
      <c r="C39" s="2122" t="s">
        <v>4141</v>
      </c>
      <c r="D39" s="763"/>
      <c r="E39" s="764" t="s">
        <v>8</v>
      </c>
      <c r="F39" s="765">
        <v>3</v>
      </c>
      <c r="G39" s="766">
        <v>0.57599999999999996</v>
      </c>
      <c r="H39" s="1183">
        <v>0.16800000000000001</v>
      </c>
      <c r="I39" s="767">
        <v>8.7999999999999995E-2</v>
      </c>
      <c r="J39" s="766">
        <v>0.89600000000000002</v>
      </c>
      <c r="K39" s="767">
        <v>4.0000000000000001E-3</v>
      </c>
      <c r="L39" s="767">
        <v>0.06</v>
      </c>
      <c r="M39" s="804">
        <v>0.28399999999999997</v>
      </c>
      <c r="N39" s="804">
        <v>0.104</v>
      </c>
      <c r="O39" s="1206">
        <f t="shared" ref="O39:O49" si="21">+SUM(G39:N39)</f>
        <v>2.1800000000000002</v>
      </c>
      <c r="P39" s="805"/>
      <c r="R39" s="770">
        <f>(IF(SUM(V39:AD39)=0,IF(U39=1,AI$39,0),$V$5))</f>
        <v>0</v>
      </c>
      <c r="S39" s="65"/>
      <c r="T39" s="66"/>
      <c r="U39" s="86">
        <f xml:space="preserve"> IF( AND(OR(C39 = "Item 1",C39=""), OR( G39 &lt;&gt; 0, H39 &lt;&gt; 0, I39 &lt;&gt; 0, J39 &lt;&gt; 0, K39 &lt;&gt; 0, L39 &lt;&gt; 0, M39 &lt;&gt; 0, N39 &lt;&gt; 0) ), 1, 0 )</f>
        <v>0</v>
      </c>
      <c r="V39" s="86">
        <f xml:space="preserve"> IF(AND($C39="Item 1",$O39=0), 0, IF( ISNUMBER( G39 ), 0, 1 ))</f>
        <v>0</v>
      </c>
      <c r="W39" s="86">
        <f t="shared" ref="W39:AC39" si="22" xml:space="preserve"> IF(AND($C39="Item 1",$O39=0), 0, IF( ISNUMBER( H39 ), 0, 1 ))</f>
        <v>0</v>
      </c>
      <c r="X39" s="86">
        <f t="shared" si="22"/>
        <v>0</v>
      </c>
      <c r="Y39" s="86">
        <f t="shared" si="22"/>
        <v>0</v>
      </c>
      <c r="Z39" s="86">
        <f t="shared" si="22"/>
        <v>0</v>
      </c>
      <c r="AA39" s="86">
        <f t="shared" si="22"/>
        <v>0</v>
      </c>
      <c r="AB39" s="86">
        <f t="shared" si="22"/>
        <v>0</v>
      </c>
      <c r="AC39" s="86">
        <f t="shared" si="22"/>
        <v>0</v>
      </c>
      <c r="AD39" s="66"/>
      <c r="AF39" s="66"/>
      <c r="AI39" t="s">
        <v>4142</v>
      </c>
      <c r="AL39" s="762" t="s">
        <v>4500</v>
      </c>
      <c r="AM39" s="1426" t="s">
        <v>4501</v>
      </c>
      <c r="AN39" s="763"/>
      <c r="AO39" s="764" t="s">
        <v>8</v>
      </c>
      <c r="AP39" s="765">
        <v>3</v>
      </c>
      <c r="AQ39" s="1417" t="s">
        <v>4501</v>
      </c>
      <c r="AR39" s="1419" t="s">
        <v>4502</v>
      </c>
      <c r="AS39" s="1420" t="s">
        <v>4503</v>
      </c>
      <c r="AT39" s="1417" t="s">
        <v>4504</v>
      </c>
      <c r="AU39" s="1420" t="s">
        <v>4505</v>
      </c>
      <c r="AV39" s="1420" t="s">
        <v>4506</v>
      </c>
      <c r="AW39" s="1421" t="s">
        <v>4507</v>
      </c>
      <c r="AX39" s="1421" t="s">
        <v>4508</v>
      </c>
      <c r="AY39" s="1463" t="s">
        <v>4509</v>
      </c>
    </row>
    <row r="40" spans="1:51" ht="15.75">
      <c r="A40" s="758"/>
      <c r="B40" s="771" t="s">
        <v>4510</v>
      </c>
      <c r="C40" s="2123" t="s">
        <v>4151</v>
      </c>
      <c r="D40" s="842"/>
      <c r="E40" s="773" t="s">
        <v>8</v>
      </c>
      <c r="F40" s="774">
        <v>3</v>
      </c>
      <c r="G40" s="775"/>
      <c r="H40" s="1184"/>
      <c r="I40" s="776"/>
      <c r="J40" s="775"/>
      <c r="K40" s="776"/>
      <c r="L40" s="776"/>
      <c r="M40" s="806"/>
      <c r="N40" s="806"/>
      <c r="O40" s="1207">
        <f t="shared" si="21"/>
        <v>0</v>
      </c>
      <c r="P40" s="807"/>
      <c r="R40" s="770">
        <f t="shared" ref="R40:R49" si="23">(IF(SUM(V40:AD40)=0,IF(U40=1,AI$39,0),$V$5))</f>
        <v>0</v>
      </c>
      <c r="S40" s="65"/>
      <c r="T40" s="66"/>
      <c r="U40" s="86">
        <f xml:space="preserve"> IF( AND(OR(C40 = "Item 2",C40=""), OR( G40 &lt;&gt; 0, H40 &lt;&gt; 0, I40 &lt;&gt; 0, J40 &lt;&gt; 0, K40 &lt;&gt; 0, L40 &lt;&gt; 0, M40 &lt;&gt; 0, N40 &lt;&gt; 0) ), 1, 0 )</f>
        <v>0</v>
      </c>
      <c r="V40" s="86">
        <f xml:space="preserve"> IF(AND($C40="Item 2",$O40=0), 0, IF( ISNUMBER( G40 ), 0, 1 ))</f>
        <v>0</v>
      </c>
      <c r="W40" s="86">
        <f t="shared" ref="W40:AC40" si="24" xml:space="preserve"> IF(AND($C40="Item 2",$O40=0), 0, IF( ISNUMBER( H40 ), 0, 1 ))</f>
        <v>0</v>
      </c>
      <c r="X40" s="86">
        <f t="shared" si="24"/>
        <v>0</v>
      </c>
      <c r="Y40" s="86">
        <f t="shared" si="24"/>
        <v>0</v>
      </c>
      <c r="Z40" s="86">
        <f t="shared" si="24"/>
        <v>0</v>
      </c>
      <c r="AA40" s="86">
        <f t="shared" si="24"/>
        <v>0</v>
      </c>
      <c r="AB40" s="86">
        <f t="shared" si="24"/>
        <v>0</v>
      </c>
      <c r="AC40" s="86">
        <f t="shared" si="24"/>
        <v>0</v>
      </c>
      <c r="AD40" s="66"/>
      <c r="AF40" s="66"/>
      <c r="AL40" s="771" t="s">
        <v>4510</v>
      </c>
      <c r="AM40" s="1426" t="s">
        <v>4511</v>
      </c>
      <c r="AN40" s="842"/>
      <c r="AO40" s="773" t="s">
        <v>8</v>
      </c>
      <c r="AP40" s="774">
        <v>3</v>
      </c>
      <c r="AQ40" s="1423" t="s">
        <v>4511</v>
      </c>
      <c r="AR40" s="1425" t="s">
        <v>4512</v>
      </c>
      <c r="AS40" s="1426" t="s">
        <v>4513</v>
      </c>
      <c r="AT40" s="1423" t="s">
        <v>4514</v>
      </c>
      <c r="AU40" s="1426" t="s">
        <v>4515</v>
      </c>
      <c r="AV40" s="1426" t="s">
        <v>4516</v>
      </c>
      <c r="AW40" s="1427" t="s">
        <v>4517</v>
      </c>
      <c r="AX40" s="1427" t="s">
        <v>4518</v>
      </c>
      <c r="AY40" s="1464" t="s">
        <v>4519</v>
      </c>
    </row>
    <row r="41" spans="1:51" ht="15.75">
      <c r="A41" s="758"/>
      <c r="B41" s="771" t="s">
        <v>4520</v>
      </c>
      <c r="C41" s="2123" t="s">
        <v>4160</v>
      </c>
      <c r="D41" s="842"/>
      <c r="E41" s="773" t="s">
        <v>8</v>
      </c>
      <c r="F41" s="774">
        <v>3</v>
      </c>
      <c r="G41" s="775"/>
      <c r="H41" s="1184"/>
      <c r="I41" s="776"/>
      <c r="J41" s="775"/>
      <c r="K41" s="776"/>
      <c r="L41" s="776"/>
      <c r="M41" s="806"/>
      <c r="N41" s="806"/>
      <c r="O41" s="1207">
        <f t="shared" si="21"/>
        <v>0</v>
      </c>
      <c r="P41" s="816"/>
      <c r="R41" s="770">
        <f t="shared" si="23"/>
        <v>0</v>
      </c>
      <c r="S41" s="65"/>
      <c r="T41" s="66"/>
      <c r="U41" s="86">
        <f xml:space="preserve"> IF( AND(OR(C41 = "Item 3",C41=""), OR( G41 &lt;&gt; 0, H41 &lt;&gt; 0, I41 &lt;&gt; 0, J41 &lt;&gt; 0, K41 &lt;&gt; 0, L41 &lt;&gt; 0, M41 &lt;&gt; 0, N41 &lt;&gt; 0) ), 1, 0 )</f>
        <v>0</v>
      </c>
      <c r="V41" s="86">
        <f xml:space="preserve"> IF(AND($C41="Item 3",$O41=0), 0, IF( ISNUMBER( G41 ), 0, 1 ))</f>
        <v>0</v>
      </c>
      <c r="W41" s="86">
        <f t="shared" ref="W41:AC41" si="25" xml:space="preserve"> IF(AND($C41="Item 3",$O41=0), 0, IF( ISNUMBER( H41 ), 0, 1 ))</f>
        <v>0</v>
      </c>
      <c r="X41" s="86">
        <f t="shared" si="25"/>
        <v>0</v>
      </c>
      <c r="Y41" s="86">
        <f t="shared" si="25"/>
        <v>0</v>
      </c>
      <c r="Z41" s="86">
        <f t="shared" si="25"/>
        <v>0</v>
      </c>
      <c r="AA41" s="86">
        <f t="shared" si="25"/>
        <v>0</v>
      </c>
      <c r="AB41" s="86">
        <f t="shared" si="25"/>
        <v>0</v>
      </c>
      <c r="AC41" s="86">
        <f t="shared" si="25"/>
        <v>0</v>
      </c>
      <c r="AD41" s="66"/>
      <c r="AF41" s="66"/>
      <c r="AL41" s="771" t="s">
        <v>4520</v>
      </c>
      <c r="AM41" s="1426" t="s">
        <v>4521</v>
      </c>
      <c r="AN41" s="842"/>
      <c r="AO41" s="773" t="s">
        <v>8</v>
      </c>
      <c r="AP41" s="774">
        <v>3</v>
      </c>
      <c r="AQ41" s="1423" t="s">
        <v>4521</v>
      </c>
      <c r="AR41" s="1425" t="s">
        <v>4522</v>
      </c>
      <c r="AS41" s="1426" t="s">
        <v>4523</v>
      </c>
      <c r="AT41" s="1423" t="s">
        <v>4524</v>
      </c>
      <c r="AU41" s="1426" t="s">
        <v>4525</v>
      </c>
      <c r="AV41" s="1426" t="s">
        <v>4526</v>
      </c>
      <c r="AW41" s="1427" t="s">
        <v>4527</v>
      </c>
      <c r="AX41" s="1427" t="s">
        <v>4528</v>
      </c>
      <c r="AY41" s="1464" t="s">
        <v>4529</v>
      </c>
    </row>
    <row r="42" spans="1:51" ht="15.75">
      <c r="A42" s="758"/>
      <c r="B42" s="817" t="s">
        <v>4530</v>
      </c>
      <c r="C42" s="2123" t="s">
        <v>4169</v>
      </c>
      <c r="D42" s="842"/>
      <c r="E42" s="773" t="s">
        <v>8</v>
      </c>
      <c r="F42" s="774">
        <v>3</v>
      </c>
      <c r="G42" s="775"/>
      <c r="H42" s="1184"/>
      <c r="I42" s="776"/>
      <c r="J42" s="775"/>
      <c r="K42" s="776"/>
      <c r="L42" s="776"/>
      <c r="M42" s="806"/>
      <c r="N42" s="806"/>
      <c r="O42" s="1207">
        <f t="shared" si="21"/>
        <v>0</v>
      </c>
      <c r="P42" s="816"/>
      <c r="R42" s="770">
        <f t="shared" si="23"/>
        <v>0</v>
      </c>
      <c r="S42" s="65"/>
      <c r="T42" s="66"/>
      <c r="U42" s="86">
        <f xml:space="preserve"> IF( AND(OR(C42 = "Item 4",C42=""), OR( G42 &lt;&gt; 0, H42 &lt;&gt; 0, I42 &lt;&gt; 0, J42 &lt;&gt; 0, K42 &lt;&gt; 0, L42 &lt;&gt; 0, M42 &lt;&gt; 0, N42 &lt;&gt; 0) ), 1, 0 )</f>
        <v>0</v>
      </c>
      <c r="V42" s="86">
        <f xml:space="preserve"> IF(AND($C42="Item 4",$O42=0), 0, IF( ISNUMBER( G42 ), 0, 1 ))</f>
        <v>0</v>
      </c>
      <c r="W42" s="86">
        <f t="shared" ref="W42:AC42" si="26" xml:space="preserve"> IF(AND($C42="Item 4",$O42=0), 0, IF( ISNUMBER( H42 ), 0, 1 ))</f>
        <v>0</v>
      </c>
      <c r="X42" s="86">
        <f t="shared" si="26"/>
        <v>0</v>
      </c>
      <c r="Y42" s="86">
        <f t="shared" si="26"/>
        <v>0</v>
      </c>
      <c r="Z42" s="86">
        <f t="shared" si="26"/>
        <v>0</v>
      </c>
      <c r="AA42" s="86">
        <f t="shared" si="26"/>
        <v>0</v>
      </c>
      <c r="AB42" s="86">
        <f t="shared" si="26"/>
        <v>0</v>
      </c>
      <c r="AC42" s="86">
        <f t="shared" si="26"/>
        <v>0</v>
      </c>
      <c r="AD42" s="66"/>
      <c r="AF42" s="66"/>
      <c r="AL42" s="817" t="s">
        <v>4530</v>
      </c>
      <c r="AM42" s="1426" t="s">
        <v>4531</v>
      </c>
      <c r="AN42" s="842"/>
      <c r="AO42" s="773" t="s">
        <v>8</v>
      </c>
      <c r="AP42" s="774">
        <v>3</v>
      </c>
      <c r="AQ42" s="1423" t="s">
        <v>4531</v>
      </c>
      <c r="AR42" s="1425" t="s">
        <v>4532</v>
      </c>
      <c r="AS42" s="1426" t="s">
        <v>4533</v>
      </c>
      <c r="AT42" s="1423" t="s">
        <v>4534</v>
      </c>
      <c r="AU42" s="1426" t="s">
        <v>4535</v>
      </c>
      <c r="AV42" s="1426" t="s">
        <v>4536</v>
      </c>
      <c r="AW42" s="1427" t="s">
        <v>4537</v>
      </c>
      <c r="AX42" s="1427" t="s">
        <v>4538</v>
      </c>
      <c r="AY42" s="1464" t="s">
        <v>4539</v>
      </c>
    </row>
    <row r="43" spans="1:51" ht="15.75">
      <c r="A43" s="758"/>
      <c r="B43" s="771" t="s">
        <v>4540</v>
      </c>
      <c r="C43" s="2123" t="s">
        <v>4178</v>
      </c>
      <c r="D43" s="842"/>
      <c r="E43" s="773" t="s">
        <v>8</v>
      </c>
      <c r="F43" s="774">
        <v>3</v>
      </c>
      <c r="G43" s="775"/>
      <c r="H43" s="1184"/>
      <c r="I43" s="776"/>
      <c r="J43" s="775"/>
      <c r="K43" s="776"/>
      <c r="L43" s="776"/>
      <c r="M43" s="806"/>
      <c r="N43" s="806"/>
      <c r="O43" s="1207">
        <f t="shared" si="21"/>
        <v>0</v>
      </c>
      <c r="P43" s="816"/>
      <c r="R43" s="770">
        <f t="shared" si="23"/>
        <v>0</v>
      </c>
      <c r="S43" s="65"/>
      <c r="T43" s="66"/>
      <c r="U43" s="86">
        <f xml:space="preserve"> IF( AND(OR(C43 = "Item 5",C43=""), OR( G43 &lt;&gt; 0, H43 &lt;&gt; 0, I43 &lt;&gt; 0, J43 &lt;&gt; 0, K43 &lt;&gt; 0, L43 &lt;&gt; 0, M43 &lt;&gt; 0, N43 &lt;&gt; 0) ), 1, 0 )</f>
        <v>0</v>
      </c>
      <c r="V43" s="86">
        <f xml:space="preserve"> IF(AND($C43="Item 5",$O43=0), 0, IF( ISNUMBER( G43 ), 0, 1 ))</f>
        <v>0</v>
      </c>
      <c r="W43" s="86">
        <f t="shared" ref="W43:AC43" si="27" xml:space="preserve"> IF(AND($C43="Item 5",$O43=0), 0, IF( ISNUMBER( H43 ), 0, 1 ))</f>
        <v>0</v>
      </c>
      <c r="X43" s="86">
        <f t="shared" si="27"/>
        <v>0</v>
      </c>
      <c r="Y43" s="86">
        <f t="shared" si="27"/>
        <v>0</v>
      </c>
      <c r="Z43" s="86">
        <f t="shared" si="27"/>
        <v>0</v>
      </c>
      <c r="AA43" s="86">
        <f t="shared" si="27"/>
        <v>0</v>
      </c>
      <c r="AB43" s="86">
        <f t="shared" si="27"/>
        <v>0</v>
      </c>
      <c r="AC43" s="86">
        <f t="shared" si="27"/>
        <v>0</v>
      </c>
      <c r="AD43" s="66"/>
      <c r="AF43" s="66"/>
      <c r="AL43" s="771" t="s">
        <v>4540</v>
      </c>
      <c r="AM43" s="1426" t="s">
        <v>4541</v>
      </c>
      <c r="AN43" s="842"/>
      <c r="AO43" s="773" t="s">
        <v>8</v>
      </c>
      <c r="AP43" s="774">
        <v>3</v>
      </c>
      <c r="AQ43" s="1423" t="s">
        <v>4541</v>
      </c>
      <c r="AR43" s="1425" t="s">
        <v>4542</v>
      </c>
      <c r="AS43" s="1426" t="s">
        <v>4543</v>
      </c>
      <c r="AT43" s="1423" t="s">
        <v>4544</v>
      </c>
      <c r="AU43" s="1426" t="s">
        <v>4545</v>
      </c>
      <c r="AV43" s="1426" t="s">
        <v>4546</v>
      </c>
      <c r="AW43" s="1427" t="s">
        <v>4547</v>
      </c>
      <c r="AX43" s="1427" t="s">
        <v>4548</v>
      </c>
      <c r="AY43" s="1464" t="s">
        <v>4549</v>
      </c>
    </row>
    <row r="44" spans="1:51" ht="15.75">
      <c r="A44" s="758"/>
      <c r="B44" s="1169" t="s">
        <v>4550</v>
      </c>
      <c r="C44" s="2123" t="s">
        <v>4187</v>
      </c>
      <c r="D44" s="1343"/>
      <c r="E44" s="773" t="s">
        <v>8</v>
      </c>
      <c r="F44" s="774">
        <v>3</v>
      </c>
      <c r="G44" s="1171"/>
      <c r="H44" s="1190"/>
      <c r="I44" s="1170"/>
      <c r="J44" s="1171"/>
      <c r="K44" s="1170"/>
      <c r="L44" s="1170"/>
      <c r="M44" s="1172"/>
      <c r="N44" s="1172"/>
      <c r="O44" s="1347">
        <f t="shared" si="21"/>
        <v>0</v>
      </c>
      <c r="P44" s="816"/>
      <c r="R44" s="770">
        <f t="shared" si="23"/>
        <v>0</v>
      </c>
      <c r="S44" s="65"/>
      <c r="T44" s="66"/>
      <c r="U44" s="86">
        <f xml:space="preserve"> IF( AND(OR(C44 = "Item 6",C44=""), OR( G44 &lt;&gt; 0, H44 &lt;&gt; 0, I44 &lt;&gt; 0, J44 &lt;&gt; 0, K44 &lt;&gt; 0, L44 &lt;&gt; 0, M44 &lt;&gt; 0, N44 &lt;&gt; 0) ), 1, 0 )</f>
        <v>0</v>
      </c>
      <c r="V44" s="86">
        <f xml:space="preserve"> IF(AND($C44="Item 6",$O44=0), 0, IF( ISNUMBER( G44 ), 0, 1 ))</f>
        <v>0</v>
      </c>
      <c r="W44" s="86">
        <f t="shared" ref="W44:AC44" si="28" xml:space="preserve"> IF(AND($C44="Item 6",$O44=0), 0, IF( ISNUMBER( H44 ), 0, 1 ))</f>
        <v>0</v>
      </c>
      <c r="X44" s="86">
        <f t="shared" si="28"/>
        <v>0</v>
      </c>
      <c r="Y44" s="86">
        <f t="shared" si="28"/>
        <v>0</v>
      </c>
      <c r="Z44" s="86">
        <f t="shared" si="28"/>
        <v>0</v>
      </c>
      <c r="AA44" s="86">
        <f t="shared" si="28"/>
        <v>0</v>
      </c>
      <c r="AB44" s="86">
        <f t="shared" si="28"/>
        <v>0</v>
      </c>
      <c r="AC44" s="86">
        <f t="shared" si="28"/>
        <v>0</v>
      </c>
      <c r="AD44" s="66"/>
      <c r="AF44" s="66"/>
      <c r="AL44" s="1169" t="s">
        <v>4550</v>
      </c>
      <c r="AM44" s="1426" t="s">
        <v>4551</v>
      </c>
      <c r="AN44" s="1343"/>
      <c r="AO44" s="773" t="s">
        <v>8</v>
      </c>
      <c r="AP44" s="774">
        <v>3</v>
      </c>
      <c r="AQ44" s="1465" t="s">
        <v>4551</v>
      </c>
      <c r="AR44" s="1467" t="s">
        <v>4552</v>
      </c>
      <c r="AS44" s="1468" t="s">
        <v>4553</v>
      </c>
      <c r="AT44" s="1465" t="s">
        <v>4554</v>
      </c>
      <c r="AU44" s="1468" t="s">
        <v>4555</v>
      </c>
      <c r="AV44" s="1468" t="s">
        <v>4556</v>
      </c>
      <c r="AW44" s="1469" t="s">
        <v>4557</v>
      </c>
      <c r="AX44" s="1469" t="s">
        <v>4558</v>
      </c>
      <c r="AY44" s="1487" t="s">
        <v>4559</v>
      </c>
    </row>
    <row r="45" spans="1:51" ht="15.75">
      <c r="A45" s="758"/>
      <c r="B45" s="1169" t="s">
        <v>4560</v>
      </c>
      <c r="C45" s="2123" t="s">
        <v>4196</v>
      </c>
      <c r="D45" s="1343"/>
      <c r="E45" s="773" t="s">
        <v>8</v>
      </c>
      <c r="F45" s="774">
        <v>3</v>
      </c>
      <c r="G45" s="1171"/>
      <c r="H45" s="1190"/>
      <c r="I45" s="1170"/>
      <c r="J45" s="1171"/>
      <c r="K45" s="1170"/>
      <c r="L45" s="1170"/>
      <c r="M45" s="1172"/>
      <c r="N45" s="1172"/>
      <c r="O45" s="1347">
        <f t="shared" si="21"/>
        <v>0</v>
      </c>
      <c r="P45" s="816"/>
      <c r="R45" s="770">
        <f t="shared" si="23"/>
        <v>0</v>
      </c>
      <c r="S45" s="65"/>
      <c r="T45" s="66"/>
      <c r="U45" s="86">
        <f xml:space="preserve"> IF( AND(OR(C45 = "Item 7",C45=""), OR( G45 &lt;&gt; 0, H45 &lt;&gt; 0, I45 &lt;&gt; 0, J45 &lt;&gt; 0, K45 &lt;&gt; 0, L45 &lt;&gt; 0, M45 &lt;&gt; 0, N45 &lt;&gt; 0) ), 1, 0 )</f>
        <v>0</v>
      </c>
      <c r="V45" s="86">
        <f xml:space="preserve"> IF(AND($C45="Item 7",$O45=0), 0, IF( ISNUMBER( G45 ), 0, 1 ))</f>
        <v>0</v>
      </c>
      <c r="W45" s="86">
        <f t="shared" ref="W45:AC45" si="29" xml:space="preserve"> IF(AND($C45="Item 7",$O45=0), 0, IF( ISNUMBER( H45 ), 0, 1 ))</f>
        <v>0</v>
      </c>
      <c r="X45" s="86">
        <f t="shared" si="29"/>
        <v>0</v>
      </c>
      <c r="Y45" s="86">
        <f t="shared" si="29"/>
        <v>0</v>
      </c>
      <c r="Z45" s="86">
        <f t="shared" si="29"/>
        <v>0</v>
      </c>
      <c r="AA45" s="86">
        <f t="shared" si="29"/>
        <v>0</v>
      </c>
      <c r="AB45" s="86">
        <f t="shared" si="29"/>
        <v>0</v>
      </c>
      <c r="AC45" s="86">
        <f t="shared" si="29"/>
        <v>0</v>
      </c>
      <c r="AD45" s="66"/>
      <c r="AF45" s="66"/>
      <c r="AL45" s="1169" t="s">
        <v>4560</v>
      </c>
      <c r="AM45" s="1426" t="s">
        <v>4561</v>
      </c>
      <c r="AN45" s="1343"/>
      <c r="AO45" s="773" t="s">
        <v>8</v>
      </c>
      <c r="AP45" s="774">
        <v>3</v>
      </c>
      <c r="AQ45" s="1465" t="s">
        <v>4561</v>
      </c>
      <c r="AR45" s="1467" t="s">
        <v>4562</v>
      </c>
      <c r="AS45" s="1468" t="s">
        <v>4563</v>
      </c>
      <c r="AT45" s="1465" t="s">
        <v>4564</v>
      </c>
      <c r="AU45" s="1468" t="s">
        <v>4565</v>
      </c>
      <c r="AV45" s="1468" t="s">
        <v>4566</v>
      </c>
      <c r="AW45" s="1469" t="s">
        <v>4567</v>
      </c>
      <c r="AX45" s="1469" t="s">
        <v>4568</v>
      </c>
      <c r="AY45" s="1487" t="s">
        <v>4569</v>
      </c>
    </row>
    <row r="46" spans="1:51" ht="15.75">
      <c r="A46" s="758"/>
      <c r="B46" s="1169" t="s">
        <v>4570</v>
      </c>
      <c r="C46" s="2123" t="s">
        <v>4205</v>
      </c>
      <c r="D46" s="1343"/>
      <c r="E46" s="773" t="s">
        <v>8</v>
      </c>
      <c r="F46" s="774">
        <v>3</v>
      </c>
      <c r="G46" s="1171"/>
      <c r="H46" s="1190"/>
      <c r="I46" s="1170"/>
      <c r="J46" s="1171"/>
      <c r="K46" s="1170"/>
      <c r="L46" s="1170"/>
      <c r="M46" s="1172"/>
      <c r="N46" s="1172"/>
      <c r="O46" s="1347">
        <f t="shared" si="21"/>
        <v>0</v>
      </c>
      <c r="P46" s="816"/>
      <c r="R46" s="770">
        <f t="shared" si="23"/>
        <v>0</v>
      </c>
      <c r="S46" s="65"/>
      <c r="T46" s="66"/>
      <c r="U46" s="86">
        <f xml:space="preserve"> IF( AND(OR(C46 = "Item 8",C46=""), OR( G46 &lt;&gt; 0, H46 &lt;&gt; 0, I46 &lt;&gt; 0, J46 &lt;&gt; 0, K46 &lt;&gt; 0, L46 &lt;&gt; 0, M46 &lt;&gt; 0, N46 &lt;&gt; 0) ), 1, 0 )</f>
        <v>0</v>
      </c>
      <c r="V46" s="86">
        <f xml:space="preserve"> IF(AND($C46="Item 8",$O46=0), 0, IF( ISNUMBER( G46 ), 0, 1 ))</f>
        <v>0</v>
      </c>
      <c r="W46" s="86">
        <f t="shared" ref="W46:AC46" si="30" xml:space="preserve"> IF(AND($C46="Item 8",$O46=0), 0, IF( ISNUMBER( H46 ), 0, 1 ))</f>
        <v>0</v>
      </c>
      <c r="X46" s="86">
        <f t="shared" si="30"/>
        <v>0</v>
      </c>
      <c r="Y46" s="86">
        <f t="shared" si="30"/>
        <v>0</v>
      </c>
      <c r="Z46" s="86">
        <f t="shared" si="30"/>
        <v>0</v>
      </c>
      <c r="AA46" s="86">
        <f t="shared" si="30"/>
        <v>0</v>
      </c>
      <c r="AB46" s="86">
        <f t="shared" si="30"/>
        <v>0</v>
      </c>
      <c r="AC46" s="86">
        <f t="shared" si="30"/>
        <v>0</v>
      </c>
      <c r="AD46" s="66"/>
      <c r="AF46" s="66"/>
      <c r="AL46" s="1169" t="s">
        <v>4570</v>
      </c>
      <c r="AM46" s="1426" t="s">
        <v>4571</v>
      </c>
      <c r="AN46" s="1343"/>
      <c r="AO46" s="773" t="s">
        <v>8</v>
      </c>
      <c r="AP46" s="774">
        <v>3</v>
      </c>
      <c r="AQ46" s="1465" t="s">
        <v>4571</v>
      </c>
      <c r="AR46" s="1467" t="s">
        <v>4572</v>
      </c>
      <c r="AS46" s="1468" t="s">
        <v>4573</v>
      </c>
      <c r="AT46" s="1465" t="s">
        <v>4574</v>
      </c>
      <c r="AU46" s="1468" t="s">
        <v>4575</v>
      </c>
      <c r="AV46" s="1468" t="s">
        <v>4576</v>
      </c>
      <c r="AW46" s="1469" t="s">
        <v>4577</v>
      </c>
      <c r="AX46" s="1469" t="s">
        <v>4578</v>
      </c>
      <c r="AY46" s="1487" t="s">
        <v>4579</v>
      </c>
    </row>
    <row r="47" spans="1:51" ht="15.75">
      <c r="A47" s="758"/>
      <c r="B47" s="1169" t="s">
        <v>4580</v>
      </c>
      <c r="C47" s="2123" t="s">
        <v>4214</v>
      </c>
      <c r="D47" s="1343"/>
      <c r="E47" s="773" t="s">
        <v>8</v>
      </c>
      <c r="F47" s="774">
        <v>3</v>
      </c>
      <c r="G47" s="1171"/>
      <c r="H47" s="1190"/>
      <c r="I47" s="1170"/>
      <c r="J47" s="1171"/>
      <c r="K47" s="1170"/>
      <c r="L47" s="1170"/>
      <c r="M47" s="1172"/>
      <c r="N47" s="1172"/>
      <c r="O47" s="1347">
        <f t="shared" si="21"/>
        <v>0</v>
      </c>
      <c r="P47" s="816"/>
      <c r="R47" s="770">
        <f t="shared" si="23"/>
        <v>0</v>
      </c>
      <c r="S47" s="65"/>
      <c r="T47" s="66"/>
      <c r="U47" s="86">
        <f xml:space="preserve"> IF( AND(OR(C47 = "Item 9",C47=""), OR( G47 &lt;&gt; 0, H47 &lt;&gt; 0, I47 &lt;&gt; 0, J47 &lt;&gt; 0, K47 &lt;&gt; 0, L47 &lt;&gt; 0, M47 &lt;&gt; 0, N47 &lt;&gt; 0) ), 1, 0 )</f>
        <v>0</v>
      </c>
      <c r="V47" s="86">
        <f xml:space="preserve"> IF(AND($C47="Item 9",$O47=0), 0, IF( ISNUMBER( G47 ), 0, 1 ))</f>
        <v>0</v>
      </c>
      <c r="W47" s="86">
        <f t="shared" ref="W47:AC47" si="31" xml:space="preserve"> IF(AND($C47="Item 9",$O47=0), 0, IF( ISNUMBER( H47 ), 0, 1 ))</f>
        <v>0</v>
      </c>
      <c r="X47" s="86">
        <f t="shared" si="31"/>
        <v>0</v>
      </c>
      <c r="Y47" s="86">
        <f t="shared" si="31"/>
        <v>0</v>
      </c>
      <c r="Z47" s="86">
        <f t="shared" si="31"/>
        <v>0</v>
      </c>
      <c r="AA47" s="86">
        <f t="shared" si="31"/>
        <v>0</v>
      </c>
      <c r="AB47" s="86">
        <f t="shared" si="31"/>
        <v>0</v>
      </c>
      <c r="AC47" s="86">
        <f t="shared" si="31"/>
        <v>0</v>
      </c>
      <c r="AD47" s="66"/>
      <c r="AF47" s="66"/>
      <c r="AL47" s="1169" t="s">
        <v>4580</v>
      </c>
      <c r="AM47" s="1426" t="s">
        <v>4581</v>
      </c>
      <c r="AN47" s="1343"/>
      <c r="AO47" s="773" t="s">
        <v>8</v>
      </c>
      <c r="AP47" s="774">
        <v>3</v>
      </c>
      <c r="AQ47" s="1465" t="s">
        <v>4581</v>
      </c>
      <c r="AR47" s="1467" t="s">
        <v>4582</v>
      </c>
      <c r="AS47" s="1468" t="s">
        <v>4583</v>
      </c>
      <c r="AT47" s="1465" t="s">
        <v>4584</v>
      </c>
      <c r="AU47" s="1468" t="s">
        <v>4585</v>
      </c>
      <c r="AV47" s="1468" t="s">
        <v>4586</v>
      </c>
      <c r="AW47" s="1469" t="s">
        <v>4587</v>
      </c>
      <c r="AX47" s="1469" t="s">
        <v>4588</v>
      </c>
      <c r="AY47" s="1487" t="s">
        <v>4589</v>
      </c>
    </row>
    <row r="48" spans="1:51" ht="15.75">
      <c r="A48" s="758"/>
      <c r="B48" s="1169" t="s">
        <v>4590</v>
      </c>
      <c r="C48" s="2123" t="s">
        <v>4223</v>
      </c>
      <c r="D48" s="1343"/>
      <c r="E48" s="773" t="s">
        <v>8</v>
      </c>
      <c r="F48" s="774">
        <v>3</v>
      </c>
      <c r="G48" s="1171"/>
      <c r="H48" s="1190"/>
      <c r="I48" s="1170"/>
      <c r="J48" s="1171"/>
      <c r="K48" s="1170"/>
      <c r="L48" s="1170"/>
      <c r="M48" s="1172"/>
      <c r="N48" s="1172"/>
      <c r="O48" s="1347">
        <f t="shared" si="21"/>
        <v>0</v>
      </c>
      <c r="P48" s="816"/>
      <c r="R48" s="770">
        <f t="shared" si="23"/>
        <v>0</v>
      </c>
      <c r="S48" s="65"/>
      <c r="T48" s="66"/>
      <c r="U48" s="86">
        <f xml:space="preserve"> IF( AND(OR(C48 = "Item 10",C48=""), OR( G48 &lt;&gt; 0, H48 &lt;&gt; 0, I48 &lt;&gt; 0, J48 &lt;&gt; 0, K48 &lt;&gt; 0, L48 &lt;&gt; 0, M48 &lt;&gt; 0, N48 &lt;&gt; 0) ), 1, 0 )</f>
        <v>0</v>
      </c>
      <c r="V48" s="86">
        <f xml:space="preserve"> IF(AND($C48="Item 10",$O48=0), 0, IF( ISNUMBER( G48 ), 0, 1 ))</f>
        <v>0</v>
      </c>
      <c r="W48" s="86">
        <f t="shared" ref="W48:AC48" si="32" xml:space="preserve"> IF(AND($C48="Item 10",$O48=0), 0, IF( ISNUMBER( H48 ), 0, 1 ))</f>
        <v>0</v>
      </c>
      <c r="X48" s="86">
        <f t="shared" si="32"/>
        <v>0</v>
      </c>
      <c r="Y48" s="86">
        <f t="shared" si="32"/>
        <v>0</v>
      </c>
      <c r="Z48" s="86">
        <f t="shared" si="32"/>
        <v>0</v>
      </c>
      <c r="AA48" s="86">
        <f t="shared" si="32"/>
        <v>0</v>
      </c>
      <c r="AB48" s="86">
        <f t="shared" si="32"/>
        <v>0</v>
      </c>
      <c r="AC48" s="86">
        <f t="shared" si="32"/>
        <v>0</v>
      </c>
      <c r="AD48" s="66"/>
      <c r="AF48" s="66"/>
      <c r="AL48" s="1169" t="s">
        <v>4590</v>
      </c>
      <c r="AM48" s="1426" t="s">
        <v>4591</v>
      </c>
      <c r="AN48" s="1343"/>
      <c r="AO48" s="773" t="s">
        <v>8</v>
      </c>
      <c r="AP48" s="774">
        <v>3</v>
      </c>
      <c r="AQ48" s="1465" t="s">
        <v>4591</v>
      </c>
      <c r="AR48" s="1467" t="s">
        <v>4592</v>
      </c>
      <c r="AS48" s="1468" t="s">
        <v>4593</v>
      </c>
      <c r="AT48" s="1465" t="s">
        <v>4594</v>
      </c>
      <c r="AU48" s="1468" t="s">
        <v>4595</v>
      </c>
      <c r="AV48" s="1468" t="s">
        <v>4596</v>
      </c>
      <c r="AW48" s="1469" t="s">
        <v>4597</v>
      </c>
      <c r="AX48" s="1469" t="s">
        <v>4598</v>
      </c>
      <c r="AY48" s="1487" t="s">
        <v>4599</v>
      </c>
    </row>
    <row r="49" spans="1:51" ht="16.5" thickBot="1">
      <c r="A49" s="758"/>
      <c r="B49" s="787" t="s">
        <v>4600</v>
      </c>
      <c r="C49" s="788" t="s">
        <v>4232</v>
      </c>
      <c r="D49" s="788"/>
      <c r="E49" s="789" t="s">
        <v>8</v>
      </c>
      <c r="F49" s="790">
        <v>3</v>
      </c>
      <c r="G49" s="2040">
        <f t="shared" ref="G49:N49" si="33">+SUM(G39:G48)</f>
        <v>0.57599999999999996</v>
      </c>
      <c r="H49" s="2042">
        <f t="shared" si="33"/>
        <v>0.16800000000000001</v>
      </c>
      <c r="I49" s="2043">
        <f t="shared" si="33"/>
        <v>8.7999999999999995E-2</v>
      </c>
      <c r="J49" s="2040">
        <f t="shared" si="33"/>
        <v>0.89600000000000002</v>
      </c>
      <c r="K49" s="2043">
        <f t="shared" si="33"/>
        <v>4.0000000000000001E-3</v>
      </c>
      <c r="L49" s="2043">
        <f t="shared" si="33"/>
        <v>0.06</v>
      </c>
      <c r="M49" s="2044">
        <f t="shared" si="33"/>
        <v>0.28399999999999997</v>
      </c>
      <c r="N49" s="2044">
        <f t="shared" si="33"/>
        <v>0.104</v>
      </c>
      <c r="O49" s="1208">
        <f t="shared" si="21"/>
        <v>2.1800000000000002</v>
      </c>
      <c r="P49" s="818"/>
      <c r="R49" s="770">
        <f t="shared" si="23"/>
        <v>0</v>
      </c>
      <c r="T49" s="66"/>
      <c r="AD49" s="66"/>
      <c r="AF49" s="66"/>
      <c r="AL49" s="787" t="s">
        <v>4600</v>
      </c>
      <c r="AM49" s="788" t="s">
        <v>4232</v>
      </c>
      <c r="AN49" s="788"/>
      <c r="AO49" s="789" t="s">
        <v>8</v>
      </c>
      <c r="AP49" s="790">
        <v>3</v>
      </c>
      <c r="AQ49" s="1470" t="s">
        <v>4601</v>
      </c>
      <c r="AR49" s="1472" t="s">
        <v>4602</v>
      </c>
      <c r="AS49" s="1473" t="s">
        <v>4603</v>
      </c>
      <c r="AT49" s="1470" t="s">
        <v>4604</v>
      </c>
      <c r="AU49" s="1473" t="s">
        <v>4605</v>
      </c>
      <c r="AV49" s="1473" t="s">
        <v>4606</v>
      </c>
      <c r="AW49" s="1474" t="s">
        <v>4607</v>
      </c>
      <c r="AX49" s="1474" t="s">
        <v>4608</v>
      </c>
      <c r="AY49" s="1475" t="s">
        <v>4609</v>
      </c>
    </row>
    <row r="50" spans="1:51" ht="16.5" thickBot="1">
      <c r="A50" s="758"/>
      <c r="B50" s="819"/>
      <c r="C50" s="812"/>
      <c r="D50" s="812"/>
      <c r="E50" s="813"/>
      <c r="F50" s="813"/>
      <c r="G50" s="814"/>
      <c r="H50" s="814"/>
      <c r="I50" s="814"/>
      <c r="J50" s="814"/>
      <c r="K50" s="814"/>
      <c r="L50" s="814"/>
      <c r="M50" s="814"/>
      <c r="N50" s="814"/>
      <c r="O50" s="814"/>
      <c r="P50" s="758"/>
      <c r="T50" s="66"/>
      <c r="AD50" s="66"/>
      <c r="AF50" s="66"/>
      <c r="AL50" s="819"/>
      <c r="AM50" s="812"/>
      <c r="AN50" s="812"/>
      <c r="AO50" s="813"/>
      <c r="AP50" s="813"/>
      <c r="AQ50" s="1462"/>
      <c r="AR50" s="1462"/>
      <c r="AS50" s="1462"/>
      <c r="AT50" s="1462"/>
      <c r="AU50" s="1462"/>
      <c r="AV50" s="1462"/>
      <c r="AW50" s="1462"/>
      <c r="AX50" s="1462"/>
      <c r="AY50" s="1462"/>
    </row>
    <row r="51" spans="1:51" ht="16.5" thickBot="1">
      <c r="A51" s="758"/>
      <c r="B51" s="759" t="s">
        <v>493</v>
      </c>
      <c r="C51" s="1725" t="s">
        <v>4240</v>
      </c>
      <c r="D51" s="2215"/>
      <c r="E51" s="813"/>
      <c r="F51" s="813"/>
      <c r="G51" s="814"/>
      <c r="H51" s="814"/>
      <c r="I51" s="814"/>
      <c r="J51" s="814"/>
      <c r="K51" s="814"/>
      <c r="L51" s="814"/>
      <c r="M51" s="814"/>
      <c r="N51" s="814"/>
      <c r="O51" s="814"/>
      <c r="P51" s="758"/>
      <c r="T51" s="66"/>
      <c r="AD51" s="66"/>
      <c r="AF51" s="66"/>
      <c r="AL51" s="759" t="s">
        <v>493</v>
      </c>
      <c r="AM51" s="820" t="s">
        <v>4240</v>
      </c>
      <c r="AN51" s="2215"/>
      <c r="AO51" s="813"/>
      <c r="AP51" s="813"/>
      <c r="AQ51" s="1462"/>
      <c r="AR51" s="1462"/>
      <c r="AS51" s="1462"/>
      <c r="AT51" s="1462"/>
      <c r="AU51" s="1462"/>
      <c r="AV51" s="1462"/>
      <c r="AW51" s="1462"/>
      <c r="AX51" s="1462"/>
      <c r="AY51" s="1462"/>
    </row>
    <row r="52" spans="1:51" ht="24" customHeight="1" thickBot="1">
      <c r="A52" s="758"/>
      <c r="B52" s="821" t="s">
        <v>4610</v>
      </c>
      <c r="C52" s="822" t="s">
        <v>4242</v>
      </c>
      <c r="D52" s="822"/>
      <c r="E52" s="824" t="s">
        <v>8</v>
      </c>
      <c r="F52" s="825">
        <v>3</v>
      </c>
      <c r="G52" s="2045">
        <f t="shared" ref="G52:N52" si="34">+G49+G36</f>
        <v>219.74155291366719</v>
      </c>
      <c r="H52" s="2047">
        <f t="shared" si="34"/>
        <v>39.304707030012935</v>
      </c>
      <c r="I52" s="2048">
        <f t="shared" si="34"/>
        <v>18.901365318329084</v>
      </c>
      <c r="J52" s="2045">
        <f t="shared" si="34"/>
        <v>455.04680286138131</v>
      </c>
      <c r="K52" s="2048">
        <f t="shared" si="34"/>
        <v>1.0190936866238902</v>
      </c>
      <c r="L52" s="2048">
        <f t="shared" si="34"/>
        <v>12.485533495328927</v>
      </c>
      <c r="M52" s="2052">
        <f t="shared" si="34"/>
        <v>114.6683146079183</v>
      </c>
      <c r="N52" s="1344">
        <f t="shared" si="34"/>
        <v>27.097424567763955</v>
      </c>
      <c r="O52" s="2050">
        <f>+SUM(G52:N52)</f>
        <v>888.26479448102555</v>
      </c>
      <c r="P52" s="758"/>
      <c r="R52" s="1164" t="str">
        <f xml:space="preserve"> IF( SUM( AD52:AF52 ) = 0, 0, AI52 )</f>
        <v>If table 4K does not equal 4E, please provide reasoning and reconciliation in your commentary</v>
      </c>
      <c r="T52" s="66"/>
      <c r="AD52" s="66"/>
      <c r="AE52" s="86">
        <f xml:space="preserve"> IF( (AG52 - AH52) = 0, 0, 1 )</f>
        <v>1</v>
      </c>
      <c r="AF52" s="114"/>
      <c r="AG52" s="105">
        <f xml:space="preserve"> ROUND( O52, 3 )</f>
        <v>888.26499999999999</v>
      </c>
      <c r="AH52" s="105">
        <f xml:space="preserve"> ROUND( ('4E'!O39), 3 )</f>
        <v>914.3</v>
      </c>
      <c r="AI52" s="24" t="s">
        <v>4611</v>
      </c>
      <c r="AJ52" s="66"/>
      <c r="AL52" s="821" t="s">
        <v>4610</v>
      </c>
      <c r="AM52" s="822" t="s">
        <v>4242</v>
      </c>
      <c r="AN52" s="822"/>
      <c r="AO52" s="824" t="s">
        <v>8</v>
      </c>
      <c r="AP52" s="825">
        <v>3</v>
      </c>
      <c r="AQ52" s="1476" t="s">
        <v>4612</v>
      </c>
      <c r="AR52" s="1478" t="s">
        <v>4613</v>
      </c>
      <c r="AS52" s="1479" t="s">
        <v>4614</v>
      </c>
      <c r="AT52" s="1476" t="s">
        <v>4615</v>
      </c>
      <c r="AU52" s="1479" t="s">
        <v>4616</v>
      </c>
      <c r="AV52" s="1479" t="s">
        <v>4617</v>
      </c>
      <c r="AW52" s="1488" t="s">
        <v>4618</v>
      </c>
      <c r="AX52" s="1489" t="s">
        <v>4619</v>
      </c>
      <c r="AY52" s="1481" t="s">
        <v>4620</v>
      </c>
    </row>
    <row r="53" spans="1:51"/>
    <row r="54" spans="1:51" ht="15.75">
      <c r="B54" s="2349" t="s">
        <v>275</v>
      </c>
      <c r="C54" s="2349"/>
      <c r="D54" s="2215"/>
      <c r="E54" s="758"/>
      <c r="F54" s="758"/>
      <c r="G54" s="758"/>
      <c r="H54" s="758"/>
      <c r="I54" s="758"/>
      <c r="J54" s="758"/>
      <c r="K54" s="758"/>
      <c r="L54" s="758"/>
      <c r="M54" s="758"/>
      <c r="N54" s="758"/>
      <c r="O54" s="758"/>
      <c r="P54" s="758"/>
      <c r="Q54" s="758"/>
      <c r="R54" s="758"/>
      <c r="S54" s="758"/>
      <c r="T54" s="1717"/>
      <c r="U54" s="758"/>
      <c r="V54" s="758"/>
      <c r="W54" s="758"/>
      <c r="X54" s="758"/>
      <c r="Y54" s="758"/>
      <c r="Z54" s="758"/>
      <c r="AA54" s="758"/>
    </row>
    <row r="55" spans="1:51" ht="15.75">
      <c r="B55" s="281"/>
      <c r="C55" s="826"/>
      <c r="D55" s="826"/>
      <c r="E55" s="758"/>
      <c r="F55" s="758"/>
      <c r="G55" s="758"/>
      <c r="H55" s="758"/>
      <c r="I55" s="758"/>
      <c r="J55" s="758"/>
      <c r="K55" s="758"/>
      <c r="L55" s="758"/>
      <c r="M55" s="758"/>
      <c r="N55" s="758"/>
      <c r="O55" s="758"/>
      <c r="P55" s="758"/>
      <c r="Q55" s="758"/>
      <c r="R55" s="758"/>
      <c r="S55" s="758"/>
      <c r="T55" s="1717"/>
      <c r="U55" s="758"/>
      <c r="V55" s="758"/>
      <c r="W55" s="758"/>
      <c r="X55" s="758"/>
      <c r="Y55" s="758"/>
      <c r="Z55" s="758"/>
      <c r="AA55" s="758"/>
    </row>
    <row r="56" spans="1:51" ht="15.75">
      <c r="B56" s="843"/>
      <c r="C56" s="828" t="s">
        <v>249</v>
      </c>
      <c r="D56" s="828"/>
      <c r="E56" s="758"/>
      <c r="F56" s="758"/>
      <c r="G56" s="758"/>
      <c r="H56" s="758"/>
      <c r="I56" s="758"/>
      <c r="J56" s="758"/>
      <c r="K56" s="758"/>
      <c r="L56" s="758"/>
      <c r="M56" s="758"/>
      <c r="N56" s="758"/>
      <c r="O56" s="758"/>
      <c r="P56" s="758"/>
      <c r="Q56" s="758"/>
      <c r="R56" s="758"/>
      <c r="S56" s="758"/>
      <c r="T56" s="1717"/>
      <c r="U56" s="758"/>
      <c r="V56" s="758"/>
      <c r="W56" s="758"/>
      <c r="X56" s="758"/>
      <c r="Y56" s="758"/>
      <c r="Z56" s="758"/>
      <c r="AA56" s="758"/>
    </row>
    <row r="57" spans="1:51" ht="15.75">
      <c r="B57" s="281"/>
      <c r="C57" s="826"/>
      <c r="D57" s="826"/>
      <c r="E57" s="758"/>
      <c r="F57" s="758"/>
      <c r="G57" s="758"/>
      <c r="H57" s="758"/>
      <c r="I57" s="758"/>
      <c r="J57" s="758"/>
      <c r="K57" s="758"/>
      <c r="L57" s="758"/>
      <c r="M57" s="758"/>
      <c r="N57" s="758"/>
      <c r="O57" s="758"/>
      <c r="P57" s="758"/>
      <c r="Q57" s="758"/>
      <c r="R57" s="758"/>
      <c r="S57" s="758"/>
      <c r="T57" s="1717"/>
      <c r="U57" s="758"/>
      <c r="V57" s="758"/>
      <c r="W57" s="758"/>
      <c r="X57" s="758"/>
      <c r="Y57" s="758"/>
      <c r="Z57" s="758"/>
      <c r="AA57" s="758"/>
    </row>
    <row r="58" spans="1:51" ht="15.75">
      <c r="B58" s="844"/>
      <c r="C58" s="828" t="s">
        <v>4621</v>
      </c>
      <c r="D58" s="828"/>
      <c r="E58" s="758"/>
      <c r="F58" s="758"/>
      <c r="G58" s="758"/>
      <c r="H58" s="758"/>
      <c r="I58" s="758"/>
      <c r="J58" s="758"/>
      <c r="K58" s="758"/>
      <c r="L58" s="758"/>
      <c r="M58" s="758"/>
      <c r="N58" s="758"/>
      <c r="O58" s="758"/>
      <c r="P58" s="758"/>
      <c r="Q58" s="758"/>
      <c r="R58" s="758"/>
      <c r="S58" s="758"/>
      <c r="T58" s="1717"/>
      <c r="U58" s="758"/>
      <c r="V58" s="758"/>
      <c r="W58" s="758"/>
      <c r="X58" s="758"/>
      <c r="Y58" s="758"/>
      <c r="Z58" s="758"/>
      <c r="AA58" s="758"/>
    </row>
    <row r="59" spans="1:51" ht="15.75">
      <c r="B59" s="845"/>
      <c r="C59" s="846"/>
      <c r="D59" s="846"/>
      <c r="E59" s="758"/>
      <c r="F59" s="758"/>
      <c r="G59" s="758"/>
      <c r="H59" s="758"/>
      <c r="I59" s="758"/>
      <c r="J59" s="758"/>
      <c r="K59" s="758"/>
      <c r="L59" s="758"/>
      <c r="M59" s="758"/>
      <c r="N59" s="758"/>
      <c r="O59" s="758"/>
      <c r="P59" s="758"/>
      <c r="Q59" s="758"/>
      <c r="R59" s="758"/>
      <c r="S59" s="758"/>
      <c r="T59" s="1717"/>
      <c r="U59" s="758"/>
      <c r="V59" s="758"/>
      <c r="W59" s="758"/>
      <c r="X59" s="758"/>
      <c r="Y59" s="758"/>
      <c r="Z59" s="758"/>
      <c r="AA59" s="758"/>
    </row>
    <row r="60" spans="1:51" ht="16.5" thickBot="1">
      <c r="B60" s="845"/>
      <c r="C60" s="846"/>
      <c r="D60" s="846"/>
      <c r="E60" s="758"/>
      <c r="F60" s="758"/>
      <c r="G60" s="758"/>
      <c r="H60" s="758"/>
      <c r="I60" s="758"/>
      <c r="J60" s="758"/>
      <c r="K60" s="758"/>
      <c r="L60" s="758"/>
      <c r="M60" s="758"/>
      <c r="N60" s="758"/>
      <c r="O60" s="758"/>
      <c r="P60" s="758"/>
      <c r="Q60" s="758"/>
      <c r="R60" s="758"/>
      <c r="S60" s="758"/>
      <c r="T60" s="1717"/>
      <c r="U60" s="758"/>
      <c r="V60" s="758"/>
      <c r="W60" s="758"/>
      <c r="X60" s="758"/>
      <c r="Y60" s="758"/>
      <c r="Z60" s="758"/>
      <c r="AA60" s="758"/>
    </row>
    <row r="61" spans="1:51" ht="16.5" thickBot="1">
      <c r="B61" s="2376" t="s">
        <v>251</v>
      </c>
      <c r="C61" s="2377"/>
      <c r="D61" s="2377"/>
      <c r="E61" s="2377"/>
      <c r="F61" s="2377"/>
      <c r="G61" s="2377"/>
      <c r="H61" s="2377"/>
      <c r="I61" s="2377"/>
      <c r="J61" s="2377"/>
      <c r="K61" s="2377"/>
      <c r="L61" s="2377"/>
      <c r="M61" s="2377"/>
      <c r="N61" s="2377"/>
      <c r="O61" s="2378"/>
      <c r="P61" s="758"/>
      <c r="Q61" s="758"/>
      <c r="R61" s="758"/>
      <c r="S61" s="758"/>
      <c r="T61" s="1717"/>
      <c r="U61" s="758"/>
      <c r="V61" s="758"/>
      <c r="W61" s="758"/>
      <c r="X61" s="758"/>
      <c r="Y61" s="758"/>
      <c r="Z61" s="758"/>
      <c r="AA61" s="758"/>
    </row>
    <row r="62" spans="1:51" ht="15.75">
      <c r="B62" s="845"/>
      <c r="C62" s="846"/>
      <c r="D62" s="846"/>
      <c r="E62" s="758"/>
      <c r="F62" s="758"/>
      <c r="G62" s="758"/>
      <c r="H62" s="758"/>
      <c r="I62" s="758"/>
      <c r="J62" s="758"/>
      <c r="K62" s="758"/>
      <c r="L62" s="758"/>
      <c r="M62" s="758"/>
      <c r="N62" s="758"/>
      <c r="O62" s="758"/>
      <c r="P62" s="758"/>
      <c r="Q62" s="758"/>
      <c r="R62" s="758"/>
      <c r="S62" s="758"/>
      <c r="T62" s="1717"/>
      <c r="U62" s="758"/>
      <c r="V62" s="758"/>
      <c r="W62" s="758"/>
      <c r="X62" s="758"/>
      <c r="Y62" s="758"/>
      <c r="Z62" s="758"/>
      <c r="AA62" s="758"/>
    </row>
    <row r="63" spans="1:51" ht="15.75">
      <c r="B63" s="847" t="s">
        <v>4622</v>
      </c>
      <c r="C63" s="848"/>
      <c r="D63" s="848"/>
      <c r="E63" s="833"/>
      <c r="F63" s="848"/>
      <c r="G63" s="848"/>
      <c r="H63" s="848"/>
      <c r="I63" s="848"/>
      <c r="J63" s="849"/>
      <c r="K63" s="849"/>
      <c r="L63" s="849"/>
      <c r="M63" s="850"/>
      <c r="N63" s="850"/>
      <c r="O63" s="850"/>
      <c r="P63" s="850"/>
      <c r="Q63" s="850"/>
      <c r="R63" s="850"/>
      <c r="S63" s="850"/>
      <c r="T63" s="1718"/>
      <c r="U63" s="850"/>
      <c r="V63" s="850"/>
      <c r="W63" s="850"/>
      <c r="X63" s="850"/>
      <c r="Y63" s="850"/>
      <c r="Z63" s="850"/>
      <c r="AA63" s="850"/>
    </row>
    <row r="64" spans="1:51" ht="16.5" thickBot="1">
      <c r="B64" s="758"/>
      <c r="C64" s="758"/>
      <c r="D64" s="758"/>
      <c r="E64" s="758"/>
      <c r="F64" s="758"/>
      <c r="G64" s="758"/>
      <c r="H64" s="758"/>
      <c r="I64" s="758"/>
      <c r="J64" s="758"/>
      <c r="K64" s="758"/>
      <c r="L64" s="758"/>
      <c r="M64" s="758"/>
      <c r="N64" s="758"/>
      <c r="O64" s="758"/>
      <c r="P64" s="758"/>
      <c r="Q64" s="758"/>
      <c r="R64" s="758"/>
      <c r="S64" s="758"/>
      <c r="T64" s="1717"/>
      <c r="U64" s="758"/>
      <c r="V64" s="758"/>
      <c r="W64" s="758"/>
      <c r="X64" s="758"/>
      <c r="Y64" s="758"/>
      <c r="Z64" s="758"/>
      <c r="AA64" s="758"/>
    </row>
    <row r="65" spans="2:27" ht="14.85" customHeight="1" thickBot="1">
      <c r="B65" s="2357" t="s">
        <v>4623</v>
      </c>
      <c r="C65" s="2358"/>
      <c r="D65" s="2358"/>
      <c r="E65" s="2358"/>
      <c r="F65" s="2358"/>
      <c r="G65" s="2358"/>
      <c r="H65" s="2358"/>
      <c r="I65" s="2358"/>
      <c r="J65" s="2358"/>
      <c r="K65" s="2358"/>
      <c r="L65" s="2358"/>
      <c r="M65" s="2358"/>
      <c r="N65" s="2358"/>
      <c r="O65" s="2359"/>
      <c r="P65" s="758"/>
      <c r="Q65" s="758"/>
      <c r="R65" s="758"/>
      <c r="S65" s="758"/>
      <c r="T65" s="1717"/>
      <c r="U65" s="758"/>
      <c r="V65" s="758"/>
      <c r="W65" s="758"/>
      <c r="X65" s="758"/>
      <c r="Y65" s="758"/>
      <c r="Z65" s="758"/>
      <c r="AA65" s="758"/>
    </row>
    <row r="66" spans="2:27"/>
  </sheetData>
  <sheetProtection password="C460" sheet="1" objects="1" scenarios="1"/>
  <mergeCells count="20">
    <mergeCell ref="G3:I3"/>
    <mergeCell ref="J3:K3"/>
    <mergeCell ref="L3:N3"/>
    <mergeCell ref="O3:O4"/>
    <mergeCell ref="B65:O65"/>
    <mergeCell ref="B54:C54"/>
    <mergeCell ref="AT3:AU3"/>
    <mergeCell ref="AV3:AX3"/>
    <mergeCell ref="AY3:AY4"/>
    <mergeCell ref="AL3:AL4"/>
    <mergeCell ref="AM3:AM4"/>
    <mergeCell ref="AO3:AO4"/>
    <mergeCell ref="AP3:AP4"/>
    <mergeCell ref="AQ3:AS3"/>
    <mergeCell ref="P3:P4"/>
    <mergeCell ref="B61:O61"/>
    <mergeCell ref="R3:R4"/>
    <mergeCell ref="B3:C4"/>
    <mergeCell ref="E3:E4"/>
    <mergeCell ref="F3:F4"/>
  </mergeCells>
  <conditionalFormatting sqref="R7:R10">
    <cfRule type="cellIs" dxfId="99" priority="17" operator="equal">
      <formula>0</formula>
    </cfRule>
  </conditionalFormatting>
  <conditionalFormatting sqref="R12:R15">
    <cfRule type="cellIs" dxfId="98" priority="19" operator="equal">
      <formula>0</formula>
    </cfRule>
  </conditionalFormatting>
  <conditionalFormatting sqref="R18">
    <cfRule type="cellIs" dxfId="97" priority="21" operator="equal">
      <formula>0</formula>
    </cfRule>
  </conditionalFormatting>
  <conditionalFormatting sqref="R22:R26">
    <cfRule type="cellIs" dxfId="96" priority="23" operator="equal">
      <formula>0</formula>
    </cfRule>
  </conditionalFormatting>
  <conditionalFormatting sqref="R28">
    <cfRule type="cellIs" dxfId="95" priority="15" operator="equal">
      <formula>0</formula>
    </cfRule>
  </conditionalFormatting>
  <conditionalFormatting sqref="R30">
    <cfRule type="cellIs" dxfId="94" priority="13" operator="equal">
      <formula>0</formula>
    </cfRule>
  </conditionalFormatting>
  <conditionalFormatting sqref="R34:R35">
    <cfRule type="cellIs" dxfId="93" priority="11" operator="equal">
      <formula>0</formula>
    </cfRule>
  </conditionalFormatting>
  <conditionalFormatting sqref="R39:R49">
    <cfRule type="cellIs" dxfId="92" priority="1" operator="equal">
      <formula>$AI$39</formula>
    </cfRule>
    <cfRule type="cellIs" dxfId="91" priority="9" operator="equal">
      <formula>0</formula>
    </cfRule>
  </conditionalFormatting>
  <conditionalFormatting sqref="R52">
    <cfRule type="cellIs" dxfId="90"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 id="{BC30FC7A-B1FB-4274-95FC-EF250B912D3D}">
            <xm:f>Validation!$H$3=1</xm:f>
            <x14:dxf>
              <fill>
                <patternFill>
                  <bgColor theme="2"/>
                </patternFill>
              </fill>
            </x14:dxf>
          </x14:cfRule>
          <xm:sqref>G52:O52 G16:P16 G19:P19 G22:P22 G24:P24 G26:P29 G31:P31 G36:P36 G40:P49 O7:P10 O12:P15 O18:P18 O23:P23 O25:P25 O30:P30 O34:P35 O39:P39</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4" operator="containsText" id="{345B916A-3525-416F-A29E-E7E40D0D665F}">
            <xm:f>NOT(ISERROR(SEARCH('4J'!$T$5,R22)))</xm:f>
            <xm:f>'4J'!$T$5</xm:f>
            <x14:dxf>
              <fill>
                <patternFill>
                  <bgColor rgb="FFFF0000"/>
                </patternFill>
              </fill>
            </x14:dxf>
          </x14:cfRule>
          <xm:sqref>R22:R26</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AQ22:AY31 AQ34:AY36 AQ39:AY49 AQ52:AY52</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WFF56"/>
  <sheetViews>
    <sheetView showGridLines="0" topLeftCell="B1" zoomScale="80" zoomScaleNormal="80" workbookViewId="0">
      <selection activeCell="B1" sqref="B1"/>
    </sheetView>
  </sheetViews>
  <sheetFormatPr defaultColWidth="0" defaultRowHeight="14.25" zeroHeight="1"/>
  <cols>
    <col min="1" max="1" width="0.625" style="753" hidden="1" customWidth="1"/>
    <col min="2" max="2" width="5.125" style="753" customWidth="1"/>
    <col min="3" max="3" width="84.125" style="753" customWidth="1"/>
    <col min="4" max="4" width="7.5" style="753" hidden="1" customWidth="1"/>
    <col min="5" max="6" width="5.625" style="753" customWidth="1"/>
    <col min="7" max="7" width="11.125" style="753" customWidth="1"/>
    <col min="8" max="20" width="11.5" style="753" customWidth="1"/>
    <col min="21" max="21" width="29.625" style="753" customWidth="1"/>
    <col min="22" max="22" width="1.625" style="753" customWidth="1"/>
    <col min="23" max="23" width="29.625" style="753" customWidth="1"/>
    <col min="24" max="24" width="1.625" style="753" customWidth="1"/>
    <col min="25" max="25" width="1.625" style="1708" hidden="1" customWidth="1"/>
    <col min="26" max="27" width="3.125" style="753" hidden="1" customWidth="1"/>
    <col min="28" max="39" width="3.625" style="753" hidden="1" customWidth="1"/>
    <col min="40" max="40" width="1.625" style="1708" hidden="1" customWidth="1"/>
    <col min="41" max="41" width="11.625" style="753" hidden="1" customWidth="1"/>
    <col min="42" max="42" width="1.625" style="1708" hidden="1" customWidth="1"/>
    <col min="43" max="43" width="13.625" style="753" hidden="1" customWidth="1"/>
    <col min="44" max="44" width="11.125" style="753" hidden="1" customWidth="1"/>
    <col min="45" max="45" width="67.125" style="753" hidden="1" customWidth="1"/>
    <col min="46" max="46" width="1.625" style="66" hidden="1" customWidth="1"/>
    <col min="47" max="47" width="4.625" style="65" hidden="1" customWidth="1"/>
    <col min="48" max="48" width="8.625" style="753" hidden="1" customWidth="1"/>
    <col min="49" max="49" width="5.625" style="753" hidden="1" customWidth="1"/>
    <col min="50" max="50" width="83" style="753" hidden="1" customWidth="1"/>
    <col min="51" max="51" width="3.625" style="753" hidden="1" customWidth="1"/>
    <col min="52" max="53" width="11.5" style="753" hidden="1" customWidth="1"/>
    <col min="54" max="54" width="12.625" style="753" hidden="1" customWidth="1"/>
    <col min="55" max="57" width="13.625" style="753" hidden="1" customWidth="1"/>
    <col min="58" max="58" width="12.5" style="753" hidden="1" customWidth="1"/>
    <col min="59" max="59" width="13.625" style="753" hidden="1" customWidth="1"/>
    <col min="60" max="60" width="12.125" style="753" hidden="1" customWidth="1"/>
    <col min="61" max="61" width="16.125" style="753" hidden="1" customWidth="1"/>
    <col min="62" max="62" width="17.625" style="753" hidden="1" customWidth="1"/>
    <col min="63" max="63" width="17.125" style="753" hidden="1" customWidth="1"/>
    <col min="64" max="64" width="17.625" style="753" hidden="1" customWidth="1"/>
    <col min="65" max="65" width="16.125" style="753" hidden="1" customWidth="1"/>
    <col min="66" max="66" width="17.5" style="753" hidden="1" customWidth="1"/>
    <col min="67" max="67" width="15.625" style="753" hidden="1" customWidth="1"/>
    <col min="68" max="80" width="11.125" style="753" hidden="1" customWidth="1"/>
    <col min="81" max="84" width="11.5" style="753" hidden="1" customWidth="1"/>
    <col min="85" max="94" width="10" style="753" hidden="1" customWidth="1"/>
    <col min="95" max="114" width="11.125" style="753" hidden="1" customWidth="1"/>
    <col min="115" max="115" width="43.125" style="753" hidden="1" customWidth="1"/>
    <col min="116" max="116" width="2.625" style="753" hidden="1" customWidth="1"/>
    <col min="117" max="117" width="20.625" style="753" hidden="1" customWidth="1"/>
    <col min="118" max="118" width="1.625" style="753" hidden="1" customWidth="1"/>
    <col min="119" max="157" width="8.625" style="753" hidden="1" customWidth="1"/>
    <col min="158" max="328" width="8.625" style="753" hidden="1"/>
    <col min="329" max="329" width="0.625" style="753" hidden="1" customWidth="1"/>
    <col min="330" max="330" width="4.125" style="753" hidden="1" customWidth="1"/>
    <col min="331" max="331" width="72.125" style="753" hidden="1" customWidth="1"/>
    <col min="332" max="332" width="8.625" style="753" hidden="1" customWidth="1"/>
    <col min="333" max="334" width="5.625" style="753" hidden="1" customWidth="1"/>
    <col min="335" max="340" width="11.5" style="753" hidden="1" customWidth="1"/>
    <col min="341" max="350" width="10" style="753" hidden="1" customWidth="1"/>
    <col min="351" max="370" width="11.125" style="753" hidden="1" customWidth="1"/>
    <col min="371" max="371" width="43.125" style="753" hidden="1" customWidth="1"/>
    <col min="372" max="372" width="2.625" style="753" hidden="1" customWidth="1"/>
    <col min="373" max="373" width="20.625" style="753" hidden="1" customWidth="1"/>
    <col min="374" max="374" width="1.625" style="753" hidden="1" customWidth="1"/>
    <col min="375" max="413" width="8.625" style="753" hidden="1" customWidth="1"/>
    <col min="414" max="584" width="8.625" style="753" hidden="1"/>
    <col min="585" max="585" width="0.625" style="753" hidden="1" customWidth="1"/>
    <col min="586" max="586" width="4.125" style="753" hidden="1" customWidth="1"/>
    <col min="587" max="587" width="72.125" style="753" hidden="1" customWidth="1"/>
    <col min="588" max="588" width="8.625" style="753" hidden="1" customWidth="1"/>
    <col min="589" max="590" width="5.625" style="753" hidden="1" customWidth="1"/>
    <col min="591" max="596" width="11.5" style="753" hidden="1" customWidth="1"/>
    <col min="597" max="606" width="10" style="753" hidden="1" customWidth="1"/>
    <col min="607" max="626" width="11.125" style="753" hidden="1" customWidth="1"/>
    <col min="627" max="627" width="43.125" style="753" hidden="1" customWidth="1"/>
    <col min="628" max="628" width="2.625" style="753" hidden="1" customWidth="1"/>
    <col min="629" max="629" width="20.625" style="753" hidden="1" customWidth="1"/>
    <col min="630" max="630" width="1.625" style="753" hidden="1" customWidth="1"/>
    <col min="631" max="669" width="8.625" style="753" hidden="1" customWidth="1"/>
    <col min="670" max="840" width="8.625" style="753" hidden="1"/>
    <col min="841" max="841" width="0.625" style="753" hidden="1" customWidth="1"/>
    <col min="842" max="842" width="4.125" style="753" hidden="1" customWidth="1"/>
    <col min="843" max="843" width="72.125" style="753" hidden="1" customWidth="1"/>
    <col min="844" max="844" width="8.625" style="753" hidden="1" customWidth="1"/>
    <col min="845" max="846" width="5.625" style="753" hidden="1" customWidth="1"/>
    <col min="847" max="852" width="11.5" style="753" hidden="1" customWidth="1"/>
    <col min="853" max="862" width="10" style="753" hidden="1" customWidth="1"/>
    <col min="863" max="882" width="11.125" style="753" hidden="1" customWidth="1"/>
    <col min="883" max="883" width="43.125" style="753" hidden="1" customWidth="1"/>
    <col min="884" max="884" width="2.625" style="753" hidden="1" customWidth="1"/>
    <col min="885" max="885" width="20.625" style="753" hidden="1" customWidth="1"/>
    <col min="886" max="886" width="1.625" style="753" hidden="1" customWidth="1"/>
    <col min="887" max="925" width="8.625" style="753" hidden="1" customWidth="1"/>
    <col min="926" max="1096" width="8.625" style="753" hidden="1"/>
    <col min="1097" max="1097" width="0.625" style="753" hidden="1" customWidth="1"/>
    <col min="1098" max="1098" width="4.125" style="753" hidden="1" customWidth="1"/>
    <col min="1099" max="1099" width="72.125" style="753" hidden="1" customWidth="1"/>
    <col min="1100" max="1100" width="8.625" style="753" hidden="1" customWidth="1"/>
    <col min="1101" max="1102" width="5.625" style="753" hidden="1" customWidth="1"/>
    <col min="1103" max="1108" width="11.5" style="753" hidden="1" customWidth="1"/>
    <col min="1109" max="1118" width="10" style="753" hidden="1" customWidth="1"/>
    <col min="1119" max="1138" width="11.125" style="753" hidden="1" customWidth="1"/>
    <col min="1139" max="1139" width="43.125" style="753" hidden="1" customWidth="1"/>
    <col min="1140" max="1140" width="2.625" style="753" hidden="1" customWidth="1"/>
    <col min="1141" max="1141" width="20.625" style="753" hidden="1" customWidth="1"/>
    <col min="1142" max="1142" width="1.625" style="753" hidden="1" customWidth="1"/>
    <col min="1143" max="1181" width="8.625" style="753" hidden="1" customWidth="1"/>
    <col min="1182" max="1352" width="8.625" style="753" hidden="1"/>
    <col min="1353" max="1353" width="0.625" style="753" hidden="1" customWidth="1"/>
    <col min="1354" max="1354" width="4.125" style="753" hidden="1" customWidth="1"/>
    <col min="1355" max="1355" width="72.125" style="753" hidden="1" customWidth="1"/>
    <col min="1356" max="1356" width="8.625" style="753" hidden="1" customWidth="1"/>
    <col min="1357" max="1358" width="5.625" style="753" hidden="1" customWidth="1"/>
    <col min="1359" max="1364" width="11.5" style="753" hidden="1" customWidth="1"/>
    <col min="1365" max="1374" width="10" style="753" hidden="1" customWidth="1"/>
    <col min="1375" max="1394" width="11.125" style="753" hidden="1" customWidth="1"/>
    <col min="1395" max="1395" width="43.125" style="753" hidden="1" customWidth="1"/>
    <col min="1396" max="1396" width="2.625" style="753" hidden="1" customWidth="1"/>
    <col min="1397" max="1397" width="20.625" style="753" hidden="1" customWidth="1"/>
    <col min="1398" max="1398" width="1.625" style="753" hidden="1" customWidth="1"/>
    <col min="1399" max="1437" width="8.625" style="753" hidden="1" customWidth="1"/>
    <col min="1438" max="1608" width="8.625" style="753" hidden="1"/>
    <col min="1609" max="1609" width="0.625" style="753" hidden="1" customWidth="1"/>
    <col min="1610" max="1610" width="4.125" style="753" hidden="1" customWidth="1"/>
    <col min="1611" max="1611" width="72.125" style="753" hidden="1" customWidth="1"/>
    <col min="1612" max="1612" width="8.625" style="753" hidden="1" customWidth="1"/>
    <col min="1613" max="1614" width="5.625" style="753" hidden="1" customWidth="1"/>
    <col min="1615" max="1620" width="11.5" style="753" hidden="1" customWidth="1"/>
    <col min="1621" max="1630" width="10" style="753" hidden="1" customWidth="1"/>
    <col min="1631" max="1650" width="11.125" style="753" hidden="1" customWidth="1"/>
    <col min="1651" max="1651" width="43.125" style="753" hidden="1" customWidth="1"/>
    <col min="1652" max="1652" width="2.625" style="753" hidden="1" customWidth="1"/>
    <col min="1653" max="1653" width="20.625" style="753" hidden="1" customWidth="1"/>
    <col min="1654" max="1654" width="1.625" style="753" hidden="1" customWidth="1"/>
    <col min="1655" max="1693" width="8.625" style="753" hidden="1" customWidth="1"/>
    <col min="1694" max="1864" width="8.625" style="753" hidden="1"/>
    <col min="1865" max="1865" width="0.625" style="753" hidden="1" customWidth="1"/>
    <col min="1866" max="1866" width="4.125" style="753" hidden="1" customWidth="1"/>
    <col min="1867" max="1867" width="72.125" style="753" hidden="1" customWidth="1"/>
    <col min="1868" max="1868" width="8.625" style="753" hidden="1" customWidth="1"/>
    <col min="1869" max="1870" width="5.625" style="753" hidden="1" customWidth="1"/>
    <col min="1871" max="1876" width="11.5" style="753" hidden="1" customWidth="1"/>
    <col min="1877" max="1886" width="10" style="753" hidden="1" customWidth="1"/>
    <col min="1887" max="1906" width="11.125" style="753" hidden="1" customWidth="1"/>
    <col min="1907" max="1907" width="43.125" style="753" hidden="1" customWidth="1"/>
    <col min="1908" max="1908" width="2.625" style="753" hidden="1" customWidth="1"/>
    <col min="1909" max="1909" width="20.625" style="753" hidden="1" customWidth="1"/>
    <col min="1910" max="1910" width="1.625" style="753" hidden="1" customWidth="1"/>
    <col min="1911" max="1949" width="8.625" style="753" hidden="1" customWidth="1"/>
    <col min="1950" max="2120" width="8.625" style="753" hidden="1"/>
    <col min="2121" max="2121" width="0.625" style="753" hidden="1" customWidth="1"/>
    <col min="2122" max="2122" width="4.125" style="753" hidden="1" customWidth="1"/>
    <col min="2123" max="2123" width="72.125" style="753" hidden="1" customWidth="1"/>
    <col min="2124" max="2124" width="8.625" style="753" hidden="1" customWidth="1"/>
    <col min="2125" max="2126" width="5.625" style="753" hidden="1" customWidth="1"/>
    <col min="2127" max="2132" width="11.5" style="753" hidden="1" customWidth="1"/>
    <col min="2133" max="2142" width="10" style="753" hidden="1" customWidth="1"/>
    <col min="2143" max="2162" width="11.125" style="753" hidden="1" customWidth="1"/>
    <col min="2163" max="2163" width="43.125" style="753" hidden="1" customWidth="1"/>
    <col min="2164" max="2164" width="2.625" style="753" hidden="1" customWidth="1"/>
    <col min="2165" max="2165" width="20.625" style="753" hidden="1" customWidth="1"/>
    <col min="2166" max="2166" width="1.625" style="753" hidden="1" customWidth="1"/>
    <col min="2167" max="2205" width="8.625" style="753" hidden="1" customWidth="1"/>
    <col min="2206" max="2376" width="8.625" style="753" hidden="1"/>
    <col min="2377" max="2377" width="0.625" style="753" hidden="1" customWidth="1"/>
    <col min="2378" max="2378" width="4.125" style="753" hidden="1" customWidth="1"/>
    <col min="2379" max="2379" width="72.125" style="753" hidden="1" customWidth="1"/>
    <col min="2380" max="2380" width="8.625" style="753" hidden="1" customWidth="1"/>
    <col min="2381" max="2382" width="5.625" style="753" hidden="1" customWidth="1"/>
    <col min="2383" max="2388" width="11.5" style="753" hidden="1" customWidth="1"/>
    <col min="2389" max="2398" width="10" style="753" hidden="1" customWidth="1"/>
    <col min="2399" max="2418" width="11.125" style="753" hidden="1" customWidth="1"/>
    <col min="2419" max="2419" width="43.125" style="753" hidden="1" customWidth="1"/>
    <col min="2420" max="2420" width="2.625" style="753" hidden="1" customWidth="1"/>
    <col min="2421" max="2421" width="20.625" style="753" hidden="1" customWidth="1"/>
    <col min="2422" max="2422" width="1.625" style="753" hidden="1" customWidth="1"/>
    <col min="2423" max="2461" width="8.625" style="753" hidden="1" customWidth="1"/>
    <col min="2462" max="2632" width="8.625" style="753" hidden="1"/>
    <col min="2633" max="2633" width="0.625" style="753" hidden="1" customWidth="1"/>
    <col min="2634" max="2634" width="4.125" style="753" hidden="1" customWidth="1"/>
    <col min="2635" max="2635" width="72.125" style="753" hidden="1" customWidth="1"/>
    <col min="2636" max="2636" width="8.625" style="753" hidden="1" customWidth="1"/>
    <col min="2637" max="2638" width="5.625" style="753" hidden="1" customWidth="1"/>
    <col min="2639" max="2644" width="11.5" style="753" hidden="1" customWidth="1"/>
    <col min="2645" max="2654" width="10" style="753" hidden="1" customWidth="1"/>
    <col min="2655" max="2674" width="11.125" style="753" hidden="1" customWidth="1"/>
    <col min="2675" max="2675" width="43.125" style="753" hidden="1" customWidth="1"/>
    <col min="2676" max="2676" width="2.625" style="753" hidden="1" customWidth="1"/>
    <col min="2677" max="2677" width="20.625" style="753" hidden="1" customWidth="1"/>
    <col min="2678" max="2678" width="1.625" style="753" hidden="1" customWidth="1"/>
    <col min="2679" max="2717" width="8.625" style="753" hidden="1" customWidth="1"/>
    <col min="2718" max="2888" width="8.625" style="753" hidden="1"/>
    <col min="2889" max="2889" width="0.625" style="753" hidden="1" customWidth="1"/>
    <col min="2890" max="2890" width="4.125" style="753" hidden="1" customWidth="1"/>
    <col min="2891" max="2891" width="72.125" style="753" hidden="1" customWidth="1"/>
    <col min="2892" max="2892" width="8.625" style="753" hidden="1" customWidth="1"/>
    <col min="2893" max="2894" width="5.625" style="753" hidden="1" customWidth="1"/>
    <col min="2895" max="2900" width="11.5" style="753" hidden="1" customWidth="1"/>
    <col min="2901" max="2910" width="10" style="753" hidden="1" customWidth="1"/>
    <col min="2911" max="2930" width="11.125" style="753" hidden="1" customWidth="1"/>
    <col min="2931" max="2931" width="43.125" style="753" hidden="1" customWidth="1"/>
    <col min="2932" max="2932" width="2.625" style="753" hidden="1" customWidth="1"/>
    <col min="2933" max="2933" width="20.625" style="753" hidden="1" customWidth="1"/>
    <col min="2934" max="2934" width="1.625" style="753" hidden="1" customWidth="1"/>
    <col min="2935" max="2973" width="8.625" style="753" hidden="1" customWidth="1"/>
    <col min="2974" max="3144" width="8.625" style="753" hidden="1"/>
    <col min="3145" max="3145" width="0.625" style="753" hidden="1" customWidth="1"/>
    <col min="3146" max="3146" width="4.125" style="753" hidden="1" customWidth="1"/>
    <col min="3147" max="3147" width="72.125" style="753" hidden="1" customWidth="1"/>
    <col min="3148" max="3148" width="8.625" style="753" hidden="1" customWidth="1"/>
    <col min="3149" max="3150" width="5.625" style="753" hidden="1" customWidth="1"/>
    <col min="3151" max="3156" width="11.5" style="753" hidden="1" customWidth="1"/>
    <col min="3157" max="3166" width="10" style="753" hidden="1" customWidth="1"/>
    <col min="3167" max="3186" width="11.125" style="753" hidden="1" customWidth="1"/>
    <col min="3187" max="3187" width="43.125" style="753" hidden="1" customWidth="1"/>
    <col min="3188" max="3188" width="2.625" style="753" hidden="1" customWidth="1"/>
    <col min="3189" max="3189" width="20.625" style="753" hidden="1" customWidth="1"/>
    <col min="3190" max="3190" width="1.625" style="753" hidden="1" customWidth="1"/>
    <col min="3191" max="3229" width="8.625" style="753" hidden="1" customWidth="1"/>
    <col min="3230" max="3400" width="8.625" style="753" hidden="1"/>
    <col min="3401" max="3401" width="0.625" style="753" hidden="1" customWidth="1"/>
    <col min="3402" max="3402" width="4.125" style="753" hidden="1" customWidth="1"/>
    <col min="3403" max="3403" width="72.125" style="753" hidden="1" customWidth="1"/>
    <col min="3404" max="3404" width="8.625" style="753" hidden="1" customWidth="1"/>
    <col min="3405" max="3406" width="5.625" style="753" hidden="1" customWidth="1"/>
    <col min="3407" max="3412" width="11.5" style="753" hidden="1" customWidth="1"/>
    <col min="3413" max="3422" width="10" style="753" hidden="1" customWidth="1"/>
    <col min="3423" max="3442" width="11.125" style="753" hidden="1" customWidth="1"/>
    <col min="3443" max="3443" width="43.125" style="753" hidden="1" customWidth="1"/>
    <col min="3444" max="3444" width="2.625" style="753" hidden="1" customWidth="1"/>
    <col min="3445" max="3445" width="20.625" style="753" hidden="1" customWidth="1"/>
    <col min="3446" max="3446" width="1.625" style="753" hidden="1" customWidth="1"/>
    <col min="3447" max="3485" width="8.625" style="753" hidden="1" customWidth="1"/>
    <col min="3486" max="3656" width="8.625" style="753" hidden="1"/>
    <col min="3657" max="3657" width="0.625" style="753" hidden="1" customWidth="1"/>
    <col min="3658" max="3658" width="4.125" style="753" hidden="1" customWidth="1"/>
    <col min="3659" max="3659" width="72.125" style="753" hidden="1" customWidth="1"/>
    <col min="3660" max="3660" width="8.625" style="753" hidden="1" customWidth="1"/>
    <col min="3661" max="3662" width="5.625" style="753" hidden="1" customWidth="1"/>
    <col min="3663" max="3668" width="11.5" style="753" hidden="1" customWidth="1"/>
    <col min="3669" max="3678" width="10" style="753" hidden="1" customWidth="1"/>
    <col min="3679" max="3698" width="11.125" style="753" hidden="1" customWidth="1"/>
    <col min="3699" max="3699" width="43.125" style="753" hidden="1" customWidth="1"/>
    <col min="3700" max="3700" width="2.625" style="753" hidden="1" customWidth="1"/>
    <col min="3701" max="3701" width="20.625" style="753" hidden="1" customWidth="1"/>
    <col min="3702" max="3702" width="1.625" style="753" hidden="1" customWidth="1"/>
    <col min="3703" max="3741" width="8.625" style="753" hidden="1" customWidth="1"/>
    <col min="3742" max="3912" width="8.625" style="753" hidden="1"/>
    <col min="3913" max="3913" width="0.625" style="753" hidden="1" customWidth="1"/>
    <col min="3914" max="3914" width="4.125" style="753" hidden="1" customWidth="1"/>
    <col min="3915" max="3915" width="72.125" style="753" hidden="1" customWidth="1"/>
    <col min="3916" max="3916" width="8.625" style="753" hidden="1" customWidth="1"/>
    <col min="3917" max="3918" width="5.625" style="753" hidden="1" customWidth="1"/>
    <col min="3919" max="3924" width="11.5" style="753" hidden="1" customWidth="1"/>
    <col min="3925" max="3934" width="10" style="753" hidden="1" customWidth="1"/>
    <col min="3935" max="3954" width="11.125" style="753" hidden="1" customWidth="1"/>
    <col min="3955" max="3955" width="43.125" style="753" hidden="1" customWidth="1"/>
    <col min="3956" max="3956" width="2.625" style="753" hidden="1" customWidth="1"/>
    <col min="3957" max="3957" width="20.625" style="753" hidden="1" customWidth="1"/>
    <col min="3958" max="3958" width="1.625" style="753" hidden="1" customWidth="1"/>
    <col min="3959" max="3997" width="8.625" style="753" hidden="1" customWidth="1"/>
    <col min="3998" max="4168" width="8.625" style="753" hidden="1"/>
    <col min="4169" max="4169" width="0.625" style="753" hidden="1" customWidth="1"/>
    <col min="4170" max="4170" width="4.125" style="753" hidden="1" customWidth="1"/>
    <col min="4171" max="4171" width="72.125" style="753" hidden="1" customWidth="1"/>
    <col min="4172" max="4172" width="8.625" style="753" hidden="1" customWidth="1"/>
    <col min="4173" max="4174" width="5.625" style="753" hidden="1" customWidth="1"/>
    <col min="4175" max="4180" width="11.5" style="753" hidden="1" customWidth="1"/>
    <col min="4181" max="4190" width="10" style="753" hidden="1" customWidth="1"/>
    <col min="4191" max="4210" width="11.125" style="753" hidden="1" customWidth="1"/>
    <col min="4211" max="4211" width="43.125" style="753" hidden="1" customWidth="1"/>
    <col min="4212" max="4212" width="2.625" style="753" hidden="1" customWidth="1"/>
    <col min="4213" max="4213" width="20.625" style="753" hidden="1" customWidth="1"/>
    <col min="4214" max="4214" width="1.625" style="753" hidden="1" customWidth="1"/>
    <col min="4215" max="4253" width="8.625" style="753" hidden="1" customWidth="1"/>
    <col min="4254" max="4424" width="8.625" style="753" hidden="1"/>
    <col min="4425" max="4425" width="0.625" style="753" hidden="1" customWidth="1"/>
    <col min="4426" max="4426" width="4.125" style="753" hidden="1" customWidth="1"/>
    <col min="4427" max="4427" width="72.125" style="753" hidden="1" customWidth="1"/>
    <col min="4428" max="4428" width="8.625" style="753" hidden="1" customWidth="1"/>
    <col min="4429" max="4430" width="5.625" style="753" hidden="1" customWidth="1"/>
    <col min="4431" max="4436" width="11.5" style="753" hidden="1" customWidth="1"/>
    <col min="4437" max="4446" width="10" style="753" hidden="1" customWidth="1"/>
    <col min="4447" max="4466" width="11.125" style="753" hidden="1" customWidth="1"/>
    <col min="4467" max="4467" width="43.125" style="753" hidden="1" customWidth="1"/>
    <col min="4468" max="4468" width="2.625" style="753" hidden="1" customWidth="1"/>
    <col min="4469" max="4469" width="20.625" style="753" hidden="1" customWidth="1"/>
    <col min="4470" max="4470" width="1.625" style="753" hidden="1" customWidth="1"/>
    <col min="4471" max="4509" width="8.625" style="753" hidden="1" customWidth="1"/>
    <col min="4510" max="4680" width="8.625" style="753" hidden="1"/>
    <col min="4681" max="4681" width="0.625" style="753" hidden="1" customWidth="1"/>
    <col min="4682" max="4682" width="4.125" style="753" hidden="1" customWidth="1"/>
    <col min="4683" max="4683" width="72.125" style="753" hidden="1" customWidth="1"/>
    <col min="4684" max="4684" width="8.625" style="753" hidden="1" customWidth="1"/>
    <col min="4685" max="4686" width="5.625" style="753" hidden="1" customWidth="1"/>
    <col min="4687" max="4692" width="11.5" style="753" hidden="1" customWidth="1"/>
    <col min="4693" max="4702" width="10" style="753" hidden="1" customWidth="1"/>
    <col min="4703" max="4722" width="11.125" style="753" hidden="1" customWidth="1"/>
    <col min="4723" max="4723" width="43.125" style="753" hidden="1" customWidth="1"/>
    <col min="4724" max="4724" width="2.625" style="753" hidden="1" customWidth="1"/>
    <col min="4725" max="4725" width="20.625" style="753" hidden="1" customWidth="1"/>
    <col min="4726" max="4726" width="1.625" style="753" hidden="1" customWidth="1"/>
    <col min="4727" max="4765" width="8.625" style="753" hidden="1" customWidth="1"/>
    <col min="4766" max="4936" width="8.625" style="753" hidden="1"/>
    <col min="4937" max="4937" width="0.625" style="753" hidden="1" customWidth="1"/>
    <col min="4938" max="4938" width="4.125" style="753" hidden="1" customWidth="1"/>
    <col min="4939" max="4939" width="72.125" style="753" hidden="1" customWidth="1"/>
    <col min="4940" max="4940" width="8.625" style="753" hidden="1" customWidth="1"/>
    <col min="4941" max="4942" width="5.625" style="753" hidden="1" customWidth="1"/>
    <col min="4943" max="4948" width="11.5" style="753" hidden="1" customWidth="1"/>
    <col min="4949" max="4958" width="10" style="753" hidden="1" customWidth="1"/>
    <col min="4959" max="4978" width="11.125" style="753" hidden="1" customWidth="1"/>
    <col min="4979" max="4979" width="43.125" style="753" hidden="1" customWidth="1"/>
    <col min="4980" max="4980" width="2.625" style="753" hidden="1" customWidth="1"/>
    <col min="4981" max="4981" width="20.625" style="753" hidden="1" customWidth="1"/>
    <col min="4982" max="4982" width="1.625" style="753" hidden="1" customWidth="1"/>
    <col min="4983" max="5021" width="8.625" style="753" hidden="1" customWidth="1"/>
    <col min="5022" max="5192" width="8.625" style="753" hidden="1"/>
    <col min="5193" max="5193" width="0.625" style="753" hidden="1" customWidth="1"/>
    <col min="5194" max="5194" width="4.125" style="753" hidden="1" customWidth="1"/>
    <col min="5195" max="5195" width="72.125" style="753" hidden="1" customWidth="1"/>
    <col min="5196" max="5196" width="8.625" style="753" hidden="1" customWidth="1"/>
    <col min="5197" max="5198" width="5.625" style="753" hidden="1" customWidth="1"/>
    <col min="5199" max="5204" width="11.5" style="753" hidden="1" customWidth="1"/>
    <col min="5205" max="5214" width="10" style="753" hidden="1" customWidth="1"/>
    <col min="5215" max="5234" width="11.125" style="753" hidden="1" customWidth="1"/>
    <col min="5235" max="5235" width="43.125" style="753" hidden="1" customWidth="1"/>
    <col min="5236" max="5236" width="2.625" style="753" hidden="1" customWidth="1"/>
    <col min="5237" max="5237" width="20.625" style="753" hidden="1" customWidth="1"/>
    <col min="5238" max="5238" width="1.625" style="753" hidden="1" customWidth="1"/>
    <col min="5239" max="5277" width="8.625" style="753" hidden="1" customWidth="1"/>
    <col min="5278" max="5448" width="8.625" style="753" hidden="1"/>
    <col min="5449" max="5449" width="0.625" style="753" hidden="1" customWidth="1"/>
    <col min="5450" max="5450" width="4.125" style="753" hidden="1" customWidth="1"/>
    <col min="5451" max="5451" width="72.125" style="753" hidden="1" customWidth="1"/>
    <col min="5452" max="5452" width="8.625" style="753" hidden="1" customWidth="1"/>
    <col min="5453" max="5454" width="5.625" style="753" hidden="1" customWidth="1"/>
    <col min="5455" max="5460" width="11.5" style="753" hidden="1" customWidth="1"/>
    <col min="5461" max="5470" width="10" style="753" hidden="1" customWidth="1"/>
    <col min="5471" max="5490" width="11.125" style="753" hidden="1" customWidth="1"/>
    <col min="5491" max="5491" width="43.125" style="753" hidden="1" customWidth="1"/>
    <col min="5492" max="5492" width="2.625" style="753" hidden="1" customWidth="1"/>
    <col min="5493" max="5493" width="20.625" style="753" hidden="1" customWidth="1"/>
    <col min="5494" max="5494" width="1.625" style="753" hidden="1" customWidth="1"/>
    <col min="5495" max="5533" width="8.625" style="753" hidden="1" customWidth="1"/>
    <col min="5534" max="5704" width="8.625" style="753" hidden="1"/>
    <col min="5705" max="5705" width="0.625" style="753" hidden="1" customWidth="1"/>
    <col min="5706" max="5706" width="4.125" style="753" hidden="1" customWidth="1"/>
    <col min="5707" max="5707" width="72.125" style="753" hidden="1" customWidth="1"/>
    <col min="5708" max="5708" width="8.625" style="753" hidden="1" customWidth="1"/>
    <col min="5709" max="5710" width="5.625" style="753" hidden="1" customWidth="1"/>
    <col min="5711" max="5716" width="11.5" style="753" hidden="1" customWidth="1"/>
    <col min="5717" max="5726" width="10" style="753" hidden="1" customWidth="1"/>
    <col min="5727" max="5746" width="11.125" style="753" hidden="1" customWidth="1"/>
    <col min="5747" max="5747" width="43.125" style="753" hidden="1" customWidth="1"/>
    <col min="5748" max="5748" width="2.625" style="753" hidden="1" customWidth="1"/>
    <col min="5749" max="5749" width="20.625" style="753" hidden="1" customWidth="1"/>
    <col min="5750" max="5750" width="1.625" style="753" hidden="1" customWidth="1"/>
    <col min="5751" max="5789" width="8.625" style="753" hidden="1" customWidth="1"/>
    <col min="5790" max="5960" width="8.625" style="753" hidden="1"/>
    <col min="5961" max="5961" width="0.625" style="753" hidden="1" customWidth="1"/>
    <col min="5962" max="5962" width="4.125" style="753" hidden="1" customWidth="1"/>
    <col min="5963" max="5963" width="72.125" style="753" hidden="1" customWidth="1"/>
    <col min="5964" max="5964" width="8.625" style="753" hidden="1" customWidth="1"/>
    <col min="5965" max="5966" width="5.625" style="753" hidden="1" customWidth="1"/>
    <col min="5967" max="5972" width="11.5" style="753" hidden="1" customWidth="1"/>
    <col min="5973" max="5982" width="10" style="753" hidden="1" customWidth="1"/>
    <col min="5983" max="6002" width="11.125" style="753" hidden="1" customWidth="1"/>
    <col min="6003" max="6003" width="43.125" style="753" hidden="1" customWidth="1"/>
    <col min="6004" max="6004" width="2.625" style="753" hidden="1" customWidth="1"/>
    <col min="6005" max="6005" width="20.625" style="753" hidden="1" customWidth="1"/>
    <col min="6006" max="6006" width="1.625" style="753" hidden="1" customWidth="1"/>
    <col min="6007" max="6045" width="8.625" style="753" hidden="1" customWidth="1"/>
    <col min="6046" max="6216" width="8.625" style="753" hidden="1"/>
    <col min="6217" max="6217" width="0.625" style="753" hidden="1" customWidth="1"/>
    <col min="6218" max="6218" width="4.125" style="753" hidden="1" customWidth="1"/>
    <col min="6219" max="6219" width="72.125" style="753" hidden="1" customWidth="1"/>
    <col min="6220" max="6220" width="8.625" style="753" hidden="1" customWidth="1"/>
    <col min="6221" max="6222" width="5.625" style="753" hidden="1" customWidth="1"/>
    <col min="6223" max="6228" width="11.5" style="753" hidden="1" customWidth="1"/>
    <col min="6229" max="6238" width="10" style="753" hidden="1" customWidth="1"/>
    <col min="6239" max="6258" width="11.125" style="753" hidden="1" customWidth="1"/>
    <col min="6259" max="6259" width="43.125" style="753" hidden="1" customWidth="1"/>
    <col min="6260" max="6260" width="2.625" style="753" hidden="1" customWidth="1"/>
    <col min="6261" max="6261" width="20.625" style="753" hidden="1" customWidth="1"/>
    <col min="6262" max="6262" width="1.625" style="753" hidden="1" customWidth="1"/>
    <col min="6263" max="6301" width="8.625" style="753" hidden="1" customWidth="1"/>
    <col min="6302" max="6472" width="8.625" style="753" hidden="1"/>
    <col min="6473" max="6473" width="0.625" style="753" hidden="1" customWidth="1"/>
    <col min="6474" max="6474" width="4.125" style="753" hidden="1" customWidth="1"/>
    <col min="6475" max="6475" width="72.125" style="753" hidden="1" customWidth="1"/>
    <col min="6476" max="6476" width="8.625" style="753" hidden="1" customWidth="1"/>
    <col min="6477" max="6478" width="5.625" style="753" hidden="1" customWidth="1"/>
    <col min="6479" max="6484" width="11.5" style="753" hidden="1" customWidth="1"/>
    <col min="6485" max="6494" width="10" style="753" hidden="1" customWidth="1"/>
    <col min="6495" max="6514" width="11.125" style="753" hidden="1" customWidth="1"/>
    <col min="6515" max="6515" width="43.125" style="753" hidden="1" customWidth="1"/>
    <col min="6516" max="6516" width="2.625" style="753" hidden="1" customWidth="1"/>
    <col min="6517" max="6517" width="20.625" style="753" hidden="1" customWidth="1"/>
    <col min="6518" max="6518" width="1.625" style="753" hidden="1" customWidth="1"/>
    <col min="6519" max="6557" width="8.625" style="753" hidden="1" customWidth="1"/>
    <col min="6558" max="6728" width="8.625" style="753" hidden="1"/>
    <col min="6729" max="6729" width="0.625" style="753" hidden="1" customWidth="1"/>
    <col min="6730" max="6730" width="4.125" style="753" hidden="1" customWidth="1"/>
    <col min="6731" max="6731" width="72.125" style="753" hidden="1" customWidth="1"/>
    <col min="6732" max="6732" width="8.625" style="753" hidden="1" customWidth="1"/>
    <col min="6733" max="6734" width="5.625" style="753" hidden="1" customWidth="1"/>
    <col min="6735" max="6740" width="11.5" style="753" hidden="1" customWidth="1"/>
    <col min="6741" max="6750" width="10" style="753" hidden="1" customWidth="1"/>
    <col min="6751" max="6770" width="11.125" style="753" hidden="1" customWidth="1"/>
    <col min="6771" max="6771" width="43.125" style="753" hidden="1" customWidth="1"/>
    <col min="6772" max="6772" width="2.625" style="753" hidden="1" customWidth="1"/>
    <col min="6773" max="6773" width="20.625" style="753" hidden="1" customWidth="1"/>
    <col min="6774" max="6774" width="1.625" style="753" hidden="1" customWidth="1"/>
    <col min="6775" max="6813" width="8.625" style="753" hidden="1" customWidth="1"/>
    <col min="6814" max="6984" width="8.625" style="753" hidden="1"/>
    <col min="6985" max="6985" width="0.625" style="753" hidden="1" customWidth="1"/>
    <col min="6986" max="6986" width="4.125" style="753" hidden="1" customWidth="1"/>
    <col min="6987" max="6987" width="72.125" style="753" hidden="1" customWidth="1"/>
    <col min="6988" max="6988" width="8.625" style="753" hidden="1" customWidth="1"/>
    <col min="6989" max="6990" width="5.625" style="753" hidden="1" customWidth="1"/>
    <col min="6991" max="6996" width="11.5" style="753" hidden="1" customWidth="1"/>
    <col min="6997" max="7006" width="10" style="753" hidden="1" customWidth="1"/>
    <col min="7007" max="7026" width="11.125" style="753" hidden="1" customWidth="1"/>
    <col min="7027" max="7027" width="43.125" style="753" hidden="1" customWidth="1"/>
    <col min="7028" max="7028" width="2.625" style="753" hidden="1" customWidth="1"/>
    <col min="7029" max="7029" width="20.625" style="753" hidden="1" customWidth="1"/>
    <col min="7030" max="7030" width="1.625" style="753" hidden="1" customWidth="1"/>
    <col min="7031" max="7069" width="8.625" style="753" hidden="1" customWidth="1"/>
    <col min="7070" max="7240" width="8.625" style="753" hidden="1"/>
    <col min="7241" max="7241" width="0.625" style="753" hidden="1" customWidth="1"/>
    <col min="7242" max="7242" width="4.125" style="753" hidden="1" customWidth="1"/>
    <col min="7243" max="7243" width="72.125" style="753" hidden="1" customWidth="1"/>
    <col min="7244" max="7244" width="8.625" style="753" hidden="1" customWidth="1"/>
    <col min="7245" max="7246" width="5.625" style="753" hidden="1" customWidth="1"/>
    <col min="7247" max="7252" width="11.5" style="753" hidden="1" customWidth="1"/>
    <col min="7253" max="7262" width="10" style="753" hidden="1" customWidth="1"/>
    <col min="7263" max="7282" width="11.125" style="753" hidden="1" customWidth="1"/>
    <col min="7283" max="7283" width="43.125" style="753" hidden="1" customWidth="1"/>
    <col min="7284" max="7284" width="2.625" style="753" hidden="1" customWidth="1"/>
    <col min="7285" max="7285" width="20.625" style="753" hidden="1" customWidth="1"/>
    <col min="7286" max="7286" width="1.625" style="753" hidden="1" customWidth="1"/>
    <col min="7287" max="7325" width="8.625" style="753" hidden="1" customWidth="1"/>
    <col min="7326" max="7496" width="8.625" style="753" hidden="1"/>
    <col min="7497" max="7497" width="0.625" style="753" hidden="1" customWidth="1"/>
    <col min="7498" max="7498" width="4.125" style="753" hidden="1" customWidth="1"/>
    <col min="7499" max="7499" width="72.125" style="753" hidden="1" customWidth="1"/>
    <col min="7500" max="7500" width="8.625" style="753" hidden="1" customWidth="1"/>
    <col min="7501" max="7502" width="5.625" style="753" hidden="1" customWidth="1"/>
    <col min="7503" max="7508" width="11.5" style="753" hidden="1" customWidth="1"/>
    <col min="7509" max="7518" width="10" style="753" hidden="1" customWidth="1"/>
    <col min="7519" max="7538" width="11.125" style="753" hidden="1" customWidth="1"/>
    <col min="7539" max="7539" width="43.125" style="753" hidden="1" customWidth="1"/>
    <col min="7540" max="7540" width="2.625" style="753" hidden="1" customWidth="1"/>
    <col min="7541" max="7541" width="20.625" style="753" hidden="1" customWidth="1"/>
    <col min="7542" max="7542" width="1.625" style="753" hidden="1" customWidth="1"/>
    <col min="7543" max="7581" width="8.625" style="753" hidden="1" customWidth="1"/>
    <col min="7582" max="7752" width="8.625" style="753" hidden="1"/>
    <col min="7753" max="7753" width="0.625" style="753" hidden="1" customWidth="1"/>
    <col min="7754" max="7754" width="4.125" style="753" hidden="1" customWidth="1"/>
    <col min="7755" max="7755" width="72.125" style="753" hidden="1" customWidth="1"/>
    <col min="7756" max="7756" width="8.625" style="753" hidden="1" customWidth="1"/>
    <col min="7757" max="7758" width="5.625" style="753" hidden="1" customWidth="1"/>
    <col min="7759" max="7764" width="11.5" style="753" hidden="1" customWidth="1"/>
    <col min="7765" max="7774" width="10" style="753" hidden="1" customWidth="1"/>
    <col min="7775" max="7794" width="11.125" style="753" hidden="1" customWidth="1"/>
    <col min="7795" max="7795" width="43.125" style="753" hidden="1" customWidth="1"/>
    <col min="7796" max="7796" width="2.625" style="753" hidden="1" customWidth="1"/>
    <col min="7797" max="7797" width="20.625" style="753" hidden="1" customWidth="1"/>
    <col min="7798" max="7798" width="1.625" style="753" hidden="1" customWidth="1"/>
    <col min="7799" max="7837" width="8.625" style="753" hidden="1" customWidth="1"/>
    <col min="7838" max="8008" width="8.625" style="753" hidden="1"/>
    <col min="8009" max="8009" width="0.625" style="753" hidden="1" customWidth="1"/>
    <col min="8010" max="8010" width="4.125" style="753" hidden="1" customWidth="1"/>
    <col min="8011" max="8011" width="72.125" style="753" hidden="1" customWidth="1"/>
    <col min="8012" max="8012" width="8.625" style="753" hidden="1" customWidth="1"/>
    <col min="8013" max="8014" width="5.625" style="753" hidden="1" customWidth="1"/>
    <col min="8015" max="8020" width="11.5" style="753" hidden="1" customWidth="1"/>
    <col min="8021" max="8030" width="10" style="753" hidden="1" customWidth="1"/>
    <col min="8031" max="8050" width="11.125" style="753" hidden="1" customWidth="1"/>
    <col min="8051" max="8051" width="43.125" style="753" hidden="1" customWidth="1"/>
    <col min="8052" max="8052" width="2.625" style="753" hidden="1" customWidth="1"/>
    <col min="8053" max="8053" width="20.625" style="753" hidden="1" customWidth="1"/>
    <col min="8054" max="8054" width="1.625" style="753" hidden="1" customWidth="1"/>
    <col min="8055" max="8093" width="8.625" style="753" hidden="1" customWidth="1"/>
    <col min="8094" max="8264" width="8.625" style="753" hidden="1"/>
    <col min="8265" max="8265" width="0.625" style="753" hidden="1" customWidth="1"/>
    <col min="8266" max="8266" width="4.125" style="753" hidden="1" customWidth="1"/>
    <col min="8267" max="8267" width="72.125" style="753" hidden="1" customWidth="1"/>
    <col min="8268" max="8268" width="8.625" style="753" hidden="1" customWidth="1"/>
    <col min="8269" max="8270" width="5.625" style="753" hidden="1" customWidth="1"/>
    <col min="8271" max="8276" width="11.5" style="753" hidden="1" customWidth="1"/>
    <col min="8277" max="8286" width="10" style="753" hidden="1" customWidth="1"/>
    <col min="8287" max="8306" width="11.125" style="753" hidden="1" customWidth="1"/>
    <col min="8307" max="8307" width="43.125" style="753" hidden="1" customWidth="1"/>
    <col min="8308" max="8308" width="2.625" style="753" hidden="1" customWidth="1"/>
    <col min="8309" max="8309" width="20.625" style="753" hidden="1" customWidth="1"/>
    <col min="8310" max="8310" width="1.625" style="753" hidden="1" customWidth="1"/>
    <col min="8311" max="8349" width="8.625" style="753" hidden="1" customWidth="1"/>
    <col min="8350" max="8520" width="8.625" style="753" hidden="1"/>
    <col min="8521" max="8521" width="0.625" style="753" hidden="1" customWidth="1"/>
    <col min="8522" max="8522" width="4.125" style="753" hidden="1" customWidth="1"/>
    <col min="8523" max="8523" width="72.125" style="753" hidden="1" customWidth="1"/>
    <col min="8524" max="8524" width="8.625" style="753" hidden="1" customWidth="1"/>
    <col min="8525" max="8526" width="5.625" style="753" hidden="1" customWidth="1"/>
    <col min="8527" max="8532" width="11.5" style="753" hidden="1" customWidth="1"/>
    <col min="8533" max="8542" width="10" style="753" hidden="1" customWidth="1"/>
    <col min="8543" max="8562" width="11.125" style="753" hidden="1" customWidth="1"/>
    <col min="8563" max="8563" width="43.125" style="753" hidden="1" customWidth="1"/>
    <col min="8564" max="8564" width="2.625" style="753" hidden="1" customWidth="1"/>
    <col min="8565" max="8565" width="20.625" style="753" hidden="1" customWidth="1"/>
    <col min="8566" max="8566" width="1.625" style="753" hidden="1" customWidth="1"/>
    <col min="8567" max="8605" width="8.625" style="753" hidden="1" customWidth="1"/>
    <col min="8606" max="8776" width="8.625" style="753" hidden="1"/>
    <col min="8777" max="8777" width="0.625" style="753" hidden="1" customWidth="1"/>
    <col min="8778" max="8778" width="4.125" style="753" hidden="1" customWidth="1"/>
    <col min="8779" max="8779" width="72.125" style="753" hidden="1" customWidth="1"/>
    <col min="8780" max="8780" width="8.625" style="753" hidden="1" customWidth="1"/>
    <col min="8781" max="8782" width="5.625" style="753" hidden="1" customWidth="1"/>
    <col min="8783" max="8788" width="11.5" style="753" hidden="1" customWidth="1"/>
    <col min="8789" max="8798" width="10" style="753" hidden="1" customWidth="1"/>
    <col min="8799" max="8818" width="11.125" style="753" hidden="1" customWidth="1"/>
    <col min="8819" max="8819" width="43.125" style="753" hidden="1" customWidth="1"/>
    <col min="8820" max="8820" width="2.625" style="753" hidden="1" customWidth="1"/>
    <col min="8821" max="8821" width="20.625" style="753" hidden="1" customWidth="1"/>
    <col min="8822" max="8822" width="1.625" style="753" hidden="1" customWidth="1"/>
    <col min="8823" max="8861" width="8.625" style="753" hidden="1" customWidth="1"/>
    <col min="8862" max="9032" width="8.625" style="753" hidden="1"/>
    <col min="9033" max="9033" width="0.625" style="753" hidden="1" customWidth="1"/>
    <col min="9034" max="9034" width="4.125" style="753" hidden="1" customWidth="1"/>
    <col min="9035" max="9035" width="72.125" style="753" hidden="1" customWidth="1"/>
    <col min="9036" max="9036" width="8.625" style="753" hidden="1" customWidth="1"/>
    <col min="9037" max="9038" width="5.625" style="753" hidden="1" customWidth="1"/>
    <col min="9039" max="9044" width="11.5" style="753" hidden="1" customWidth="1"/>
    <col min="9045" max="9054" width="10" style="753" hidden="1" customWidth="1"/>
    <col min="9055" max="9074" width="11.125" style="753" hidden="1" customWidth="1"/>
    <col min="9075" max="9075" width="43.125" style="753" hidden="1" customWidth="1"/>
    <col min="9076" max="9076" width="2.625" style="753" hidden="1" customWidth="1"/>
    <col min="9077" max="9077" width="20.625" style="753" hidden="1" customWidth="1"/>
    <col min="9078" max="9078" width="1.625" style="753" hidden="1" customWidth="1"/>
    <col min="9079" max="9117" width="8.625" style="753" hidden="1" customWidth="1"/>
    <col min="9118" max="9288" width="8.625" style="753" hidden="1"/>
    <col min="9289" max="9289" width="0.625" style="753" hidden="1" customWidth="1"/>
    <col min="9290" max="9290" width="4.125" style="753" hidden="1" customWidth="1"/>
    <col min="9291" max="9291" width="72.125" style="753" hidden="1" customWidth="1"/>
    <col min="9292" max="9292" width="8.625" style="753" hidden="1" customWidth="1"/>
    <col min="9293" max="9294" width="5.625" style="753" hidden="1" customWidth="1"/>
    <col min="9295" max="9300" width="11.5" style="753" hidden="1" customWidth="1"/>
    <col min="9301" max="9310" width="10" style="753" hidden="1" customWidth="1"/>
    <col min="9311" max="9330" width="11.125" style="753" hidden="1" customWidth="1"/>
    <col min="9331" max="9331" width="43.125" style="753" hidden="1" customWidth="1"/>
    <col min="9332" max="9332" width="2.625" style="753" hidden="1" customWidth="1"/>
    <col min="9333" max="9333" width="20.625" style="753" hidden="1" customWidth="1"/>
    <col min="9334" max="9334" width="1.625" style="753" hidden="1" customWidth="1"/>
    <col min="9335" max="9373" width="8.625" style="753" hidden="1" customWidth="1"/>
    <col min="9374" max="9544" width="8.625" style="753" hidden="1"/>
    <col min="9545" max="9545" width="0.625" style="753" hidden="1" customWidth="1"/>
    <col min="9546" max="9546" width="4.125" style="753" hidden="1" customWidth="1"/>
    <col min="9547" max="9547" width="72.125" style="753" hidden="1" customWidth="1"/>
    <col min="9548" max="9548" width="8.625" style="753" hidden="1" customWidth="1"/>
    <col min="9549" max="9550" width="5.625" style="753" hidden="1" customWidth="1"/>
    <col min="9551" max="9556" width="11.5" style="753" hidden="1" customWidth="1"/>
    <col min="9557" max="9566" width="10" style="753" hidden="1" customWidth="1"/>
    <col min="9567" max="9586" width="11.125" style="753" hidden="1" customWidth="1"/>
    <col min="9587" max="9587" width="43.125" style="753" hidden="1" customWidth="1"/>
    <col min="9588" max="9588" width="2.625" style="753" hidden="1" customWidth="1"/>
    <col min="9589" max="9589" width="20.625" style="753" hidden="1" customWidth="1"/>
    <col min="9590" max="9590" width="1.625" style="753" hidden="1" customWidth="1"/>
    <col min="9591" max="9629" width="8.625" style="753" hidden="1" customWidth="1"/>
    <col min="9630" max="9800" width="8.625" style="753" hidden="1"/>
    <col min="9801" max="9801" width="0.625" style="753" hidden="1" customWidth="1"/>
    <col min="9802" max="9802" width="4.125" style="753" hidden="1" customWidth="1"/>
    <col min="9803" max="9803" width="72.125" style="753" hidden="1" customWidth="1"/>
    <col min="9804" max="9804" width="8.625" style="753" hidden="1" customWidth="1"/>
    <col min="9805" max="9806" width="5.625" style="753" hidden="1" customWidth="1"/>
    <col min="9807" max="9812" width="11.5" style="753" hidden="1" customWidth="1"/>
    <col min="9813" max="9822" width="10" style="753" hidden="1" customWidth="1"/>
    <col min="9823" max="9842" width="11.125" style="753" hidden="1" customWidth="1"/>
    <col min="9843" max="9843" width="43.125" style="753" hidden="1" customWidth="1"/>
    <col min="9844" max="9844" width="2.625" style="753" hidden="1" customWidth="1"/>
    <col min="9845" max="9845" width="20.625" style="753" hidden="1" customWidth="1"/>
    <col min="9846" max="9846" width="1.625" style="753" hidden="1" customWidth="1"/>
    <col min="9847" max="9885" width="8.625" style="753" hidden="1" customWidth="1"/>
    <col min="9886" max="10056" width="8.625" style="753" hidden="1"/>
    <col min="10057" max="10057" width="0.625" style="753" hidden="1" customWidth="1"/>
    <col min="10058" max="10058" width="4.125" style="753" hidden="1" customWidth="1"/>
    <col min="10059" max="10059" width="72.125" style="753" hidden="1" customWidth="1"/>
    <col min="10060" max="10060" width="8.625" style="753" hidden="1" customWidth="1"/>
    <col min="10061" max="10062" width="5.625" style="753" hidden="1" customWidth="1"/>
    <col min="10063" max="10068" width="11.5" style="753" hidden="1" customWidth="1"/>
    <col min="10069" max="10078" width="10" style="753" hidden="1" customWidth="1"/>
    <col min="10079" max="10098" width="11.125" style="753" hidden="1" customWidth="1"/>
    <col min="10099" max="10099" width="43.125" style="753" hidden="1" customWidth="1"/>
    <col min="10100" max="10100" width="2.625" style="753" hidden="1" customWidth="1"/>
    <col min="10101" max="10101" width="20.625" style="753" hidden="1" customWidth="1"/>
    <col min="10102" max="10102" width="1.625" style="753" hidden="1" customWidth="1"/>
    <col min="10103" max="10141" width="8.625" style="753" hidden="1" customWidth="1"/>
    <col min="10142" max="10312" width="8.625" style="753" hidden="1"/>
    <col min="10313" max="10313" width="0.625" style="753" hidden="1" customWidth="1"/>
    <col min="10314" max="10314" width="4.125" style="753" hidden="1" customWidth="1"/>
    <col min="10315" max="10315" width="72.125" style="753" hidden="1" customWidth="1"/>
    <col min="10316" max="10316" width="8.625" style="753" hidden="1" customWidth="1"/>
    <col min="10317" max="10318" width="5.625" style="753" hidden="1" customWidth="1"/>
    <col min="10319" max="10324" width="11.5" style="753" hidden="1" customWidth="1"/>
    <col min="10325" max="10334" width="10" style="753" hidden="1" customWidth="1"/>
    <col min="10335" max="10354" width="11.125" style="753" hidden="1" customWidth="1"/>
    <col min="10355" max="10355" width="43.125" style="753" hidden="1" customWidth="1"/>
    <col min="10356" max="10356" width="2.625" style="753" hidden="1" customWidth="1"/>
    <col min="10357" max="10357" width="20.625" style="753" hidden="1" customWidth="1"/>
    <col min="10358" max="10358" width="1.625" style="753" hidden="1" customWidth="1"/>
    <col min="10359" max="10397" width="8.625" style="753" hidden="1" customWidth="1"/>
    <col min="10398" max="10568" width="8.625" style="753" hidden="1"/>
    <col min="10569" max="10569" width="0.625" style="753" hidden="1" customWidth="1"/>
    <col min="10570" max="10570" width="4.125" style="753" hidden="1" customWidth="1"/>
    <col min="10571" max="10571" width="72.125" style="753" hidden="1" customWidth="1"/>
    <col min="10572" max="10572" width="8.625" style="753" hidden="1" customWidth="1"/>
    <col min="10573" max="10574" width="5.625" style="753" hidden="1" customWidth="1"/>
    <col min="10575" max="10580" width="11.5" style="753" hidden="1" customWidth="1"/>
    <col min="10581" max="10590" width="10" style="753" hidden="1" customWidth="1"/>
    <col min="10591" max="10610" width="11.125" style="753" hidden="1" customWidth="1"/>
    <col min="10611" max="10611" width="43.125" style="753" hidden="1" customWidth="1"/>
    <col min="10612" max="10612" width="2.625" style="753" hidden="1" customWidth="1"/>
    <col min="10613" max="10613" width="20.625" style="753" hidden="1" customWidth="1"/>
    <col min="10614" max="10614" width="1.625" style="753" hidden="1" customWidth="1"/>
    <col min="10615" max="10653" width="8.625" style="753" hidden="1" customWidth="1"/>
    <col min="10654" max="10824" width="8.625" style="753" hidden="1"/>
    <col min="10825" max="10825" width="0.625" style="753" hidden="1" customWidth="1"/>
    <col min="10826" max="10826" width="4.125" style="753" hidden="1" customWidth="1"/>
    <col min="10827" max="10827" width="72.125" style="753" hidden="1" customWidth="1"/>
    <col min="10828" max="10828" width="8.625" style="753" hidden="1" customWidth="1"/>
    <col min="10829" max="10830" width="5.625" style="753" hidden="1" customWidth="1"/>
    <col min="10831" max="10836" width="11.5" style="753" hidden="1" customWidth="1"/>
    <col min="10837" max="10846" width="10" style="753" hidden="1" customWidth="1"/>
    <col min="10847" max="10866" width="11.125" style="753" hidden="1" customWidth="1"/>
    <col min="10867" max="10867" width="43.125" style="753" hidden="1" customWidth="1"/>
    <col min="10868" max="10868" width="2.625" style="753" hidden="1" customWidth="1"/>
    <col min="10869" max="10869" width="20.625" style="753" hidden="1" customWidth="1"/>
    <col min="10870" max="10870" width="1.625" style="753" hidden="1" customWidth="1"/>
    <col min="10871" max="10909" width="8.625" style="753" hidden="1" customWidth="1"/>
    <col min="10910" max="11080" width="8.625" style="753" hidden="1"/>
    <col min="11081" max="11081" width="0.625" style="753" hidden="1" customWidth="1"/>
    <col min="11082" max="11082" width="4.125" style="753" hidden="1" customWidth="1"/>
    <col min="11083" max="11083" width="72.125" style="753" hidden="1" customWidth="1"/>
    <col min="11084" max="11084" width="8.625" style="753" hidden="1" customWidth="1"/>
    <col min="11085" max="11086" width="5.625" style="753" hidden="1" customWidth="1"/>
    <col min="11087" max="11092" width="11.5" style="753" hidden="1" customWidth="1"/>
    <col min="11093" max="11102" width="10" style="753" hidden="1" customWidth="1"/>
    <col min="11103" max="11122" width="11.125" style="753" hidden="1" customWidth="1"/>
    <col min="11123" max="11123" width="43.125" style="753" hidden="1" customWidth="1"/>
    <col min="11124" max="11124" width="2.625" style="753" hidden="1" customWidth="1"/>
    <col min="11125" max="11125" width="20.625" style="753" hidden="1" customWidth="1"/>
    <col min="11126" max="11126" width="1.625" style="753" hidden="1" customWidth="1"/>
    <col min="11127" max="11165" width="8.625" style="753" hidden="1" customWidth="1"/>
    <col min="11166" max="11336" width="8.625" style="753" hidden="1"/>
    <col min="11337" max="11337" width="0.625" style="753" hidden="1" customWidth="1"/>
    <col min="11338" max="11338" width="4.125" style="753" hidden="1" customWidth="1"/>
    <col min="11339" max="11339" width="72.125" style="753" hidden="1" customWidth="1"/>
    <col min="11340" max="11340" width="8.625" style="753" hidden="1" customWidth="1"/>
    <col min="11341" max="11342" width="5.625" style="753" hidden="1" customWidth="1"/>
    <col min="11343" max="11348" width="11.5" style="753" hidden="1" customWidth="1"/>
    <col min="11349" max="11358" width="10" style="753" hidden="1" customWidth="1"/>
    <col min="11359" max="11378" width="11.125" style="753" hidden="1" customWidth="1"/>
    <col min="11379" max="11379" width="43.125" style="753" hidden="1" customWidth="1"/>
    <col min="11380" max="11380" width="2.625" style="753" hidden="1" customWidth="1"/>
    <col min="11381" max="11381" width="20.625" style="753" hidden="1" customWidth="1"/>
    <col min="11382" max="11382" width="1.625" style="753" hidden="1" customWidth="1"/>
    <col min="11383" max="11421" width="8.625" style="753" hidden="1" customWidth="1"/>
    <col min="11422" max="11592" width="8.625" style="753" hidden="1"/>
    <col min="11593" max="11593" width="0.625" style="753" hidden="1" customWidth="1"/>
    <col min="11594" max="11594" width="4.125" style="753" hidden="1" customWidth="1"/>
    <col min="11595" max="11595" width="72.125" style="753" hidden="1" customWidth="1"/>
    <col min="11596" max="11596" width="8.625" style="753" hidden="1" customWidth="1"/>
    <col min="11597" max="11598" width="5.625" style="753" hidden="1" customWidth="1"/>
    <col min="11599" max="11604" width="11.5" style="753" hidden="1" customWidth="1"/>
    <col min="11605" max="11614" width="10" style="753" hidden="1" customWidth="1"/>
    <col min="11615" max="11634" width="11.125" style="753" hidden="1" customWidth="1"/>
    <col min="11635" max="11635" width="43.125" style="753" hidden="1" customWidth="1"/>
    <col min="11636" max="11636" width="2.625" style="753" hidden="1" customWidth="1"/>
    <col min="11637" max="11637" width="20.625" style="753" hidden="1" customWidth="1"/>
    <col min="11638" max="11638" width="1.625" style="753" hidden="1" customWidth="1"/>
    <col min="11639" max="11677" width="8.625" style="753" hidden="1" customWidth="1"/>
    <col min="11678" max="11848" width="8.625" style="753" hidden="1"/>
    <col min="11849" max="11849" width="0.625" style="753" hidden="1" customWidth="1"/>
    <col min="11850" max="11850" width="4.125" style="753" hidden="1" customWidth="1"/>
    <col min="11851" max="11851" width="72.125" style="753" hidden="1" customWidth="1"/>
    <col min="11852" max="11852" width="8.625" style="753" hidden="1" customWidth="1"/>
    <col min="11853" max="11854" width="5.625" style="753" hidden="1" customWidth="1"/>
    <col min="11855" max="11860" width="11.5" style="753" hidden="1" customWidth="1"/>
    <col min="11861" max="11870" width="10" style="753" hidden="1" customWidth="1"/>
    <col min="11871" max="11890" width="11.125" style="753" hidden="1" customWidth="1"/>
    <col min="11891" max="11891" width="43.125" style="753" hidden="1" customWidth="1"/>
    <col min="11892" max="11892" width="2.625" style="753" hidden="1" customWidth="1"/>
    <col min="11893" max="11893" width="20.625" style="753" hidden="1" customWidth="1"/>
    <col min="11894" max="11894" width="1.625" style="753" hidden="1" customWidth="1"/>
    <col min="11895" max="11933" width="8.625" style="753" hidden="1" customWidth="1"/>
    <col min="11934" max="12104" width="8.625" style="753" hidden="1"/>
    <col min="12105" max="12105" width="0.625" style="753" hidden="1" customWidth="1"/>
    <col min="12106" max="12106" width="4.125" style="753" hidden="1" customWidth="1"/>
    <col min="12107" max="12107" width="72.125" style="753" hidden="1" customWidth="1"/>
    <col min="12108" max="12108" width="8.625" style="753" hidden="1" customWidth="1"/>
    <col min="12109" max="12110" width="5.625" style="753" hidden="1" customWidth="1"/>
    <col min="12111" max="12116" width="11.5" style="753" hidden="1" customWidth="1"/>
    <col min="12117" max="12126" width="10" style="753" hidden="1" customWidth="1"/>
    <col min="12127" max="12146" width="11.125" style="753" hidden="1" customWidth="1"/>
    <col min="12147" max="12147" width="43.125" style="753" hidden="1" customWidth="1"/>
    <col min="12148" max="12148" width="2.625" style="753" hidden="1" customWidth="1"/>
    <col min="12149" max="12149" width="20.625" style="753" hidden="1" customWidth="1"/>
    <col min="12150" max="12150" width="1.625" style="753" hidden="1" customWidth="1"/>
    <col min="12151" max="12189" width="8.625" style="753" hidden="1" customWidth="1"/>
    <col min="12190" max="12360" width="8.625" style="753" hidden="1"/>
    <col min="12361" max="12361" width="0.625" style="753" hidden="1" customWidth="1"/>
    <col min="12362" max="12362" width="4.125" style="753" hidden="1" customWidth="1"/>
    <col min="12363" max="12363" width="72.125" style="753" hidden="1" customWidth="1"/>
    <col min="12364" max="12364" width="8.625" style="753" hidden="1" customWidth="1"/>
    <col min="12365" max="12366" width="5.625" style="753" hidden="1" customWidth="1"/>
    <col min="12367" max="12372" width="11.5" style="753" hidden="1" customWidth="1"/>
    <col min="12373" max="12382" width="10" style="753" hidden="1" customWidth="1"/>
    <col min="12383" max="12402" width="11.125" style="753" hidden="1" customWidth="1"/>
    <col min="12403" max="12403" width="43.125" style="753" hidden="1" customWidth="1"/>
    <col min="12404" max="12404" width="2.625" style="753" hidden="1" customWidth="1"/>
    <col min="12405" max="12405" width="20.625" style="753" hidden="1" customWidth="1"/>
    <col min="12406" max="12406" width="1.625" style="753" hidden="1" customWidth="1"/>
    <col min="12407" max="12445" width="8.625" style="753" hidden="1" customWidth="1"/>
    <col min="12446" max="12616" width="8.625" style="753" hidden="1"/>
    <col min="12617" max="12617" width="0.625" style="753" hidden="1" customWidth="1"/>
    <col min="12618" max="12618" width="4.125" style="753" hidden="1" customWidth="1"/>
    <col min="12619" max="12619" width="72.125" style="753" hidden="1" customWidth="1"/>
    <col min="12620" max="12620" width="8.625" style="753" hidden="1" customWidth="1"/>
    <col min="12621" max="12622" width="5.625" style="753" hidden="1" customWidth="1"/>
    <col min="12623" max="12628" width="11.5" style="753" hidden="1" customWidth="1"/>
    <col min="12629" max="12638" width="10" style="753" hidden="1" customWidth="1"/>
    <col min="12639" max="12658" width="11.125" style="753" hidden="1" customWidth="1"/>
    <col min="12659" max="12659" width="43.125" style="753" hidden="1" customWidth="1"/>
    <col min="12660" max="12660" width="2.625" style="753" hidden="1" customWidth="1"/>
    <col min="12661" max="12661" width="20.625" style="753" hidden="1" customWidth="1"/>
    <col min="12662" max="12662" width="1.625" style="753" hidden="1" customWidth="1"/>
    <col min="12663" max="12701" width="8.625" style="753" hidden="1" customWidth="1"/>
    <col min="12702" max="12872" width="8.625" style="753" hidden="1"/>
    <col min="12873" max="12873" width="0.625" style="753" hidden="1" customWidth="1"/>
    <col min="12874" max="12874" width="4.125" style="753" hidden="1" customWidth="1"/>
    <col min="12875" max="12875" width="72.125" style="753" hidden="1" customWidth="1"/>
    <col min="12876" max="12876" width="8.625" style="753" hidden="1" customWidth="1"/>
    <col min="12877" max="12878" width="5.625" style="753" hidden="1" customWidth="1"/>
    <col min="12879" max="12884" width="11.5" style="753" hidden="1" customWidth="1"/>
    <col min="12885" max="12894" width="10" style="753" hidden="1" customWidth="1"/>
    <col min="12895" max="12914" width="11.125" style="753" hidden="1" customWidth="1"/>
    <col min="12915" max="12915" width="43.125" style="753" hidden="1" customWidth="1"/>
    <col min="12916" max="12916" width="2.625" style="753" hidden="1" customWidth="1"/>
    <col min="12917" max="12917" width="20.625" style="753" hidden="1" customWidth="1"/>
    <col min="12918" max="12918" width="1.625" style="753" hidden="1" customWidth="1"/>
    <col min="12919" max="12957" width="8.625" style="753" hidden="1" customWidth="1"/>
    <col min="12958" max="13128" width="8.625" style="753" hidden="1"/>
    <col min="13129" max="13129" width="0.625" style="753" hidden="1" customWidth="1"/>
    <col min="13130" max="13130" width="4.125" style="753" hidden="1" customWidth="1"/>
    <col min="13131" max="13131" width="72.125" style="753" hidden="1" customWidth="1"/>
    <col min="13132" max="13132" width="8.625" style="753" hidden="1" customWidth="1"/>
    <col min="13133" max="13134" width="5.625" style="753" hidden="1" customWidth="1"/>
    <col min="13135" max="13140" width="11.5" style="753" hidden="1" customWidth="1"/>
    <col min="13141" max="13150" width="10" style="753" hidden="1" customWidth="1"/>
    <col min="13151" max="13170" width="11.125" style="753" hidden="1" customWidth="1"/>
    <col min="13171" max="13171" width="43.125" style="753" hidden="1" customWidth="1"/>
    <col min="13172" max="13172" width="2.625" style="753" hidden="1" customWidth="1"/>
    <col min="13173" max="13173" width="20.625" style="753" hidden="1" customWidth="1"/>
    <col min="13174" max="13174" width="1.625" style="753" hidden="1" customWidth="1"/>
    <col min="13175" max="13213" width="8.625" style="753" hidden="1" customWidth="1"/>
    <col min="13214" max="13384" width="8.625" style="753" hidden="1"/>
    <col min="13385" max="13385" width="0.625" style="753" hidden="1" customWidth="1"/>
    <col min="13386" max="13386" width="4.125" style="753" hidden="1" customWidth="1"/>
    <col min="13387" max="13387" width="72.125" style="753" hidden="1" customWidth="1"/>
    <col min="13388" max="13388" width="8.625" style="753" hidden="1" customWidth="1"/>
    <col min="13389" max="13390" width="5.625" style="753" hidden="1" customWidth="1"/>
    <col min="13391" max="13396" width="11.5" style="753" hidden="1" customWidth="1"/>
    <col min="13397" max="13406" width="10" style="753" hidden="1" customWidth="1"/>
    <col min="13407" max="13426" width="11.125" style="753" hidden="1" customWidth="1"/>
    <col min="13427" max="13427" width="43.125" style="753" hidden="1" customWidth="1"/>
    <col min="13428" max="13428" width="2.625" style="753" hidden="1" customWidth="1"/>
    <col min="13429" max="13429" width="20.625" style="753" hidden="1" customWidth="1"/>
    <col min="13430" max="13430" width="1.625" style="753" hidden="1" customWidth="1"/>
    <col min="13431" max="13469" width="8.625" style="753" hidden="1" customWidth="1"/>
    <col min="13470" max="13640" width="8.625" style="753" hidden="1"/>
    <col min="13641" max="13641" width="0.625" style="753" hidden="1" customWidth="1"/>
    <col min="13642" max="13642" width="4.125" style="753" hidden="1" customWidth="1"/>
    <col min="13643" max="13643" width="72.125" style="753" hidden="1" customWidth="1"/>
    <col min="13644" max="13644" width="8.625" style="753" hidden="1" customWidth="1"/>
    <col min="13645" max="13646" width="5.625" style="753" hidden="1" customWidth="1"/>
    <col min="13647" max="13652" width="11.5" style="753" hidden="1" customWidth="1"/>
    <col min="13653" max="13662" width="10" style="753" hidden="1" customWidth="1"/>
    <col min="13663" max="13682" width="11.125" style="753" hidden="1" customWidth="1"/>
    <col min="13683" max="13683" width="43.125" style="753" hidden="1" customWidth="1"/>
    <col min="13684" max="13684" width="2.625" style="753" hidden="1" customWidth="1"/>
    <col min="13685" max="13685" width="20.625" style="753" hidden="1" customWidth="1"/>
    <col min="13686" max="13686" width="1.625" style="753" hidden="1" customWidth="1"/>
    <col min="13687" max="13725" width="8.625" style="753" hidden="1" customWidth="1"/>
    <col min="13726" max="13896" width="8.625" style="753" hidden="1"/>
    <col min="13897" max="13897" width="0.625" style="753" hidden="1" customWidth="1"/>
    <col min="13898" max="13898" width="4.125" style="753" hidden="1" customWidth="1"/>
    <col min="13899" max="13899" width="72.125" style="753" hidden="1" customWidth="1"/>
    <col min="13900" max="13900" width="8.625" style="753" hidden="1" customWidth="1"/>
    <col min="13901" max="13902" width="5.625" style="753" hidden="1" customWidth="1"/>
    <col min="13903" max="13908" width="11.5" style="753" hidden="1" customWidth="1"/>
    <col min="13909" max="13918" width="10" style="753" hidden="1" customWidth="1"/>
    <col min="13919" max="13938" width="11.125" style="753" hidden="1" customWidth="1"/>
    <col min="13939" max="13939" width="43.125" style="753" hidden="1" customWidth="1"/>
    <col min="13940" max="13940" width="2.625" style="753" hidden="1" customWidth="1"/>
    <col min="13941" max="13941" width="20.625" style="753" hidden="1" customWidth="1"/>
    <col min="13942" max="13942" width="1.625" style="753" hidden="1" customWidth="1"/>
    <col min="13943" max="13981" width="8.625" style="753" hidden="1" customWidth="1"/>
    <col min="13982" max="14152" width="8.625" style="753" hidden="1"/>
    <col min="14153" max="14153" width="0.625" style="753" hidden="1" customWidth="1"/>
    <col min="14154" max="14154" width="4.125" style="753" hidden="1" customWidth="1"/>
    <col min="14155" max="14155" width="72.125" style="753" hidden="1" customWidth="1"/>
    <col min="14156" max="14156" width="8.625" style="753" hidden="1" customWidth="1"/>
    <col min="14157" max="14158" width="5.625" style="753" hidden="1" customWidth="1"/>
    <col min="14159" max="14164" width="11.5" style="753" hidden="1" customWidth="1"/>
    <col min="14165" max="14174" width="10" style="753" hidden="1" customWidth="1"/>
    <col min="14175" max="14194" width="11.125" style="753" hidden="1" customWidth="1"/>
    <col min="14195" max="14195" width="43.125" style="753" hidden="1" customWidth="1"/>
    <col min="14196" max="14196" width="2.625" style="753" hidden="1" customWidth="1"/>
    <col min="14197" max="14197" width="20.625" style="753" hidden="1" customWidth="1"/>
    <col min="14198" max="14198" width="1.625" style="753" hidden="1" customWidth="1"/>
    <col min="14199" max="14237" width="8.625" style="753" hidden="1" customWidth="1"/>
    <col min="14238" max="14408" width="8.625" style="753" hidden="1"/>
    <col min="14409" max="14409" width="0.625" style="753" hidden="1" customWidth="1"/>
    <col min="14410" max="14410" width="4.125" style="753" hidden="1" customWidth="1"/>
    <col min="14411" max="14411" width="72.125" style="753" hidden="1" customWidth="1"/>
    <col min="14412" max="14412" width="8.625" style="753" hidden="1" customWidth="1"/>
    <col min="14413" max="14414" width="5.625" style="753" hidden="1" customWidth="1"/>
    <col min="14415" max="14420" width="11.5" style="753" hidden="1" customWidth="1"/>
    <col min="14421" max="14430" width="10" style="753" hidden="1" customWidth="1"/>
    <col min="14431" max="14450" width="11.125" style="753" hidden="1" customWidth="1"/>
    <col min="14451" max="14451" width="43.125" style="753" hidden="1" customWidth="1"/>
    <col min="14452" max="14452" width="2.625" style="753" hidden="1" customWidth="1"/>
    <col min="14453" max="14453" width="20.625" style="753" hidden="1" customWidth="1"/>
    <col min="14454" max="14454" width="1.625" style="753" hidden="1" customWidth="1"/>
    <col min="14455" max="14493" width="8.625" style="753" hidden="1" customWidth="1"/>
    <col min="14494" max="14664" width="8.625" style="753" hidden="1"/>
    <col min="14665" max="14665" width="0.625" style="753" hidden="1" customWidth="1"/>
    <col min="14666" max="14666" width="4.125" style="753" hidden="1" customWidth="1"/>
    <col min="14667" max="14667" width="72.125" style="753" hidden="1" customWidth="1"/>
    <col min="14668" max="14668" width="8.625" style="753" hidden="1" customWidth="1"/>
    <col min="14669" max="14670" width="5.625" style="753" hidden="1" customWidth="1"/>
    <col min="14671" max="14676" width="11.5" style="753" hidden="1" customWidth="1"/>
    <col min="14677" max="14686" width="10" style="753" hidden="1" customWidth="1"/>
    <col min="14687" max="14706" width="11.125" style="753" hidden="1" customWidth="1"/>
    <col min="14707" max="14707" width="43.125" style="753" hidden="1" customWidth="1"/>
    <col min="14708" max="14708" width="2.625" style="753" hidden="1" customWidth="1"/>
    <col min="14709" max="14709" width="20.625" style="753" hidden="1" customWidth="1"/>
    <col min="14710" max="14710" width="1.625" style="753" hidden="1" customWidth="1"/>
    <col min="14711" max="14749" width="8.625" style="753" hidden="1" customWidth="1"/>
    <col min="14750" max="14920" width="8.625" style="753" hidden="1"/>
    <col min="14921" max="14921" width="0.625" style="753" hidden="1" customWidth="1"/>
    <col min="14922" max="14922" width="4.125" style="753" hidden="1" customWidth="1"/>
    <col min="14923" max="14923" width="72.125" style="753" hidden="1" customWidth="1"/>
    <col min="14924" max="14924" width="8.625" style="753" hidden="1" customWidth="1"/>
    <col min="14925" max="14926" width="5.625" style="753" hidden="1" customWidth="1"/>
    <col min="14927" max="14932" width="11.5" style="753" hidden="1" customWidth="1"/>
    <col min="14933" max="14942" width="10" style="753" hidden="1" customWidth="1"/>
    <col min="14943" max="14962" width="11.125" style="753" hidden="1" customWidth="1"/>
    <col min="14963" max="14963" width="43.125" style="753" hidden="1" customWidth="1"/>
    <col min="14964" max="14964" width="2.625" style="753" hidden="1" customWidth="1"/>
    <col min="14965" max="14965" width="20.625" style="753" hidden="1" customWidth="1"/>
    <col min="14966" max="14966" width="1.625" style="753" hidden="1" customWidth="1"/>
    <col min="14967" max="15005" width="8.625" style="753" hidden="1" customWidth="1"/>
    <col min="15006" max="15176" width="8.625" style="753" hidden="1"/>
    <col min="15177" max="15177" width="0.625" style="753" hidden="1" customWidth="1"/>
    <col min="15178" max="15178" width="4.125" style="753" hidden="1" customWidth="1"/>
    <col min="15179" max="15179" width="72.125" style="753" hidden="1" customWidth="1"/>
    <col min="15180" max="15180" width="8.625" style="753" hidden="1" customWidth="1"/>
    <col min="15181" max="15182" width="5.625" style="753" hidden="1" customWidth="1"/>
    <col min="15183" max="15188" width="11.5" style="753" hidden="1" customWidth="1"/>
    <col min="15189" max="15198" width="10" style="753" hidden="1" customWidth="1"/>
    <col min="15199" max="15218" width="11.125" style="753" hidden="1" customWidth="1"/>
    <col min="15219" max="15219" width="43.125" style="753" hidden="1" customWidth="1"/>
    <col min="15220" max="15220" width="2.625" style="753" hidden="1" customWidth="1"/>
    <col min="15221" max="15221" width="20.625" style="753" hidden="1" customWidth="1"/>
    <col min="15222" max="15222" width="1.625" style="753" hidden="1" customWidth="1"/>
    <col min="15223" max="15261" width="8.625" style="753" hidden="1" customWidth="1"/>
    <col min="15262" max="15432" width="8.625" style="753" hidden="1"/>
    <col min="15433" max="15433" width="0.625" style="753" hidden="1" customWidth="1"/>
    <col min="15434" max="15434" width="4.125" style="753" hidden="1" customWidth="1"/>
    <col min="15435" max="15435" width="72.125" style="753" hidden="1" customWidth="1"/>
    <col min="15436" max="15436" width="8.625" style="753" hidden="1" customWidth="1"/>
    <col min="15437" max="15438" width="5.625" style="753" hidden="1" customWidth="1"/>
    <col min="15439" max="15444" width="11.5" style="753" hidden="1" customWidth="1"/>
    <col min="15445" max="15454" width="10" style="753" hidden="1" customWidth="1"/>
    <col min="15455" max="15474" width="11.125" style="753" hidden="1" customWidth="1"/>
    <col min="15475" max="15475" width="43.125" style="753" hidden="1" customWidth="1"/>
    <col min="15476" max="15476" width="2.625" style="753" hidden="1" customWidth="1"/>
    <col min="15477" max="15477" width="20.625" style="753" hidden="1" customWidth="1"/>
    <col min="15478" max="15478" width="1.625" style="753" hidden="1" customWidth="1"/>
    <col min="15479" max="15517" width="8.625" style="753" hidden="1" customWidth="1"/>
    <col min="15518" max="15688" width="8.625" style="753" hidden="1"/>
    <col min="15689" max="15689" width="0.625" style="753" hidden="1" customWidth="1"/>
    <col min="15690" max="15690" width="4.125" style="753" hidden="1" customWidth="1"/>
    <col min="15691" max="15691" width="72.125" style="753" hidden="1" customWidth="1"/>
    <col min="15692" max="15692" width="8.625" style="753" hidden="1" customWidth="1"/>
    <col min="15693" max="15694" width="5.625" style="753" hidden="1" customWidth="1"/>
    <col min="15695" max="15700" width="11.5" style="753" hidden="1" customWidth="1"/>
    <col min="15701" max="15710" width="10" style="753" hidden="1" customWidth="1"/>
    <col min="15711" max="16384" width="11.125" style="753" hidden="1" customWidth="1"/>
  </cols>
  <sheetData>
    <row r="1" spans="1:67" ht="20.25">
      <c r="B1" s="61" t="s">
        <v>4624</v>
      </c>
      <c r="C1" s="61"/>
      <c r="D1" s="61"/>
      <c r="E1" s="61"/>
      <c r="F1" s="61"/>
      <c r="G1" s="61"/>
      <c r="H1" s="61"/>
      <c r="I1" s="61"/>
      <c r="J1" s="61"/>
      <c r="K1" s="61"/>
      <c r="L1" s="61"/>
      <c r="M1" s="61"/>
      <c r="N1" s="61"/>
      <c r="O1" s="61"/>
      <c r="P1" s="61"/>
      <c r="Q1" s="61"/>
      <c r="R1" s="61"/>
      <c r="S1" s="61"/>
      <c r="T1" s="61"/>
      <c r="U1" s="63" t="str">
        <f>Validation!B3</f>
        <v>Thames Water</v>
      </c>
      <c r="V1" s="61"/>
      <c r="W1" s="64" t="s">
        <v>94</v>
      </c>
      <c r="Y1" s="66"/>
      <c r="Z1" s="65"/>
      <c r="AA1" s="65"/>
      <c r="AB1" s="65"/>
      <c r="AC1" s="65"/>
      <c r="AD1" s="65"/>
      <c r="AE1" s="65"/>
      <c r="AF1" s="65"/>
      <c r="AG1" s="65"/>
      <c r="AH1" s="65"/>
      <c r="AI1" s="65"/>
      <c r="AJ1" s="65"/>
      <c r="AK1" s="65"/>
      <c r="AL1" s="65"/>
      <c r="AM1" s="65"/>
      <c r="AN1" s="66"/>
      <c r="AT1" s="1708"/>
      <c r="AU1" s="753"/>
      <c r="AW1" s="61" t="s">
        <v>4624</v>
      </c>
      <c r="AX1" s="61"/>
      <c r="AY1" s="61"/>
      <c r="AZ1" s="61"/>
      <c r="BA1" s="61"/>
      <c r="BB1" s="61"/>
      <c r="BC1" s="61"/>
      <c r="BD1" s="61"/>
      <c r="BE1" s="61"/>
      <c r="BF1" s="61"/>
      <c r="BG1" s="61"/>
      <c r="BH1" s="61"/>
      <c r="BI1" s="61"/>
      <c r="BJ1" s="61"/>
      <c r="BK1" s="61"/>
      <c r="BL1" s="61"/>
      <c r="BM1" s="61"/>
      <c r="BN1" s="61"/>
      <c r="BO1" s="61"/>
    </row>
    <row r="2" spans="1:67" s="1201" customFormat="1" ht="18" thickBot="1">
      <c r="B2" s="68" t="s">
        <v>80</v>
      </c>
      <c r="C2" s="1209"/>
      <c r="D2" s="1209"/>
      <c r="U2" s="1210"/>
      <c r="V2" s="65"/>
      <c r="W2" s="65"/>
      <c r="Y2" s="66"/>
      <c r="Z2" s="65"/>
      <c r="AA2" s="65"/>
      <c r="AB2" s="65"/>
      <c r="AC2" s="65"/>
      <c r="AD2" s="65"/>
      <c r="AE2" s="65"/>
      <c r="AF2" s="65"/>
      <c r="AG2" s="65"/>
      <c r="AH2" s="65"/>
      <c r="AI2" s="65"/>
      <c r="AJ2" s="65"/>
      <c r="AK2" s="65"/>
      <c r="AL2" s="65"/>
      <c r="AM2" s="65"/>
      <c r="AN2" s="66"/>
      <c r="AP2" s="1716"/>
      <c r="AT2" s="1716"/>
      <c r="AW2" s="68" t="s">
        <v>80</v>
      </c>
      <c r="AX2" s="1209"/>
      <c r="AY2" s="1209"/>
    </row>
    <row r="3" spans="1:67" s="65" customFormat="1" ht="15" customHeight="1" thickBot="1">
      <c r="A3" s="753"/>
      <c r="B3" s="2352" t="s">
        <v>96</v>
      </c>
      <c r="C3" s="2353"/>
      <c r="D3" s="2389" t="s">
        <v>2690</v>
      </c>
      <c r="E3" s="2389" t="s">
        <v>98</v>
      </c>
      <c r="F3" s="2392" t="s">
        <v>99</v>
      </c>
      <c r="G3" s="2395" t="s">
        <v>4625</v>
      </c>
      <c r="H3" s="2396"/>
      <c r="I3" s="2396"/>
      <c r="J3" s="2396"/>
      <c r="K3" s="2396"/>
      <c r="L3" s="2396"/>
      <c r="M3" s="2396"/>
      <c r="N3" s="2395" t="s">
        <v>4626</v>
      </c>
      <c r="O3" s="2396"/>
      <c r="P3" s="2396"/>
      <c r="Q3" s="2396"/>
      <c r="R3" s="2396"/>
      <c r="S3" s="2396"/>
      <c r="T3" s="2397"/>
      <c r="U3" s="2240" t="s">
        <v>3938</v>
      </c>
      <c r="W3" s="2240" t="s">
        <v>103</v>
      </c>
      <c r="Y3" s="66"/>
      <c r="AB3" s="71" t="s">
        <v>107</v>
      </c>
      <c r="AC3" s="583"/>
      <c r="AD3" s="583"/>
      <c r="AE3" s="583"/>
      <c r="AF3" s="583"/>
      <c r="AG3" s="583"/>
      <c r="AH3" s="583"/>
      <c r="AI3" s="583"/>
      <c r="AJ3" s="583"/>
      <c r="AK3" s="583"/>
      <c r="AL3" s="583"/>
      <c r="AM3"/>
      <c r="AN3" s="66"/>
      <c r="AO3" s="86" t="s">
        <v>86</v>
      </c>
      <c r="AP3" s="66"/>
      <c r="AQ3" s="71" t="s">
        <v>742</v>
      </c>
      <c r="AR3" s="72"/>
      <c r="AS3" s="72"/>
      <c r="AT3" s="66"/>
      <c r="AW3" s="853" t="s">
        <v>96</v>
      </c>
      <c r="AX3" s="854"/>
      <c r="AY3" s="855" t="s">
        <v>2690</v>
      </c>
      <c r="AZ3" s="855" t="s">
        <v>98</v>
      </c>
      <c r="BA3" s="855" t="s">
        <v>99</v>
      </c>
      <c r="BB3" s="2398" t="s">
        <v>4625</v>
      </c>
      <c r="BC3" s="2399"/>
      <c r="BD3" s="2399"/>
      <c r="BE3" s="2399"/>
      <c r="BF3" s="2399"/>
      <c r="BG3" s="2399"/>
      <c r="BH3" s="2399"/>
      <c r="BI3" s="2398" t="s">
        <v>4626</v>
      </c>
      <c r="BJ3" s="2399"/>
      <c r="BK3" s="2399"/>
      <c r="BL3" s="2399"/>
      <c r="BM3" s="2399"/>
      <c r="BN3" s="2399"/>
      <c r="BO3" s="2400"/>
    </row>
    <row r="4" spans="1:67" s="65" customFormat="1" ht="15" customHeight="1" thickBot="1">
      <c r="A4" s="753"/>
      <c r="B4" s="2387"/>
      <c r="C4" s="2388"/>
      <c r="D4" s="2390"/>
      <c r="E4" s="2390"/>
      <c r="F4" s="2393"/>
      <c r="G4" s="2257" t="s">
        <v>745</v>
      </c>
      <c r="H4" s="2259"/>
      <c r="I4" s="2257" t="s">
        <v>2817</v>
      </c>
      <c r="J4" s="2258"/>
      <c r="K4" s="2258"/>
      <c r="L4" s="2259"/>
      <c r="M4" s="2240" t="s">
        <v>680</v>
      </c>
      <c r="N4" s="2257" t="s">
        <v>745</v>
      </c>
      <c r="O4" s="2259"/>
      <c r="P4" s="2257" t="s">
        <v>2817</v>
      </c>
      <c r="Q4" s="2258"/>
      <c r="R4" s="2258"/>
      <c r="S4" s="2259"/>
      <c r="T4" s="2240" t="s">
        <v>680</v>
      </c>
      <c r="U4" s="2407"/>
      <c r="W4" s="2407"/>
      <c r="Y4" s="66"/>
      <c r="AB4" s="543"/>
      <c r="AC4"/>
      <c r="AD4"/>
      <c r="AE4"/>
      <c r="AF4"/>
      <c r="AG4"/>
      <c r="AH4"/>
      <c r="AI4"/>
      <c r="AJ4"/>
      <c r="AK4"/>
      <c r="AL4"/>
      <c r="AM4"/>
      <c r="AN4" s="66"/>
      <c r="AP4" s="66"/>
      <c r="AT4" s="66"/>
      <c r="AW4" s="753"/>
      <c r="AX4" s="753"/>
      <c r="AY4" s="753"/>
      <c r="AZ4" s="753"/>
      <c r="BA4" s="753"/>
      <c r="BB4" s="2401" t="s">
        <v>745</v>
      </c>
      <c r="BC4" s="2402"/>
      <c r="BD4" s="2403" t="s">
        <v>2817</v>
      </c>
      <c r="BE4" s="2404"/>
      <c r="BF4" s="2404"/>
      <c r="BG4" s="2404"/>
      <c r="BH4" s="2405" t="s">
        <v>680</v>
      </c>
      <c r="BI4" s="2401" t="s">
        <v>745</v>
      </c>
      <c r="BJ4" s="2402"/>
      <c r="BK4" s="2403" t="s">
        <v>2817</v>
      </c>
      <c r="BL4" s="2404"/>
      <c r="BM4" s="2404"/>
      <c r="BN4" s="2404"/>
      <c r="BO4" s="2405" t="s">
        <v>680</v>
      </c>
    </row>
    <row r="5" spans="1:67" s="65" customFormat="1" ht="27.75" thickBot="1">
      <c r="A5" s="753"/>
      <c r="B5" s="2354"/>
      <c r="C5" s="2355"/>
      <c r="D5" s="2391"/>
      <c r="E5" s="2391"/>
      <c r="F5" s="2394"/>
      <c r="G5" s="1177" t="s">
        <v>2818</v>
      </c>
      <c r="H5" s="308" t="s">
        <v>2819</v>
      </c>
      <c r="I5" s="2201" t="s">
        <v>2820</v>
      </c>
      <c r="J5" s="73" t="s">
        <v>2821</v>
      </c>
      <c r="K5" s="73" t="s">
        <v>2822</v>
      </c>
      <c r="L5" s="2202" t="s">
        <v>2823</v>
      </c>
      <c r="M5" s="2241"/>
      <c r="N5" s="1177" t="s">
        <v>2818</v>
      </c>
      <c r="O5" s="308" t="s">
        <v>2819</v>
      </c>
      <c r="P5" s="2201" t="s">
        <v>2820</v>
      </c>
      <c r="Q5" s="73" t="s">
        <v>2821</v>
      </c>
      <c r="R5" s="73" t="s">
        <v>2822</v>
      </c>
      <c r="S5" s="2202" t="s">
        <v>2823</v>
      </c>
      <c r="T5" s="2241"/>
      <c r="U5" s="2241"/>
      <c r="W5" s="2241"/>
      <c r="Y5" s="66"/>
      <c r="AB5" s="78" t="s">
        <v>108</v>
      </c>
      <c r="AC5" s="78"/>
      <c r="AD5" s="78"/>
      <c r="AE5" s="78"/>
      <c r="AF5" s="78"/>
      <c r="AG5" s="78"/>
      <c r="AH5" s="78"/>
      <c r="AI5" s="78"/>
      <c r="AJ5" s="78"/>
      <c r="AK5" s="78"/>
      <c r="AL5" s="78"/>
      <c r="AM5" s="78"/>
      <c r="AN5" s="66"/>
      <c r="AP5" s="66"/>
      <c r="AT5" s="66"/>
      <c r="AW5" s="753"/>
      <c r="AX5" s="753"/>
      <c r="AY5" s="753"/>
      <c r="AZ5" s="753"/>
      <c r="BA5" s="753"/>
      <c r="BB5" s="160" t="s">
        <v>2818</v>
      </c>
      <c r="BC5" s="161" t="s">
        <v>2819</v>
      </c>
      <c r="BD5" s="1392" t="s">
        <v>2820</v>
      </c>
      <c r="BE5" s="2213" t="s">
        <v>2821</v>
      </c>
      <c r="BF5" s="2213" t="s">
        <v>2822</v>
      </c>
      <c r="BG5" s="755" t="s">
        <v>2823</v>
      </c>
      <c r="BH5" s="2406"/>
      <c r="BI5" s="160" t="s">
        <v>2818</v>
      </c>
      <c r="BJ5" s="161" t="s">
        <v>2819</v>
      </c>
      <c r="BK5" s="1392" t="s">
        <v>2820</v>
      </c>
      <c r="BL5" s="2213" t="s">
        <v>2821</v>
      </c>
      <c r="BM5" s="2213" t="s">
        <v>2822</v>
      </c>
      <c r="BN5" s="755" t="s">
        <v>2823</v>
      </c>
      <c r="BO5" s="2406"/>
    </row>
    <row r="6" spans="1:67" s="65" customFormat="1" ht="15" thickBot="1">
      <c r="A6" s="753"/>
      <c r="B6" s="881"/>
      <c r="C6" s="882"/>
      <c r="D6" s="882"/>
      <c r="E6" s="883"/>
      <c r="F6" s="884"/>
      <c r="G6" s="1348" t="e">
        <f>IF('4J'!G12=0,(IF(ROUND(G5,3)=ROUND('4J'!#REF!+'4J'!#REF!+'4J'!#REF!,3),0,1)),0)</f>
        <v>#VALUE!</v>
      </c>
      <c r="H6" s="1348" t="e">
        <f>IF('4J'!H12=0,(IF(ROUND(H5,3)=ROUND('4J'!#REF!+'4J'!#REF!+'4J'!#REF!,3),0,1)),0)</f>
        <v>#VALUE!</v>
      </c>
      <c r="I6" s="1348" t="e">
        <f>IF('4J'!I12=0,(IF(ROUND(I5,3)=ROUND('4J'!#REF!+'4J'!#REF!+'4J'!#REF!,3),0,1)),0)</f>
        <v>#VALUE!</v>
      </c>
      <c r="J6" s="1348" t="e">
        <f>IF('4J'!J12=0,(IF(ROUND(J5,3)=ROUND('4J'!#REF!+'4J'!#REF!+'4J'!#REF!,3),0,1)),0)</f>
        <v>#VALUE!</v>
      </c>
      <c r="K6" s="1348" t="e">
        <f>IF('4J'!K12=0,(IF(ROUND(K5,3)=ROUND('4J'!#REF!+'4J'!#REF!+'4J'!#REF!,3),0,1)),0)</f>
        <v>#VALUE!</v>
      </c>
      <c r="L6" s="1348">
        <f>IF('4J'!L12=0,(IF(ROUND(L5,3)=ROUND('4J'!#REF!+'4J'!#REF!+'4J'!#REF!,3),0,1)),0)</f>
        <v>0</v>
      </c>
      <c r="M6" s="1348">
        <f>IF('4J'!M12=0,(IF(ROUND(M5,3)=ROUND('4J'!#REF!+'4J'!#REF!+'4J'!#REF!,3),0,1)),0)</f>
        <v>0</v>
      </c>
      <c r="N6" s="884"/>
      <c r="O6" s="884"/>
      <c r="P6" s="884"/>
      <c r="Q6" s="884"/>
      <c r="R6" s="884"/>
      <c r="S6" s="884"/>
      <c r="T6" s="884"/>
      <c r="U6" s="884"/>
      <c r="V6" s="884"/>
      <c r="W6" s="884"/>
      <c r="X6" s="885"/>
      <c r="Y6" s="66"/>
      <c r="AB6" s="885"/>
      <c r="AC6" s="885"/>
      <c r="AD6" s="885"/>
      <c r="AE6" s="885"/>
      <c r="AF6" s="885"/>
      <c r="AG6" s="885"/>
      <c r="AH6" s="885"/>
      <c r="AI6" s="885"/>
      <c r="AJ6" s="885"/>
      <c r="AK6" s="885"/>
      <c r="AL6" s="885"/>
      <c r="AM6" s="885"/>
      <c r="AN6" s="66"/>
      <c r="AP6" s="114"/>
      <c r="AQ6" s="105"/>
      <c r="AR6" s="105"/>
      <c r="AS6" s="24"/>
      <c r="AT6" s="66"/>
      <c r="AU6" s="116"/>
    </row>
    <row r="7" spans="1:67" s="65" customFormat="1" ht="15" thickBot="1">
      <c r="A7" s="753"/>
      <c r="B7" s="2219" t="s">
        <v>214</v>
      </c>
      <c r="C7" s="856" t="s">
        <v>4627</v>
      </c>
      <c r="D7" s="753"/>
      <c r="E7" s="753"/>
      <c r="F7" s="753"/>
      <c r="G7" s="753"/>
      <c r="H7" s="753"/>
      <c r="I7" s="753"/>
      <c r="J7" s="753"/>
      <c r="K7" s="753"/>
      <c r="L7" s="753"/>
      <c r="M7" s="753"/>
      <c r="N7" s="753"/>
      <c r="O7" s="753"/>
      <c r="P7" s="753"/>
      <c r="Q7" s="753"/>
      <c r="R7" s="753"/>
      <c r="S7" s="753"/>
      <c r="T7" s="753"/>
      <c r="U7" s="753"/>
      <c r="Y7" s="66"/>
      <c r="AB7" s="78"/>
      <c r="AC7" s="78"/>
      <c r="AD7" s="78"/>
      <c r="AE7" s="78"/>
      <c r="AF7" s="78"/>
      <c r="AG7" s="78"/>
      <c r="AH7" s="78"/>
      <c r="AI7" s="78"/>
      <c r="AJ7" s="78"/>
      <c r="AK7" s="78"/>
      <c r="AL7" s="78"/>
      <c r="AM7" s="78"/>
      <c r="AN7" s="66"/>
      <c r="AP7" s="66"/>
      <c r="AT7" s="66"/>
      <c r="AW7" s="2219" t="s">
        <v>214</v>
      </c>
      <c r="AX7" s="856" t="s">
        <v>4627</v>
      </c>
      <c r="AY7" s="753"/>
      <c r="AZ7" s="753"/>
      <c r="BA7" s="753"/>
      <c r="BB7" s="753"/>
      <c r="BC7" s="753"/>
      <c r="BD7" s="753"/>
      <c r="BE7" s="753"/>
      <c r="BF7" s="753"/>
      <c r="BG7" s="753"/>
      <c r="BH7" s="753"/>
      <c r="BI7" s="753"/>
      <c r="BJ7" s="753"/>
      <c r="BK7" s="753"/>
      <c r="BL7" s="753"/>
      <c r="BM7" s="753"/>
      <c r="BN7" s="753"/>
      <c r="BO7" s="753"/>
    </row>
    <row r="8" spans="1:67" s="65" customFormat="1">
      <c r="A8" s="753"/>
      <c r="B8" s="857" t="s">
        <v>4628</v>
      </c>
      <c r="C8" s="1831" t="s">
        <v>4629</v>
      </c>
      <c r="D8" s="962"/>
      <c r="E8" s="859" t="s">
        <v>8</v>
      </c>
      <c r="F8" s="860">
        <v>3</v>
      </c>
      <c r="G8" s="862">
        <v>0</v>
      </c>
      <c r="H8" s="1349">
        <v>-0.60016840958039386</v>
      </c>
      <c r="I8" s="1225">
        <v>0.17720712264061941</v>
      </c>
      <c r="J8" s="1211">
        <v>0</v>
      </c>
      <c r="K8" s="1218">
        <v>8.0368452156244115E-8</v>
      </c>
      <c r="L8" s="1211">
        <v>2.260523128600624</v>
      </c>
      <c r="M8" s="173">
        <f>SUM(G8:L8)</f>
        <v>1.8375619220293018</v>
      </c>
      <c r="N8" s="862">
        <v>0</v>
      </c>
      <c r="O8" s="1349">
        <v>-1.587539519153278</v>
      </c>
      <c r="P8" s="1225">
        <v>0</v>
      </c>
      <c r="Q8" s="1211">
        <v>0</v>
      </c>
      <c r="R8" s="1218">
        <v>0</v>
      </c>
      <c r="S8" s="1211">
        <v>-0.2599163695175864</v>
      </c>
      <c r="T8" s="173">
        <f t="shared" ref="T8:T42" si="0">SUM(N8:S8)</f>
        <v>-1.8474558886708643</v>
      </c>
      <c r="U8" s="1867"/>
      <c r="W8" s="770">
        <f t="shared" ref="W8:W26" si="1" xml:space="preserve"> IF( SUM( Y8:AN8 ) = 0, 0, $AB$5 )</f>
        <v>0</v>
      </c>
      <c r="Y8" s="66"/>
      <c r="AA8" s="86">
        <f t="shared" ref="AA8:AA26" si="2" xml:space="preserve"> IF( ISNUMBER( G8 ), 0, 1 )</f>
        <v>0</v>
      </c>
      <c r="AB8" s="86">
        <f t="shared" ref="AB8:AB26" si="3" xml:space="preserve"> IF( ISNUMBER( H8 ), 0, 1 )</f>
        <v>0</v>
      </c>
      <c r="AC8" s="86">
        <f t="shared" ref="AC8:AC26" si="4" xml:space="preserve"> IF( ISNUMBER( I8 ), 0, 1 )</f>
        <v>0</v>
      </c>
      <c r="AD8" s="86">
        <f t="shared" ref="AD8:AD26" si="5" xml:space="preserve"> IF( ISNUMBER( J8 ), 0, 1 )</f>
        <v>0</v>
      </c>
      <c r="AE8" s="86">
        <f t="shared" ref="AE8:AE26" si="6" xml:space="preserve"> IF( ISNUMBER( K8 ), 0, 1 )</f>
        <v>0</v>
      </c>
      <c r="AF8" s="86">
        <f t="shared" ref="AF8:AF26" si="7" xml:space="preserve"> IF( ISNUMBER( L8 ), 0, 1 )</f>
        <v>0</v>
      </c>
      <c r="AG8" s="78"/>
      <c r="AH8" s="86">
        <f t="shared" ref="AH8:AH26" si="8" xml:space="preserve"> IF( ISNUMBER( N8 ), 0, 1 )</f>
        <v>0</v>
      </c>
      <c r="AI8" s="86">
        <f t="shared" ref="AI8:AI26" si="9" xml:space="preserve"> IF( ISNUMBER( O8 ), 0, 1 )</f>
        <v>0</v>
      </c>
      <c r="AJ8" s="86">
        <f t="shared" ref="AJ8:AJ26" si="10" xml:space="preserve"> IF( ISNUMBER( P8 ), 0, 1 )</f>
        <v>0</v>
      </c>
      <c r="AK8" s="86">
        <f t="shared" ref="AK8:AK26" si="11" xml:space="preserve"> IF( ISNUMBER( Q8 ), 0, 1 )</f>
        <v>0</v>
      </c>
      <c r="AL8" s="86">
        <f t="shared" ref="AL8:AL26" si="12" xml:space="preserve"> IF( ISNUMBER( R8 ), 0, 1 )</f>
        <v>0</v>
      </c>
      <c r="AM8" s="86">
        <f t="shared" ref="AM8:AM26" si="13" xml:space="preserve"> IF( ISNUMBER( S8 ), 0, 1 )</f>
        <v>0</v>
      </c>
      <c r="AN8" s="66"/>
      <c r="AP8" s="66"/>
      <c r="AT8" s="66"/>
      <c r="AW8" s="857" t="s">
        <v>4628</v>
      </c>
      <c r="AX8" s="1490" t="s">
        <v>4629</v>
      </c>
      <c r="AY8" s="1547"/>
      <c r="AZ8" s="859" t="s">
        <v>8</v>
      </c>
      <c r="BA8" s="860">
        <v>3</v>
      </c>
      <c r="BB8" s="862" t="s">
        <v>4630</v>
      </c>
      <c r="BC8" s="1349" t="s">
        <v>4631</v>
      </c>
      <c r="BD8" s="1225" t="s">
        <v>4632</v>
      </c>
      <c r="BE8" s="1211" t="s">
        <v>4633</v>
      </c>
      <c r="BF8" s="1218" t="s">
        <v>4634</v>
      </c>
      <c r="BG8" s="1211" t="s">
        <v>4635</v>
      </c>
      <c r="BH8" s="173" t="s">
        <v>4636</v>
      </c>
      <c r="BI8" s="862" t="s">
        <v>4637</v>
      </c>
      <c r="BJ8" s="1349" t="s">
        <v>4638</v>
      </c>
      <c r="BK8" s="1211" t="s">
        <v>4639</v>
      </c>
      <c r="BL8" s="1218" t="s">
        <v>4640</v>
      </c>
      <c r="BM8" s="1225" t="s">
        <v>4641</v>
      </c>
      <c r="BN8" s="1211" t="s">
        <v>4642</v>
      </c>
      <c r="BO8" s="173" t="s">
        <v>4643</v>
      </c>
    </row>
    <row r="9" spans="1:67" s="65" customFormat="1">
      <c r="A9" s="753"/>
      <c r="B9" s="863" t="s">
        <v>4644</v>
      </c>
      <c r="C9" s="858" t="s">
        <v>4645</v>
      </c>
      <c r="D9" s="1494"/>
      <c r="E9" s="2155" t="s">
        <v>8</v>
      </c>
      <c r="F9" s="864">
        <v>3</v>
      </c>
      <c r="G9" s="865">
        <v>0</v>
      </c>
      <c r="H9" s="1350">
        <v>-0.49401699929612125</v>
      </c>
      <c r="I9" s="1226">
        <v>0</v>
      </c>
      <c r="J9" s="1212">
        <v>0</v>
      </c>
      <c r="K9" s="1219">
        <v>0</v>
      </c>
      <c r="L9" s="1212">
        <v>0</v>
      </c>
      <c r="M9" s="206">
        <f t="shared" ref="M9:M42" si="14">SUM(G9:L9)</f>
        <v>-0.49401699929612125</v>
      </c>
      <c r="N9" s="865">
        <v>0</v>
      </c>
      <c r="O9" s="1350">
        <v>-1.1496146818651711E-2</v>
      </c>
      <c r="P9" s="1226">
        <v>0</v>
      </c>
      <c r="Q9" s="1212">
        <v>0</v>
      </c>
      <c r="R9" s="1219">
        <v>0</v>
      </c>
      <c r="S9" s="1212">
        <v>0</v>
      </c>
      <c r="T9" s="328">
        <f t="shared" si="0"/>
        <v>-1.1496146818651711E-2</v>
      </c>
      <c r="U9" s="1868"/>
      <c r="W9" s="770">
        <f t="shared" si="1"/>
        <v>0</v>
      </c>
      <c r="Y9" s="66"/>
      <c r="AA9" s="86">
        <f t="shared" si="2"/>
        <v>0</v>
      </c>
      <c r="AB9" s="86">
        <f t="shared" si="3"/>
        <v>0</v>
      </c>
      <c r="AC9" s="86">
        <f t="shared" si="4"/>
        <v>0</v>
      </c>
      <c r="AD9" s="86">
        <f t="shared" si="5"/>
        <v>0</v>
      </c>
      <c r="AE9" s="86">
        <f t="shared" si="6"/>
        <v>0</v>
      </c>
      <c r="AF9" s="86">
        <f t="shared" si="7"/>
        <v>0</v>
      </c>
      <c r="AG9" s="78"/>
      <c r="AH9" s="86">
        <f t="shared" si="8"/>
        <v>0</v>
      </c>
      <c r="AI9" s="86">
        <f t="shared" si="9"/>
        <v>0</v>
      </c>
      <c r="AJ9" s="86">
        <f t="shared" si="10"/>
        <v>0</v>
      </c>
      <c r="AK9" s="86">
        <f t="shared" si="11"/>
        <v>0</v>
      </c>
      <c r="AL9" s="86">
        <f t="shared" si="12"/>
        <v>0</v>
      </c>
      <c r="AM9" s="86">
        <f t="shared" si="13"/>
        <v>0</v>
      </c>
      <c r="AN9" s="66"/>
      <c r="AP9" s="66"/>
      <c r="AT9" s="66"/>
      <c r="AW9" s="863" t="s">
        <v>4644</v>
      </c>
      <c r="AX9" s="1490" t="s">
        <v>4645</v>
      </c>
      <c r="AY9" s="1569"/>
      <c r="AZ9" s="2155" t="s">
        <v>8</v>
      </c>
      <c r="BA9" s="864">
        <v>3</v>
      </c>
      <c r="BB9" s="1499" t="s">
        <v>4646</v>
      </c>
      <c r="BC9" s="1500" t="s">
        <v>4647</v>
      </c>
      <c r="BD9" s="1501" t="s">
        <v>4648</v>
      </c>
      <c r="BE9" s="1502" t="s">
        <v>4649</v>
      </c>
      <c r="BF9" s="1503" t="s">
        <v>4650</v>
      </c>
      <c r="BG9" s="1502" t="s">
        <v>4651</v>
      </c>
      <c r="BH9" s="1504" t="s">
        <v>4652</v>
      </c>
      <c r="BI9" s="1499" t="s">
        <v>4653</v>
      </c>
      <c r="BJ9" s="1500" t="s">
        <v>4654</v>
      </c>
      <c r="BK9" s="1502" t="s">
        <v>4655</v>
      </c>
      <c r="BL9" s="1503" t="s">
        <v>4656</v>
      </c>
      <c r="BM9" s="1501" t="s">
        <v>4657</v>
      </c>
      <c r="BN9" s="1502" t="s">
        <v>4658</v>
      </c>
      <c r="BO9" s="1416" t="s">
        <v>4659</v>
      </c>
    </row>
    <row r="10" spans="1:67" s="65" customFormat="1">
      <c r="A10" s="753"/>
      <c r="B10" s="863" t="s">
        <v>4660</v>
      </c>
      <c r="C10" s="867" t="s">
        <v>4661</v>
      </c>
      <c r="D10" s="867"/>
      <c r="E10" s="2155" t="s">
        <v>8</v>
      </c>
      <c r="F10" s="864">
        <v>3</v>
      </c>
      <c r="G10" s="869">
        <v>0</v>
      </c>
      <c r="H10" s="1350">
        <v>0</v>
      </c>
      <c r="I10" s="1226">
        <v>0</v>
      </c>
      <c r="J10" s="1212">
        <v>0</v>
      </c>
      <c r="K10" s="1219">
        <v>0</v>
      </c>
      <c r="L10" s="1212">
        <v>0</v>
      </c>
      <c r="M10" s="206">
        <f t="shared" si="14"/>
        <v>0</v>
      </c>
      <c r="N10" s="869">
        <v>0</v>
      </c>
      <c r="O10" s="1350">
        <v>0</v>
      </c>
      <c r="P10" s="1226">
        <v>0</v>
      </c>
      <c r="Q10" s="1212">
        <v>0</v>
      </c>
      <c r="R10" s="1219">
        <v>0</v>
      </c>
      <c r="S10" s="1212">
        <v>0</v>
      </c>
      <c r="T10" s="206">
        <f t="shared" si="0"/>
        <v>0</v>
      </c>
      <c r="U10" s="1869"/>
      <c r="W10" s="770">
        <f t="shared" si="1"/>
        <v>0</v>
      </c>
      <c r="Y10" s="66"/>
      <c r="AA10" s="86">
        <f t="shared" si="2"/>
        <v>0</v>
      </c>
      <c r="AB10" s="86">
        <f t="shared" si="3"/>
        <v>0</v>
      </c>
      <c r="AC10" s="86">
        <f t="shared" si="4"/>
        <v>0</v>
      </c>
      <c r="AD10" s="86">
        <f t="shared" si="5"/>
        <v>0</v>
      </c>
      <c r="AE10" s="86">
        <f t="shared" si="6"/>
        <v>0</v>
      </c>
      <c r="AF10" s="86">
        <f t="shared" si="7"/>
        <v>0</v>
      </c>
      <c r="AG10" s="78"/>
      <c r="AH10" s="86">
        <f t="shared" si="8"/>
        <v>0</v>
      </c>
      <c r="AI10" s="86">
        <f t="shared" si="9"/>
        <v>0</v>
      </c>
      <c r="AJ10" s="86">
        <f t="shared" si="10"/>
        <v>0</v>
      </c>
      <c r="AK10" s="86">
        <f t="shared" si="11"/>
        <v>0</v>
      </c>
      <c r="AL10" s="86">
        <f t="shared" si="12"/>
        <v>0</v>
      </c>
      <c r="AM10" s="86">
        <f t="shared" si="13"/>
        <v>0</v>
      </c>
      <c r="AN10" s="66"/>
      <c r="AP10" s="66"/>
      <c r="AT10" s="66"/>
      <c r="AW10" s="863" t="s">
        <v>4660</v>
      </c>
      <c r="AX10" s="963" t="s">
        <v>4661</v>
      </c>
      <c r="AY10" s="1548"/>
      <c r="AZ10" s="2155" t="s">
        <v>8</v>
      </c>
      <c r="BA10" s="864">
        <v>3</v>
      </c>
      <c r="BB10" s="869" t="s">
        <v>4662</v>
      </c>
      <c r="BC10" s="1351" t="s">
        <v>4663</v>
      </c>
      <c r="BD10" s="1227" t="s">
        <v>4664</v>
      </c>
      <c r="BE10" s="1213" t="s">
        <v>4665</v>
      </c>
      <c r="BF10" s="1220" t="s">
        <v>4666</v>
      </c>
      <c r="BG10" s="1213" t="s">
        <v>4667</v>
      </c>
      <c r="BH10" s="206" t="s">
        <v>4668</v>
      </c>
      <c r="BI10" s="869" t="s">
        <v>4669</v>
      </c>
      <c r="BJ10" s="1351" t="s">
        <v>4670</v>
      </c>
      <c r="BK10" s="1213" t="s">
        <v>4671</v>
      </c>
      <c r="BL10" s="1220" t="s">
        <v>4672</v>
      </c>
      <c r="BM10" s="1227" t="s">
        <v>4673</v>
      </c>
      <c r="BN10" s="1213" t="s">
        <v>4674</v>
      </c>
      <c r="BO10" s="206" t="s">
        <v>4675</v>
      </c>
    </row>
    <row r="11" spans="1:67" s="65" customFormat="1">
      <c r="A11" s="753"/>
      <c r="B11" s="863" t="s">
        <v>4676</v>
      </c>
      <c r="C11" s="867" t="s">
        <v>4677</v>
      </c>
      <c r="D11" s="867"/>
      <c r="E11" s="2155" t="s">
        <v>8</v>
      </c>
      <c r="F11" s="864">
        <v>3</v>
      </c>
      <c r="G11" s="869">
        <v>0</v>
      </c>
      <c r="H11" s="1350">
        <v>0</v>
      </c>
      <c r="I11" s="1226">
        <v>0</v>
      </c>
      <c r="J11" s="1212">
        <v>0</v>
      </c>
      <c r="K11" s="1219">
        <v>0</v>
      </c>
      <c r="L11" s="1212">
        <v>0</v>
      </c>
      <c r="M11" s="206">
        <f t="shared" si="14"/>
        <v>0</v>
      </c>
      <c r="N11" s="869">
        <v>0</v>
      </c>
      <c r="O11" s="1350">
        <v>0</v>
      </c>
      <c r="P11" s="1226">
        <v>0</v>
      </c>
      <c r="Q11" s="1212">
        <v>0</v>
      </c>
      <c r="R11" s="1219">
        <v>0</v>
      </c>
      <c r="S11" s="1212">
        <v>0</v>
      </c>
      <c r="T11" s="206">
        <f t="shared" si="0"/>
        <v>0</v>
      </c>
      <c r="U11" s="1869"/>
      <c r="W11" s="770">
        <f t="shared" si="1"/>
        <v>0</v>
      </c>
      <c r="Y11" s="66"/>
      <c r="AA11" s="86">
        <f t="shared" si="2"/>
        <v>0</v>
      </c>
      <c r="AB11" s="86">
        <f t="shared" si="3"/>
        <v>0</v>
      </c>
      <c r="AC11" s="86">
        <f t="shared" si="4"/>
        <v>0</v>
      </c>
      <c r="AD11" s="86">
        <f t="shared" si="5"/>
        <v>0</v>
      </c>
      <c r="AE11" s="86">
        <f t="shared" si="6"/>
        <v>0</v>
      </c>
      <c r="AF11" s="86">
        <f t="shared" si="7"/>
        <v>0</v>
      </c>
      <c r="AG11" s="78"/>
      <c r="AH11" s="86">
        <f t="shared" si="8"/>
        <v>0</v>
      </c>
      <c r="AI11" s="86">
        <f t="shared" si="9"/>
        <v>0</v>
      </c>
      <c r="AJ11" s="86">
        <f t="shared" si="10"/>
        <v>0</v>
      </c>
      <c r="AK11" s="86">
        <f t="shared" si="11"/>
        <v>0</v>
      </c>
      <c r="AL11" s="86">
        <f t="shared" si="12"/>
        <v>0</v>
      </c>
      <c r="AM11" s="86">
        <f t="shared" si="13"/>
        <v>0</v>
      </c>
      <c r="AN11" s="66"/>
      <c r="AP11" s="66"/>
      <c r="AT11" s="66"/>
      <c r="AW11" s="863" t="s">
        <v>4676</v>
      </c>
      <c r="AX11" s="963" t="s">
        <v>4677</v>
      </c>
      <c r="AY11" s="1548"/>
      <c r="AZ11" s="2155" t="s">
        <v>8</v>
      </c>
      <c r="BA11" s="864">
        <v>3</v>
      </c>
      <c r="BB11" s="869" t="s">
        <v>4678</v>
      </c>
      <c r="BC11" s="1351" t="s">
        <v>4679</v>
      </c>
      <c r="BD11" s="1227" t="s">
        <v>4680</v>
      </c>
      <c r="BE11" s="1213" t="s">
        <v>4681</v>
      </c>
      <c r="BF11" s="1220" t="s">
        <v>4682</v>
      </c>
      <c r="BG11" s="1213" t="s">
        <v>4683</v>
      </c>
      <c r="BH11" s="206" t="s">
        <v>4684</v>
      </c>
      <c r="BI11" s="869" t="s">
        <v>4685</v>
      </c>
      <c r="BJ11" s="1351" t="s">
        <v>4686</v>
      </c>
      <c r="BK11" s="1213" t="s">
        <v>4687</v>
      </c>
      <c r="BL11" s="1220" t="s">
        <v>4688</v>
      </c>
      <c r="BM11" s="1227" t="s">
        <v>4689</v>
      </c>
      <c r="BN11" s="1213" t="s">
        <v>4690</v>
      </c>
      <c r="BO11" s="206" t="s">
        <v>4691</v>
      </c>
    </row>
    <row r="12" spans="1:67" s="65" customFormat="1">
      <c r="A12" s="753"/>
      <c r="B12" s="863" t="s">
        <v>4692</v>
      </c>
      <c r="C12" s="867" t="s">
        <v>4693</v>
      </c>
      <c r="D12" s="867"/>
      <c r="E12" s="2155" t="s">
        <v>8</v>
      </c>
      <c r="F12" s="864">
        <v>3</v>
      </c>
      <c r="G12" s="869">
        <v>0</v>
      </c>
      <c r="H12" s="1350">
        <v>0</v>
      </c>
      <c r="I12" s="1226">
        <v>0</v>
      </c>
      <c r="J12" s="1212">
        <v>0</v>
      </c>
      <c r="K12" s="1219">
        <v>-7.1269406136783148E-2</v>
      </c>
      <c r="L12" s="1212">
        <v>7.8831018050539106</v>
      </c>
      <c r="M12" s="206">
        <f t="shared" si="14"/>
        <v>7.8118323989171277</v>
      </c>
      <c r="N12" s="869">
        <v>0</v>
      </c>
      <c r="O12" s="1350">
        <v>0</v>
      </c>
      <c r="P12" s="1226">
        <v>0</v>
      </c>
      <c r="Q12" s="1212">
        <v>0</v>
      </c>
      <c r="R12" s="1219">
        <v>-7.6675318895231118E-2</v>
      </c>
      <c r="S12" s="1212">
        <v>7.8464458199999987</v>
      </c>
      <c r="T12" s="206">
        <f t="shared" si="0"/>
        <v>7.7697705011047677</v>
      </c>
      <c r="U12" s="1869"/>
      <c r="W12" s="770">
        <f t="shared" si="1"/>
        <v>0</v>
      </c>
      <c r="Y12" s="66"/>
      <c r="AA12" s="86">
        <f t="shared" si="2"/>
        <v>0</v>
      </c>
      <c r="AB12" s="86">
        <f t="shared" si="3"/>
        <v>0</v>
      </c>
      <c r="AC12" s="86">
        <f t="shared" si="4"/>
        <v>0</v>
      </c>
      <c r="AD12" s="86">
        <f t="shared" si="5"/>
        <v>0</v>
      </c>
      <c r="AE12" s="86">
        <f t="shared" si="6"/>
        <v>0</v>
      </c>
      <c r="AF12" s="86">
        <f t="shared" si="7"/>
        <v>0</v>
      </c>
      <c r="AG12" s="78"/>
      <c r="AH12" s="86">
        <f t="shared" si="8"/>
        <v>0</v>
      </c>
      <c r="AI12" s="86">
        <f t="shared" si="9"/>
        <v>0</v>
      </c>
      <c r="AJ12" s="86">
        <f t="shared" si="10"/>
        <v>0</v>
      </c>
      <c r="AK12" s="86">
        <f t="shared" si="11"/>
        <v>0</v>
      </c>
      <c r="AL12" s="86">
        <f t="shared" si="12"/>
        <v>0</v>
      </c>
      <c r="AM12" s="86">
        <f t="shared" si="13"/>
        <v>0</v>
      </c>
      <c r="AN12" s="66"/>
      <c r="AP12" s="66"/>
      <c r="AT12" s="66"/>
      <c r="AW12" s="863" t="s">
        <v>4692</v>
      </c>
      <c r="AX12" s="963" t="s">
        <v>4693</v>
      </c>
      <c r="AY12" s="1548"/>
      <c r="AZ12" s="2155" t="s">
        <v>8</v>
      </c>
      <c r="BA12" s="864">
        <v>3</v>
      </c>
      <c r="BB12" s="869" t="s">
        <v>4694</v>
      </c>
      <c r="BC12" s="1351" t="s">
        <v>4695</v>
      </c>
      <c r="BD12" s="1227" t="s">
        <v>4696</v>
      </c>
      <c r="BE12" s="1213" t="s">
        <v>4697</v>
      </c>
      <c r="BF12" s="1220" t="s">
        <v>4698</v>
      </c>
      <c r="BG12" s="1213" t="s">
        <v>4699</v>
      </c>
      <c r="BH12" s="206" t="s">
        <v>4700</v>
      </c>
      <c r="BI12" s="869" t="s">
        <v>4701</v>
      </c>
      <c r="BJ12" s="1351" t="s">
        <v>4702</v>
      </c>
      <c r="BK12" s="1213" t="s">
        <v>4703</v>
      </c>
      <c r="BL12" s="1220" t="s">
        <v>4704</v>
      </c>
      <c r="BM12" s="1227" t="s">
        <v>4705</v>
      </c>
      <c r="BN12" s="1213" t="s">
        <v>4706</v>
      </c>
      <c r="BO12" s="206" t="s">
        <v>4707</v>
      </c>
    </row>
    <row r="13" spans="1:67" s="65" customFormat="1">
      <c r="A13" s="753"/>
      <c r="B13" s="863" t="s">
        <v>4708</v>
      </c>
      <c r="C13" s="867" t="s">
        <v>4709</v>
      </c>
      <c r="D13" s="867"/>
      <c r="E13" s="2155" t="s">
        <v>8</v>
      </c>
      <c r="F13" s="864">
        <v>3</v>
      </c>
      <c r="G13" s="869">
        <v>0</v>
      </c>
      <c r="H13" s="1350">
        <v>1.5008257499579623E-2</v>
      </c>
      <c r="I13" s="1226">
        <v>4.8550775939859895E-4</v>
      </c>
      <c r="J13" s="1212">
        <v>0</v>
      </c>
      <c r="K13" s="1219">
        <v>0</v>
      </c>
      <c r="L13" s="1212">
        <v>2.740524296312686E-10</v>
      </c>
      <c r="M13" s="206">
        <f t="shared" si="14"/>
        <v>1.5493765533030652E-2</v>
      </c>
      <c r="N13" s="869">
        <v>0</v>
      </c>
      <c r="O13" s="1350">
        <v>0.14449469323520867</v>
      </c>
      <c r="P13" s="1226">
        <v>-1.5879806897091953E-4</v>
      </c>
      <c r="Q13" s="1212">
        <v>0</v>
      </c>
      <c r="R13" s="1219">
        <v>0.13649624835000004</v>
      </c>
      <c r="S13" s="1212">
        <v>0</v>
      </c>
      <c r="T13" s="206">
        <f t="shared" si="0"/>
        <v>0.28083214351623775</v>
      </c>
      <c r="U13" s="1869"/>
      <c r="W13" s="770">
        <f t="shared" si="1"/>
        <v>0</v>
      </c>
      <c r="Y13" s="66"/>
      <c r="AA13" s="86">
        <f t="shared" si="2"/>
        <v>0</v>
      </c>
      <c r="AB13" s="86">
        <f t="shared" si="3"/>
        <v>0</v>
      </c>
      <c r="AC13" s="86">
        <f t="shared" si="4"/>
        <v>0</v>
      </c>
      <c r="AD13" s="86">
        <f t="shared" si="5"/>
        <v>0</v>
      </c>
      <c r="AE13" s="86">
        <f t="shared" si="6"/>
        <v>0</v>
      </c>
      <c r="AF13" s="86">
        <f t="shared" si="7"/>
        <v>0</v>
      </c>
      <c r="AG13" s="78"/>
      <c r="AH13" s="86">
        <f t="shared" si="8"/>
        <v>0</v>
      </c>
      <c r="AI13" s="86">
        <f t="shared" si="9"/>
        <v>0</v>
      </c>
      <c r="AJ13" s="86">
        <f t="shared" si="10"/>
        <v>0</v>
      </c>
      <c r="AK13" s="86">
        <f t="shared" si="11"/>
        <v>0</v>
      </c>
      <c r="AL13" s="86">
        <f t="shared" si="12"/>
        <v>0</v>
      </c>
      <c r="AM13" s="86">
        <f t="shared" si="13"/>
        <v>0</v>
      </c>
      <c r="AN13" s="66"/>
      <c r="AP13" s="66"/>
      <c r="AT13" s="66"/>
      <c r="AW13" s="863" t="s">
        <v>4708</v>
      </c>
      <c r="AX13" s="963" t="s">
        <v>4709</v>
      </c>
      <c r="AY13" s="1548"/>
      <c r="AZ13" s="2155" t="s">
        <v>8</v>
      </c>
      <c r="BA13" s="864">
        <v>3</v>
      </c>
      <c r="BB13" s="869" t="s">
        <v>4710</v>
      </c>
      <c r="BC13" s="1351" t="s">
        <v>4711</v>
      </c>
      <c r="BD13" s="1227" t="s">
        <v>4712</v>
      </c>
      <c r="BE13" s="1213" t="s">
        <v>4713</v>
      </c>
      <c r="BF13" s="1220" t="s">
        <v>4714</v>
      </c>
      <c r="BG13" s="1213" t="s">
        <v>4715</v>
      </c>
      <c r="BH13" s="206" t="s">
        <v>4716</v>
      </c>
      <c r="BI13" s="869" t="s">
        <v>4717</v>
      </c>
      <c r="BJ13" s="1351" t="s">
        <v>4718</v>
      </c>
      <c r="BK13" s="1213" t="s">
        <v>4719</v>
      </c>
      <c r="BL13" s="1220" t="s">
        <v>4720</v>
      </c>
      <c r="BM13" s="1227" t="s">
        <v>4721</v>
      </c>
      <c r="BN13" s="1213" t="s">
        <v>4722</v>
      </c>
      <c r="BO13" s="206" t="s">
        <v>4723</v>
      </c>
    </row>
    <row r="14" spans="1:67" s="65" customFormat="1">
      <c r="A14" s="753"/>
      <c r="B14" s="863" t="s">
        <v>4724</v>
      </c>
      <c r="C14" s="867" t="s">
        <v>4725</v>
      </c>
      <c r="D14" s="867"/>
      <c r="E14" s="2155" t="s">
        <v>8</v>
      </c>
      <c r="F14" s="864">
        <v>3</v>
      </c>
      <c r="G14" s="869">
        <v>0</v>
      </c>
      <c r="H14" s="1350">
        <v>1.3039781536113619</v>
      </c>
      <c r="I14" s="1226">
        <v>0.15268725231472413</v>
      </c>
      <c r="J14" s="1212">
        <v>0</v>
      </c>
      <c r="K14" s="1219">
        <v>1.7655341569683709E-4</v>
      </c>
      <c r="L14" s="1212">
        <v>1.3104092926871703E-5</v>
      </c>
      <c r="M14" s="206">
        <f t="shared" si="14"/>
        <v>1.4568550634347097</v>
      </c>
      <c r="N14" s="869">
        <v>0</v>
      </c>
      <c r="O14" s="1350">
        <v>0.87663000494144283</v>
      </c>
      <c r="P14" s="1226">
        <v>0.15198725193102908</v>
      </c>
      <c r="Q14" s="1212">
        <v>0</v>
      </c>
      <c r="R14" s="1219">
        <v>0.13649624835000004</v>
      </c>
      <c r="S14" s="1212">
        <v>0</v>
      </c>
      <c r="T14" s="206">
        <f t="shared" si="0"/>
        <v>1.1651135052224719</v>
      </c>
      <c r="U14" s="1869"/>
      <c r="W14" s="770">
        <f t="shared" si="1"/>
        <v>0</v>
      </c>
      <c r="Y14" s="66"/>
      <c r="AA14" s="86">
        <f t="shared" si="2"/>
        <v>0</v>
      </c>
      <c r="AB14" s="86">
        <f t="shared" si="3"/>
        <v>0</v>
      </c>
      <c r="AC14" s="86">
        <f t="shared" si="4"/>
        <v>0</v>
      </c>
      <c r="AD14" s="86">
        <f t="shared" si="5"/>
        <v>0</v>
      </c>
      <c r="AE14" s="86">
        <f t="shared" si="6"/>
        <v>0</v>
      </c>
      <c r="AF14" s="86">
        <f t="shared" si="7"/>
        <v>0</v>
      </c>
      <c r="AG14" s="78"/>
      <c r="AH14" s="86">
        <f t="shared" si="8"/>
        <v>0</v>
      </c>
      <c r="AI14" s="86">
        <f t="shared" si="9"/>
        <v>0</v>
      </c>
      <c r="AJ14" s="86">
        <f t="shared" si="10"/>
        <v>0</v>
      </c>
      <c r="AK14" s="86">
        <f t="shared" si="11"/>
        <v>0</v>
      </c>
      <c r="AL14" s="86">
        <f t="shared" si="12"/>
        <v>0</v>
      </c>
      <c r="AM14" s="86">
        <f t="shared" si="13"/>
        <v>0</v>
      </c>
      <c r="AN14" s="66"/>
      <c r="AP14" s="66"/>
      <c r="AT14" s="66"/>
      <c r="AW14" s="863" t="s">
        <v>4724</v>
      </c>
      <c r="AX14" s="963" t="s">
        <v>4725</v>
      </c>
      <c r="AY14" s="1548"/>
      <c r="AZ14" s="2155" t="s">
        <v>8</v>
      </c>
      <c r="BA14" s="864">
        <v>3</v>
      </c>
      <c r="BB14" s="869" t="s">
        <v>4726</v>
      </c>
      <c r="BC14" s="1351" t="s">
        <v>4727</v>
      </c>
      <c r="BD14" s="1227" t="s">
        <v>4728</v>
      </c>
      <c r="BE14" s="1213" t="s">
        <v>4729</v>
      </c>
      <c r="BF14" s="1220" t="s">
        <v>4730</v>
      </c>
      <c r="BG14" s="1213" t="s">
        <v>4731</v>
      </c>
      <c r="BH14" s="206" t="s">
        <v>4732</v>
      </c>
      <c r="BI14" s="869" t="s">
        <v>4733</v>
      </c>
      <c r="BJ14" s="1351" t="s">
        <v>4734</v>
      </c>
      <c r="BK14" s="1213" t="s">
        <v>4735</v>
      </c>
      <c r="BL14" s="1220" t="s">
        <v>4736</v>
      </c>
      <c r="BM14" s="1227" t="s">
        <v>4737</v>
      </c>
      <c r="BN14" s="1213" t="s">
        <v>4738</v>
      </c>
      <c r="BO14" s="206" t="s">
        <v>4739</v>
      </c>
    </row>
    <row r="15" spans="1:67" s="65" customFormat="1">
      <c r="A15" s="753"/>
      <c r="B15" s="863" t="s">
        <v>4740</v>
      </c>
      <c r="C15" s="867" t="s">
        <v>4741</v>
      </c>
      <c r="D15" s="867"/>
      <c r="E15" s="2155" t="s">
        <v>8</v>
      </c>
      <c r="F15" s="864">
        <v>3</v>
      </c>
      <c r="G15" s="869">
        <v>0</v>
      </c>
      <c r="H15" s="1350">
        <v>1.4586597799804931E-3</v>
      </c>
      <c r="I15" s="1226">
        <v>8.9432205269294931E-3</v>
      </c>
      <c r="J15" s="1212">
        <v>0</v>
      </c>
      <c r="K15" s="1219">
        <v>0</v>
      </c>
      <c r="L15" s="1212">
        <v>11.343407703560066</v>
      </c>
      <c r="M15" s="206">
        <f t="shared" si="14"/>
        <v>11.353809583866976</v>
      </c>
      <c r="N15" s="869">
        <v>0</v>
      </c>
      <c r="O15" s="1350">
        <v>0.12893918915000005</v>
      </c>
      <c r="P15" s="1226">
        <v>0</v>
      </c>
      <c r="Q15" s="1212">
        <v>0</v>
      </c>
      <c r="R15" s="1219">
        <v>0.13649624835000004</v>
      </c>
      <c r="S15" s="1212">
        <v>2.824017103178269</v>
      </c>
      <c r="T15" s="206">
        <f t="shared" si="0"/>
        <v>3.0894525406782689</v>
      </c>
      <c r="U15" s="1869"/>
      <c r="W15" s="770">
        <f t="shared" si="1"/>
        <v>0</v>
      </c>
      <c r="Y15" s="66"/>
      <c r="AA15" s="86">
        <f t="shared" si="2"/>
        <v>0</v>
      </c>
      <c r="AB15" s="86">
        <f t="shared" si="3"/>
        <v>0</v>
      </c>
      <c r="AC15" s="86">
        <f t="shared" si="4"/>
        <v>0</v>
      </c>
      <c r="AD15" s="86">
        <f t="shared" si="5"/>
        <v>0</v>
      </c>
      <c r="AE15" s="86">
        <f t="shared" si="6"/>
        <v>0</v>
      </c>
      <c r="AF15" s="86">
        <f t="shared" si="7"/>
        <v>0</v>
      </c>
      <c r="AG15" s="78"/>
      <c r="AH15" s="86">
        <f t="shared" si="8"/>
        <v>0</v>
      </c>
      <c r="AI15" s="86">
        <f t="shared" si="9"/>
        <v>0</v>
      </c>
      <c r="AJ15" s="86">
        <f t="shared" si="10"/>
        <v>0</v>
      </c>
      <c r="AK15" s="86">
        <f t="shared" si="11"/>
        <v>0</v>
      </c>
      <c r="AL15" s="86">
        <f t="shared" si="12"/>
        <v>0</v>
      </c>
      <c r="AM15" s="86">
        <f t="shared" si="13"/>
        <v>0</v>
      </c>
      <c r="AN15" s="66"/>
      <c r="AP15" s="66"/>
      <c r="AT15" s="66"/>
      <c r="AW15" s="863" t="s">
        <v>4740</v>
      </c>
      <c r="AX15" s="963" t="s">
        <v>4741</v>
      </c>
      <c r="AY15" s="1548"/>
      <c r="AZ15" s="2155" t="s">
        <v>8</v>
      </c>
      <c r="BA15" s="864">
        <v>3</v>
      </c>
      <c r="BB15" s="869" t="s">
        <v>4742</v>
      </c>
      <c r="BC15" s="1351" t="s">
        <v>4743</v>
      </c>
      <c r="BD15" s="1227" t="s">
        <v>4744</v>
      </c>
      <c r="BE15" s="1213" t="s">
        <v>4745</v>
      </c>
      <c r="BF15" s="1220" t="s">
        <v>4746</v>
      </c>
      <c r="BG15" s="1213" t="s">
        <v>4747</v>
      </c>
      <c r="BH15" s="206" t="s">
        <v>4748</v>
      </c>
      <c r="BI15" s="869" t="s">
        <v>4749</v>
      </c>
      <c r="BJ15" s="1351" t="s">
        <v>4750</v>
      </c>
      <c r="BK15" s="1213" t="s">
        <v>4751</v>
      </c>
      <c r="BL15" s="1220" t="s">
        <v>4752</v>
      </c>
      <c r="BM15" s="1227" t="s">
        <v>4753</v>
      </c>
      <c r="BN15" s="1213" t="s">
        <v>4754</v>
      </c>
      <c r="BO15" s="206" t="s">
        <v>4755</v>
      </c>
    </row>
    <row r="16" spans="1:67" s="65" customFormat="1">
      <c r="A16" s="753"/>
      <c r="B16" s="863" t="s">
        <v>4756</v>
      </c>
      <c r="C16" s="867" t="s">
        <v>4757</v>
      </c>
      <c r="D16" s="867"/>
      <c r="E16" s="2155" t="s">
        <v>8</v>
      </c>
      <c r="F16" s="864">
        <v>3</v>
      </c>
      <c r="G16" s="869">
        <v>0</v>
      </c>
      <c r="H16" s="1350">
        <v>0.34445884688725481</v>
      </c>
      <c r="I16" s="1226">
        <v>0.13100161137292399</v>
      </c>
      <c r="J16" s="1212">
        <v>0</v>
      </c>
      <c r="K16" s="1219">
        <v>2.6483012354525565E-4</v>
      </c>
      <c r="L16" s="1212">
        <v>5.0650813809622646</v>
      </c>
      <c r="M16" s="206">
        <f t="shared" si="14"/>
        <v>5.5408066693459883</v>
      </c>
      <c r="N16" s="869">
        <v>0</v>
      </c>
      <c r="O16" s="1350">
        <v>0.12893918915000005</v>
      </c>
      <c r="P16" s="1226">
        <v>4.9154235713441729E-3</v>
      </c>
      <c r="Q16" s="1212">
        <v>0</v>
      </c>
      <c r="R16" s="1219">
        <v>0.13649624835000004</v>
      </c>
      <c r="S16" s="1212">
        <v>4.6940291230615934</v>
      </c>
      <c r="T16" s="206">
        <f t="shared" si="0"/>
        <v>4.9643799841329379</v>
      </c>
      <c r="U16" s="1869"/>
      <c r="W16" s="770">
        <f t="shared" si="1"/>
        <v>0</v>
      </c>
      <c r="Y16" s="66"/>
      <c r="AA16" s="86">
        <f t="shared" si="2"/>
        <v>0</v>
      </c>
      <c r="AB16" s="86">
        <f t="shared" si="3"/>
        <v>0</v>
      </c>
      <c r="AC16" s="86">
        <f t="shared" si="4"/>
        <v>0</v>
      </c>
      <c r="AD16" s="86">
        <f t="shared" si="5"/>
        <v>0</v>
      </c>
      <c r="AE16" s="86">
        <f t="shared" si="6"/>
        <v>0</v>
      </c>
      <c r="AF16" s="86">
        <f t="shared" si="7"/>
        <v>0</v>
      </c>
      <c r="AG16" s="78"/>
      <c r="AH16" s="86">
        <f t="shared" si="8"/>
        <v>0</v>
      </c>
      <c r="AI16" s="86">
        <f t="shared" si="9"/>
        <v>0</v>
      </c>
      <c r="AJ16" s="86">
        <f t="shared" si="10"/>
        <v>0</v>
      </c>
      <c r="AK16" s="86">
        <f t="shared" si="11"/>
        <v>0</v>
      </c>
      <c r="AL16" s="86">
        <f t="shared" si="12"/>
        <v>0</v>
      </c>
      <c r="AM16" s="86">
        <f t="shared" si="13"/>
        <v>0</v>
      </c>
      <c r="AN16" s="66"/>
      <c r="AP16" s="66"/>
      <c r="AT16" s="66"/>
      <c r="AW16" s="863" t="s">
        <v>4756</v>
      </c>
      <c r="AX16" s="963" t="s">
        <v>4757</v>
      </c>
      <c r="AY16" s="1548"/>
      <c r="AZ16" s="2155" t="s">
        <v>8</v>
      </c>
      <c r="BA16" s="864">
        <v>3</v>
      </c>
      <c r="BB16" s="869" t="s">
        <v>4758</v>
      </c>
      <c r="BC16" s="1351" t="s">
        <v>4759</v>
      </c>
      <c r="BD16" s="1227" t="s">
        <v>4760</v>
      </c>
      <c r="BE16" s="1213" t="s">
        <v>4761</v>
      </c>
      <c r="BF16" s="1220" t="s">
        <v>4762</v>
      </c>
      <c r="BG16" s="1213" t="s">
        <v>4763</v>
      </c>
      <c r="BH16" s="206" t="s">
        <v>4764</v>
      </c>
      <c r="BI16" s="869" t="s">
        <v>4765</v>
      </c>
      <c r="BJ16" s="1351" t="s">
        <v>4766</v>
      </c>
      <c r="BK16" s="1213" t="s">
        <v>4767</v>
      </c>
      <c r="BL16" s="1220" t="s">
        <v>4768</v>
      </c>
      <c r="BM16" s="1227" t="s">
        <v>4769</v>
      </c>
      <c r="BN16" s="1213" t="s">
        <v>4770</v>
      </c>
      <c r="BO16" s="206" t="s">
        <v>4771</v>
      </c>
    </row>
    <row r="17" spans="1:67" s="65" customFormat="1">
      <c r="A17" s="753"/>
      <c r="B17" s="863" t="s">
        <v>4772</v>
      </c>
      <c r="C17" s="867" t="s">
        <v>4773</v>
      </c>
      <c r="D17" s="867"/>
      <c r="E17" s="2155" t="s">
        <v>8</v>
      </c>
      <c r="F17" s="864">
        <v>3</v>
      </c>
      <c r="G17" s="869">
        <v>0</v>
      </c>
      <c r="H17" s="1350">
        <v>0</v>
      </c>
      <c r="I17" s="1226">
        <v>0</v>
      </c>
      <c r="J17" s="1212">
        <v>0</v>
      </c>
      <c r="K17" s="1219">
        <v>0</v>
      </c>
      <c r="L17" s="1212">
        <v>21.12941567272264</v>
      </c>
      <c r="M17" s="206">
        <f t="shared" si="14"/>
        <v>21.12941567272264</v>
      </c>
      <c r="N17" s="869">
        <v>0</v>
      </c>
      <c r="O17" s="1350">
        <v>0.24024285999999997</v>
      </c>
      <c r="P17" s="1226">
        <v>0</v>
      </c>
      <c r="Q17" s="1212">
        <v>0</v>
      </c>
      <c r="R17" s="1219">
        <v>0</v>
      </c>
      <c r="S17" s="1212">
        <v>26.98400157174278</v>
      </c>
      <c r="T17" s="206">
        <f t="shared" si="0"/>
        <v>27.224244431742779</v>
      </c>
      <c r="U17" s="1869"/>
      <c r="W17" s="770">
        <f t="shared" si="1"/>
        <v>0</v>
      </c>
      <c r="Y17" s="66"/>
      <c r="AA17" s="86">
        <f t="shared" si="2"/>
        <v>0</v>
      </c>
      <c r="AB17" s="86">
        <f t="shared" si="3"/>
        <v>0</v>
      </c>
      <c r="AC17" s="86">
        <f t="shared" si="4"/>
        <v>0</v>
      </c>
      <c r="AD17" s="86">
        <f t="shared" si="5"/>
        <v>0</v>
      </c>
      <c r="AE17" s="86">
        <f t="shared" si="6"/>
        <v>0</v>
      </c>
      <c r="AF17" s="86">
        <f t="shared" si="7"/>
        <v>0</v>
      </c>
      <c r="AG17" s="78"/>
      <c r="AH17" s="86">
        <f t="shared" si="8"/>
        <v>0</v>
      </c>
      <c r="AI17" s="86">
        <f t="shared" si="9"/>
        <v>0</v>
      </c>
      <c r="AJ17" s="86">
        <f t="shared" si="10"/>
        <v>0</v>
      </c>
      <c r="AK17" s="86">
        <f t="shared" si="11"/>
        <v>0</v>
      </c>
      <c r="AL17" s="86">
        <f t="shared" si="12"/>
        <v>0</v>
      </c>
      <c r="AM17" s="86">
        <f t="shared" si="13"/>
        <v>0</v>
      </c>
      <c r="AN17" s="66"/>
      <c r="AP17" s="66"/>
      <c r="AT17" s="66"/>
      <c r="AW17" s="863" t="s">
        <v>4772</v>
      </c>
      <c r="AX17" s="963" t="s">
        <v>4773</v>
      </c>
      <c r="AY17" s="1548"/>
      <c r="AZ17" s="2155" t="s">
        <v>8</v>
      </c>
      <c r="BA17" s="864">
        <v>3</v>
      </c>
      <c r="BB17" s="869" t="s">
        <v>4774</v>
      </c>
      <c r="BC17" s="1351" t="s">
        <v>4775</v>
      </c>
      <c r="BD17" s="1227" t="s">
        <v>4776</v>
      </c>
      <c r="BE17" s="1213" t="s">
        <v>4777</v>
      </c>
      <c r="BF17" s="1220" t="s">
        <v>4778</v>
      </c>
      <c r="BG17" s="1213" t="s">
        <v>4779</v>
      </c>
      <c r="BH17" s="206" t="s">
        <v>4780</v>
      </c>
      <c r="BI17" s="869" t="s">
        <v>4781</v>
      </c>
      <c r="BJ17" s="1351" t="s">
        <v>4782</v>
      </c>
      <c r="BK17" s="1213" t="s">
        <v>4783</v>
      </c>
      <c r="BL17" s="1220" t="s">
        <v>4784</v>
      </c>
      <c r="BM17" s="1227" t="s">
        <v>4785</v>
      </c>
      <c r="BN17" s="1213" t="s">
        <v>4786</v>
      </c>
      <c r="BO17" s="206" t="s">
        <v>4787</v>
      </c>
    </row>
    <row r="18" spans="1:67" s="65" customFormat="1">
      <c r="A18" s="753"/>
      <c r="B18" s="863" t="s">
        <v>4788</v>
      </c>
      <c r="C18" s="867" t="s">
        <v>4789</v>
      </c>
      <c r="D18" s="1495"/>
      <c r="E18" s="2155" t="s">
        <v>8</v>
      </c>
      <c r="F18" s="864">
        <v>3</v>
      </c>
      <c r="G18" s="869">
        <v>0</v>
      </c>
      <c r="H18" s="1350">
        <v>0</v>
      </c>
      <c r="I18" s="1226">
        <v>0</v>
      </c>
      <c r="J18" s="1212">
        <v>0</v>
      </c>
      <c r="K18" s="1219">
        <v>0</v>
      </c>
      <c r="L18" s="1212">
        <v>27.980151380119953</v>
      </c>
      <c r="M18" s="206">
        <f t="shared" si="14"/>
        <v>27.980151380119953</v>
      </c>
      <c r="N18" s="869">
        <v>0</v>
      </c>
      <c r="O18" s="1350">
        <v>0</v>
      </c>
      <c r="P18" s="1226">
        <v>0</v>
      </c>
      <c r="Q18" s="1212">
        <v>0</v>
      </c>
      <c r="R18" s="1219">
        <v>0</v>
      </c>
      <c r="S18" s="1212">
        <v>27.875470145741232</v>
      </c>
      <c r="T18" s="206">
        <f t="shared" si="0"/>
        <v>27.875470145741232</v>
      </c>
      <c r="U18" s="1869"/>
      <c r="W18" s="770">
        <f t="shared" si="1"/>
        <v>0</v>
      </c>
      <c r="Y18" s="66"/>
      <c r="AA18" s="86">
        <f t="shared" si="2"/>
        <v>0</v>
      </c>
      <c r="AB18" s="86">
        <f t="shared" si="3"/>
        <v>0</v>
      </c>
      <c r="AC18" s="86">
        <f t="shared" si="4"/>
        <v>0</v>
      </c>
      <c r="AD18" s="86">
        <f t="shared" si="5"/>
        <v>0</v>
      </c>
      <c r="AE18" s="86">
        <f t="shared" si="6"/>
        <v>0</v>
      </c>
      <c r="AF18" s="86">
        <f t="shared" si="7"/>
        <v>0</v>
      </c>
      <c r="AG18" s="78"/>
      <c r="AH18" s="86">
        <f t="shared" si="8"/>
        <v>0</v>
      </c>
      <c r="AI18" s="86">
        <f t="shared" si="9"/>
        <v>0</v>
      </c>
      <c r="AJ18" s="86">
        <f t="shared" si="10"/>
        <v>0</v>
      </c>
      <c r="AK18" s="86">
        <f t="shared" si="11"/>
        <v>0</v>
      </c>
      <c r="AL18" s="86">
        <f t="shared" si="12"/>
        <v>0</v>
      </c>
      <c r="AM18" s="86">
        <f t="shared" si="13"/>
        <v>0</v>
      </c>
      <c r="AN18" s="66"/>
      <c r="AP18" s="66"/>
      <c r="AT18" s="66"/>
      <c r="AW18" s="863" t="s">
        <v>4788</v>
      </c>
      <c r="AX18" s="963" t="s">
        <v>4789</v>
      </c>
      <c r="AY18" s="1549"/>
      <c r="AZ18" s="2155" t="s">
        <v>8</v>
      </c>
      <c r="BA18" s="864">
        <v>3</v>
      </c>
      <c r="BB18" s="1505" t="s">
        <v>4790</v>
      </c>
      <c r="BC18" s="1506" t="s">
        <v>4791</v>
      </c>
      <c r="BD18" s="1507" t="s">
        <v>4792</v>
      </c>
      <c r="BE18" s="1508" t="s">
        <v>4793</v>
      </c>
      <c r="BF18" s="1509" t="s">
        <v>4794</v>
      </c>
      <c r="BG18" s="1508" t="s">
        <v>4795</v>
      </c>
      <c r="BH18" s="1504" t="s">
        <v>4796</v>
      </c>
      <c r="BI18" s="1505" t="s">
        <v>4797</v>
      </c>
      <c r="BJ18" s="1506" t="s">
        <v>4798</v>
      </c>
      <c r="BK18" s="1508" t="s">
        <v>4799</v>
      </c>
      <c r="BL18" s="1509" t="s">
        <v>4800</v>
      </c>
      <c r="BM18" s="1507" t="s">
        <v>4801</v>
      </c>
      <c r="BN18" s="1508" t="s">
        <v>4802</v>
      </c>
      <c r="BO18" s="1504" t="s">
        <v>4803</v>
      </c>
    </row>
    <row r="19" spans="1:67" s="65" customFormat="1">
      <c r="A19" s="753"/>
      <c r="B19" s="863" t="s">
        <v>4804</v>
      </c>
      <c r="C19" s="867" t="s">
        <v>4805</v>
      </c>
      <c r="D19" s="867"/>
      <c r="E19" s="2155" t="s">
        <v>8</v>
      </c>
      <c r="F19" s="864">
        <v>3</v>
      </c>
      <c r="G19" s="869">
        <v>0</v>
      </c>
      <c r="H19" s="1350">
        <v>0</v>
      </c>
      <c r="I19" s="1226">
        <v>0</v>
      </c>
      <c r="J19" s="1212">
        <v>0</v>
      </c>
      <c r="K19" s="1219">
        <v>0.1724807998006678</v>
      </c>
      <c r="L19" s="1212">
        <v>0</v>
      </c>
      <c r="M19" s="206">
        <f t="shared" si="14"/>
        <v>0.1724807998006678</v>
      </c>
      <c r="N19" s="869">
        <v>0</v>
      </c>
      <c r="O19" s="1350">
        <v>3.300720314917921E-2</v>
      </c>
      <c r="P19" s="1226">
        <v>0</v>
      </c>
      <c r="Q19" s="1212">
        <v>0</v>
      </c>
      <c r="R19" s="1219">
        <v>0.16624026451345952</v>
      </c>
      <c r="S19" s="1212">
        <v>0</v>
      </c>
      <c r="T19" s="206">
        <f t="shared" si="0"/>
        <v>0.19924746766263873</v>
      </c>
      <c r="U19" s="1869"/>
      <c r="W19" s="770">
        <f t="shared" si="1"/>
        <v>0</v>
      </c>
      <c r="Y19" s="66"/>
      <c r="AA19" s="86">
        <f t="shared" si="2"/>
        <v>0</v>
      </c>
      <c r="AB19" s="86">
        <f t="shared" si="3"/>
        <v>0</v>
      </c>
      <c r="AC19" s="86">
        <f t="shared" si="4"/>
        <v>0</v>
      </c>
      <c r="AD19" s="86">
        <f t="shared" si="5"/>
        <v>0</v>
      </c>
      <c r="AE19" s="86">
        <f t="shared" si="6"/>
        <v>0</v>
      </c>
      <c r="AF19" s="86">
        <f t="shared" si="7"/>
        <v>0</v>
      </c>
      <c r="AG19" s="78"/>
      <c r="AH19" s="86">
        <f t="shared" si="8"/>
        <v>0</v>
      </c>
      <c r="AI19" s="86">
        <f t="shared" si="9"/>
        <v>0</v>
      </c>
      <c r="AJ19" s="86">
        <f t="shared" si="10"/>
        <v>0</v>
      </c>
      <c r="AK19" s="86">
        <f t="shared" si="11"/>
        <v>0</v>
      </c>
      <c r="AL19" s="86">
        <f t="shared" si="12"/>
        <v>0</v>
      </c>
      <c r="AM19" s="86">
        <f t="shared" si="13"/>
        <v>0</v>
      </c>
      <c r="AN19" s="66"/>
      <c r="AP19" s="66"/>
      <c r="AT19" s="66"/>
      <c r="AW19" s="863" t="s">
        <v>4804</v>
      </c>
      <c r="AX19" s="963" t="s">
        <v>4805</v>
      </c>
      <c r="AY19" s="1548"/>
      <c r="AZ19" s="2155" t="s">
        <v>8</v>
      </c>
      <c r="BA19" s="864">
        <v>3</v>
      </c>
      <c r="BB19" s="869" t="s">
        <v>4806</v>
      </c>
      <c r="BC19" s="1351" t="s">
        <v>4807</v>
      </c>
      <c r="BD19" s="1227" t="s">
        <v>4808</v>
      </c>
      <c r="BE19" s="1213" t="s">
        <v>4809</v>
      </c>
      <c r="BF19" s="1220" t="s">
        <v>4810</v>
      </c>
      <c r="BG19" s="1213" t="s">
        <v>4811</v>
      </c>
      <c r="BH19" s="206" t="s">
        <v>4812</v>
      </c>
      <c r="BI19" s="869" t="s">
        <v>4813</v>
      </c>
      <c r="BJ19" s="1351" t="s">
        <v>4814</v>
      </c>
      <c r="BK19" s="1213" t="s">
        <v>4815</v>
      </c>
      <c r="BL19" s="1220" t="s">
        <v>4816</v>
      </c>
      <c r="BM19" s="1227" t="s">
        <v>4817</v>
      </c>
      <c r="BN19" s="1213" t="s">
        <v>4818</v>
      </c>
      <c r="BO19" s="206" t="s">
        <v>4819</v>
      </c>
    </row>
    <row r="20" spans="1:67" s="65" customFormat="1">
      <c r="A20" s="753"/>
      <c r="B20" s="863" t="s">
        <v>4820</v>
      </c>
      <c r="C20" s="867" t="s">
        <v>4821</v>
      </c>
      <c r="D20" s="867"/>
      <c r="E20" s="2155" t="s">
        <v>8</v>
      </c>
      <c r="F20" s="864">
        <v>3</v>
      </c>
      <c r="G20" s="869">
        <v>0</v>
      </c>
      <c r="H20" s="1350">
        <v>1.4009195678315742E-2</v>
      </c>
      <c r="I20" s="1226">
        <v>0</v>
      </c>
      <c r="J20" s="1212">
        <v>0</v>
      </c>
      <c r="K20" s="1219">
        <v>-8.0955797233299556E-2</v>
      </c>
      <c r="L20" s="1212">
        <v>2.4694109052444225E-2</v>
      </c>
      <c r="M20" s="206">
        <f t="shared" si="14"/>
        <v>-4.2252492502539596E-2</v>
      </c>
      <c r="N20" s="869">
        <v>0</v>
      </c>
      <c r="O20" s="1350">
        <v>0.49323788000000002</v>
      </c>
      <c r="P20" s="1226">
        <v>2.2469726299999997</v>
      </c>
      <c r="Q20" s="1212">
        <v>0</v>
      </c>
      <c r="R20" s="1219">
        <v>3.3125460743513309E-2</v>
      </c>
      <c r="S20" s="1212">
        <v>0.33611893449690544</v>
      </c>
      <c r="T20" s="206">
        <f t="shared" si="0"/>
        <v>3.1094549052404186</v>
      </c>
      <c r="U20" s="1869"/>
      <c r="W20" s="770">
        <f t="shared" si="1"/>
        <v>0</v>
      </c>
      <c r="Y20" s="66"/>
      <c r="AA20" s="86">
        <f t="shared" si="2"/>
        <v>0</v>
      </c>
      <c r="AB20" s="86">
        <f t="shared" si="3"/>
        <v>0</v>
      </c>
      <c r="AC20" s="86">
        <f t="shared" si="4"/>
        <v>0</v>
      </c>
      <c r="AD20" s="86">
        <f t="shared" si="5"/>
        <v>0</v>
      </c>
      <c r="AE20" s="86">
        <f t="shared" si="6"/>
        <v>0</v>
      </c>
      <c r="AF20" s="86">
        <f t="shared" si="7"/>
        <v>0</v>
      </c>
      <c r="AG20" s="78"/>
      <c r="AH20" s="86">
        <f t="shared" si="8"/>
        <v>0</v>
      </c>
      <c r="AI20" s="86">
        <f t="shared" si="9"/>
        <v>0</v>
      </c>
      <c r="AJ20" s="86">
        <f t="shared" si="10"/>
        <v>0</v>
      </c>
      <c r="AK20" s="86">
        <f t="shared" si="11"/>
        <v>0</v>
      </c>
      <c r="AL20" s="86">
        <f t="shared" si="12"/>
        <v>0</v>
      </c>
      <c r="AM20" s="86">
        <f t="shared" si="13"/>
        <v>0</v>
      </c>
      <c r="AN20" s="66"/>
      <c r="AP20" s="66"/>
      <c r="AT20" s="66"/>
      <c r="AW20" s="863" t="s">
        <v>4820</v>
      </c>
      <c r="AX20" s="963" t="s">
        <v>4821</v>
      </c>
      <c r="AY20" s="1548"/>
      <c r="AZ20" s="2155" t="s">
        <v>8</v>
      </c>
      <c r="BA20" s="864">
        <v>3</v>
      </c>
      <c r="BB20" s="869" t="s">
        <v>4822</v>
      </c>
      <c r="BC20" s="1351" t="s">
        <v>4823</v>
      </c>
      <c r="BD20" s="1227" t="s">
        <v>4824</v>
      </c>
      <c r="BE20" s="1213" t="s">
        <v>4825</v>
      </c>
      <c r="BF20" s="1220" t="s">
        <v>4826</v>
      </c>
      <c r="BG20" s="1213" t="s">
        <v>4827</v>
      </c>
      <c r="BH20" s="206" t="s">
        <v>4828</v>
      </c>
      <c r="BI20" s="869" t="s">
        <v>4829</v>
      </c>
      <c r="BJ20" s="1351" t="s">
        <v>4830</v>
      </c>
      <c r="BK20" s="1213" t="s">
        <v>4831</v>
      </c>
      <c r="BL20" s="1220" t="s">
        <v>4832</v>
      </c>
      <c r="BM20" s="1227" t="s">
        <v>4833</v>
      </c>
      <c r="BN20" s="1213" t="s">
        <v>4834</v>
      </c>
      <c r="BO20" s="206" t="s">
        <v>4835</v>
      </c>
    </row>
    <row r="21" spans="1:67" s="65" customFormat="1">
      <c r="A21" s="753"/>
      <c r="B21" s="863" t="s">
        <v>4836</v>
      </c>
      <c r="C21" s="867" t="s">
        <v>4837</v>
      </c>
      <c r="D21" s="867"/>
      <c r="E21" s="2155" t="s">
        <v>8</v>
      </c>
      <c r="F21" s="864">
        <v>3</v>
      </c>
      <c r="G21" s="869">
        <v>0</v>
      </c>
      <c r="H21" s="1350">
        <v>-1.1958815634792605E-2</v>
      </c>
      <c r="I21" s="1226">
        <v>-4.3786462179907955E-2</v>
      </c>
      <c r="J21" s="1212">
        <v>0</v>
      </c>
      <c r="K21" s="1219">
        <v>7.4971920702022077</v>
      </c>
      <c r="L21" s="1212">
        <v>4.2023084933041694</v>
      </c>
      <c r="M21" s="206">
        <f t="shared" si="14"/>
        <v>11.643755285691675</v>
      </c>
      <c r="N21" s="869">
        <v>0</v>
      </c>
      <c r="O21" s="1350">
        <v>-5.7211518165509623E-2</v>
      </c>
      <c r="P21" s="1226">
        <v>0.11380948677965504</v>
      </c>
      <c r="Q21" s="1212">
        <v>0</v>
      </c>
      <c r="R21" s="1219">
        <v>6.3573826389326893</v>
      </c>
      <c r="S21" s="1212">
        <v>4.9957951265758007</v>
      </c>
      <c r="T21" s="206">
        <f t="shared" si="0"/>
        <v>11.409775734122636</v>
      </c>
      <c r="U21" s="1869"/>
      <c r="W21" s="770">
        <f t="shared" si="1"/>
        <v>0</v>
      </c>
      <c r="Y21" s="66"/>
      <c r="AA21" s="86">
        <f t="shared" si="2"/>
        <v>0</v>
      </c>
      <c r="AB21" s="86">
        <f t="shared" si="3"/>
        <v>0</v>
      </c>
      <c r="AC21" s="86">
        <f t="shared" si="4"/>
        <v>0</v>
      </c>
      <c r="AD21" s="86">
        <f t="shared" si="5"/>
        <v>0</v>
      </c>
      <c r="AE21" s="86">
        <f t="shared" si="6"/>
        <v>0</v>
      </c>
      <c r="AF21" s="86">
        <f t="shared" si="7"/>
        <v>0</v>
      </c>
      <c r="AG21" s="78"/>
      <c r="AH21" s="86">
        <f t="shared" si="8"/>
        <v>0</v>
      </c>
      <c r="AI21" s="86">
        <f t="shared" si="9"/>
        <v>0</v>
      </c>
      <c r="AJ21" s="86">
        <f t="shared" si="10"/>
        <v>0</v>
      </c>
      <c r="AK21" s="86">
        <f t="shared" si="11"/>
        <v>0</v>
      </c>
      <c r="AL21" s="86">
        <f t="shared" si="12"/>
        <v>0</v>
      </c>
      <c r="AM21" s="86">
        <f t="shared" si="13"/>
        <v>0</v>
      </c>
      <c r="AN21" s="66"/>
      <c r="AP21" s="66"/>
      <c r="AT21" s="66"/>
      <c r="AW21" s="863" t="s">
        <v>4836</v>
      </c>
      <c r="AX21" s="963" t="s">
        <v>4837</v>
      </c>
      <c r="AY21" s="1548"/>
      <c r="AZ21" s="2155" t="s">
        <v>8</v>
      </c>
      <c r="BA21" s="864">
        <v>3</v>
      </c>
      <c r="BB21" s="869" t="s">
        <v>4838</v>
      </c>
      <c r="BC21" s="1351" t="s">
        <v>4839</v>
      </c>
      <c r="BD21" s="1227" t="s">
        <v>4840</v>
      </c>
      <c r="BE21" s="1213" t="s">
        <v>4841</v>
      </c>
      <c r="BF21" s="1220" t="s">
        <v>4842</v>
      </c>
      <c r="BG21" s="1213" t="s">
        <v>4843</v>
      </c>
      <c r="BH21" s="206" t="s">
        <v>4844</v>
      </c>
      <c r="BI21" s="869" t="s">
        <v>4845</v>
      </c>
      <c r="BJ21" s="1351" t="s">
        <v>4846</v>
      </c>
      <c r="BK21" s="1213" t="s">
        <v>4847</v>
      </c>
      <c r="BL21" s="1220" t="s">
        <v>4848</v>
      </c>
      <c r="BM21" s="1227" t="s">
        <v>4849</v>
      </c>
      <c r="BN21" s="1213" t="s">
        <v>4850</v>
      </c>
      <c r="BO21" s="206" t="s">
        <v>4851</v>
      </c>
    </row>
    <row r="22" spans="1:67" s="65" customFormat="1">
      <c r="A22" s="753"/>
      <c r="B22" s="863" t="s">
        <v>4852</v>
      </c>
      <c r="C22" s="867" t="s">
        <v>4853</v>
      </c>
      <c r="D22" s="1495"/>
      <c r="E22" s="2155" t="s">
        <v>8</v>
      </c>
      <c r="F22" s="864">
        <v>3</v>
      </c>
      <c r="G22" s="869">
        <v>0</v>
      </c>
      <c r="H22" s="1350">
        <v>0</v>
      </c>
      <c r="I22" s="1226">
        <v>0</v>
      </c>
      <c r="J22" s="1212">
        <v>0</v>
      </c>
      <c r="K22" s="1219">
        <v>0</v>
      </c>
      <c r="L22" s="1212">
        <v>0</v>
      </c>
      <c r="M22" s="206">
        <f t="shared" si="14"/>
        <v>0</v>
      </c>
      <c r="N22" s="869">
        <v>0</v>
      </c>
      <c r="O22" s="1350">
        <v>0</v>
      </c>
      <c r="P22" s="1226">
        <v>0</v>
      </c>
      <c r="Q22" s="1212">
        <v>0</v>
      </c>
      <c r="R22" s="1219">
        <v>0</v>
      </c>
      <c r="S22" s="1212">
        <v>0</v>
      </c>
      <c r="T22" s="206">
        <f t="shared" si="0"/>
        <v>0</v>
      </c>
      <c r="U22" s="1869"/>
      <c r="W22" s="770">
        <f t="shared" si="1"/>
        <v>0</v>
      </c>
      <c r="Y22" s="66"/>
      <c r="AA22" s="86">
        <f t="shared" si="2"/>
        <v>0</v>
      </c>
      <c r="AB22" s="86">
        <f t="shared" si="3"/>
        <v>0</v>
      </c>
      <c r="AC22" s="86">
        <f t="shared" si="4"/>
        <v>0</v>
      </c>
      <c r="AD22" s="86">
        <f t="shared" si="5"/>
        <v>0</v>
      </c>
      <c r="AE22" s="86">
        <f t="shared" si="6"/>
        <v>0</v>
      </c>
      <c r="AF22" s="86">
        <f t="shared" si="7"/>
        <v>0</v>
      </c>
      <c r="AG22" s="78"/>
      <c r="AH22" s="86">
        <f t="shared" si="8"/>
        <v>0</v>
      </c>
      <c r="AI22" s="86">
        <f t="shared" si="9"/>
        <v>0</v>
      </c>
      <c r="AJ22" s="86">
        <f t="shared" si="10"/>
        <v>0</v>
      </c>
      <c r="AK22" s="86">
        <f t="shared" si="11"/>
        <v>0</v>
      </c>
      <c r="AL22" s="86">
        <f t="shared" si="12"/>
        <v>0</v>
      </c>
      <c r="AM22" s="86">
        <f t="shared" si="13"/>
        <v>0</v>
      </c>
      <c r="AN22" s="66"/>
      <c r="AP22" s="66"/>
      <c r="AT22" s="66"/>
      <c r="AW22" s="863" t="s">
        <v>4852</v>
      </c>
      <c r="AX22" s="963" t="s">
        <v>4853</v>
      </c>
      <c r="AY22" s="1549"/>
      <c r="AZ22" s="2155" t="s">
        <v>8</v>
      </c>
      <c r="BA22" s="864">
        <v>3</v>
      </c>
      <c r="BB22" s="1505" t="s">
        <v>4854</v>
      </c>
      <c r="BC22" s="1506" t="s">
        <v>4855</v>
      </c>
      <c r="BD22" s="1507" t="s">
        <v>4856</v>
      </c>
      <c r="BE22" s="1508" t="s">
        <v>4857</v>
      </c>
      <c r="BF22" s="1509" t="s">
        <v>4858</v>
      </c>
      <c r="BG22" s="1508" t="s">
        <v>4859</v>
      </c>
      <c r="BH22" s="1504" t="s">
        <v>4860</v>
      </c>
      <c r="BI22" s="1505" t="s">
        <v>4861</v>
      </c>
      <c r="BJ22" s="1506" t="s">
        <v>4862</v>
      </c>
      <c r="BK22" s="1508" t="s">
        <v>4863</v>
      </c>
      <c r="BL22" s="1509" t="s">
        <v>4864</v>
      </c>
      <c r="BM22" s="1507" t="s">
        <v>4865</v>
      </c>
      <c r="BN22" s="1508" t="s">
        <v>4866</v>
      </c>
      <c r="BO22" s="1504" t="s">
        <v>4867</v>
      </c>
    </row>
    <row r="23" spans="1:67" s="65" customFormat="1">
      <c r="A23" s="753"/>
      <c r="B23" s="863" t="s">
        <v>4868</v>
      </c>
      <c r="C23" s="867" t="s">
        <v>4869</v>
      </c>
      <c r="D23" s="867"/>
      <c r="E23" s="2155" t="s">
        <v>8</v>
      </c>
      <c r="F23" s="864">
        <v>3</v>
      </c>
      <c r="G23" s="869">
        <v>0</v>
      </c>
      <c r="H23" s="1350">
        <v>0</v>
      </c>
      <c r="I23" s="1226">
        <v>0</v>
      </c>
      <c r="J23" s="1212">
        <v>0</v>
      </c>
      <c r="K23" s="1219">
        <v>0</v>
      </c>
      <c r="L23" s="1212">
        <v>0</v>
      </c>
      <c r="M23" s="206">
        <f t="shared" si="14"/>
        <v>0</v>
      </c>
      <c r="N23" s="869">
        <v>0</v>
      </c>
      <c r="O23" s="1350">
        <v>0</v>
      </c>
      <c r="P23" s="1226">
        <v>0</v>
      </c>
      <c r="Q23" s="1212">
        <v>0</v>
      </c>
      <c r="R23" s="1219">
        <v>0</v>
      </c>
      <c r="S23" s="1212">
        <v>0</v>
      </c>
      <c r="T23" s="206">
        <f t="shared" si="0"/>
        <v>0</v>
      </c>
      <c r="U23" s="1869"/>
      <c r="W23" s="770">
        <f t="shared" si="1"/>
        <v>0</v>
      </c>
      <c r="Y23" s="66"/>
      <c r="AA23" s="86">
        <f t="shared" si="2"/>
        <v>0</v>
      </c>
      <c r="AB23" s="86">
        <f t="shared" si="3"/>
        <v>0</v>
      </c>
      <c r="AC23" s="86">
        <f t="shared" si="4"/>
        <v>0</v>
      </c>
      <c r="AD23" s="86">
        <f t="shared" si="5"/>
        <v>0</v>
      </c>
      <c r="AE23" s="86">
        <f t="shared" si="6"/>
        <v>0</v>
      </c>
      <c r="AF23" s="86">
        <f t="shared" si="7"/>
        <v>0</v>
      </c>
      <c r="AG23" s="78"/>
      <c r="AH23" s="86">
        <f t="shared" si="8"/>
        <v>0</v>
      </c>
      <c r="AI23" s="86">
        <f t="shared" si="9"/>
        <v>0</v>
      </c>
      <c r="AJ23" s="86">
        <f t="shared" si="10"/>
        <v>0</v>
      </c>
      <c r="AK23" s="86">
        <f t="shared" si="11"/>
        <v>0</v>
      </c>
      <c r="AL23" s="86">
        <f t="shared" si="12"/>
        <v>0</v>
      </c>
      <c r="AM23" s="86">
        <f t="shared" si="13"/>
        <v>0</v>
      </c>
      <c r="AN23" s="66"/>
      <c r="AP23" s="66"/>
      <c r="AT23" s="66"/>
      <c r="AW23" s="863" t="s">
        <v>4868</v>
      </c>
      <c r="AX23" s="963" t="s">
        <v>4869</v>
      </c>
      <c r="AY23" s="1548"/>
      <c r="AZ23" s="2155" t="s">
        <v>8</v>
      </c>
      <c r="BA23" s="864">
        <v>3</v>
      </c>
      <c r="BB23" s="869" t="s">
        <v>4870</v>
      </c>
      <c r="BC23" s="1351" t="s">
        <v>4871</v>
      </c>
      <c r="BD23" s="1227" t="s">
        <v>4872</v>
      </c>
      <c r="BE23" s="1213" t="s">
        <v>4873</v>
      </c>
      <c r="BF23" s="1220" t="s">
        <v>4874</v>
      </c>
      <c r="BG23" s="1213" t="s">
        <v>4875</v>
      </c>
      <c r="BH23" s="206" t="s">
        <v>4876</v>
      </c>
      <c r="BI23" s="869" t="s">
        <v>4877</v>
      </c>
      <c r="BJ23" s="1351" t="s">
        <v>4878</v>
      </c>
      <c r="BK23" s="1213" t="s">
        <v>4879</v>
      </c>
      <c r="BL23" s="1220" t="s">
        <v>4880</v>
      </c>
      <c r="BM23" s="1227" t="s">
        <v>4881</v>
      </c>
      <c r="BN23" s="1213" t="s">
        <v>4882</v>
      </c>
      <c r="BO23" s="206" t="s">
        <v>4883</v>
      </c>
    </row>
    <row r="24" spans="1:67" s="65" customFormat="1">
      <c r="A24" s="753"/>
      <c r="B24" s="863" t="s">
        <v>4884</v>
      </c>
      <c r="C24" s="867" t="s">
        <v>4885</v>
      </c>
      <c r="D24" s="867"/>
      <c r="E24" s="2155" t="s">
        <v>8</v>
      </c>
      <c r="F24" s="864">
        <v>3</v>
      </c>
      <c r="G24" s="869">
        <v>0</v>
      </c>
      <c r="H24" s="1350">
        <v>0</v>
      </c>
      <c r="I24" s="1226">
        <v>0</v>
      </c>
      <c r="J24" s="1212">
        <v>0</v>
      </c>
      <c r="K24" s="1219">
        <v>0</v>
      </c>
      <c r="L24" s="1212">
        <v>7.3821198652874793</v>
      </c>
      <c r="M24" s="206">
        <f t="shared" si="14"/>
        <v>7.3821198652874793</v>
      </c>
      <c r="N24" s="869">
        <v>0</v>
      </c>
      <c r="O24" s="1350">
        <v>0</v>
      </c>
      <c r="P24" s="1226">
        <v>0</v>
      </c>
      <c r="Q24" s="1212">
        <v>0</v>
      </c>
      <c r="R24" s="1219">
        <v>0</v>
      </c>
      <c r="S24" s="1212">
        <v>7.3482668283703116</v>
      </c>
      <c r="T24" s="206">
        <f t="shared" si="0"/>
        <v>7.3482668283703116</v>
      </c>
      <c r="U24" s="1869"/>
      <c r="W24" s="770">
        <f t="shared" si="1"/>
        <v>0</v>
      </c>
      <c r="Y24" s="66"/>
      <c r="AA24" s="86">
        <f t="shared" si="2"/>
        <v>0</v>
      </c>
      <c r="AB24" s="86">
        <f t="shared" si="3"/>
        <v>0</v>
      </c>
      <c r="AC24" s="86">
        <f t="shared" si="4"/>
        <v>0</v>
      </c>
      <c r="AD24" s="86">
        <f t="shared" si="5"/>
        <v>0</v>
      </c>
      <c r="AE24" s="86">
        <f t="shared" si="6"/>
        <v>0</v>
      </c>
      <c r="AF24" s="86">
        <f t="shared" si="7"/>
        <v>0</v>
      </c>
      <c r="AG24" s="78"/>
      <c r="AH24" s="86">
        <f t="shared" si="8"/>
        <v>0</v>
      </c>
      <c r="AI24" s="86">
        <f t="shared" si="9"/>
        <v>0</v>
      </c>
      <c r="AJ24" s="86">
        <f t="shared" si="10"/>
        <v>0</v>
      </c>
      <c r="AK24" s="86">
        <f t="shared" si="11"/>
        <v>0</v>
      </c>
      <c r="AL24" s="86">
        <f t="shared" si="12"/>
        <v>0</v>
      </c>
      <c r="AM24" s="86">
        <f t="shared" si="13"/>
        <v>0</v>
      </c>
      <c r="AN24" s="66"/>
      <c r="AP24" s="66"/>
      <c r="AT24" s="66"/>
      <c r="AW24" s="863" t="s">
        <v>4884</v>
      </c>
      <c r="AX24" s="963" t="s">
        <v>4885</v>
      </c>
      <c r="AY24" s="1548"/>
      <c r="AZ24" s="2155" t="s">
        <v>8</v>
      </c>
      <c r="BA24" s="864">
        <v>3</v>
      </c>
      <c r="BB24" s="869" t="s">
        <v>4886</v>
      </c>
      <c r="BC24" s="1351" t="s">
        <v>4887</v>
      </c>
      <c r="BD24" s="1227" t="s">
        <v>4888</v>
      </c>
      <c r="BE24" s="1213" t="s">
        <v>4889</v>
      </c>
      <c r="BF24" s="1220" t="s">
        <v>4890</v>
      </c>
      <c r="BG24" s="1213" t="s">
        <v>4891</v>
      </c>
      <c r="BH24" s="206" t="s">
        <v>4892</v>
      </c>
      <c r="BI24" s="869" t="s">
        <v>4893</v>
      </c>
      <c r="BJ24" s="1351" t="s">
        <v>4894</v>
      </c>
      <c r="BK24" s="1213" t="s">
        <v>4895</v>
      </c>
      <c r="BL24" s="1220" t="s">
        <v>4896</v>
      </c>
      <c r="BM24" s="1227" t="s">
        <v>4897</v>
      </c>
      <c r="BN24" s="1213" t="s">
        <v>4898</v>
      </c>
      <c r="BO24" s="206" t="s">
        <v>4899</v>
      </c>
    </row>
    <row r="25" spans="1:67" s="65" customFormat="1">
      <c r="A25" s="753"/>
      <c r="B25" s="863" t="s">
        <v>4900</v>
      </c>
      <c r="C25" s="867" t="s">
        <v>4901</v>
      </c>
      <c r="D25" s="867"/>
      <c r="E25" s="2155" t="s">
        <v>8</v>
      </c>
      <c r="F25" s="864">
        <v>3</v>
      </c>
      <c r="G25" s="869">
        <v>0</v>
      </c>
      <c r="H25" s="1350">
        <v>0</v>
      </c>
      <c r="I25" s="1226">
        <v>0</v>
      </c>
      <c r="J25" s="1212">
        <v>0</v>
      </c>
      <c r="K25" s="1219">
        <v>0</v>
      </c>
      <c r="L25" s="1212">
        <v>45.613796800030372</v>
      </c>
      <c r="M25" s="206">
        <f t="shared" si="14"/>
        <v>45.613796800030372</v>
      </c>
      <c r="N25" s="869">
        <v>0</v>
      </c>
      <c r="O25" s="1350">
        <v>0</v>
      </c>
      <c r="P25" s="1226">
        <v>0</v>
      </c>
      <c r="Q25" s="1212">
        <v>0</v>
      </c>
      <c r="R25" s="1219">
        <v>0</v>
      </c>
      <c r="S25" s="1212">
        <v>45.763924607147011</v>
      </c>
      <c r="T25" s="206">
        <f t="shared" si="0"/>
        <v>45.763924607147011</v>
      </c>
      <c r="U25" s="1869"/>
      <c r="W25" s="770">
        <f t="shared" si="1"/>
        <v>0</v>
      </c>
      <c r="Y25" s="66"/>
      <c r="AA25" s="86">
        <f t="shared" si="2"/>
        <v>0</v>
      </c>
      <c r="AB25" s="86">
        <f t="shared" si="3"/>
        <v>0</v>
      </c>
      <c r="AC25" s="86">
        <f t="shared" si="4"/>
        <v>0</v>
      </c>
      <c r="AD25" s="86">
        <f t="shared" si="5"/>
        <v>0</v>
      </c>
      <c r="AE25" s="86">
        <f t="shared" si="6"/>
        <v>0</v>
      </c>
      <c r="AF25" s="86">
        <f t="shared" si="7"/>
        <v>0</v>
      </c>
      <c r="AG25" s="78"/>
      <c r="AH25" s="86">
        <f t="shared" si="8"/>
        <v>0</v>
      </c>
      <c r="AI25" s="86">
        <f t="shared" si="9"/>
        <v>0</v>
      </c>
      <c r="AJ25" s="86">
        <f t="shared" si="10"/>
        <v>0</v>
      </c>
      <c r="AK25" s="86">
        <f t="shared" si="11"/>
        <v>0</v>
      </c>
      <c r="AL25" s="86">
        <f t="shared" si="12"/>
        <v>0</v>
      </c>
      <c r="AM25" s="86">
        <f t="shared" si="13"/>
        <v>0</v>
      </c>
      <c r="AN25" s="66"/>
      <c r="AP25" s="66"/>
      <c r="AT25" s="66"/>
      <c r="AW25" s="863" t="s">
        <v>4900</v>
      </c>
      <c r="AX25" s="963" t="s">
        <v>4901</v>
      </c>
      <c r="AY25" s="1548"/>
      <c r="AZ25" s="2155" t="s">
        <v>8</v>
      </c>
      <c r="BA25" s="864">
        <v>3</v>
      </c>
      <c r="BB25" s="869" t="s">
        <v>4902</v>
      </c>
      <c r="BC25" s="1351" t="s">
        <v>4903</v>
      </c>
      <c r="BD25" s="1227" t="s">
        <v>4904</v>
      </c>
      <c r="BE25" s="1213" t="s">
        <v>4905</v>
      </c>
      <c r="BF25" s="1220" t="s">
        <v>4906</v>
      </c>
      <c r="BG25" s="1213" t="s">
        <v>4907</v>
      </c>
      <c r="BH25" s="206" t="s">
        <v>4908</v>
      </c>
      <c r="BI25" s="869" t="s">
        <v>4909</v>
      </c>
      <c r="BJ25" s="1351" t="s">
        <v>4910</v>
      </c>
      <c r="BK25" s="1213" t="s">
        <v>4911</v>
      </c>
      <c r="BL25" s="1220" t="s">
        <v>4912</v>
      </c>
      <c r="BM25" s="1227" t="s">
        <v>4913</v>
      </c>
      <c r="BN25" s="1213" t="s">
        <v>4914</v>
      </c>
      <c r="BO25" s="206" t="s">
        <v>4915</v>
      </c>
    </row>
    <row r="26" spans="1:67" s="65" customFormat="1">
      <c r="A26" s="753"/>
      <c r="B26" s="863" t="s">
        <v>4916</v>
      </c>
      <c r="C26" s="867" t="s">
        <v>4917</v>
      </c>
      <c r="D26" s="867"/>
      <c r="E26" s="2155" t="s">
        <v>8</v>
      </c>
      <c r="F26" s="864">
        <v>3</v>
      </c>
      <c r="G26" s="869">
        <v>0</v>
      </c>
      <c r="H26" s="1350">
        <v>0</v>
      </c>
      <c r="I26" s="1226">
        <v>0</v>
      </c>
      <c r="J26" s="1212">
        <v>0</v>
      </c>
      <c r="K26" s="1219">
        <v>0</v>
      </c>
      <c r="L26" s="1212">
        <v>0</v>
      </c>
      <c r="M26" s="206">
        <f t="shared" si="14"/>
        <v>0</v>
      </c>
      <c r="N26" s="869">
        <v>0</v>
      </c>
      <c r="O26" s="1350">
        <v>0</v>
      </c>
      <c r="P26" s="1226">
        <v>0</v>
      </c>
      <c r="Q26" s="1212">
        <v>0</v>
      </c>
      <c r="R26" s="1219">
        <v>0</v>
      </c>
      <c r="S26" s="1212">
        <v>0</v>
      </c>
      <c r="T26" s="206">
        <f t="shared" si="0"/>
        <v>0</v>
      </c>
      <c r="U26" s="1869"/>
      <c r="W26" s="770">
        <f t="shared" si="1"/>
        <v>0</v>
      </c>
      <c r="Y26" s="66"/>
      <c r="AA26" s="86">
        <f t="shared" si="2"/>
        <v>0</v>
      </c>
      <c r="AB26" s="86">
        <f t="shared" si="3"/>
        <v>0</v>
      </c>
      <c r="AC26" s="86">
        <f t="shared" si="4"/>
        <v>0</v>
      </c>
      <c r="AD26" s="86">
        <f t="shared" si="5"/>
        <v>0</v>
      </c>
      <c r="AE26" s="86">
        <f t="shared" si="6"/>
        <v>0</v>
      </c>
      <c r="AF26" s="86">
        <f t="shared" si="7"/>
        <v>0</v>
      </c>
      <c r="AG26" s="78"/>
      <c r="AH26" s="86">
        <f t="shared" si="8"/>
        <v>0</v>
      </c>
      <c r="AI26" s="86">
        <f t="shared" si="9"/>
        <v>0</v>
      </c>
      <c r="AJ26" s="86">
        <f t="shared" si="10"/>
        <v>0</v>
      </c>
      <c r="AK26" s="86">
        <f t="shared" si="11"/>
        <v>0</v>
      </c>
      <c r="AL26" s="86">
        <f t="shared" si="12"/>
        <v>0</v>
      </c>
      <c r="AM26" s="86">
        <f t="shared" si="13"/>
        <v>0</v>
      </c>
      <c r="AN26" s="66"/>
      <c r="AP26" s="66"/>
      <c r="AT26" s="66"/>
      <c r="AW26" s="863" t="s">
        <v>4916</v>
      </c>
      <c r="AX26" s="963" t="s">
        <v>4917</v>
      </c>
      <c r="AY26" s="1548"/>
      <c r="AZ26" s="2155" t="s">
        <v>8</v>
      </c>
      <c r="BA26" s="864">
        <v>3</v>
      </c>
      <c r="BB26" s="869" t="s">
        <v>4918</v>
      </c>
      <c r="BC26" s="1351" t="s">
        <v>4919</v>
      </c>
      <c r="BD26" s="1227" t="s">
        <v>4920</v>
      </c>
      <c r="BE26" s="1213" t="s">
        <v>4921</v>
      </c>
      <c r="BF26" s="1220" t="s">
        <v>4922</v>
      </c>
      <c r="BG26" s="1213" t="s">
        <v>4923</v>
      </c>
      <c r="BH26" s="206" t="s">
        <v>4924</v>
      </c>
      <c r="BI26" s="869" t="s">
        <v>4925</v>
      </c>
      <c r="BJ26" s="1351" t="s">
        <v>4926</v>
      </c>
      <c r="BK26" s="1213" t="s">
        <v>4927</v>
      </c>
      <c r="BL26" s="1220" t="s">
        <v>4928</v>
      </c>
      <c r="BM26" s="1227" t="s">
        <v>4929</v>
      </c>
      <c r="BN26" s="1213" t="s">
        <v>4930</v>
      </c>
      <c r="BO26" s="206" t="s">
        <v>4931</v>
      </c>
    </row>
    <row r="27" spans="1:67" s="65" customFormat="1">
      <c r="A27" s="753"/>
      <c r="B27" s="863" t="s">
        <v>4932</v>
      </c>
      <c r="C27" s="870" t="s">
        <v>4933</v>
      </c>
      <c r="D27" s="867"/>
      <c r="E27" s="2155" t="s">
        <v>8</v>
      </c>
      <c r="F27" s="864">
        <v>3</v>
      </c>
      <c r="G27" s="869">
        <v>0</v>
      </c>
      <c r="H27" s="1350">
        <v>1.4106406511807709E-6</v>
      </c>
      <c r="I27" s="1226">
        <v>0</v>
      </c>
      <c r="J27" s="1212">
        <v>0</v>
      </c>
      <c r="K27" s="1219">
        <v>0</v>
      </c>
      <c r="L27" s="1212">
        <v>0</v>
      </c>
      <c r="M27" s="206">
        <f t="shared" si="14"/>
        <v>1.4106406511807709E-6</v>
      </c>
      <c r="N27" s="869">
        <v>0</v>
      </c>
      <c r="O27" s="1350">
        <v>1.4041735166812448E-6</v>
      </c>
      <c r="P27" s="1226">
        <v>0</v>
      </c>
      <c r="Q27" s="1212">
        <v>0</v>
      </c>
      <c r="R27" s="1219">
        <v>0</v>
      </c>
      <c r="S27" s="1212">
        <v>0</v>
      </c>
      <c r="T27" s="206">
        <f t="shared" si="0"/>
        <v>1.4041735166812448E-6</v>
      </c>
      <c r="U27" s="1869"/>
      <c r="W27" s="770">
        <f>(IF(SUM(AA27:AN27)=0,IF(Z27=1,AS$27,0),$AB$5))</f>
        <v>0</v>
      </c>
      <c r="Y27" s="66"/>
      <c r="Z27" s="86">
        <f xml:space="preserve"> IF( AND(OR($C27 = "Capital expenditure purpose - WATER additional line 1 [Other categories]",$C27=""), OR( G27 &lt;&gt; 0, H27 &lt;&gt; 0, I27 &lt;&gt; 0, J27 &lt;&gt; 0, K27 &lt;&gt; 0, L27 &lt;&gt; 0, N27 &lt;&gt; 0, O27 &lt;&gt; 0, P27 &lt;&gt; 0, Q27 &lt;&gt; 0, R27 &lt;&gt; 0, S27 &lt;&gt; 0) ), 1, 0 )</f>
        <v>0</v>
      </c>
      <c r="AA27" s="86">
        <f t="shared" ref="AA27:AF27" si="15" xml:space="preserve"> IF(AND($C27="Capital expenditure purpose - WATER additional line 1 [Other categories]",$M27=0), 0, IF( ISNUMBER( G27 ), 0, 1 ))</f>
        <v>0</v>
      </c>
      <c r="AB27" s="86">
        <f t="shared" si="15"/>
        <v>0</v>
      </c>
      <c r="AC27" s="86">
        <f t="shared" si="15"/>
        <v>0</v>
      </c>
      <c r="AD27" s="86">
        <f t="shared" si="15"/>
        <v>0</v>
      </c>
      <c r="AE27" s="86">
        <f t="shared" si="15"/>
        <v>0</v>
      </c>
      <c r="AF27" s="86">
        <f t="shared" si="15"/>
        <v>0</v>
      </c>
      <c r="AG27" s="78"/>
      <c r="AH27" s="86">
        <f t="shared" ref="AH27:AM27" si="16" xml:space="preserve"> IF(AND($C27="Capital expenditure purpose - WATER additional line 1 [Other categories]",$M27=0), 0, IF( ISNUMBER( N27 ), 0, 1 ))</f>
        <v>0</v>
      </c>
      <c r="AI27" s="86">
        <f t="shared" si="16"/>
        <v>0</v>
      </c>
      <c r="AJ27" s="86">
        <f t="shared" si="16"/>
        <v>0</v>
      </c>
      <c r="AK27" s="86">
        <f t="shared" si="16"/>
        <v>0</v>
      </c>
      <c r="AL27" s="86">
        <f t="shared" si="16"/>
        <v>0</v>
      </c>
      <c r="AM27" s="86">
        <f t="shared" si="16"/>
        <v>0</v>
      </c>
      <c r="AN27" s="66"/>
      <c r="AP27" s="66"/>
      <c r="AS27" t="s">
        <v>4142</v>
      </c>
      <c r="AT27" s="66"/>
      <c r="AW27" s="863" t="s">
        <v>4932</v>
      </c>
      <c r="AX27" s="1491" t="s">
        <v>4934</v>
      </c>
      <c r="AY27" s="1548"/>
      <c r="AZ27" s="2155" t="s">
        <v>8</v>
      </c>
      <c r="BA27" s="864">
        <v>3</v>
      </c>
      <c r="BB27" s="869" t="s">
        <v>4934</v>
      </c>
      <c r="BC27" s="1351" t="s">
        <v>4935</v>
      </c>
      <c r="BD27" s="1227" t="s">
        <v>4936</v>
      </c>
      <c r="BE27" s="1213" t="s">
        <v>4937</v>
      </c>
      <c r="BF27" s="1220" t="s">
        <v>4938</v>
      </c>
      <c r="BG27" s="1213" t="s">
        <v>4939</v>
      </c>
      <c r="BH27" s="206" t="s">
        <v>4940</v>
      </c>
      <c r="BI27" s="869" t="s">
        <v>4941</v>
      </c>
      <c r="BJ27" s="1351" t="s">
        <v>4942</v>
      </c>
      <c r="BK27" s="1213" t="s">
        <v>4943</v>
      </c>
      <c r="BL27" s="1220" t="s">
        <v>4944</v>
      </c>
      <c r="BM27" s="1227" t="s">
        <v>4945</v>
      </c>
      <c r="BN27" s="1213" t="s">
        <v>4946</v>
      </c>
      <c r="BO27" s="206" t="s">
        <v>4947</v>
      </c>
    </row>
    <row r="28" spans="1:67" s="65" customFormat="1">
      <c r="A28" s="753"/>
      <c r="B28" s="863" t="s">
        <v>4948</v>
      </c>
      <c r="C28" s="870" t="s">
        <v>4949</v>
      </c>
      <c r="D28" s="867"/>
      <c r="E28" s="2155" t="s">
        <v>8</v>
      </c>
      <c r="F28" s="864">
        <v>3</v>
      </c>
      <c r="G28" s="869"/>
      <c r="H28" s="1350"/>
      <c r="I28" s="1226"/>
      <c r="J28" s="1212"/>
      <c r="K28" s="1219"/>
      <c r="L28" s="1212"/>
      <c r="M28" s="206">
        <f t="shared" si="14"/>
        <v>0</v>
      </c>
      <c r="N28" s="869"/>
      <c r="O28" s="1350"/>
      <c r="P28" s="1226"/>
      <c r="Q28" s="1212"/>
      <c r="R28" s="1219"/>
      <c r="S28" s="1212"/>
      <c r="T28" s="206">
        <f t="shared" si="0"/>
        <v>0</v>
      </c>
      <c r="U28" s="1869"/>
      <c r="W28" s="770">
        <f t="shared" ref="W28:W41" si="17">(IF(SUM(AA28:AN28)=0,IF(Z28=1,AS$27,0),$AB$5))</f>
        <v>0</v>
      </c>
      <c r="Y28" s="66"/>
      <c r="Z28" s="86">
        <f xml:space="preserve"> IF( AND(OR($C28 = "Capital expenditure purpose - WATER additional line 2 [Other categories]",$C28=""), OR( G28 &lt;&gt; 0, H28 &lt;&gt; 0, I28 &lt;&gt; 0, J28 &lt;&gt; 0, K28 &lt;&gt; 0, L28 &lt;&gt; 0, N28 &lt;&gt; 0, O28 &lt;&gt; 0, P28 &lt;&gt; 0, Q28 &lt;&gt; 0, R28 &lt;&gt; 0, S28 &lt;&gt; 0) ), 1, 0 )</f>
        <v>0</v>
      </c>
      <c r="AA28" s="86">
        <f t="shared" ref="AA28:AF28" si="18" xml:space="preserve"> IF(AND($C28="Capital expenditure purpose - WATER additional line 2 [Other categories]",$M28=0), 0, IF( ISNUMBER( G28 ), 0, 1 ))</f>
        <v>0</v>
      </c>
      <c r="AB28" s="86">
        <f t="shared" si="18"/>
        <v>0</v>
      </c>
      <c r="AC28" s="86">
        <f t="shared" si="18"/>
        <v>0</v>
      </c>
      <c r="AD28" s="86">
        <f t="shared" si="18"/>
        <v>0</v>
      </c>
      <c r="AE28" s="86">
        <f t="shared" si="18"/>
        <v>0</v>
      </c>
      <c r="AF28" s="86">
        <f t="shared" si="18"/>
        <v>0</v>
      </c>
      <c r="AG28" s="78"/>
      <c r="AH28" s="86">
        <f t="shared" ref="AH28:AM28" si="19" xml:space="preserve"> IF(AND($C28="Capital expenditure purpose - WATER additional line 2 [Other categories]",$M28=0), 0, IF( ISNUMBER( N28 ), 0, 1 ))</f>
        <v>0</v>
      </c>
      <c r="AI28" s="86">
        <f t="shared" si="19"/>
        <v>0</v>
      </c>
      <c r="AJ28" s="86">
        <f t="shared" si="19"/>
        <v>0</v>
      </c>
      <c r="AK28" s="86">
        <f t="shared" si="19"/>
        <v>0</v>
      </c>
      <c r="AL28" s="86">
        <f t="shared" si="19"/>
        <v>0</v>
      </c>
      <c r="AM28" s="86">
        <f t="shared" si="19"/>
        <v>0</v>
      </c>
      <c r="AN28" s="66"/>
      <c r="AP28" s="66"/>
      <c r="AT28" s="66"/>
      <c r="AW28" s="863" t="s">
        <v>4948</v>
      </c>
      <c r="AX28" s="1491" t="s">
        <v>4950</v>
      </c>
      <c r="AY28" s="1548"/>
      <c r="AZ28" s="2155" t="s">
        <v>8</v>
      </c>
      <c r="BA28" s="864">
        <v>3</v>
      </c>
      <c r="BB28" s="869" t="s">
        <v>4950</v>
      </c>
      <c r="BC28" s="1351" t="s">
        <v>4951</v>
      </c>
      <c r="BD28" s="1227" t="s">
        <v>4952</v>
      </c>
      <c r="BE28" s="1213" t="s">
        <v>4953</v>
      </c>
      <c r="BF28" s="1220" t="s">
        <v>4954</v>
      </c>
      <c r="BG28" s="1213" t="s">
        <v>4955</v>
      </c>
      <c r="BH28" s="206" t="s">
        <v>4956</v>
      </c>
      <c r="BI28" s="869" t="s">
        <v>4957</v>
      </c>
      <c r="BJ28" s="1351" t="s">
        <v>4958</v>
      </c>
      <c r="BK28" s="1213" t="s">
        <v>4959</v>
      </c>
      <c r="BL28" s="1220" t="s">
        <v>4960</v>
      </c>
      <c r="BM28" s="1227" t="s">
        <v>4961</v>
      </c>
      <c r="BN28" s="1213" t="s">
        <v>4962</v>
      </c>
      <c r="BO28" s="206" t="s">
        <v>4963</v>
      </c>
    </row>
    <row r="29" spans="1:67" s="65" customFormat="1">
      <c r="A29" s="753"/>
      <c r="B29" s="863" t="s">
        <v>4964</v>
      </c>
      <c r="C29" s="870" t="s">
        <v>4965</v>
      </c>
      <c r="D29" s="867"/>
      <c r="E29" s="2155" t="s">
        <v>8</v>
      </c>
      <c r="F29" s="864">
        <v>3</v>
      </c>
      <c r="G29" s="869"/>
      <c r="H29" s="1350"/>
      <c r="I29" s="1226"/>
      <c r="J29" s="1212"/>
      <c r="K29" s="1219"/>
      <c r="L29" s="1212"/>
      <c r="M29" s="206">
        <f t="shared" si="14"/>
        <v>0</v>
      </c>
      <c r="N29" s="869"/>
      <c r="O29" s="1350"/>
      <c r="P29" s="1226"/>
      <c r="Q29" s="1212"/>
      <c r="R29" s="1219"/>
      <c r="S29" s="1212"/>
      <c r="T29" s="206">
        <f t="shared" si="0"/>
        <v>0</v>
      </c>
      <c r="U29" s="1869"/>
      <c r="W29" s="770">
        <f t="shared" si="17"/>
        <v>0</v>
      </c>
      <c r="Y29" s="66"/>
      <c r="Z29" s="86">
        <f xml:space="preserve"> IF( AND(OR($C29 = "Capital expenditure purpose - WATER additional line 3 [Other categories]",$C29=""), OR( G29 &lt;&gt; 0, H29 &lt;&gt; 0, I29 &lt;&gt; 0, J29 &lt;&gt; 0, K29 &lt;&gt; 0, L29 &lt;&gt; 0, N29 &lt;&gt; 0, O29 &lt;&gt; 0, P29 &lt;&gt; 0, Q29 &lt;&gt; 0, R29 &lt;&gt; 0, S29 &lt;&gt; 0) ), 1, 0 )</f>
        <v>0</v>
      </c>
      <c r="AA29" s="86">
        <f t="shared" ref="AA29:AF29" si="20" xml:space="preserve"> IF(AND($C29="Capital expenditure purpose - WATER additional line 3 [Other categories]",$M29=0), 0, IF( ISNUMBER( G29 ), 0, 1 ))</f>
        <v>0</v>
      </c>
      <c r="AB29" s="86">
        <f t="shared" si="20"/>
        <v>0</v>
      </c>
      <c r="AC29" s="86">
        <f t="shared" si="20"/>
        <v>0</v>
      </c>
      <c r="AD29" s="86">
        <f t="shared" si="20"/>
        <v>0</v>
      </c>
      <c r="AE29" s="86">
        <f t="shared" si="20"/>
        <v>0</v>
      </c>
      <c r="AF29" s="86">
        <f t="shared" si="20"/>
        <v>0</v>
      </c>
      <c r="AG29" s="78"/>
      <c r="AH29" s="86">
        <f t="shared" ref="AH29:AM29" si="21" xml:space="preserve"> IF(AND($C29="Capital expenditure purpose - WATER additional line 3 [Other categories]",$M29=0), 0, IF( ISNUMBER( N29 ), 0, 1 ))</f>
        <v>0</v>
      </c>
      <c r="AI29" s="86">
        <f t="shared" si="21"/>
        <v>0</v>
      </c>
      <c r="AJ29" s="86">
        <f t="shared" si="21"/>
        <v>0</v>
      </c>
      <c r="AK29" s="86">
        <f t="shared" si="21"/>
        <v>0</v>
      </c>
      <c r="AL29" s="86">
        <f t="shared" si="21"/>
        <v>0</v>
      </c>
      <c r="AM29" s="86">
        <f t="shared" si="21"/>
        <v>0</v>
      </c>
      <c r="AN29" s="66"/>
      <c r="AP29" s="66"/>
      <c r="AT29" s="66"/>
      <c r="AW29" s="863" t="s">
        <v>4964</v>
      </c>
      <c r="AX29" s="1491" t="s">
        <v>4966</v>
      </c>
      <c r="AY29" s="1548"/>
      <c r="AZ29" s="2155" t="s">
        <v>8</v>
      </c>
      <c r="BA29" s="864">
        <v>3</v>
      </c>
      <c r="BB29" s="869" t="s">
        <v>4966</v>
      </c>
      <c r="BC29" s="1351" t="s">
        <v>4967</v>
      </c>
      <c r="BD29" s="1227" t="s">
        <v>4968</v>
      </c>
      <c r="BE29" s="1213" t="s">
        <v>4969</v>
      </c>
      <c r="BF29" s="1220" t="s">
        <v>4970</v>
      </c>
      <c r="BG29" s="1213" t="s">
        <v>4971</v>
      </c>
      <c r="BH29" s="206" t="s">
        <v>4972</v>
      </c>
      <c r="BI29" s="869" t="s">
        <v>4973</v>
      </c>
      <c r="BJ29" s="1351" t="s">
        <v>4974</v>
      </c>
      <c r="BK29" s="1213" t="s">
        <v>4975</v>
      </c>
      <c r="BL29" s="1220" t="s">
        <v>4976</v>
      </c>
      <c r="BM29" s="1227" t="s">
        <v>4977</v>
      </c>
      <c r="BN29" s="1213" t="s">
        <v>4978</v>
      </c>
      <c r="BO29" s="206" t="s">
        <v>4979</v>
      </c>
    </row>
    <row r="30" spans="1:67" s="65" customFormat="1">
      <c r="A30" s="753"/>
      <c r="B30" s="863" t="s">
        <v>4980</v>
      </c>
      <c r="C30" s="870" t="s">
        <v>4981</v>
      </c>
      <c r="D30" s="867"/>
      <c r="E30" s="2155" t="s">
        <v>8</v>
      </c>
      <c r="F30" s="864">
        <v>3</v>
      </c>
      <c r="G30" s="869"/>
      <c r="H30" s="1350"/>
      <c r="I30" s="1226"/>
      <c r="J30" s="1212"/>
      <c r="K30" s="1219"/>
      <c r="L30" s="1212"/>
      <c r="M30" s="206">
        <f t="shared" si="14"/>
        <v>0</v>
      </c>
      <c r="N30" s="869"/>
      <c r="O30" s="1350"/>
      <c r="P30" s="1226"/>
      <c r="Q30" s="1212"/>
      <c r="R30" s="1219"/>
      <c r="S30" s="1212"/>
      <c r="T30" s="206">
        <f t="shared" si="0"/>
        <v>0</v>
      </c>
      <c r="U30" s="1869"/>
      <c r="W30" s="770">
        <f t="shared" si="17"/>
        <v>0</v>
      </c>
      <c r="Y30" s="66"/>
      <c r="Z30" s="86">
        <f xml:space="preserve"> IF( AND(OR($C30 = "Capital expenditure purpose - WATER additional line 4 [Other categories]",$C30=""), OR( G30 &lt;&gt; 0, H30 &lt;&gt; 0, I30 &lt;&gt; 0, J30 &lt;&gt; 0, K30 &lt;&gt; 0, L30 &lt;&gt; 0, N30 &lt;&gt; 0, O30 &lt;&gt; 0, P30 &lt;&gt; 0, Q30 &lt;&gt; 0, R30 &lt;&gt; 0, S30 &lt;&gt; 0) ), 1, 0 )</f>
        <v>0</v>
      </c>
      <c r="AA30" s="86">
        <f t="shared" ref="AA30:AF30" si="22" xml:space="preserve"> IF(AND($C30="Capital expenditure purpose - WATER additional line 4 [Other categories]",$M30=0), 0, IF( ISNUMBER( G30 ), 0, 1 ))</f>
        <v>0</v>
      </c>
      <c r="AB30" s="86">
        <f t="shared" si="22"/>
        <v>0</v>
      </c>
      <c r="AC30" s="86">
        <f t="shared" si="22"/>
        <v>0</v>
      </c>
      <c r="AD30" s="86">
        <f t="shared" si="22"/>
        <v>0</v>
      </c>
      <c r="AE30" s="86">
        <f t="shared" si="22"/>
        <v>0</v>
      </c>
      <c r="AF30" s="86">
        <f t="shared" si="22"/>
        <v>0</v>
      </c>
      <c r="AG30" s="78"/>
      <c r="AH30" s="86">
        <f t="shared" ref="AH30:AM30" si="23" xml:space="preserve"> IF(AND($C30="Capital expenditure purpose - WATER additional line 4 [Other categories]",$M30=0), 0, IF( ISNUMBER( N30 ), 0, 1 ))</f>
        <v>0</v>
      </c>
      <c r="AI30" s="86">
        <f t="shared" si="23"/>
        <v>0</v>
      </c>
      <c r="AJ30" s="86">
        <f t="shared" si="23"/>
        <v>0</v>
      </c>
      <c r="AK30" s="86">
        <f t="shared" si="23"/>
        <v>0</v>
      </c>
      <c r="AL30" s="86">
        <f t="shared" si="23"/>
        <v>0</v>
      </c>
      <c r="AM30" s="86">
        <f t="shared" si="23"/>
        <v>0</v>
      </c>
      <c r="AN30" s="66"/>
      <c r="AP30" s="66"/>
      <c r="AT30" s="66"/>
      <c r="AW30" s="863" t="s">
        <v>4980</v>
      </c>
      <c r="AX30" s="1491" t="s">
        <v>4982</v>
      </c>
      <c r="AY30" s="1548"/>
      <c r="AZ30" s="2155" t="s">
        <v>8</v>
      </c>
      <c r="BA30" s="864">
        <v>3</v>
      </c>
      <c r="BB30" s="869" t="s">
        <v>4982</v>
      </c>
      <c r="BC30" s="1351" t="s">
        <v>4983</v>
      </c>
      <c r="BD30" s="1227" t="s">
        <v>4984</v>
      </c>
      <c r="BE30" s="1213" t="s">
        <v>4985</v>
      </c>
      <c r="BF30" s="1220" t="s">
        <v>4986</v>
      </c>
      <c r="BG30" s="1213" t="s">
        <v>4987</v>
      </c>
      <c r="BH30" s="206" t="s">
        <v>4988</v>
      </c>
      <c r="BI30" s="869" t="s">
        <v>4989</v>
      </c>
      <c r="BJ30" s="1351" t="s">
        <v>4990</v>
      </c>
      <c r="BK30" s="1213" t="s">
        <v>4991</v>
      </c>
      <c r="BL30" s="1220" t="s">
        <v>4992</v>
      </c>
      <c r="BM30" s="1227" t="s">
        <v>4993</v>
      </c>
      <c r="BN30" s="1213" t="s">
        <v>4994</v>
      </c>
      <c r="BO30" s="206" t="s">
        <v>4995</v>
      </c>
    </row>
    <row r="31" spans="1:67" s="65" customFormat="1">
      <c r="A31" s="753"/>
      <c r="B31" s="863" t="s">
        <v>4996</v>
      </c>
      <c r="C31" s="870" t="s">
        <v>4997</v>
      </c>
      <c r="D31" s="867"/>
      <c r="E31" s="2155" t="s">
        <v>8</v>
      </c>
      <c r="F31" s="864">
        <v>3</v>
      </c>
      <c r="G31" s="869"/>
      <c r="H31" s="1350"/>
      <c r="I31" s="1226"/>
      <c r="J31" s="1212"/>
      <c r="K31" s="1219"/>
      <c r="L31" s="1212"/>
      <c r="M31" s="206">
        <f t="shared" si="14"/>
        <v>0</v>
      </c>
      <c r="N31" s="869"/>
      <c r="O31" s="1350"/>
      <c r="P31" s="1226"/>
      <c r="Q31" s="1212"/>
      <c r="R31" s="1219"/>
      <c r="S31" s="1212"/>
      <c r="T31" s="206">
        <f t="shared" si="0"/>
        <v>0</v>
      </c>
      <c r="U31" s="1869"/>
      <c r="W31" s="770">
        <f t="shared" si="17"/>
        <v>0</v>
      </c>
      <c r="Y31" s="66"/>
      <c r="Z31" s="86">
        <f xml:space="preserve"> IF( AND(OR($C31 = "Capital expenditure purpose - WATER additional line 5 [Other categories]",$C31=""), OR( G31 &lt;&gt; 0, H31 &lt;&gt; 0, I31 &lt;&gt; 0, J31 &lt;&gt; 0, K31 &lt;&gt; 0, L31 &lt;&gt; 0, N31 &lt;&gt; 0, O31 &lt;&gt; 0, P31 &lt;&gt; 0, Q31 &lt;&gt; 0, R31 &lt;&gt; 0, S31 &lt;&gt; 0) ), 1, 0 )</f>
        <v>0</v>
      </c>
      <c r="AA31" s="86">
        <f t="shared" ref="AA31:AF31" si="24" xml:space="preserve"> IF(AND($C31="Capital expenditure purpose - WATER additional line 5 [Other categories]",$M31=0), 0, IF( ISNUMBER( G31 ), 0, 1 ))</f>
        <v>0</v>
      </c>
      <c r="AB31" s="86">
        <f t="shared" si="24"/>
        <v>0</v>
      </c>
      <c r="AC31" s="86">
        <f t="shared" si="24"/>
        <v>0</v>
      </c>
      <c r="AD31" s="86">
        <f t="shared" si="24"/>
        <v>0</v>
      </c>
      <c r="AE31" s="86">
        <f t="shared" si="24"/>
        <v>0</v>
      </c>
      <c r="AF31" s="86">
        <f t="shared" si="24"/>
        <v>0</v>
      </c>
      <c r="AG31" s="78"/>
      <c r="AH31" s="86">
        <f t="shared" ref="AH31:AM31" si="25" xml:space="preserve"> IF(AND($C31="Capital expenditure purpose - WATER additional line 5 [Other categories]",$M31=0), 0, IF( ISNUMBER( N31 ), 0, 1 ))</f>
        <v>0</v>
      </c>
      <c r="AI31" s="86">
        <f t="shared" si="25"/>
        <v>0</v>
      </c>
      <c r="AJ31" s="86">
        <f t="shared" si="25"/>
        <v>0</v>
      </c>
      <c r="AK31" s="86">
        <f t="shared" si="25"/>
        <v>0</v>
      </c>
      <c r="AL31" s="86">
        <f t="shared" si="25"/>
        <v>0</v>
      </c>
      <c r="AM31" s="86">
        <f t="shared" si="25"/>
        <v>0</v>
      </c>
      <c r="AN31" s="66"/>
      <c r="AP31" s="66"/>
      <c r="AT31" s="66"/>
      <c r="AW31" s="863" t="s">
        <v>4996</v>
      </c>
      <c r="AX31" s="1491" t="s">
        <v>4998</v>
      </c>
      <c r="AY31" s="1548"/>
      <c r="AZ31" s="2155" t="s">
        <v>8</v>
      </c>
      <c r="BA31" s="864">
        <v>3</v>
      </c>
      <c r="BB31" s="869" t="s">
        <v>4998</v>
      </c>
      <c r="BC31" s="1351" t="s">
        <v>4999</v>
      </c>
      <c r="BD31" s="1227" t="s">
        <v>5000</v>
      </c>
      <c r="BE31" s="1213" t="s">
        <v>5001</v>
      </c>
      <c r="BF31" s="1220" t="s">
        <v>5002</v>
      </c>
      <c r="BG31" s="1213" t="s">
        <v>5003</v>
      </c>
      <c r="BH31" s="206" t="s">
        <v>5004</v>
      </c>
      <c r="BI31" s="869" t="s">
        <v>5005</v>
      </c>
      <c r="BJ31" s="1351" t="s">
        <v>5006</v>
      </c>
      <c r="BK31" s="1213" t="s">
        <v>5007</v>
      </c>
      <c r="BL31" s="1220" t="s">
        <v>5008</v>
      </c>
      <c r="BM31" s="1227" t="s">
        <v>5009</v>
      </c>
      <c r="BN31" s="1213" t="s">
        <v>5010</v>
      </c>
      <c r="BO31" s="206" t="s">
        <v>5011</v>
      </c>
    </row>
    <row r="32" spans="1:67" s="65" customFormat="1">
      <c r="A32" s="753"/>
      <c r="B32" s="863" t="s">
        <v>5012</v>
      </c>
      <c r="C32" s="870" t="s">
        <v>5013</v>
      </c>
      <c r="D32" s="867"/>
      <c r="E32" s="2155" t="s">
        <v>8</v>
      </c>
      <c r="F32" s="864">
        <v>3</v>
      </c>
      <c r="G32" s="869"/>
      <c r="H32" s="1350"/>
      <c r="I32" s="1226"/>
      <c r="J32" s="1212"/>
      <c r="K32" s="1219"/>
      <c r="L32" s="1212"/>
      <c r="M32" s="206">
        <f t="shared" si="14"/>
        <v>0</v>
      </c>
      <c r="N32" s="869"/>
      <c r="O32" s="1350"/>
      <c r="P32" s="1226"/>
      <c r="Q32" s="1212"/>
      <c r="R32" s="1219"/>
      <c r="S32" s="1212"/>
      <c r="T32" s="206">
        <f t="shared" si="0"/>
        <v>0</v>
      </c>
      <c r="U32" s="1869"/>
      <c r="W32" s="770">
        <f t="shared" si="17"/>
        <v>0</v>
      </c>
      <c r="Y32" s="66"/>
      <c r="Z32" s="86">
        <f xml:space="preserve"> IF( AND(OR($C32 = "Capital expenditure purpose - WATER additional line 6 [Other categories]",$C32=""), OR( G32 &lt;&gt; 0, H32 &lt;&gt; 0, I32 &lt;&gt; 0, J32 &lt;&gt; 0, K32 &lt;&gt; 0, L32 &lt;&gt; 0, N32 &lt;&gt; 0, O32 &lt;&gt; 0, P32 &lt;&gt; 0, Q32 &lt;&gt; 0, R32 &lt;&gt; 0, S32 &lt;&gt; 0) ), 1, 0 )</f>
        <v>0</v>
      </c>
      <c r="AA32" s="86">
        <f t="shared" ref="AA32:AF32" si="26" xml:space="preserve"> IF(AND($C32="Capital expenditure purpose - WATER additional line 6 [Other categories]",$M32=0), 0, IF( ISNUMBER( G32 ), 0, 1 ))</f>
        <v>0</v>
      </c>
      <c r="AB32" s="86">
        <f t="shared" si="26"/>
        <v>0</v>
      </c>
      <c r="AC32" s="86">
        <f t="shared" si="26"/>
        <v>0</v>
      </c>
      <c r="AD32" s="86">
        <f t="shared" si="26"/>
        <v>0</v>
      </c>
      <c r="AE32" s="86">
        <f t="shared" si="26"/>
        <v>0</v>
      </c>
      <c r="AF32" s="86">
        <f t="shared" si="26"/>
        <v>0</v>
      </c>
      <c r="AG32" s="78"/>
      <c r="AH32" s="86">
        <f t="shared" ref="AH32:AM32" si="27" xml:space="preserve"> IF(AND($C32="Capital expenditure purpose - WATER additional line 6 [Other categories]",$M32=0), 0, IF( ISNUMBER( N32 ), 0, 1 ))</f>
        <v>0</v>
      </c>
      <c r="AI32" s="86">
        <f t="shared" si="27"/>
        <v>0</v>
      </c>
      <c r="AJ32" s="86">
        <f t="shared" si="27"/>
        <v>0</v>
      </c>
      <c r="AK32" s="86">
        <f t="shared" si="27"/>
        <v>0</v>
      </c>
      <c r="AL32" s="86">
        <f t="shared" si="27"/>
        <v>0</v>
      </c>
      <c r="AM32" s="86">
        <f t="shared" si="27"/>
        <v>0</v>
      </c>
      <c r="AN32" s="66"/>
      <c r="AP32" s="66"/>
      <c r="AT32" s="66"/>
      <c r="AW32" s="863" t="s">
        <v>5012</v>
      </c>
      <c r="AX32" s="1491" t="s">
        <v>5014</v>
      </c>
      <c r="AY32" s="1548"/>
      <c r="AZ32" s="2155" t="s">
        <v>8</v>
      </c>
      <c r="BA32" s="864">
        <v>3</v>
      </c>
      <c r="BB32" s="869" t="s">
        <v>5014</v>
      </c>
      <c r="BC32" s="1351" t="s">
        <v>5015</v>
      </c>
      <c r="BD32" s="1227" t="s">
        <v>5016</v>
      </c>
      <c r="BE32" s="1213" t="s">
        <v>5017</v>
      </c>
      <c r="BF32" s="1220" t="s">
        <v>5018</v>
      </c>
      <c r="BG32" s="1213" t="s">
        <v>5019</v>
      </c>
      <c r="BH32" s="206" t="s">
        <v>5020</v>
      </c>
      <c r="BI32" s="869" t="s">
        <v>5021</v>
      </c>
      <c r="BJ32" s="1351" t="s">
        <v>5022</v>
      </c>
      <c r="BK32" s="1213" t="s">
        <v>5023</v>
      </c>
      <c r="BL32" s="1220" t="s">
        <v>5024</v>
      </c>
      <c r="BM32" s="1227" t="s">
        <v>5025</v>
      </c>
      <c r="BN32" s="1213" t="s">
        <v>5026</v>
      </c>
      <c r="BO32" s="206" t="s">
        <v>5027</v>
      </c>
    </row>
    <row r="33" spans="1:67" s="65" customFormat="1">
      <c r="A33" s="753"/>
      <c r="B33" s="863" t="s">
        <v>5028</v>
      </c>
      <c r="C33" s="870" t="s">
        <v>5029</v>
      </c>
      <c r="D33" s="867"/>
      <c r="E33" s="2155" t="s">
        <v>8</v>
      </c>
      <c r="F33" s="864">
        <v>3</v>
      </c>
      <c r="G33" s="869"/>
      <c r="H33" s="1350"/>
      <c r="I33" s="1226"/>
      <c r="J33" s="1212"/>
      <c r="K33" s="1219"/>
      <c r="L33" s="1212"/>
      <c r="M33" s="206">
        <f t="shared" si="14"/>
        <v>0</v>
      </c>
      <c r="N33" s="869"/>
      <c r="O33" s="1350"/>
      <c r="P33" s="1226"/>
      <c r="Q33" s="1212"/>
      <c r="R33" s="1219"/>
      <c r="S33" s="1212"/>
      <c r="T33" s="206">
        <f t="shared" si="0"/>
        <v>0</v>
      </c>
      <c r="U33" s="1869"/>
      <c r="W33" s="770">
        <f t="shared" si="17"/>
        <v>0</v>
      </c>
      <c r="Y33" s="66"/>
      <c r="Z33" s="86">
        <f xml:space="preserve"> IF( AND(OR($C33 = "Capital expenditure purpose - WATER additional line 7 [Other categories]",$C33=""), OR( G33 &lt;&gt; 0, H33 &lt;&gt; 0, I33 &lt;&gt; 0, J33 &lt;&gt; 0, K33 &lt;&gt; 0, L33 &lt;&gt; 0, N33 &lt;&gt; 0, O33 &lt;&gt; 0, P33 &lt;&gt; 0, Q33 &lt;&gt; 0, R33 &lt;&gt; 0, S33 &lt;&gt; 0) ), 1, 0 )</f>
        <v>0</v>
      </c>
      <c r="AA33" s="86">
        <f t="shared" ref="AA33:AF33" si="28" xml:space="preserve"> IF(AND($C33="Capital expenditure purpose - WATER additional line 7 [Other categories]",$M33=0), 0, IF( ISNUMBER( G33 ), 0, 1 ))</f>
        <v>0</v>
      </c>
      <c r="AB33" s="86">
        <f t="shared" si="28"/>
        <v>0</v>
      </c>
      <c r="AC33" s="86">
        <f t="shared" si="28"/>
        <v>0</v>
      </c>
      <c r="AD33" s="86">
        <f t="shared" si="28"/>
        <v>0</v>
      </c>
      <c r="AE33" s="86">
        <f t="shared" si="28"/>
        <v>0</v>
      </c>
      <c r="AF33" s="86">
        <f t="shared" si="28"/>
        <v>0</v>
      </c>
      <c r="AG33" s="78"/>
      <c r="AH33" s="86">
        <f t="shared" ref="AH33:AM33" si="29" xml:space="preserve"> IF(AND($C33="Capital expenditure purpose - WATER additional line 7 [Other categories]",$M33=0), 0, IF( ISNUMBER( N33 ), 0, 1 ))</f>
        <v>0</v>
      </c>
      <c r="AI33" s="86">
        <f t="shared" si="29"/>
        <v>0</v>
      </c>
      <c r="AJ33" s="86">
        <f t="shared" si="29"/>
        <v>0</v>
      </c>
      <c r="AK33" s="86">
        <f t="shared" si="29"/>
        <v>0</v>
      </c>
      <c r="AL33" s="86">
        <f t="shared" si="29"/>
        <v>0</v>
      </c>
      <c r="AM33" s="86">
        <f t="shared" si="29"/>
        <v>0</v>
      </c>
      <c r="AN33" s="66"/>
      <c r="AP33" s="66"/>
      <c r="AT33" s="66"/>
      <c r="AW33" s="863" t="s">
        <v>5028</v>
      </c>
      <c r="AX33" s="1491" t="s">
        <v>5030</v>
      </c>
      <c r="AY33" s="1548"/>
      <c r="AZ33" s="2155" t="s">
        <v>8</v>
      </c>
      <c r="BA33" s="864">
        <v>3</v>
      </c>
      <c r="BB33" s="869" t="s">
        <v>5030</v>
      </c>
      <c r="BC33" s="1351" t="s">
        <v>5031</v>
      </c>
      <c r="BD33" s="1227" t="s">
        <v>5032</v>
      </c>
      <c r="BE33" s="1213" t="s">
        <v>5033</v>
      </c>
      <c r="BF33" s="1220" t="s">
        <v>5034</v>
      </c>
      <c r="BG33" s="1213" t="s">
        <v>5035</v>
      </c>
      <c r="BH33" s="206" t="s">
        <v>5036</v>
      </c>
      <c r="BI33" s="869" t="s">
        <v>5037</v>
      </c>
      <c r="BJ33" s="1351" t="s">
        <v>5038</v>
      </c>
      <c r="BK33" s="1213" t="s">
        <v>5039</v>
      </c>
      <c r="BL33" s="1220" t="s">
        <v>5040</v>
      </c>
      <c r="BM33" s="1227" t="s">
        <v>5041</v>
      </c>
      <c r="BN33" s="1213" t="s">
        <v>5042</v>
      </c>
      <c r="BO33" s="206" t="s">
        <v>5043</v>
      </c>
    </row>
    <row r="34" spans="1:67" s="65" customFormat="1">
      <c r="A34" s="753"/>
      <c r="B34" s="863" t="s">
        <v>5044</v>
      </c>
      <c r="C34" s="870" t="s">
        <v>5045</v>
      </c>
      <c r="D34" s="867"/>
      <c r="E34" s="2155" t="s">
        <v>8</v>
      </c>
      <c r="F34" s="864">
        <v>3</v>
      </c>
      <c r="G34" s="869"/>
      <c r="H34" s="1350"/>
      <c r="I34" s="1226"/>
      <c r="J34" s="1212"/>
      <c r="K34" s="1219"/>
      <c r="L34" s="1212"/>
      <c r="M34" s="206">
        <f t="shared" si="14"/>
        <v>0</v>
      </c>
      <c r="N34" s="869"/>
      <c r="O34" s="1350"/>
      <c r="P34" s="1226"/>
      <c r="Q34" s="1212"/>
      <c r="R34" s="1219"/>
      <c r="S34" s="1212"/>
      <c r="T34" s="206">
        <f t="shared" si="0"/>
        <v>0</v>
      </c>
      <c r="U34" s="1869"/>
      <c r="W34" s="770">
        <f t="shared" si="17"/>
        <v>0</v>
      </c>
      <c r="Y34" s="66"/>
      <c r="Z34" s="86">
        <f xml:space="preserve"> IF( AND(OR($C34 = "Capital expenditure purpose - WATER additional line 8 [Other categories]",$C34=""), OR( G34 &lt;&gt; 0, H34 &lt;&gt; 0, I34 &lt;&gt; 0, J34 &lt;&gt; 0, K34 &lt;&gt; 0, L34 &lt;&gt; 0, N34 &lt;&gt; 0, O34 &lt;&gt; 0, P34 &lt;&gt; 0, Q34 &lt;&gt; 0, R34 &lt;&gt; 0, S34 &lt;&gt; 0) ), 1, 0 )</f>
        <v>0</v>
      </c>
      <c r="AA34" s="86">
        <f t="shared" ref="AA34:AF34" si="30" xml:space="preserve"> IF(AND($C34="Capital expenditure purpose - WATER additional line 8 [Other categories]",$M34=0), 0, IF( ISNUMBER( G34 ), 0, 1 ))</f>
        <v>0</v>
      </c>
      <c r="AB34" s="86">
        <f t="shared" si="30"/>
        <v>0</v>
      </c>
      <c r="AC34" s="86">
        <f t="shared" si="30"/>
        <v>0</v>
      </c>
      <c r="AD34" s="86">
        <f t="shared" si="30"/>
        <v>0</v>
      </c>
      <c r="AE34" s="86">
        <f t="shared" si="30"/>
        <v>0</v>
      </c>
      <c r="AF34" s="86">
        <f t="shared" si="30"/>
        <v>0</v>
      </c>
      <c r="AG34" s="78"/>
      <c r="AH34" s="86">
        <f t="shared" ref="AH34:AM34" si="31" xml:space="preserve"> IF(AND($C34="Capital expenditure purpose - WATER additional line 8 [Other categories]",$M34=0), 0, IF( ISNUMBER( N34 ), 0, 1 ))</f>
        <v>0</v>
      </c>
      <c r="AI34" s="86">
        <f t="shared" si="31"/>
        <v>0</v>
      </c>
      <c r="AJ34" s="86">
        <f t="shared" si="31"/>
        <v>0</v>
      </c>
      <c r="AK34" s="86">
        <f t="shared" si="31"/>
        <v>0</v>
      </c>
      <c r="AL34" s="86">
        <f t="shared" si="31"/>
        <v>0</v>
      </c>
      <c r="AM34" s="86">
        <f t="shared" si="31"/>
        <v>0</v>
      </c>
      <c r="AN34" s="66"/>
      <c r="AP34" s="66"/>
      <c r="AT34" s="66"/>
      <c r="AW34" s="863" t="s">
        <v>5044</v>
      </c>
      <c r="AX34" s="1491" t="s">
        <v>5046</v>
      </c>
      <c r="AY34" s="1548"/>
      <c r="AZ34" s="2155" t="s">
        <v>8</v>
      </c>
      <c r="BA34" s="864">
        <v>3</v>
      </c>
      <c r="BB34" s="869" t="s">
        <v>5046</v>
      </c>
      <c r="BC34" s="1351" t="s">
        <v>5047</v>
      </c>
      <c r="BD34" s="1227" t="s">
        <v>5048</v>
      </c>
      <c r="BE34" s="1213" t="s">
        <v>5049</v>
      </c>
      <c r="BF34" s="1220" t="s">
        <v>5050</v>
      </c>
      <c r="BG34" s="1213" t="s">
        <v>5051</v>
      </c>
      <c r="BH34" s="206" t="s">
        <v>5052</v>
      </c>
      <c r="BI34" s="869" t="s">
        <v>5053</v>
      </c>
      <c r="BJ34" s="1351" t="s">
        <v>5054</v>
      </c>
      <c r="BK34" s="1213" t="s">
        <v>5055</v>
      </c>
      <c r="BL34" s="1220" t="s">
        <v>5056</v>
      </c>
      <c r="BM34" s="1227" t="s">
        <v>5057</v>
      </c>
      <c r="BN34" s="1213" t="s">
        <v>5058</v>
      </c>
      <c r="BO34" s="206" t="s">
        <v>5059</v>
      </c>
    </row>
    <row r="35" spans="1:67" s="65" customFormat="1">
      <c r="A35" s="753"/>
      <c r="B35" s="863" t="s">
        <v>5060</v>
      </c>
      <c r="C35" s="870" t="s">
        <v>5061</v>
      </c>
      <c r="D35" s="867"/>
      <c r="E35" s="2155" t="s">
        <v>8</v>
      </c>
      <c r="F35" s="864">
        <v>3</v>
      </c>
      <c r="G35" s="869"/>
      <c r="H35" s="1350"/>
      <c r="I35" s="1226"/>
      <c r="J35" s="1212"/>
      <c r="K35" s="1219"/>
      <c r="L35" s="1212"/>
      <c r="M35" s="206">
        <f t="shared" si="14"/>
        <v>0</v>
      </c>
      <c r="N35" s="869"/>
      <c r="O35" s="1350"/>
      <c r="P35" s="1226"/>
      <c r="Q35" s="1212"/>
      <c r="R35" s="1219"/>
      <c r="S35" s="1212"/>
      <c r="T35" s="206">
        <f t="shared" si="0"/>
        <v>0</v>
      </c>
      <c r="U35" s="1869"/>
      <c r="W35" s="770">
        <f t="shared" si="17"/>
        <v>0</v>
      </c>
      <c r="Y35" s="66"/>
      <c r="Z35" s="86">
        <f xml:space="preserve"> IF( AND(OR($C35 = "Capital expenditure purpose - WATER additional line 9 [Other categories]",$C35=""), OR( G35 &lt;&gt; 0, H35 &lt;&gt; 0, I35 &lt;&gt; 0, J35 &lt;&gt; 0, K35 &lt;&gt; 0, L35 &lt;&gt; 0, N35 &lt;&gt; 0, O35 &lt;&gt; 0, P35 &lt;&gt; 0, Q35 &lt;&gt; 0, R35 &lt;&gt; 0, S35 &lt;&gt; 0) ), 1, 0 )</f>
        <v>0</v>
      </c>
      <c r="AA35" s="86">
        <f t="shared" ref="AA35:AF35" si="32" xml:space="preserve"> IF(AND($C35="Capital expenditure purpose - WATER additional line 9 [Other categories]",$M35=0), 0, IF( ISNUMBER( G35 ), 0, 1 ))</f>
        <v>0</v>
      </c>
      <c r="AB35" s="86">
        <f t="shared" si="32"/>
        <v>0</v>
      </c>
      <c r="AC35" s="86">
        <f t="shared" si="32"/>
        <v>0</v>
      </c>
      <c r="AD35" s="86">
        <f t="shared" si="32"/>
        <v>0</v>
      </c>
      <c r="AE35" s="86">
        <f t="shared" si="32"/>
        <v>0</v>
      </c>
      <c r="AF35" s="86">
        <f t="shared" si="32"/>
        <v>0</v>
      </c>
      <c r="AG35" s="78"/>
      <c r="AH35" s="86">
        <f t="shared" ref="AH35:AM35" si="33" xml:space="preserve"> IF(AND($C35="Capital expenditure purpose - WATER additional line 9 [Other categories]",$M35=0), 0, IF( ISNUMBER( N35 ), 0, 1 ))</f>
        <v>0</v>
      </c>
      <c r="AI35" s="86">
        <f t="shared" si="33"/>
        <v>0</v>
      </c>
      <c r="AJ35" s="86">
        <f t="shared" si="33"/>
        <v>0</v>
      </c>
      <c r="AK35" s="86">
        <f t="shared" si="33"/>
        <v>0</v>
      </c>
      <c r="AL35" s="86">
        <f t="shared" si="33"/>
        <v>0</v>
      </c>
      <c r="AM35" s="86">
        <f t="shared" si="33"/>
        <v>0</v>
      </c>
      <c r="AN35" s="66"/>
      <c r="AP35" s="66"/>
      <c r="AT35" s="66"/>
      <c r="AW35" s="863" t="s">
        <v>5060</v>
      </c>
      <c r="AX35" s="1491" t="s">
        <v>5062</v>
      </c>
      <c r="AY35" s="1548"/>
      <c r="AZ35" s="2155" t="s">
        <v>8</v>
      </c>
      <c r="BA35" s="864">
        <v>3</v>
      </c>
      <c r="BB35" s="869" t="s">
        <v>5062</v>
      </c>
      <c r="BC35" s="1351" t="s">
        <v>5063</v>
      </c>
      <c r="BD35" s="1227" t="s">
        <v>5064</v>
      </c>
      <c r="BE35" s="1213" t="s">
        <v>5065</v>
      </c>
      <c r="BF35" s="1220" t="s">
        <v>5066</v>
      </c>
      <c r="BG35" s="1213" t="s">
        <v>5067</v>
      </c>
      <c r="BH35" s="206" t="s">
        <v>5068</v>
      </c>
      <c r="BI35" s="869" t="s">
        <v>5069</v>
      </c>
      <c r="BJ35" s="1351" t="s">
        <v>5070</v>
      </c>
      <c r="BK35" s="1213" t="s">
        <v>5071</v>
      </c>
      <c r="BL35" s="1220" t="s">
        <v>5072</v>
      </c>
      <c r="BM35" s="1227" t="s">
        <v>5073</v>
      </c>
      <c r="BN35" s="1213" t="s">
        <v>5074</v>
      </c>
      <c r="BO35" s="206" t="s">
        <v>5075</v>
      </c>
    </row>
    <row r="36" spans="1:67" s="65" customFormat="1">
      <c r="A36" s="753"/>
      <c r="B36" s="863" t="s">
        <v>5076</v>
      </c>
      <c r="C36" s="870" t="s">
        <v>5077</v>
      </c>
      <c r="D36" s="966"/>
      <c r="E36" s="2155" t="s">
        <v>8</v>
      </c>
      <c r="F36" s="864">
        <v>3</v>
      </c>
      <c r="G36" s="869"/>
      <c r="H36" s="1350"/>
      <c r="I36" s="1226"/>
      <c r="J36" s="1212"/>
      <c r="K36" s="1219"/>
      <c r="L36" s="1212"/>
      <c r="M36" s="206">
        <f t="shared" si="14"/>
        <v>0</v>
      </c>
      <c r="N36" s="869"/>
      <c r="O36" s="1350"/>
      <c r="P36" s="1226"/>
      <c r="Q36" s="1212"/>
      <c r="R36" s="1219"/>
      <c r="S36" s="1212"/>
      <c r="T36" s="206">
        <f t="shared" ref="T36:T40" si="34">SUM(N36:S36)</f>
        <v>0</v>
      </c>
      <c r="U36" s="1869"/>
      <c r="W36" s="770">
        <f t="shared" si="17"/>
        <v>0</v>
      </c>
      <c r="Y36" s="66"/>
      <c r="Z36" s="86">
        <f xml:space="preserve"> IF( AND(OR($C36 = "Capital expenditure purpose - WATER additional line 10 [Other categories]",$C36=""), OR( G36 &lt;&gt; 0, H36 &lt;&gt; 0, I36 &lt;&gt; 0, J36 &lt;&gt; 0, K36 &lt;&gt; 0, L36 &lt;&gt; 0, N36 &lt;&gt; 0, O36 &lt;&gt; 0, P36 &lt;&gt; 0, Q36 &lt;&gt; 0, R36 &lt;&gt; 0, S36 &lt;&gt; 0) ), 1, 0 )</f>
        <v>0</v>
      </c>
      <c r="AA36" s="86">
        <f t="shared" ref="AA36:AF36" si="35" xml:space="preserve"> IF(AND($C36="Capital expenditure purpose - WATER additional line 10 [Other categories]",$M36=0), 0, IF( ISNUMBER( G36 ), 0, 1 ))</f>
        <v>0</v>
      </c>
      <c r="AB36" s="86">
        <f t="shared" si="35"/>
        <v>0</v>
      </c>
      <c r="AC36" s="86">
        <f t="shared" si="35"/>
        <v>0</v>
      </c>
      <c r="AD36" s="86">
        <f t="shared" si="35"/>
        <v>0</v>
      </c>
      <c r="AE36" s="86">
        <f t="shared" si="35"/>
        <v>0</v>
      </c>
      <c r="AF36" s="86">
        <f t="shared" si="35"/>
        <v>0</v>
      </c>
      <c r="AG36" s="78"/>
      <c r="AH36" s="86">
        <f t="shared" ref="AH36:AM36" si="36" xml:space="preserve"> IF(AND($C36="Capital expenditure purpose - WATER additional line 10 [Other categories]",$M36=0), 0, IF( ISNUMBER( N36 ), 0, 1 ))</f>
        <v>0</v>
      </c>
      <c r="AI36" s="86">
        <f t="shared" si="36"/>
        <v>0</v>
      </c>
      <c r="AJ36" s="86">
        <f t="shared" si="36"/>
        <v>0</v>
      </c>
      <c r="AK36" s="86">
        <f t="shared" si="36"/>
        <v>0</v>
      </c>
      <c r="AL36" s="86">
        <f t="shared" si="36"/>
        <v>0</v>
      </c>
      <c r="AM36" s="86">
        <f t="shared" si="36"/>
        <v>0</v>
      </c>
      <c r="AN36" s="66"/>
      <c r="AP36" s="66"/>
      <c r="AT36" s="66"/>
      <c r="AW36" s="863" t="s">
        <v>5076</v>
      </c>
      <c r="AX36" s="1491" t="s">
        <v>5078</v>
      </c>
      <c r="AY36" s="1550"/>
      <c r="AZ36" s="2155" t="s">
        <v>8</v>
      </c>
      <c r="BA36" s="864">
        <v>3</v>
      </c>
      <c r="BB36" s="876" t="s">
        <v>5078</v>
      </c>
      <c r="BC36" s="1352" t="s">
        <v>5079</v>
      </c>
      <c r="BD36" s="1259" t="s">
        <v>5080</v>
      </c>
      <c r="BE36" s="1214" t="s">
        <v>5081</v>
      </c>
      <c r="BF36" s="1258" t="s">
        <v>5082</v>
      </c>
      <c r="BG36" s="1214" t="s">
        <v>5083</v>
      </c>
      <c r="BH36" s="206" t="s">
        <v>5084</v>
      </c>
      <c r="BI36" s="876" t="s">
        <v>5085</v>
      </c>
      <c r="BJ36" s="1352" t="s">
        <v>5086</v>
      </c>
      <c r="BK36" s="1214" t="s">
        <v>5087</v>
      </c>
      <c r="BL36" s="1258" t="s">
        <v>5088</v>
      </c>
      <c r="BM36" s="1259" t="s">
        <v>5089</v>
      </c>
      <c r="BN36" s="1214" t="s">
        <v>5090</v>
      </c>
      <c r="BO36" s="206" t="s">
        <v>5091</v>
      </c>
    </row>
    <row r="37" spans="1:67" s="65" customFormat="1">
      <c r="A37" s="753"/>
      <c r="B37" s="863" t="s">
        <v>5092</v>
      </c>
      <c r="C37" s="870" t="s">
        <v>5093</v>
      </c>
      <c r="D37" s="966"/>
      <c r="E37" s="2155" t="s">
        <v>8</v>
      </c>
      <c r="F37" s="864">
        <v>3</v>
      </c>
      <c r="G37" s="869"/>
      <c r="H37" s="1350"/>
      <c r="I37" s="1226"/>
      <c r="J37" s="1212"/>
      <c r="K37" s="1219"/>
      <c r="L37" s="1212"/>
      <c r="M37" s="206">
        <f t="shared" si="14"/>
        <v>0</v>
      </c>
      <c r="N37" s="869"/>
      <c r="O37" s="1350"/>
      <c r="P37" s="1226"/>
      <c r="Q37" s="1212"/>
      <c r="R37" s="1219"/>
      <c r="S37" s="1212"/>
      <c r="T37" s="206">
        <f t="shared" si="34"/>
        <v>0</v>
      </c>
      <c r="U37" s="1869"/>
      <c r="W37" s="770">
        <f t="shared" si="17"/>
        <v>0</v>
      </c>
      <c r="Y37" s="66"/>
      <c r="Z37" s="86">
        <f xml:space="preserve"> IF( AND(OR($C37 = "Capital expenditure purpose - WATER additional line 11 [Other categories]",$C37=""), OR( G37 &lt;&gt; 0, H37 &lt;&gt; 0, I37 &lt;&gt; 0, J37 &lt;&gt; 0, K37 &lt;&gt; 0, L37 &lt;&gt; 0, N37 &lt;&gt; 0, O37 &lt;&gt; 0, P37 &lt;&gt; 0, Q37 &lt;&gt; 0, R37 &lt;&gt; 0, S37 &lt;&gt; 0) ), 1, 0 )</f>
        <v>0</v>
      </c>
      <c r="AA37" s="86">
        <f t="shared" ref="AA37:AF37" si="37" xml:space="preserve"> IF(AND($C37="Capital expenditure purpose - WATER additional line 11 [Other categories]",$M37=0), 0, IF( ISNUMBER( G37 ), 0, 1 ))</f>
        <v>0</v>
      </c>
      <c r="AB37" s="86">
        <f t="shared" si="37"/>
        <v>0</v>
      </c>
      <c r="AC37" s="86">
        <f t="shared" si="37"/>
        <v>0</v>
      </c>
      <c r="AD37" s="86">
        <f t="shared" si="37"/>
        <v>0</v>
      </c>
      <c r="AE37" s="86">
        <f t="shared" si="37"/>
        <v>0</v>
      </c>
      <c r="AF37" s="86">
        <f t="shared" si="37"/>
        <v>0</v>
      </c>
      <c r="AG37" s="78"/>
      <c r="AH37" s="86">
        <f t="shared" ref="AH37:AM37" si="38" xml:space="preserve"> IF(AND($C37="Capital expenditure purpose - WATER additional line 11 [Other categories]",$M37=0), 0, IF( ISNUMBER( N37 ), 0, 1 ))</f>
        <v>0</v>
      </c>
      <c r="AI37" s="86">
        <f t="shared" si="38"/>
        <v>0</v>
      </c>
      <c r="AJ37" s="86">
        <f t="shared" si="38"/>
        <v>0</v>
      </c>
      <c r="AK37" s="86">
        <f t="shared" si="38"/>
        <v>0</v>
      </c>
      <c r="AL37" s="86">
        <f t="shared" si="38"/>
        <v>0</v>
      </c>
      <c r="AM37" s="86">
        <f t="shared" si="38"/>
        <v>0</v>
      </c>
      <c r="AN37" s="66"/>
      <c r="AP37" s="66"/>
      <c r="AT37" s="66"/>
      <c r="AW37" s="863" t="s">
        <v>5092</v>
      </c>
      <c r="AX37" s="1491" t="s">
        <v>5094</v>
      </c>
      <c r="AY37" s="1550"/>
      <c r="AZ37" s="2155" t="s">
        <v>8</v>
      </c>
      <c r="BA37" s="864">
        <v>3</v>
      </c>
      <c r="BB37" s="876" t="s">
        <v>5094</v>
      </c>
      <c r="BC37" s="1352" t="s">
        <v>5095</v>
      </c>
      <c r="BD37" s="1259" t="s">
        <v>5096</v>
      </c>
      <c r="BE37" s="1214" t="s">
        <v>5097</v>
      </c>
      <c r="BF37" s="1258" t="s">
        <v>5098</v>
      </c>
      <c r="BG37" s="1214" t="s">
        <v>5099</v>
      </c>
      <c r="BH37" s="206" t="s">
        <v>5100</v>
      </c>
      <c r="BI37" s="876" t="s">
        <v>5101</v>
      </c>
      <c r="BJ37" s="1352" t="s">
        <v>5102</v>
      </c>
      <c r="BK37" s="1214" t="s">
        <v>5103</v>
      </c>
      <c r="BL37" s="1258" t="s">
        <v>5104</v>
      </c>
      <c r="BM37" s="1259" t="s">
        <v>5105</v>
      </c>
      <c r="BN37" s="1214" t="s">
        <v>5106</v>
      </c>
      <c r="BO37" s="206" t="s">
        <v>5107</v>
      </c>
    </row>
    <row r="38" spans="1:67" s="65" customFormat="1">
      <c r="A38" s="753"/>
      <c r="B38" s="863" t="s">
        <v>5108</v>
      </c>
      <c r="C38" s="870" t="s">
        <v>5109</v>
      </c>
      <c r="D38" s="966"/>
      <c r="E38" s="2155" t="s">
        <v>8</v>
      </c>
      <c r="F38" s="864">
        <v>3</v>
      </c>
      <c r="G38" s="869"/>
      <c r="H38" s="1350"/>
      <c r="I38" s="1226"/>
      <c r="J38" s="1212"/>
      <c r="K38" s="1219"/>
      <c r="L38" s="1212"/>
      <c r="M38" s="206">
        <f t="shared" si="14"/>
        <v>0</v>
      </c>
      <c r="N38" s="869"/>
      <c r="O38" s="1350"/>
      <c r="P38" s="1226"/>
      <c r="Q38" s="1212"/>
      <c r="R38" s="1219"/>
      <c r="S38" s="1212"/>
      <c r="T38" s="206">
        <f t="shared" si="34"/>
        <v>0</v>
      </c>
      <c r="U38" s="1869"/>
      <c r="W38" s="770">
        <f t="shared" si="17"/>
        <v>0</v>
      </c>
      <c r="Y38" s="66"/>
      <c r="Z38" s="86">
        <f xml:space="preserve"> IF( AND(OR($C38 = "Capital expenditure purpose - WATER additional line 12 [Other categories]",$C38=""), OR( G38 &lt;&gt; 0, H38 &lt;&gt; 0, I38 &lt;&gt; 0, J38 &lt;&gt; 0, K38 &lt;&gt; 0, L38 &lt;&gt; 0, N38 &lt;&gt; 0, O38 &lt;&gt; 0, P38 &lt;&gt; 0, Q38 &lt;&gt; 0, R38 &lt;&gt; 0, S38 &lt;&gt; 0) ), 1, 0 )</f>
        <v>0</v>
      </c>
      <c r="AA38" s="86">
        <f t="shared" ref="AA38:AF38" si="39" xml:space="preserve"> IF(AND($C38="Capital expenditure purpose - WATER additional line 12 [Other categories]",$M38=0), 0, IF( ISNUMBER( G38 ), 0, 1 ))</f>
        <v>0</v>
      </c>
      <c r="AB38" s="86">
        <f t="shared" si="39"/>
        <v>0</v>
      </c>
      <c r="AC38" s="86">
        <f t="shared" si="39"/>
        <v>0</v>
      </c>
      <c r="AD38" s="86">
        <f t="shared" si="39"/>
        <v>0</v>
      </c>
      <c r="AE38" s="86">
        <f t="shared" si="39"/>
        <v>0</v>
      </c>
      <c r="AF38" s="86">
        <f t="shared" si="39"/>
        <v>0</v>
      </c>
      <c r="AG38" s="78"/>
      <c r="AH38" s="86">
        <f t="shared" ref="AH38:AM38" si="40" xml:space="preserve"> IF(AND($C38="Capital expenditure purpose - WATER additional line 12 [Other categories]",$M38=0), 0, IF( ISNUMBER( N38 ), 0, 1 ))</f>
        <v>0</v>
      </c>
      <c r="AI38" s="86">
        <f t="shared" si="40"/>
        <v>0</v>
      </c>
      <c r="AJ38" s="86">
        <f t="shared" si="40"/>
        <v>0</v>
      </c>
      <c r="AK38" s="86">
        <f t="shared" si="40"/>
        <v>0</v>
      </c>
      <c r="AL38" s="86">
        <f t="shared" si="40"/>
        <v>0</v>
      </c>
      <c r="AM38" s="86">
        <f t="shared" si="40"/>
        <v>0</v>
      </c>
      <c r="AN38" s="66"/>
      <c r="AP38" s="66"/>
      <c r="AT38" s="66"/>
      <c r="AW38" s="863" t="s">
        <v>5108</v>
      </c>
      <c r="AX38" s="1491" t="s">
        <v>5110</v>
      </c>
      <c r="AY38" s="1550"/>
      <c r="AZ38" s="2155" t="s">
        <v>8</v>
      </c>
      <c r="BA38" s="864">
        <v>3</v>
      </c>
      <c r="BB38" s="876" t="s">
        <v>5110</v>
      </c>
      <c r="BC38" s="1352" t="s">
        <v>5111</v>
      </c>
      <c r="BD38" s="1259" t="s">
        <v>5112</v>
      </c>
      <c r="BE38" s="1214" t="s">
        <v>5113</v>
      </c>
      <c r="BF38" s="1258" t="s">
        <v>5114</v>
      </c>
      <c r="BG38" s="1214" t="s">
        <v>5115</v>
      </c>
      <c r="BH38" s="206" t="s">
        <v>5116</v>
      </c>
      <c r="BI38" s="876" t="s">
        <v>5117</v>
      </c>
      <c r="BJ38" s="1352" t="s">
        <v>5118</v>
      </c>
      <c r="BK38" s="1214" t="s">
        <v>5119</v>
      </c>
      <c r="BL38" s="1258" t="s">
        <v>5120</v>
      </c>
      <c r="BM38" s="1259" t="s">
        <v>5121</v>
      </c>
      <c r="BN38" s="1214" t="s">
        <v>5122</v>
      </c>
      <c r="BO38" s="206" t="s">
        <v>5123</v>
      </c>
    </row>
    <row r="39" spans="1:67" s="65" customFormat="1">
      <c r="A39" s="753"/>
      <c r="B39" s="863" t="s">
        <v>5124</v>
      </c>
      <c r="C39" s="870" t="s">
        <v>5125</v>
      </c>
      <c r="D39" s="966"/>
      <c r="E39" s="2155" t="s">
        <v>8</v>
      </c>
      <c r="F39" s="864">
        <v>3</v>
      </c>
      <c r="G39" s="869"/>
      <c r="H39" s="1350"/>
      <c r="I39" s="1226"/>
      <c r="J39" s="1212"/>
      <c r="K39" s="1219"/>
      <c r="L39" s="1212"/>
      <c r="M39" s="206">
        <f t="shared" si="14"/>
        <v>0</v>
      </c>
      <c r="N39" s="869"/>
      <c r="O39" s="1350"/>
      <c r="P39" s="1226"/>
      <c r="Q39" s="1212"/>
      <c r="R39" s="1219"/>
      <c r="S39" s="1212"/>
      <c r="T39" s="206">
        <f t="shared" si="34"/>
        <v>0</v>
      </c>
      <c r="U39" s="1869"/>
      <c r="W39" s="770">
        <f t="shared" si="17"/>
        <v>0</v>
      </c>
      <c r="Y39" s="66"/>
      <c r="Z39" s="86">
        <f xml:space="preserve"> IF( AND(OR($C39 = "Capital expenditure purpose - WATER additional line 13 [Other categories]",$C39=""), OR( G39 &lt;&gt; 0, H39 &lt;&gt; 0, I39 &lt;&gt; 0, J39 &lt;&gt; 0, K39 &lt;&gt; 0, L39 &lt;&gt; 0, N39 &lt;&gt; 0, O39 &lt;&gt; 0, P39 &lt;&gt; 0, Q39 &lt;&gt; 0, R39 &lt;&gt; 0, S39 &lt;&gt; 0) ), 1, 0 )</f>
        <v>0</v>
      </c>
      <c r="AA39" s="86">
        <f t="shared" ref="AA39:AF39" si="41" xml:space="preserve"> IF(AND($C39="Capital expenditure purpose - WATER additional line 13 [Other categories]",$M39=0), 0, IF( ISNUMBER( G39 ), 0, 1 ))</f>
        <v>0</v>
      </c>
      <c r="AB39" s="86">
        <f t="shared" si="41"/>
        <v>0</v>
      </c>
      <c r="AC39" s="86">
        <f t="shared" si="41"/>
        <v>0</v>
      </c>
      <c r="AD39" s="86">
        <f t="shared" si="41"/>
        <v>0</v>
      </c>
      <c r="AE39" s="86">
        <f t="shared" si="41"/>
        <v>0</v>
      </c>
      <c r="AF39" s="86">
        <f t="shared" si="41"/>
        <v>0</v>
      </c>
      <c r="AG39" s="78"/>
      <c r="AH39" s="86">
        <f t="shared" ref="AH39:AM39" si="42" xml:space="preserve"> IF(AND($C39="Capital expenditure purpose - WATER additional line 13 [Other categories]",$M39=0), 0, IF( ISNUMBER( N39 ), 0, 1 ))</f>
        <v>0</v>
      </c>
      <c r="AI39" s="86">
        <f t="shared" si="42"/>
        <v>0</v>
      </c>
      <c r="AJ39" s="86">
        <f t="shared" si="42"/>
        <v>0</v>
      </c>
      <c r="AK39" s="86">
        <f t="shared" si="42"/>
        <v>0</v>
      </c>
      <c r="AL39" s="86">
        <f t="shared" si="42"/>
        <v>0</v>
      </c>
      <c r="AM39" s="86">
        <f t="shared" si="42"/>
        <v>0</v>
      </c>
      <c r="AN39" s="66"/>
      <c r="AP39" s="66"/>
      <c r="AT39" s="66"/>
      <c r="AW39" s="863" t="s">
        <v>5124</v>
      </c>
      <c r="AX39" s="1491" t="s">
        <v>5126</v>
      </c>
      <c r="AY39" s="1550"/>
      <c r="AZ39" s="2155" t="s">
        <v>8</v>
      </c>
      <c r="BA39" s="864">
        <v>3</v>
      </c>
      <c r="BB39" s="876" t="s">
        <v>5126</v>
      </c>
      <c r="BC39" s="1352" t="s">
        <v>5127</v>
      </c>
      <c r="BD39" s="1259" t="s">
        <v>5128</v>
      </c>
      <c r="BE39" s="1214" t="s">
        <v>5129</v>
      </c>
      <c r="BF39" s="1258" t="s">
        <v>5130</v>
      </c>
      <c r="BG39" s="1214" t="s">
        <v>5131</v>
      </c>
      <c r="BH39" s="206" t="s">
        <v>5132</v>
      </c>
      <c r="BI39" s="876" t="s">
        <v>5133</v>
      </c>
      <c r="BJ39" s="1352" t="s">
        <v>5134</v>
      </c>
      <c r="BK39" s="1214" t="s">
        <v>5135</v>
      </c>
      <c r="BL39" s="1258" t="s">
        <v>5136</v>
      </c>
      <c r="BM39" s="1259" t="s">
        <v>5137</v>
      </c>
      <c r="BN39" s="1214" t="s">
        <v>5138</v>
      </c>
      <c r="BO39" s="206" t="s">
        <v>5139</v>
      </c>
    </row>
    <row r="40" spans="1:67" s="65" customFormat="1">
      <c r="A40" s="753"/>
      <c r="B40" s="863" t="s">
        <v>5140</v>
      </c>
      <c r="C40" s="870" t="s">
        <v>5141</v>
      </c>
      <c r="D40" s="966"/>
      <c r="E40" s="2155" t="s">
        <v>8</v>
      </c>
      <c r="F40" s="864">
        <v>3</v>
      </c>
      <c r="G40" s="869"/>
      <c r="H40" s="1350"/>
      <c r="I40" s="1226"/>
      <c r="J40" s="1212"/>
      <c r="K40" s="1219"/>
      <c r="L40" s="1212"/>
      <c r="M40" s="206">
        <f t="shared" si="14"/>
        <v>0</v>
      </c>
      <c r="N40" s="869"/>
      <c r="O40" s="1350"/>
      <c r="P40" s="1226"/>
      <c r="Q40" s="1212"/>
      <c r="R40" s="1219"/>
      <c r="S40" s="1212"/>
      <c r="T40" s="206">
        <f t="shared" si="34"/>
        <v>0</v>
      </c>
      <c r="U40" s="1869"/>
      <c r="W40" s="770">
        <f t="shared" si="17"/>
        <v>0</v>
      </c>
      <c r="Y40" s="66"/>
      <c r="Z40" s="86">
        <f xml:space="preserve"> IF( AND(OR($C40 = "Capital expenditure purpose - WATER additional line 14 [Other categories]",$C40=""), OR( G40 &lt;&gt; 0, H40 &lt;&gt; 0, I40 &lt;&gt; 0, J40 &lt;&gt; 0, K40 &lt;&gt; 0, L40 &lt;&gt; 0, N40 &lt;&gt; 0, O40 &lt;&gt; 0, P40 &lt;&gt; 0, Q40 &lt;&gt; 0, R40 &lt;&gt; 0, S40 &lt;&gt; 0) ), 1, 0 )</f>
        <v>0</v>
      </c>
      <c r="AA40" s="86">
        <f t="shared" ref="AA40:AF40" si="43" xml:space="preserve"> IF(AND($C40="Capital expenditure purpose - WATER additional line 14 [Other categories]",$M40=0), 0, IF( ISNUMBER( G40 ), 0, 1 ))</f>
        <v>0</v>
      </c>
      <c r="AB40" s="86">
        <f t="shared" si="43"/>
        <v>0</v>
      </c>
      <c r="AC40" s="86">
        <f t="shared" si="43"/>
        <v>0</v>
      </c>
      <c r="AD40" s="86">
        <f t="shared" si="43"/>
        <v>0</v>
      </c>
      <c r="AE40" s="86">
        <f t="shared" si="43"/>
        <v>0</v>
      </c>
      <c r="AF40" s="86">
        <f t="shared" si="43"/>
        <v>0</v>
      </c>
      <c r="AG40" s="78"/>
      <c r="AH40" s="86">
        <f t="shared" ref="AH40:AM40" si="44" xml:space="preserve"> IF(AND($C40="Capital expenditure purpose - WATER additional line 14 [Other categories]",$M40=0), 0, IF( ISNUMBER( N40 ), 0, 1 ))</f>
        <v>0</v>
      </c>
      <c r="AI40" s="86">
        <f t="shared" si="44"/>
        <v>0</v>
      </c>
      <c r="AJ40" s="86">
        <f t="shared" si="44"/>
        <v>0</v>
      </c>
      <c r="AK40" s="86">
        <f t="shared" si="44"/>
        <v>0</v>
      </c>
      <c r="AL40" s="86">
        <f t="shared" si="44"/>
        <v>0</v>
      </c>
      <c r="AM40" s="86">
        <f t="shared" si="44"/>
        <v>0</v>
      </c>
      <c r="AN40" s="66"/>
      <c r="AP40" s="66"/>
      <c r="AT40" s="66"/>
      <c r="AW40" s="863" t="s">
        <v>5140</v>
      </c>
      <c r="AX40" s="1491" t="s">
        <v>5142</v>
      </c>
      <c r="AY40" s="1550"/>
      <c r="AZ40" s="2155" t="s">
        <v>8</v>
      </c>
      <c r="BA40" s="864">
        <v>3</v>
      </c>
      <c r="BB40" s="876" t="s">
        <v>5142</v>
      </c>
      <c r="BC40" s="1352" t="s">
        <v>5143</v>
      </c>
      <c r="BD40" s="1259" t="s">
        <v>5144</v>
      </c>
      <c r="BE40" s="1214" t="s">
        <v>5145</v>
      </c>
      <c r="BF40" s="1258" t="s">
        <v>5146</v>
      </c>
      <c r="BG40" s="1214" t="s">
        <v>5147</v>
      </c>
      <c r="BH40" s="206" t="s">
        <v>5148</v>
      </c>
      <c r="BI40" s="876" t="s">
        <v>5149</v>
      </c>
      <c r="BJ40" s="1352" t="s">
        <v>5150</v>
      </c>
      <c r="BK40" s="1214" t="s">
        <v>5151</v>
      </c>
      <c r="BL40" s="1258" t="s">
        <v>5152</v>
      </c>
      <c r="BM40" s="1259" t="s">
        <v>5153</v>
      </c>
      <c r="BN40" s="1214" t="s">
        <v>5154</v>
      </c>
      <c r="BO40" s="206" t="s">
        <v>5155</v>
      </c>
    </row>
    <row r="41" spans="1:67" s="65" customFormat="1" ht="15" thickBot="1">
      <c r="A41" s="753"/>
      <c r="B41" s="863" t="s">
        <v>5156</v>
      </c>
      <c r="C41" s="872" t="s">
        <v>5157</v>
      </c>
      <c r="D41" s="949"/>
      <c r="E41" s="873" t="s">
        <v>8</v>
      </c>
      <c r="F41" s="874">
        <v>3</v>
      </c>
      <c r="G41" s="1215"/>
      <c r="H41" s="1353"/>
      <c r="I41" s="1228"/>
      <c r="J41" s="1224"/>
      <c r="K41" s="1221"/>
      <c r="L41" s="1214"/>
      <c r="M41" s="206">
        <f t="shared" si="14"/>
        <v>0</v>
      </c>
      <c r="N41" s="1215"/>
      <c r="O41" s="1353"/>
      <c r="P41" s="1228"/>
      <c r="Q41" s="1224"/>
      <c r="R41" s="1221"/>
      <c r="S41" s="1214"/>
      <c r="T41" s="206">
        <f t="shared" si="0"/>
        <v>0</v>
      </c>
      <c r="U41" s="1870"/>
      <c r="W41" s="770">
        <f t="shared" si="17"/>
        <v>0</v>
      </c>
      <c r="Y41" s="66"/>
      <c r="Z41" s="86">
        <f xml:space="preserve"> IF( AND(OR($C41 = "Capital expenditure purpose - WATER additional line 15 [Other categories]",$C41=""), OR( G41 &lt;&gt; 0, H41 &lt;&gt; 0, I41 &lt;&gt; 0, J41 &lt;&gt; 0, K41 &lt;&gt; 0, L41 &lt;&gt; 0, N41 &lt;&gt; 0, O41 &lt;&gt; 0, P41 &lt;&gt; 0, Q41 &lt;&gt; 0, R41 &lt;&gt; 0, S41 &lt;&gt; 0) ), 1, 0 )</f>
        <v>0</v>
      </c>
      <c r="AA41" s="86">
        <f t="shared" ref="AA41:AF41" si="45" xml:space="preserve"> IF(AND($C41="Capital expenditure purpose - WATER additional line 15 [Other categories]",$M41=0), 0, IF( ISNUMBER( G41 ), 0, 1 ))</f>
        <v>0</v>
      </c>
      <c r="AB41" s="86">
        <f t="shared" si="45"/>
        <v>0</v>
      </c>
      <c r="AC41" s="86">
        <f t="shared" si="45"/>
        <v>0</v>
      </c>
      <c r="AD41" s="86">
        <f t="shared" si="45"/>
        <v>0</v>
      </c>
      <c r="AE41" s="86">
        <f t="shared" si="45"/>
        <v>0</v>
      </c>
      <c r="AF41" s="86">
        <f t="shared" si="45"/>
        <v>0</v>
      </c>
      <c r="AG41" s="78"/>
      <c r="AH41" s="86">
        <f t="shared" ref="AH41:AM41" si="46" xml:space="preserve"> IF(AND($C41="Capital expenditure purpose - WATER additional line 15 [Other categories]",$M41=0), 0, IF( ISNUMBER( N41 ), 0, 1 ))</f>
        <v>0</v>
      </c>
      <c r="AI41" s="86">
        <f t="shared" si="46"/>
        <v>0</v>
      </c>
      <c r="AJ41" s="86">
        <f t="shared" si="46"/>
        <v>0</v>
      </c>
      <c r="AK41" s="86">
        <f t="shared" si="46"/>
        <v>0</v>
      </c>
      <c r="AL41" s="86">
        <f t="shared" si="46"/>
        <v>0</v>
      </c>
      <c r="AM41" s="86">
        <f t="shared" si="46"/>
        <v>0</v>
      </c>
      <c r="AN41" s="66"/>
      <c r="AP41" s="66"/>
      <c r="AT41" s="66"/>
      <c r="AW41" s="863" t="s">
        <v>5156</v>
      </c>
      <c r="AX41" s="1492" t="s">
        <v>5158</v>
      </c>
      <c r="AY41" s="1551"/>
      <c r="AZ41" s="873" t="s">
        <v>8</v>
      </c>
      <c r="BA41" s="874">
        <v>3</v>
      </c>
      <c r="BB41" s="1215" t="s">
        <v>5158</v>
      </c>
      <c r="BC41" s="1353" t="s">
        <v>5159</v>
      </c>
      <c r="BD41" s="1228" t="s">
        <v>5160</v>
      </c>
      <c r="BE41" s="1224" t="s">
        <v>5161</v>
      </c>
      <c r="BF41" s="1221" t="s">
        <v>5162</v>
      </c>
      <c r="BG41" s="1214" t="s">
        <v>5163</v>
      </c>
      <c r="BH41" s="206" t="s">
        <v>5164</v>
      </c>
      <c r="BI41" s="1215" t="s">
        <v>5165</v>
      </c>
      <c r="BJ41" s="1353" t="s">
        <v>5166</v>
      </c>
      <c r="BK41" s="1224" t="s">
        <v>5167</v>
      </c>
      <c r="BL41" s="1221" t="s">
        <v>5168</v>
      </c>
      <c r="BM41" s="1228" t="s">
        <v>5169</v>
      </c>
      <c r="BN41" s="1214" t="s">
        <v>5170</v>
      </c>
      <c r="BO41" s="206" t="s">
        <v>5171</v>
      </c>
    </row>
    <row r="42" spans="1:67" s="65" customFormat="1" ht="24.75" customHeight="1" thickBot="1">
      <c r="A42" s="753"/>
      <c r="B42" s="877" t="s">
        <v>5172</v>
      </c>
      <c r="C42" s="878" t="s">
        <v>5173</v>
      </c>
      <c r="D42" s="879"/>
      <c r="E42" s="873" t="s">
        <v>8</v>
      </c>
      <c r="F42" s="874">
        <v>3</v>
      </c>
      <c r="G42" s="2030">
        <f t="shared" ref="G42:L42" si="47">SUM(G8:G41)</f>
        <v>0</v>
      </c>
      <c r="H42" s="2031">
        <f t="shared" si="47"/>
        <v>0.57277029958583603</v>
      </c>
      <c r="I42" s="2032">
        <f t="shared" si="47"/>
        <v>0.42653825243468768</v>
      </c>
      <c r="J42" s="2033">
        <f t="shared" si="47"/>
        <v>0</v>
      </c>
      <c r="K42" s="2034">
        <f t="shared" si="47"/>
        <v>7.5178891305404871</v>
      </c>
      <c r="L42" s="2032">
        <f t="shared" si="47"/>
        <v>132.88461344306091</v>
      </c>
      <c r="M42" s="174">
        <f t="shared" si="14"/>
        <v>141.40181112562192</v>
      </c>
      <c r="N42" s="2030">
        <f t="shared" ref="N42:S42" si="48">SUM(N8:N41)</f>
        <v>0</v>
      </c>
      <c r="O42" s="2031">
        <f t="shared" si="48"/>
        <v>0.38924523966190827</v>
      </c>
      <c r="P42" s="2033">
        <f t="shared" si="48"/>
        <v>2.5175259942130572</v>
      </c>
      <c r="Q42" s="2034">
        <f t="shared" si="48"/>
        <v>0</v>
      </c>
      <c r="R42" s="2032">
        <f t="shared" si="48"/>
        <v>7.0260580386944316</v>
      </c>
      <c r="S42" s="2032">
        <f t="shared" si="48"/>
        <v>128.40815289079632</v>
      </c>
      <c r="T42" s="174">
        <f t="shared" si="0"/>
        <v>138.34098216336571</v>
      </c>
      <c r="U42" s="2035"/>
      <c r="W42" s="1164">
        <f>IF(SUM(AN42:AP42)&lt;&gt;0,$AS$42,IF(SUM(AN43:AP44)=0,0,$AS$43))</f>
        <v>0</v>
      </c>
      <c r="Y42" s="66"/>
      <c r="AG42" s="78"/>
      <c r="AN42" s="66"/>
      <c r="AO42" s="86">
        <f xml:space="preserve"> IF( (AQ42 - AR42) = 0, 0, 1 )</f>
        <v>0</v>
      </c>
      <c r="AP42" s="114"/>
      <c r="AQ42" s="105">
        <f>ROUND(M42,3)</f>
        <v>141.40199999999999</v>
      </c>
      <c r="AR42" s="105">
        <f xml:space="preserve"> ROUND( ('4D'!M23+'4D'!M24+'4D'!M25), 3 )</f>
        <v>141.40199999999999</v>
      </c>
      <c r="AS42" s="24" t="s">
        <v>5174</v>
      </c>
      <c r="AT42" s="66"/>
      <c r="AW42" s="877" t="s">
        <v>5172</v>
      </c>
      <c r="AX42" s="1493" t="s">
        <v>5173</v>
      </c>
      <c r="AY42" s="1570"/>
      <c r="AZ42" s="873" t="s">
        <v>8</v>
      </c>
      <c r="BA42" s="874">
        <v>3</v>
      </c>
      <c r="BB42" s="1216" t="s">
        <v>5175</v>
      </c>
      <c r="BC42" s="1243" t="s">
        <v>5176</v>
      </c>
      <c r="BD42" s="880" t="s">
        <v>5177</v>
      </c>
      <c r="BE42" s="1217" t="s">
        <v>5178</v>
      </c>
      <c r="BF42" s="1222" t="s">
        <v>5179</v>
      </c>
      <c r="BG42" s="880" t="s">
        <v>5180</v>
      </c>
      <c r="BH42" s="174" t="s">
        <v>5181</v>
      </c>
      <c r="BI42" s="1216" t="s">
        <v>5182</v>
      </c>
      <c r="BJ42" s="1243" t="s">
        <v>5183</v>
      </c>
      <c r="BK42" s="1217" t="s">
        <v>5184</v>
      </c>
      <c r="BL42" s="1222" t="s">
        <v>5185</v>
      </c>
      <c r="BM42" s="880" t="s">
        <v>5186</v>
      </c>
      <c r="BN42" s="880" t="s">
        <v>5187</v>
      </c>
      <c r="BO42" s="174" t="s">
        <v>5188</v>
      </c>
    </row>
    <row r="43" spans="1:67" s="65" customFormat="1">
      <c r="A43" s="753"/>
      <c r="B43" s="881"/>
      <c r="C43" s="882"/>
      <c r="D43" s="882"/>
      <c r="E43" s="883"/>
      <c r="F43" s="884"/>
      <c r="G43" s="1348">
        <f>IF('4J'!G49=0,(IF(ROUND(G42,3)=ROUND('4J'!G24+'4J'!G25+'4J'!G26,3),0,1)),0)</f>
        <v>0</v>
      </c>
      <c r="H43" s="1348">
        <f>IF('4J'!H49=0,(IF(ROUND(H42,3)=ROUND('4J'!H24+'4J'!H25+'4J'!H26,3),0,1)),0)</f>
        <v>0</v>
      </c>
      <c r="I43" s="1348">
        <f>IF('4J'!I49=0,(IF(ROUND(I42,3)=ROUND('4J'!I24+'4J'!I25+'4J'!I26,3),0,1)),0)</f>
        <v>0</v>
      </c>
      <c r="J43" s="1348">
        <f>IF('4J'!J49=0,(IF(ROUND(J42,3)=ROUND('4J'!J24+'4J'!J25+'4J'!J26,3),0,1)),0)</f>
        <v>0</v>
      </c>
      <c r="K43" s="1348">
        <f>IF('4J'!K49=0,(IF(ROUND(K42,3)=ROUND('4J'!K24+'4J'!K25+'4J'!K26,3),0,1)),0)</f>
        <v>0</v>
      </c>
      <c r="L43" s="1348">
        <f>IF('4J'!L49=0,(IF(ROUND(L42,3)=ROUND('4J'!L24+'4J'!L25+'4J'!L26,3),0,1)),0)</f>
        <v>0</v>
      </c>
      <c r="M43" s="1348">
        <f>IF('4J'!M49=0,(IF(ROUND(M42,3)=ROUND('4J'!M24+'4J'!M25+'4J'!M26,3),0,1)),0)</f>
        <v>0</v>
      </c>
      <c r="N43" s="884"/>
      <c r="O43" s="884"/>
      <c r="P43" s="884"/>
      <c r="Q43" s="884"/>
      <c r="R43" s="884"/>
      <c r="S43" s="884"/>
      <c r="T43" s="884"/>
      <c r="U43" s="884"/>
      <c r="V43" s="884"/>
      <c r="W43" s="884"/>
      <c r="X43" s="885"/>
      <c r="Y43" s="66"/>
      <c r="AB43" s="885"/>
      <c r="AC43" s="885"/>
      <c r="AD43" s="885"/>
      <c r="AE43" s="885"/>
      <c r="AF43" s="885"/>
      <c r="AG43" s="885"/>
      <c r="AH43" s="885"/>
      <c r="AI43" s="885"/>
      <c r="AJ43" s="885"/>
      <c r="AK43" s="885"/>
      <c r="AL43" s="885"/>
      <c r="AM43" s="885"/>
      <c r="AN43" s="66"/>
      <c r="AO43" s="86">
        <f xml:space="preserve"> IF( (AQ43 - AR43) = 0, 0, 1 )</f>
        <v>0</v>
      </c>
      <c r="AP43" s="114"/>
      <c r="AQ43" s="105">
        <f>IF(AR43=0,0,ROUND(M42,3))</f>
        <v>0</v>
      </c>
      <c r="AR43" s="105">
        <f xml:space="preserve"> IF('4J'!M49 = 0,ROUND( ('4J'!M24+'4J'!M25+'4J'!M26), 3 ),0)</f>
        <v>0</v>
      </c>
      <c r="AS43" s="24" t="s">
        <v>5189</v>
      </c>
      <c r="AT43" s="66"/>
      <c r="AU43" s="116"/>
    </row>
    <row r="44" spans="1:67" s="65" customFormat="1">
      <c r="A44" s="753"/>
      <c r="B44" s="2349" t="s">
        <v>275</v>
      </c>
      <c r="C44" s="2349"/>
      <c r="D44" s="882"/>
      <c r="E44" s="883"/>
      <c r="F44" s="884"/>
      <c r="G44" s="884"/>
      <c r="H44" s="884"/>
      <c r="I44" s="884"/>
      <c r="J44" s="884"/>
      <c r="K44" s="884"/>
      <c r="L44" s="884"/>
      <c r="M44" s="884"/>
      <c r="N44" s="884"/>
      <c r="O44" s="884"/>
      <c r="P44" s="884"/>
      <c r="Q44" s="884"/>
      <c r="R44" s="884"/>
      <c r="S44" s="884"/>
      <c r="T44" s="884"/>
      <c r="U44" s="884"/>
      <c r="V44" s="884"/>
      <c r="W44" s="884"/>
      <c r="X44" s="885"/>
      <c r="Y44" s="1712"/>
      <c r="Z44" s="885"/>
      <c r="AA44" s="885"/>
      <c r="AB44" s="885"/>
      <c r="AC44" s="885"/>
      <c r="AD44" s="885"/>
      <c r="AE44" s="885"/>
      <c r="AF44" s="885"/>
      <c r="AG44" s="885"/>
      <c r="AH44" s="885"/>
      <c r="AI44" s="885"/>
      <c r="AJ44" s="885"/>
      <c r="AK44" s="885"/>
      <c r="AL44" s="885"/>
      <c r="AM44" s="885"/>
      <c r="AN44" s="66"/>
      <c r="AO44" s="86">
        <f xml:space="preserve"> IF(  M43 = 0, 0, 1 )</f>
        <v>0</v>
      </c>
      <c r="AP44" s="114"/>
      <c r="AQ44" s="885"/>
      <c r="AR44" s="885"/>
      <c r="AS44" s="24"/>
      <c r="AT44" s="66"/>
      <c r="AU44" s="116"/>
    </row>
    <row r="45" spans="1:67" s="65" customFormat="1">
      <c r="A45" s="753"/>
      <c r="B45" s="881"/>
      <c r="C45" s="887"/>
      <c r="D45" s="882"/>
      <c r="E45" s="883"/>
      <c r="F45" s="884"/>
      <c r="G45" s="884"/>
      <c r="H45" s="884"/>
      <c r="I45" s="884"/>
      <c r="J45" s="884"/>
      <c r="K45" s="884"/>
      <c r="L45" s="884"/>
      <c r="M45" s="884"/>
      <c r="N45" s="884"/>
      <c r="O45" s="884"/>
      <c r="P45" s="884"/>
      <c r="Q45" s="884"/>
      <c r="R45" s="884"/>
      <c r="S45" s="884"/>
      <c r="T45" s="884"/>
      <c r="U45" s="884"/>
      <c r="V45" s="884"/>
      <c r="W45" s="884"/>
      <c r="X45" s="888"/>
      <c r="Y45" s="1713"/>
      <c r="Z45" s="888"/>
      <c r="AA45" s="888"/>
      <c r="AB45" s="888"/>
      <c r="AC45" s="888"/>
      <c r="AD45" s="888"/>
      <c r="AE45" s="888"/>
      <c r="AF45" s="888"/>
      <c r="AG45" s="888"/>
      <c r="AH45" s="888"/>
      <c r="AI45" s="888"/>
      <c r="AJ45" s="888"/>
      <c r="AK45" s="888"/>
      <c r="AL45" s="888"/>
      <c r="AM45" s="888"/>
      <c r="AN45" s="1713"/>
      <c r="AO45" s="888"/>
      <c r="AP45" s="1713"/>
      <c r="AQ45" s="888"/>
      <c r="AR45" s="888"/>
      <c r="AS45" s="886"/>
      <c r="AT45" s="66"/>
      <c r="AU45" s="116"/>
    </row>
    <row r="46" spans="1:67" s="142" customFormat="1" ht="12">
      <c r="B46" s="827"/>
      <c r="C46" s="828" t="s">
        <v>249</v>
      </c>
      <c r="D46" s="828"/>
      <c r="Y46" s="1709"/>
      <c r="AN46" s="1709"/>
      <c r="AP46" s="1709"/>
      <c r="AT46" s="111"/>
      <c r="AU46" s="116"/>
    </row>
    <row r="47" spans="1:67" s="142" customFormat="1" ht="12">
      <c r="B47" s="281"/>
      <c r="C47" s="826"/>
      <c r="D47" s="826"/>
      <c r="Y47" s="1709"/>
      <c r="AN47" s="1709"/>
      <c r="AP47" s="1709"/>
      <c r="AT47" s="111"/>
      <c r="AU47" s="116"/>
    </row>
    <row r="48" spans="1:67" s="142" customFormat="1" ht="12">
      <c r="B48" s="829"/>
      <c r="C48" s="828" t="s">
        <v>250</v>
      </c>
      <c r="D48" s="828"/>
      <c r="Y48" s="1709"/>
      <c r="AN48" s="1709"/>
      <c r="AP48" s="1709"/>
      <c r="AT48" s="111"/>
      <c r="AU48" s="116"/>
    </row>
    <row r="49" spans="1:47" s="103" customFormat="1">
      <c r="C49" s="138"/>
      <c r="D49" s="138"/>
      <c r="Y49" s="1710"/>
      <c r="AN49" s="1710"/>
      <c r="AP49" s="1710"/>
      <c r="AT49" s="111"/>
      <c r="AU49" s="116"/>
    </row>
    <row r="50" spans="1:47" s="103" customFormat="1" ht="15" thickBot="1">
      <c r="C50" s="138"/>
      <c r="D50" s="138"/>
      <c r="Y50" s="1710"/>
      <c r="AN50" s="1710"/>
      <c r="AP50" s="1710"/>
      <c r="AT50" s="111"/>
      <c r="AU50" s="116"/>
    </row>
    <row r="51" spans="1:47" s="103" customFormat="1" ht="16.5" thickBot="1">
      <c r="B51" s="2383" t="s">
        <v>251</v>
      </c>
      <c r="C51" s="2581"/>
      <c r="D51" s="2581"/>
      <c r="E51" s="2581"/>
      <c r="F51" s="2581"/>
      <c r="G51" s="2581"/>
      <c r="H51" s="2581"/>
      <c r="I51" s="2581"/>
      <c r="J51" s="2581"/>
      <c r="K51" s="2581"/>
      <c r="L51" s="2581"/>
      <c r="M51" s="2581"/>
      <c r="N51" s="2581"/>
      <c r="O51" s="2582"/>
      <c r="Y51" s="1710"/>
      <c r="AN51" s="1710"/>
      <c r="AP51" s="1710"/>
      <c r="AT51" s="111"/>
      <c r="AU51" s="116"/>
    </row>
    <row r="52" spans="1:47" s="103" customFormat="1">
      <c r="C52" s="138"/>
      <c r="D52" s="138"/>
      <c r="Y52" s="1710"/>
      <c r="AN52" s="1710"/>
      <c r="AP52" s="1710"/>
      <c r="AT52" s="111"/>
      <c r="AU52" s="116"/>
    </row>
    <row r="53" spans="1:47" ht="15" thickBot="1">
      <c r="A53" s="1726"/>
      <c r="C53" s="281"/>
      <c r="D53" s="281"/>
      <c r="E53" s="281"/>
      <c r="F53" s="281"/>
      <c r="G53" s="281"/>
      <c r="H53" s="281"/>
      <c r="I53" s="281"/>
      <c r="J53" s="281"/>
      <c r="K53" s="281"/>
      <c r="L53" s="281"/>
      <c r="M53" s="281"/>
      <c r="N53" s="281"/>
      <c r="O53" s="281"/>
      <c r="P53" s="103"/>
      <c r="Q53" s="103"/>
      <c r="R53" s="103"/>
      <c r="S53" s="103"/>
      <c r="T53" s="103"/>
      <c r="U53" s="103"/>
      <c r="V53" s="103"/>
      <c r="W53" s="103"/>
      <c r="X53" s="103"/>
      <c r="Y53" s="1710"/>
      <c r="Z53" s="103"/>
      <c r="AA53" s="103"/>
    </row>
    <row r="54" spans="1:47" ht="16.5" thickBot="1">
      <c r="B54" s="2383" t="s">
        <v>5190</v>
      </c>
      <c r="C54" s="2581"/>
      <c r="D54" s="2581"/>
      <c r="E54" s="2581"/>
      <c r="F54" s="2581"/>
      <c r="G54" s="2581"/>
      <c r="H54" s="2581"/>
      <c r="I54" s="2581"/>
      <c r="J54" s="2581"/>
      <c r="K54" s="2581"/>
      <c r="L54" s="2581"/>
      <c r="M54" s="2581"/>
      <c r="N54" s="2581"/>
      <c r="O54" s="2582"/>
      <c r="P54" s="103"/>
      <c r="Q54" s="103"/>
      <c r="R54" s="103"/>
      <c r="S54" s="103"/>
      <c r="T54" s="103"/>
      <c r="U54" s="103"/>
      <c r="V54" s="103"/>
      <c r="W54" s="103"/>
      <c r="X54" s="103"/>
      <c r="Y54" s="1710"/>
      <c r="Z54" s="103"/>
      <c r="AA54" s="103"/>
    </row>
    <row r="55" spans="1:47" ht="27.75" customHeight="1" thickBot="1">
      <c r="B55" s="2384" t="s">
        <v>5191</v>
      </c>
      <c r="C55" s="2385"/>
      <c r="D55" s="2385"/>
      <c r="E55" s="2385"/>
      <c r="F55" s="2385"/>
      <c r="G55" s="2385"/>
      <c r="H55" s="2385"/>
      <c r="I55" s="2385"/>
      <c r="J55" s="2385"/>
      <c r="K55" s="2385"/>
      <c r="L55" s="2385"/>
      <c r="M55" s="2385"/>
      <c r="N55" s="2385"/>
      <c r="O55" s="2386"/>
      <c r="P55" s="103"/>
      <c r="Q55" s="103"/>
      <c r="R55" s="103"/>
      <c r="S55" s="103"/>
      <c r="T55" s="103"/>
      <c r="U55" s="103"/>
      <c r="V55" s="103"/>
      <c r="W55" s="103"/>
      <c r="X55" s="103"/>
      <c r="Y55" s="1710"/>
      <c r="Z55" s="103"/>
      <c r="AA55" s="103"/>
    </row>
    <row r="56" spans="1:47"/>
  </sheetData>
  <sheetProtection algorithmName="SHA-512" hashValue="r0UnwcsNm05uB2wD7WcCIEBTEEOjyDmse1sg5CZUUWvQTb8sEz5oi3Fev1SwuLbbFD/QMajc0GR2ZOGVf1mhmw==" saltValue="wTia6gNbB8AI6B1V8I0CQQ==" spinCount="100000" sheet="1" objects="1" scenarios="1"/>
  <mergeCells count="26">
    <mergeCell ref="U3:U5"/>
    <mergeCell ref="W3:W5"/>
    <mergeCell ref="G4:H4"/>
    <mergeCell ref="N4:O4"/>
    <mergeCell ref="P4:S4"/>
    <mergeCell ref="T4:T5"/>
    <mergeCell ref="BB3:BH3"/>
    <mergeCell ref="BI3:BO3"/>
    <mergeCell ref="BB4:BC4"/>
    <mergeCell ref="BD4:BG4"/>
    <mergeCell ref="BH4:BH5"/>
    <mergeCell ref="BI4:BJ4"/>
    <mergeCell ref="BK4:BN4"/>
    <mergeCell ref="BO4:BO5"/>
    <mergeCell ref="B54:O54"/>
    <mergeCell ref="B55:O55"/>
    <mergeCell ref="B3:C5"/>
    <mergeCell ref="D3:D5"/>
    <mergeCell ref="E3:E5"/>
    <mergeCell ref="F3:F5"/>
    <mergeCell ref="G3:M3"/>
    <mergeCell ref="I4:L4"/>
    <mergeCell ref="M4:M5"/>
    <mergeCell ref="N3:T3"/>
    <mergeCell ref="B44:C44"/>
    <mergeCell ref="B51:O51"/>
  </mergeCells>
  <conditionalFormatting sqref="W8:W41">
    <cfRule type="cellIs" dxfId="78" priority="3" operator="equal">
      <formula>0</formula>
    </cfRule>
  </conditionalFormatting>
  <conditionalFormatting sqref="W10:W41">
    <cfRule type="cellIs" dxfId="77" priority="5" operator="equal">
      <formula>$AS$27</formula>
    </cfRule>
  </conditionalFormatting>
  <conditionalFormatting sqref="W42">
    <cfRule type="cellIs" dxfId="7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4" operator="containsText" id="{3C53A28C-F1C4-433F-8F29-CC7ADF4A0B22}">
            <xm:f>NOT(ISERROR(SEARCH('4J'!$T$5,W8)))</xm:f>
            <xm:f>'4J'!$T$5</xm:f>
            <x14:dxf>
              <fill>
                <patternFill>
                  <bgColor rgb="FFFF0000"/>
                </patternFill>
              </fill>
            </x14:dxf>
          </x14:cfRule>
          <xm:sqref>W8:W41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BZ61"/>
  <sheetViews>
    <sheetView showGridLines="0" zoomScale="70" zoomScaleNormal="70" workbookViewId="0"/>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8.625" customWidth="1"/>
    <col min="27" max="27" width="34" style="753" customWidth="1"/>
    <col min="28" max="28" width="1.625" style="753" customWidth="1"/>
    <col min="29" max="29" width="1.125" style="1708" hidden="1" customWidth="1"/>
    <col min="30" max="30" width="5.125" style="753" hidden="1" customWidth="1"/>
    <col min="31" max="47" width="4" style="753" hidden="1" customWidth="1"/>
    <col min="48" max="48" width="1.125" style="1708" hidden="1" customWidth="1"/>
    <col min="49" max="49" width="12.125" hidden="1" customWidth="1"/>
    <col min="50" max="50" width="1.125" style="1313" hidden="1" customWidth="1"/>
    <col min="51" max="52" width="8.625" hidden="1" customWidth="1"/>
    <col min="53" max="53" width="67.5" hidden="1" customWidth="1"/>
    <col min="54" max="54" width="1.125" style="1313" hidden="1" customWidth="1"/>
    <col min="55" max="56" width="8.625" hidden="1" customWidth="1"/>
    <col min="57" max="57" width="62.125" hidden="1" customWidth="1"/>
    <col min="58" max="58" width="3.625" hidden="1" customWidth="1"/>
    <col min="59" max="60" width="8.625" hidden="1" customWidth="1"/>
    <col min="61" max="61" width="10.625" hidden="1" customWidth="1"/>
    <col min="62" max="62" width="13.125" hidden="1" customWidth="1"/>
    <col min="63" max="63" width="11.125" hidden="1" customWidth="1"/>
    <col min="64" max="64" width="12.125" hidden="1" customWidth="1"/>
    <col min="65" max="65" width="11.625" hidden="1" customWidth="1"/>
    <col min="66" max="67" width="12.125" hidden="1" customWidth="1"/>
    <col min="68" max="68" width="12.5" hidden="1" customWidth="1"/>
    <col min="69" max="69" width="10.625" hidden="1" customWidth="1"/>
    <col min="70" max="70" width="14.625" hidden="1" customWidth="1"/>
    <col min="71" max="71" width="16.625" hidden="1" customWidth="1"/>
    <col min="72" max="72" width="15" hidden="1" customWidth="1"/>
    <col min="73" max="76" width="15.625" hidden="1" customWidth="1"/>
    <col min="77" max="77" width="16.125" hidden="1" customWidth="1"/>
    <col min="78" max="78" width="14.125" hidden="1" customWidth="1"/>
    <col min="79" max="16384" width="8.625" hidden="1"/>
  </cols>
  <sheetData>
    <row r="1" spans="1:78" ht="20.25">
      <c r="A1" s="2188"/>
      <c r="B1" s="891" t="s">
        <v>5192</v>
      </c>
      <c r="C1" s="892"/>
      <c r="D1" s="893"/>
      <c r="E1" s="63"/>
      <c r="F1" s="63"/>
      <c r="G1" s="63"/>
      <c r="H1" s="63"/>
      <c r="I1" s="63"/>
      <c r="J1" s="63"/>
      <c r="K1" s="63"/>
      <c r="L1" s="63"/>
      <c r="M1" s="63"/>
      <c r="N1" s="63"/>
      <c r="O1" s="63"/>
      <c r="P1" s="63"/>
      <c r="Q1" s="63"/>
      <c r="R1" s="63"/>
      <c r="S1" s="63"/>
      <c r="T1" s="63"/>
      <c r="U1" s="63"/>
      <c r="V1" s="63"/>
      <c r="W1" s="63"/>
      <c r="X1" s="63"/>
      <c r="Y1" s="63" t="str">
        <f>Validation!B3</f>
        <v>Thames Water</v>
      </c>
      <c r="Z1" s="63"/>
      <c r="AA1" s="64" t="s">
        <v>94</v>
      </c>
      <c r="AC1" s="66"/>
      <c r="AD1" s="65"/>
      <c r="AE1" s="65"/>
      <c r="AF1" s="65"/>
      <c r="AG1" s="65"/>
      <c r="AH1" s="65"/>
      <c r="AI1" s="65"/>
      <c r="AJ1" s="65"/>
      <c r="AK1" s="65"/>
      <c r="AL1" s="65"/>
      <c r="AM1" s="65"/>
      <c r="AN1" s="65"/>
      <c r="AO1" s="65"/>
      <c r="AP1" s="65"/>
      <c r="AQ1" s="65"/>
      <c r="AR1" s="65"/>
      <c r="AS1" s="65"/>
      <c r="AT1" s="65"/>
      <c r="AU1" s="65"/>
      <c r="AV1" s="66"/>
      <c r="BD1" s="891" t="s">
        <v>5192</v>
      </c>
      <c r="BE1" s="892"/>
      <c r="BF1" s="893"/>
      <c r="BG1" s="63"/>
      <c r="BH1" s="63"/>
      <c r="BI1" s="63"/>
      <c r="BJ1" s="63"/>
      <c r="BK1" s="63"/>
      <c r="BL1" s="63"/>
      <c r="BM1" s="63"/>
      <c r="BN1" s="63"/>
      <c r="BO1" s="63"/>
      <c r="BP1" s="63"/>
      <c r="BQ1" s="63"/>
      <c r="BR1" s="63"/>
      <c r="BS1" s="63"/>
      <c r="BT1" s="63"/>
      <c r="BU1" s="63"/>
      <c r="BV1" s="63"/>
      <c r="BW1" s="63"/>
      <c r="BX1" s="63"/>
      <c r="BY1" s="63"/>
      <c r="BZ1" s="63"/>
    </row>
    <row r="2" spans="1:78" ht="16.5" thickBot="1">
      <c r="A2" s="852"/>
      <c r="B2" s="68" t="s">
        <v>80</v>
      </c>
      <c r="C2" s="894"/>
      <c r="D2" s="894"/>
      <c r="E2" s="852"/>
      <c r="F2" s="852"/>
      <c r="G2" s="852"/>
      <c r="H2" s="852"/>
      <c r="I2" s="852"/>
      <c r="J2" s="852"/>
      <c r="K2" s="852"/>
      <c r="L2" s="852"/>
      <c r="M2" s="852"/>
      <c r="N2" s="852"/>
      <c r="O2" s="852"/>
      <c r="Y2" s="852"/>
      <c r="AA2" s="65"/>
      <c r="AC2" s="66"/>
      <c r="AD2" s="65"/>
      <c r="AE2" s="65"/>
      <c r="AF2" s="65"/>
      <c r="AG2" s="65"/>
      <c r="AH2" s="65"/>
      <c r="AI2" s="65"/>
      <c r="AJ2" s="65"/>
      <c r="AK2" s="65"/>
      <c r="AL2" s="65"/>
      <c r="AM2" s="65"/>
      <c r="AN2" s="65"/>
      <c r="AO2" s="65"/>
      <c r="AP2" s="65"/>
      <c r="AQ2" s="65"/>
      <c r="AR2" s="65"/>
      <c r="AS2" s="65"/>
      <c r="AT2" s="65"/>
      <c r="AU2" s="65"/>
      <c r="AV2" s="66"/>
      <c r="BD2" s="68" t="s">
        <v>80</v>
      </c>
      <c r="BE2" s="894"/>
      <c r="BF2" s="894"/>
      <c r="BG2" s="852"/>
      <c r="BH2" s="852"/>
      <c r="BI2" s="852"/>
      <c r="BJ2" s="852"/>
      <c r="BK2" s="852"/>
      <c r="BL2" s="852"/>
      <c r="BM2" s="852"/>
      <c r="BN2" s="852"/>
      <c r="BO2" s="852"/>
      <c r="BP2" s="852"/>
      <c r="BQ2" s="852"/>
    </row>
    <row r="3" spans="1:78" ht="16.5" thickBot="1">
      <c r="A3" s="895"/>
      <c r="B3" s="2352" t="s">
        <v>96</v>
      </c>
      <c r="C3" s="2353"/>
      <c r="D3" s="2389" t="s">
        <v>2690</v>
      </c>
      <c r="E3" s="2389" t="s">
        <v>98</v>
      </c>
      <c r="F3" s="2392" t="s">
        <v>99</v>
      </c>
      <c r="G3" s="2409" t="s">
        <v>4625</v>
      </c>
      <c r="H3" s="2410"/>
      <c r="I3" s="2410"/>
      <c r="J3" s="2396"/>
      <c r="K3" s="2396"/>
      <c r="L3" s="2396"/>
      <c r="M3" s="2396"/>
      <c r="N3" s="2396"/>
      <c r="O3" s="2411"/>
      <c r="P3" s="2395" t="s">
        <v>4626</v>
      </c>
      <c r="Q3" s="2396"/>
      <c r="R3" s="2396"/>
      <c r="S3" s="2396"/>
      <c r="T3" s="2396"/>
      <c r="U3" s="2396"/>
      <c r="V3" s="2396"/>
      <c r="W3" s="2396"/>
      <c r="X3" s="2410"/>
      <c r="Y3" s="2412" t="s">
        <v>3938</v>
      </c>
      <c r="AA3" s="2240" t="s">
        <v>103</v>
      </c>
      <c r="AB3" s="65"/>
      <c r="AC3" s="66"/>
      <c r="AD3" s="72"/>
      <c r="AE3" s="71" t="s">
        <v>107</v>
      </c>
      <c r="AF3" s="71"/>
      <c r="AG3" s="71"/>
      <c r="AH3" s="71"/>
      <c r="AI3" s="71"/>
      <c r="AJ3" s="71"/>
      <c r="AK3" s="583"/>
      <c r="AL3" s="583"/>
      <c r="AM3" s="583"/>
      <c r="AN3" s="583"/>
      <c r="AO3" s="583"/>
      <c r="AP3" s="583"/>
      <c r="AQ3" s="583"/>
      <c r="AR3" s="583"/>
      <c r="AS3" s="583"/>
      <c r="AT3" s="583"/>
      <c r="AU3" s="583"/>
      <c r="AV3" s="66"/>
      <c r="BD3" s="896" t="s">
        <v>4255</v>
      </c>
      <c r="BE3" s="854" t="s">
        <v>2</v>
      </c>
      <c r="BF3" s="854" t="s">
        <v>2690</v>
      </c>
      <c r="BG3" s="855" t="s">
        <v>98</v>
      </c>
      <c r="BH3" s="1116" t="s">
        <v>99</v>
      </c>
      <c r="BI3" s="2426" t="s">
        <v>4625</v>
      </c>
      <c r="BJ3" s="2415"/>
      <c r="BK3" s="2415"/>
      <c r="BL3" s="2399"/>
      <c r="BM3" s="2399"/>
      <c r="BN3" s="2399"/>
      <c r="BO3" s="2399"/>
      <c r="BP3" s="2399"/>
      <c r="BQ3" s="2427"/>
      <c r="BR3" s="2398" t="s">
        <v>4626</v>
      </c>
      <c r="BS3" s="2399"/>
      <c r="BT3" s="2399"/>
      <c r="BU3" s="2399"/>
      <c r="BV3" s="2399"/>
      <c r="BW3" s="2399"/>
      <c r="BX3" s="2399"/>
      <c r="BY3" s="2399"/>
      <c r="BZ3" s="2415"/>
    </row>
    <row r="4" spans="1:78" ht="28.5" customHeight="1">
      <c r="A4" s="895"/>
      <c r="B4" s="2387"/>
      <c r="C4" s="2388"/>
      <c r="D4" s="2390"/>
      <c r="E4" s="2390"/>
      <c r="F4" s="2393"/>
      <c r="G4" s="2336" t="s">
        <v>5193</v>
      </c>
      <c r="H4" s="2337"/>
      <c r="I4" s="2339"/>
      <c r="J4" s="2340" t="s">
        <v>5194</v>
      </c>
      <c r="K4" s="2339"/>
      <c r="L4" s="2340" t="s">
        <v>749</v>
      </c>
      <c r="M4" s="2337"/>
      <c r="N4" s="2339"/>
      <c r="O4" s="2240" t="s">
        <v>680</v>
      </c>
      <c r="P4" s="2336" t="s">
        <v>5193</v>
      </c>
      <c r="Q4" s="2337"/>
      <c r="R4" s="2339"/>
      <c r="S4" s="2340" t="s">
        <v>5194</v>
      </c>
      <c r="T4" s="2339"/>
      <c r="U4" s="2340" t="s">
        <v>749</v>
      </c>
      <c r="V4" s="2337"/>
      <c r="W4" s="2339"/>
      <c r="X4" s="2240" t="s">
        <v>680</v>
      </c>
      <c r="Y4" s="2413"/>
      <c r="AA4" s="2407"/>
      <c r="AB4" s="65"/>
      <c r="AC4" s="66"/>
      <c r="AD4" s="65"/>
      <c r="AE4" s="543"/>
      <c r="AF4" s="543"/>
      <c r="AG4" s="543"/>
      <c r="AH4" s="543"/>
      <c r="AI4" s="543"/>
      <c r="AJ4" s="543"/>
      <c r="AK4"/>
      <c r="AL4"/>
      <c r="AM4"/>
      <c r="AN4"/>
      <c r="AO4"/>
      <c r="AP4"/>
      <c r="AQ4"/>
      <c r="AR4"/>
      <c r="AS4"/>
      <c r="AT4"/>
      <c r="AU4"/>
      <c r="AV4" s="66"/>
      <c r="BD4" s="898"/>
      <c r="BE4" s="898"/>
      <c r="BF4" s="899"/>
      <c r="BG4" s="900"/>
      <c r="BH4" s="900"/>
      <c r="BI4" s="2416" t="s">
        <v>5193</v>
      </c>
      <c r="BJ4" s="2417"/>
      <c r="BK4" s="2418"/>
      <c r="BL4" s="2360" t="s">
        <v>5194</v>
      </c>
      <c r="BM4" s="2364"/>
      <c r="BN4" s="2419" t="s">
        <v>749</v>
      </c>
      <c r="BO4" s="2420"/>
      <c r="BP4" s="2421"/>
      <c r="BQ4" s="2240" t="s">
        <v>680</v>
      </c>
      <c r="BR4" s="2419" t="s">
        <v>5193</v>
      </c>
      <c r="BS4" s="2420"/>
      <c r="BT4" s="2422"/>
      <c r="BU4" s="2423" t="s">
        <v>5194</v>
      </c>
      <c r="BV4" s="2419"/>
      <c r="BW4" s="2327" t="s">
        <v>749</v>
      </c>
      <c r="BX4" s="2420"/>
      <c r="BY4" s="2421"/>
      <c r="BZ4" s="2424" t="s">
        <v>680</v>
      </c>
    </row>
    <row r="5" spans="1:78" ht="41.25" thickBot="1">
      <c r="A5" s="895"/>
      <c r="B5" s="2354"/>
      <c r="C5" s="2355"/>
      <c r="D5" s="2391"/>
      <c r="E5" s="2391"/>
      <c r="F5" s="2394"/>
      <c r="G5" s="181" t="s">
        <v>3641</v>
      </c>
      <c r="H5" s="182" t="s">
        <v>3642</v>
      </c>
      <c r="I5" s="183" t="s">
        <v>3643</v>
      </c>
      <c r="J5" s="184" t="s">
        <v>3644</v>
      </c>
      <c r="K5" s="183" t="s">
        <v>4256</v>
      </c>
      <c r="L5" s="184" t="s">
        <v>3646</v>
      </c>
      <c r="M5" s="182" t="s">
        <v>3647</v>
      </c>
      <c r="N5" s="183" t="s">
        <v>3648</v>
      </c>
      <c r="O5" s="2408"/>
      <c r="P5" s="181" t="s">
        <v>3641</v>
      </c>
      <c r="Q5" s="182" t="s">
        <v>3642</v>
      </c>
      <c r="R5" s="183" t="s">
        <v>3643</v>
      </c>
      <c r="S5" s="184" t="s">
        <v>3644</v>
      </c>
      <c r="T5" s="183" t="s">
        <v>4256</v>
      </c>
      <c r="U5" s="184" t="s">
        <v>3646</v>
      </c>
      <c r="V5" s="182" t="s">
        <v>3647</v>
      </c>
      <c r="W5" s="183" t="s">
        <v>3648</v>
      </c>
      <c r="X5" s="2408"/>
      <c r="Y5" s="2414"/>
      <c r="AA5" s="2241"/>
      <c r="AB5" s="65"/>
      <c r="AC5" s="66"/>
      <c r="AD5" s="65"/>
      <c r="AE5" s="78" t="s">
        <v>108</v>
      </c>
      <c r="AF5" s="78"/>
      <c r="AG5" s="78"/>
      <c r="AH5" s="78"/>
      <c r="AI5" s="78"/>
      <c r="AJ5" s="78"/>
      <c r="AK5" s="78"/>
      <c r="AL5" s="78"/>
      <c r="AM5" s="78"/>
      <c r="AN5" s="78"/>
      <c r="AO5" s="78"/>
      <c r="AP5" s="78"/>
      <c r="AQ5" s="78"/>
      <c r="AR5" s="78"/>
      <c r="AS5" s="78"/>
      <c r="AT5" s="78"/>
      <c r="AU5" s="78"/>
      <c r="AV5" s="66"/>
      <c r="AW5" s="86" t="s">
        <v>86</v>
      </c>
      <c r="AX5" s="66"/>
      <c r="AY5" s="71" t="s">
        <v>742</v>
      </c>
      <c r="AZ5" s="2194"/>
      <c r="BA5" s="2194"/>
      <c r="BB5" s="66"/>
      <c r="BD5" s="901"/>
      <c r="BE5" s="1510"/>
      <c r="BF5" s="902"/>
      <c r="BG5" s="753"/>
      <c r="BH5" s="753"/>
      <c r="BI5" s="1357" t="s">
        <v>3641</v>
      </c>
      <c r="BJ5" s="1358" t="s">
        <v>3642</v>
      </c>
      <c r="BK5" s="1358" t="s">
        <v>3643</v>
      </c>
      <c r="BL5" s="1358" t="s">
        <v>3644</v>
      </c>
      <c r="BM5" s="1358" t="s">
        <v>4256</v>
      </c>
      <c r="BN5" s="1358" t="s">
        <v>3646</v>
      </c>
      <c r="BO5" s="1358" t="s">
        <v>3647</v>
      </c>
      <c r="BP5" s="1359" t="s">
        <v>3648</v>
      </c>
      <c r="BQ5" s="2408"/>
      <c r="BR5" s="1360" t="s">
        <v>3641</v>
      </c>
      <c r="BS5" s="1358" t="s">
        <v>3642</v>
      </c>
      <c r="BT5" s="1358" t="s">
        <v>3643</v>
      </c>
      <c r="BU5" s="903" t="s">
        <v>3644</v>
      </c>
      <c r="BV5" s="1358" t="s">
        <v>4256</v>
      </c>
      <c r="BW5" s="1358" t="s">
        <v>3646</v>
      </c>
      <c r="BX5" s="1358" t="s">
        <v>3647</v>
      </c>
      <c r="BY5" s="1359" t="s">
        <v>3648</v>
      </c>
      <c r="BZ5" s="2425"/>
    </row>
    <row r="6" spans="1:78" ht="16.5" thickBot="1">
      <c r="A6" s="895"/>
      <c r="B6" s="1721"/>
      <c r="C6" s="902"/>
      <c r="D6" s="902"/>
      <c r="E6" s="753"/>
      <c r="F6" s="753"/>
      <c r="G6" s="753"/>
      <c r="H6" s="753"/>
      <c r="I6" s="753"/>
      <c r="J6" s="753"/>
      <c r="K6" s="753"/>
      <c r="L6" s="753"/>
      <c r="M6" s="753"/>
      <c r="N6" s="753"/>
      <c r="O6" s="753"/>
      <c r="P6" s="753"/>
      <c r="Q6" s="753"/>
      <c r="R6" s="753"/>
      <c r="S6" s="753"/>
      <c r="T6" s="753"/>
      <c r="U6" s="753"/>
      <c r="V6" s="753"/>
      <c r="W6" s="753"/>
      <c r="X6" s="753"/>
      <c r="Y6" s="753"/>
      <c r="Z6" s="753"/>
      <c r="AB6" s="65"/>
      <c r="AC6" s="66"/>
      <c r="AD6" s="65"/>
      <c r="AE6" s="78"/>
      <c r="AF6" s="78"/>
      <c r="AG6" s="78"/>
      <c r="AH6" s="78"/>
      <c r="AI6" s="78"/>
      <c r="AJ6" s="78"/>
      <c r="AK6" s="78"/>
      <c r="AL6" s="78"/>
      <c r="AM6" s="78"/>
      <c r="AN6" s="78"/>
      <c r="AO6" s="78"/>
      <c r="AP6" s="78"/>
      <c r="AQ6" s="78"/>
      <c r="AR6" s="78"/>
      <c r="AS6" s="78"/>
      <c r="AT6" s="78"/>
      <c r="AU6" s="78"/>
      <c r="AV6" s="66"/>
      <c r="AW6" s="86"/>
      <c r="AX6" s="66"/>
      <c r="AY6" s="71"/>
      <c r="AZ6" s="2194"/>
      <c r="BA6" s="2194"/>
      <c r="BB6" s="66"/>
      <c r="BD6" s="1721"/>
      <c r="BE6" s="902"/>
      <c r="BF6" s="902"/>
      <c r="BG6" s="753"/>
      <c r="BH6" s="753"/>
      <c r="BI6" s="1720"/>
      <c r="BJ6" s="1720"/>
      <c r="BK6" s="1720"/>
      <c r="BL6" s="1720"/>
      <c r="BM6" s="1720"/>
      <c r="BN6" s="1720"/>
      <c r="BO6" s="1720"/>
      <c r="BP6" s="1720"/>
      <c r="BQ6" s="1722"/>
      <c r="BR6" s="1720"/>
      <c r="BS6" s="1720"/>
      <c r="BT6" s="1720"/>
      <c r="BU6" s="1720"/>
      <c r="BV6" s="1720"/>
      <c r="BW6" s="1720"/>
      <c r="BX6" s="1720"/>
      <c r="BY6" s="1720"/>
      <c r="BZ6" s="1723"/>
    </row>
    <row r="7" spans="1:78" ht="16.5" thickBot="1">
      <c r="A7" s="895"/>
      <c r="B7" s="2219" t="s">
        <v>214</v>
      </c>
      <c r="C7" s="904" t="s">
        <v>5195</v>
      </c>
      <c r="D7" s="902"/>
      <c r="E7" s="753"/>
      <c r="F7" s="753"/>
      <c r="G7" s="753"/>
      <c r="H7" s="753"/>
      <c r="I7" s="753"/>
      <c r="J7" s="753"/>
      <c r="K7" s="753"/>
      <c r="L7" s="753"/>
      <c r="M7" s="753"/>
      <c r="N7" s="753"/>
      <c r="O7" s="753"/>
      <c r="P7" s="753"/>
      <c r="Q7" s="753"/>
      <c r="R7" s="753"/>
      <c r="S7" s="753"/>
      <c r="T7" s="753"/>
      <c r="U7" s="753"/>
      <c r="V7" s="753"/>
      <c r="W7" s="753"/>
      <c r="X7" s="753"/>
      <c r="AA7" s="65"/>
      <c r="AB7" s="65"/>
      <c r="AC7" s="66"/>
      <c r="AD7" s="65"/>
      <c r="AE7" s="78"/>
      <c r="AF7" s="78"/>
      <c r="AG7" s="78"/>
      <c r="AH7" s="78"/>
      <c r="AI7" s="78"/>
      <c r="AJ7" s="78"/>
      <c r="AK7" s="78"/>
      <c r="AL7" s="78"/>
      <c r="AM7" s="78"/>
      <c r="AN7" s="78"/>
      <c r="AO7" s="78"/>
      <c r="AP7" s="78"/>
      <c r="AQ7" s="78"/>
      <c r="AR7" s="78"/>
      <c r="AS7" s="78"/>
      <c r="AT7" s="78"/>
      <c r="AU7" s="78"/>
      <c r="AV7" s="66"/>
      <c r="BD7" s="2219" t="s">
        <v>214</v>
      </c>
      <c r="BE7" s="904" t="s">
        <v>5195</v>
      </c>
      <c r="BF7" s="902"/>
      <c r="BG7" s="753"/>
      <c r="BH7" s="753"/>
      <c r="BI7" s="753"/>
      <c r="BJ7" s="753"/>
      <c r="BK7" s="753"/>
      <c r="BL7" s="753"/>
      <c r="BM7" s="753"/>
      <c r="BN7" s="753"/>
      <c r="BO7" s="753"/>
      <c r="BP7" s="753"/>
      <c r="BQ7" s="753"/>
      <c r="BR7" s="753"/>
      <c r="BS7" s="753"/>
      <c r="BT7" s="753"/>
      <c r="BU7" s="753"/>
      <c r="BV7" s="753"/>
      <c r="BW7" s="753"/>
      <c r="BX7" s="753"/>
      <c r="BY7" s="753"/>
      <c r="BZ7" s="753"/>
    </row>
    <row r="8" spans="1:78" ht="15.75">
      <c r="A8" s="852"/>
      <c r="B8" s="857" t="s">
        <v>5196</v>
      </c>
      <c r="C8" s="109" t="s">
        <v>5197</v>
      </c>
      <c r="D8" s="109"/>
      <c r="E8" s="81" t="s">
        <v>8</v>
      </c>
      <c r="F8" s="82">
        <v>3</v>
      </c>
      <c r="G8" s="922">
        <v>0.48015892106382946</v>
      </c>
      <c r="H8" s="1231">
        <v>0</v>
      </c>
      <c r="I8" s="1239">
        <v>0</v>
      </c>
      <c r="J8" s="905">
        <v>0</v>
      </c>
      <c r="K8" s="1239">
        <v>0</v>
      </c>
      <c r="L8" s="1354">
        <v>0</v>
      </c>
      <c r="M8" s="1235">
        <v>0</v>
      </c>
      <c r="N8" s="1239">
        <v>0</v>
      </c>
      <c r="O8" s="906">
        <f t="shared" ref="O8:O51" si="0">+SUM(G8:N8)</f>
        <v>0.48015892106382946</v>
      </c>
      <c r="P8" s="922">
        <v>0</v>
      </c>
      <c r="Q8" s="1231">
        <v>0</v>
      </c>
      <c r="R8" s="1239">
        <v>0</v>
      </c>
      <c r="S8" s="905">
        <v>0</v>
      </c>
      <c r="T8" s="1239">
        <v>0</v>
      </c>
      <c r="U8" s="1354">
        <v>0</v>
      </c>
      <c r="V8" s="1235">
        <v>0</v>
      </c>
      <c r="W8" s="1239">
        <v>0</v>
      </c>
      <c r="X8" s="906">
        <f t="shared" ref="X8:X51" si="1">+SUM(P8:W8)</f>
        <v>0</v>
      </c>
      <c r="Y8" s="1871"/>
      <c r="AA8" s="770">
        <f xml:space="preserve"> IF( SUM( AC8:AV8 ) = 0, 0, $AE$5 )</f>
        <v>0</v>
      </c>
      <c r="AB8" s="65"/>
      <c r="AC8" s="66"/>
      <c r="AD8" s="65"/>
      <c r="AE8" s="86">
        <f>IF(Validation!$H$3=1,0,IF(ISNUMBER(G8),0,1))</f>
        <v>0</v>
      </c>
      <c r="AF8" s="86">
        <f>IF(Validation!$H$3=1,0,IF(ISNUMBER(H8),0,1))</f>
        <v>0</v>
      </c>
      <c r="AG8" s="86">
        <f>IF(Validation!$H$3=1,0,IF(ISNUMBER(I8),0,1))</f>
        <v>0</v>
      </c>
      <c r="AH8" s="86">
        <f>IF(Validation!$H$3=1,0,IF(ISNUMBER(J8),0,1))</f>
        <v>0</v>
      </c>
      <c r="AI8" s="86">
        <f>IF(Validation!$H$3=1,0,IF(ISNUMBER(K8),0,1))</f>
        <v>0</v>
      </c>
      <c r="AJ8" s="86">
        <f>IF(Validation!$H$3=1,0,IF(ISNUMBER(L8),0,1))</f>
        <v>0</v>
      </c>
      <c r="AK8" s="86">
        <f>IF(Validation!$H$3=1,0,IF(ISNUMBER(M8),0,1))</f>
        <v>0</v>
      </c>
      <c r="AL8" s="86">
        <f>IF(Validation!$H$3=1,0,IF(ISNUMBER(N8),0,1))</f>
        <v>0</v>
      </c>
      <c r="AM8" s="113"/>
      <c r="AN8" s="86">
        <f>IF(Validation!$H$3=1,0,IF(ISNUMBER(P8),0,1))</f>
        <v>0</v>
      </c>
      <c r="AO8" s="86">
        <f>IF(Validation!$H$3=1,0,IF(ISNUMBER(Q8),0,1))</f>
        <v>0</v>
      </c>
      <c r="AP8" s="86">
        <f>IF(Validation!$H$3=1,0,IF(ISNUMBER(R8),0,1))</f>
        <v>0</v>
      </c>
      <c r="AQ8" s="86">
        <f>IF(Validation!$H$3=1,0,IF(ISNUMBER(S8),0,1))</f>
        <v>0</v>
      </c>
      <c r="AR8" s="86">
        <f>IF(Validation!$H$3=1,0,IF(ISNUMBER(T8),0,1))</f>
        <v>0</v>
      </c>
      <c r="AS8" s="86">
        <f>IF(Validation!$H$3=1,0,IF(ISNUMBER(U8),0,1))</f>
        <v>0</v>
      </c>
      <c r="AT8" s="86">
        <f>IF(Validation!$H$3=1,0,IF(ISNUMBER(V8),0,1))</f>
        <v>0</v>
      </c>
      <c r="AU8" s="86">
        <f>IF(Validation!$H$3=1,0,IF(ISNUMBER(W8),0,1))</f>
        <v>0</v>
      </c>
      <c r="AV8" s="66"/>
      <c r="BD8" s="857" t="s">
        <v>5196</v>
      </c>
      <c r="BE8" s="109" t="s">
        <v>5197</v>
      </c>
      <c r="BF8" s="109"/>
      <c r="BG8" s="81" t="s">
        <v>8</v>
      </c>
      <c r="BH8" s="82">
        <v>3</v>
      </c>
      <c r="BI8" s="1520" t="s">
        <v>5198</v>
      </c>
      <c r="BJ8" s="1529" t="s">
        <v>5199</v>
      </c>
      <c r="BK8" s="1530" t="s">
        <v>5200</v>
      </c>
      <c r="BL8" s="1524" t="s">
        <v>5201</v>
      </c>
      <c r="BM8" s="1529" t="s">
        <v>5202</v>
      </c>
      <c r="BN8" s="1231" t="s">
        <v>5203</v>
      </c>
      <c r="BO8" s="1235" t="s">
        <v>5204</v>
      </c>
      <c r="BP8" s="1239" t="s">
        <v>5205</v>
      </c>
      <c r="BQ8" s="906" t="s">
        <v>5206</v>
      </c>
      <c r="BR8" s="1528" t="s">
        <v>5207</v>
      </c>
      <c r="BS8" s="1529" t="s">
        <v>5208</v>
      </c>
      <c r="BT8" s="1530" t="s">
        <v>5209</v>
      </c>
      <c r="BU8" s="1524" t="s">
        <v>5210</v>
      </c>
      <c r="BV8" s="1529" t="s">
        <v>5211</v>
      </c>
      <c r="BW8" s="1231" t="s">
        <v>5212</v>
      </c>
      <c r="BX8" s="1235" t="s">
        <v>5213</v>
      </c>
      <c r="BY8" s="1239" t="s">
        <v>5214</v>
      </c>
      <c r="BZ8" s="906" t="s">
        <v>5215</v>
      </c>
    </row>
    <row r="9" spans="1:78" ht="15.75">
      <c r="A9" s="852"/>
      <c r="B9" s="863" t="s">
        <v>5216</v>
      </c>
      <c r="C9" s="867" t="s">
        <v>5217</v>
      </c>
      <c r="D9" s="867"/>
      <c r="E9" s="2155" t="s">
        <v>8</v>
      </c>
      <c r="F9" s="864">
        <v>3</v>
      </c>
      <c r="G9" s="928">
        <v>0</v>
      </c>
      <c r="H9" s="1232">
        <v>0</v>
      </c>
      <c r="I9" s="1240">
        <v>0</v>
      </c>
      <c r="J9" s="907">
        <v>0</v>
      </c>
      <c r="K9" s="1240">
        <v>0</v>
      </c>
      <c r="L9" s="1355">
        <v>0</v>
      </c>
      <c r="M9" s="1236">
        <v>-8.2829974750324616E-3</v>
      </c>
      <c r="N9" s="1240">
        <v>0</v>
      </c>
      <c r="O9" s="206">
        <f t="shared" si="0"/>
        <v>-8.2829974750324616E-3</v>
      </c>
      <c r="P9" s="928">
        <v>0</v>
      </c>
      <c r="Q9" s="1232">
        <v>0</v>
      </c>
      <c r="R9" s="1240">
        <v>0</v>
      </c>
      <c r="S9" s="907">
        <v>0</v>
      </c>
      <c r="T9" s="1240">
        <v>0</v>
      </c>
      <c r="U9" s="1355">
        <v>0</v>
      </c>
      <c r="V9" s="1236">
        <v>0</v>
      </c>
      <c r="W9" s="1240">
        <v>0</v>
      </c>
      <c r="X9" s="206">
        <f t="shared" si="1"/>
        <v>0</v>
      </c>
      <c r="Y9" s="1872"/>
      <c r="AA9" s="770">
        <f t="shared" ref="AA9:AA35" si="2" xml:space="preserve"> IF( SUM( AC9:AV9 ) = 0, 0, $AE$5 )</f>
        <v>0</v>
      </c>
      <c r="AB9" s="65"/>
      <c r="AC9" s="66"/>
      <c r="AD9" s="65"/>
      <c r="AE9" s="86">
        <f>IF(Validation!$H$3=1,0,IF(ISNUMBER(G9),0,1))</f>
        <v>0</v>
      </c>
      <c r="AF9" s="86">
        <f>IF(Validation!$H$3=1,0,IF(ISNUMBER(H9),0,1))</f>
        <v>0</v>
      </c>
      <c r="AG9" s="86">
        <f>IF(Validation!$H$3=1,0,IF(ISNUMBER(I9),0,1))</f>
        <v>0</v>
      </c>
      <c r="AH9" s="86">
        <f>IF(Validation!$H$3=1,0,IF(ISNUMBER(J9),0,1))</f>
        <v>0</v>
      </c>
      <c r="AI9" s="86">
        <f>IF(Validation!$H$3=1,0,IF(ISNUMBER(K9),0,1))</f>
        <v>0</v>
      </c>
      <c r="AJ9" s="86">
        <f>IF(Validation!$H$3=1,0,IF(ISNUMBER(L9),0,1))</f>
        <v>0</v>
      </c>
      <c r="AK9" s="86">
        <f>IF(Validation!$H$3=1,0,IF(ISNUMBER(M9),0,1))</f>
        <v>0</v>
      </c>
      <c r="AL9" s="86">
        <f>IF(Validation!$H$3=1,0,IF(ISNUMBER(N9),0,1))</f>
        <v>0</v>
      </c>
      <c r="AM9" s="113"/>
      <c r="AN9" s="86">
        <f>IF(Validation!$H$3=1,0,IF(ISNUMBER(P9),0,1))</f>
        <v>0</v>
      </c>
      <c r="AO9" s="86">
        <f>IF(Validation!$H$3=1,0,IF(ISNUMBER(Q9),0,1))</f>
        <v>0</v>
      </c>
      <c r="AP9" s="86">
        <f>IF(Validation!$H$3=1,0,IF(ISNUMBER(R9),0,1))</f>
        <v>0</v>
      </c>
      <c r="AQ9" s="86">
        <f>IF(Validation!$H$3=1,0,IF(ISNUMBER(S9),0,1))</f>
        <v>0</v>
      </c>
      <c r="AR9" s="86">
        <f>IF(Validation!$H$3=1,0,IF(ISNUMBER(T9),0,1))</f>
        <v>0</v>
      </c>
      <c r="AS9" s="86">
        <f>IF(Validation!$H$3=1,0,IF(ISNUMBER(U9),0,1))</f>
        <v>0</v>
      </c>
      <c r="AT9" s="86">
        <f>IF(Validation!$H$3=1,0,IF(ISNUMBER(V9),0,1))</f>
        <v>0</v>
      </c>
      <c r="AU9" s="86">
        <f>IF(Validation!$H$3=1,0,IF(ISNUMBER(W9),0,1))</f>
        <v>0</v>
      </c>
      <c r="AV9" s="66"/>
      <c r="BD9" s="863" t="s">
        <v>5216</v>
      </c>
      <c r="BE9" s="963" t="s">
        <v>5217</v>
      </c>
      <c r="BF9" s="963"/>
      <c r="BG9" s="2155" t="s">
        <v>8</v>
      </c>
      <c r="BH9" s="864">
        <v>3</v>
      </c>
      <c r="BI9" s="1514" t="s">
        <v>5218</v>
      </c>
      <c r="BJ9" s="1515" t="s">
        <v>5219</v>
      </c>
      <c r="BK9" s="1516" t="s">
        <v>5220</v>
      </c>
      <c r="BL9" s="1517" t="s">
        <v>5221</v>
      </c>
      <c r="BM9" s="1515" t="s">
        <v>5222</v>
      </c>
      <c r="BN9" s="1232" t="s">
        <v>5223</v>
      </c>
      <c r="BO9" s="1236" t="s">
        <v>5224</v>
      </c>
      <c r="BP9" s="1240" t="s">
        <v>5225</v>
      </c>
      <c r="BQ9" s="206" t="s">
        <v>5226</v>
      </c>
      <c r="BR9" s="1519" t="s">
        <v>5227</v>
      </c>
      <c r="BS9" s="1515" t="s">
        <v>5228</v>
      </c>
      <c r="BT9" s="1516" t="s">
        <v>5229</v>
      </c>
      <c r="BU9" s="1517" t="s">
        <v>5230</v>
      </c>
      <c r="BV9" s="1515" t="s">
        <v>5231</v>
      </c>
      <c r="BW9" s="1232" t="s">
        <v>5232</v>
      </c>
      <c r="BX9" s="1236" t="s">
        <v>5233</v>
      </c>
      <c r="BY9" s="1240" t="s">
        <v>5234</v>
      </c>
      <c r="BZ9" s="206" t="s">
        <v>5235</v>
      </c>
    </row>
    <row r="10" spans="1:78" ht="15.75">
      <c r="A10" s="852"/>
      <c r="B10" s="863" t="s">
        <v>5236</v>
      </c>
      <c r="C10" s="867" t="s">
        <v>5237</v>
      </c>
      <c r="D10" s="867"/>
      <c r="E10" s="2155" t="s">
        <v>8</v>
      </c>
      <c r="F10" s="864">
        <v>3</v>
      </c>
      <c r="G10" s="928">
        <v>0</v>
      </c>
      <c r="H10" s="1232">
        <v>0</v>
      </c>
      <c r="I10" s="1240">
        <v>0</v>
      </c>
      <c r="J10" s="907">
        <v>0</v>
      </c>
      <c r="K10" s="1240">
        <v>0</v>
      </c>
      <c r="L10" s="1355">
        <v>-4.2173345268960948E-5</v>
      </c>
      <c r="M10" s="1236">
        <v>-1.495808784917237</v>
      </c>
      <c r="N10" s="1240">
        <v>0</v>
      </c>
      <c r="O10" s="206">
        <f t="shared" si="0"/>
        <v>-1.4958509582625059</v>
      </c>
      <c r="P10" s="928">
        <v>0</v>
      </c>
      <c r="Q10" s="1232">
        <v>0</v>
      </c>
      <c r="R10" s="1240">
        <v>0</v>
      </c>
      <c r="S10" s="907">
        <v>0</v>
      </c>
      <c r="T10" s="1240">
        <v>0</v>
      </c>
      <c r="U10" s="1355">
        <v>0</v>
      </c>
      <c r="V10" s="1236">
        <v>0.46828755091794938</v>
      </c>
      <c r="W10" s="1240">
        <v>0</v>
      </c>
      <c r="X10" s="206">
        <f t="shared" si="1"/>
        <v>0.46828755091794938</v>
      </c>
      <c r="Y10" s="1872"/>
      <c r="AA10" s="770">
        <f t="shared" si="2"/>
        <v>0</v>
      </c>
      <c r="AB10" s="65"/>
      <c r="AC10" s="66"/>
      <c r="AD10" s="65"/>
      <c r="AE10" s="86">
        <f>IF(Validation!$H$3=1,0,IF(ISNUMBER(G10),0,1))</f>
        <v>0</v>
      </c>
      <c r="AF10" s="86">
        <f>IF(Validation!$H$3=1,0,IF(ISNUMBER(H10),0,1))</f>
        <v>0</v>
      </c>
      <c r="AG10" s="86">
        <f>IF(Validation!$H$3=1,0,IF(ISNUMBER(I10),0,1))</f>
        <v>0</v>
      </c>
      <c r="AH10" s="86">
        <f>IF(Validation!$H$3=1,0,IF(ISNUMBER(J10),0,1))</f>
        <v>0</v>
      </c>
      <c r="AI10" s="86">
        <f>IF(Validation!$H$3=1,0,IF(ISNUMBER(K10),0,1))</f>
        <v>0</v>
      </c>
      <c r="AJ10" s="86">
        <f>IF(Validation!$H$3=1,0,IF(ISNUMBER(L10),0,1))</f>
        <v>0</v>
      </c>
      <c r="AK10" s="86">
        <f>IF(Validation!$H$3=1,0,IF(ISNUMBER(M10),0,1))</f>
        <v>0</v>
      </c>
      <c r="AL10" s="86">
        <f>IF(Validation!$H$3=1,0,IF(ISNUMBER(N10),0,1))</f>
        <v>0</v>
      </c>
      <c r="AM10" s="113"/>
      <c r="AN10" s="86">
        <f>IF(Validation!$H$3=1,0,IF(ISNUMBER(P10),0,1))</f>
        <v>0</v>
      </c>
      <c r="AO10" s="86">
        <f>IF(Validation!$H$3=1,0,IF(ISNUMBER(Q10),0,1))</f>
        <v>0</v>
      </c>
      <c r="AP10" s="86">
        <f>IF(Validation!$H$3=1,0,IF(ISNUMBER(R10),0,1))</f>
        <v>0</v>
      </c>
      <c r="AQ10" s="86">
        <f>IF(Validation!$H$3=1,0,IF(ISNUMBER(S10),0,1))</f>
        <v>0</v>
      </c>
      <c r="AR10" s="86">
        <f>IF(Validation!$H$3=1,0,IF(ISNUMBER(T10),0,1))</f>
        <v>0</v>
      </c>
      <c r="AS10" s="86">
        <f>IF(Validation!$H$3=1,0,IF(ISNUMBER(U10),0,1))</f>
        <v>0</v>
      </c>
      <c r="AT10" s="86">
        <f>IF(Validation!$H$3=1,0,IF(ISNUMBER(V10),0,1))</f>
        <v>0</v>
      </c>
      <c r="AU10" s="86">
        <f>IF(Validation!$H$3=1,0,IF(ISNUMBER(W10),0,1))</f>
        <v>0</v>
      </c>
      <c r="AV10" s="66"/>
      <c r="BD10" s="863" t="s">
        <v>5236</v>
      </c>
      <c r="BE10" s="963" t="s">
        <v>5237</v>
      </c>
      <c r="BF10" s="963"/>
      <c r="BG10" s="2155" t="s">
        <v>8</v>
      </c>
      <c r="BH10" s="864">
        <v>3</v>
      </c>
      <c r="BI10" s="1514" t="s">
        <v>5238</v>
      </c>
      <c r="BJ10" s="1515" t="s">
        <v>5239</v>
      </c>
      <c r="BK10" s="1516" t="s">
        <v>5240</v>
      </c>
      <c r="BL10" s="1517" t="s">
        <v>5241</v>
      </c>
      <c r="BM10" s="1515" t="s">
        <v>5242</v>
      </c>
      <c r="BN10" s="1232" t="s">
        <v>5243</v>
      </c>
      <c r="BO10" s="1236" t="s">
        <v>5244</v>
      </c>
      <c r="BP10" s="1240" t="s">
        <v>5245</v>
      </c>
      <c r="BQ10" s="206" t="s">
        <v>5246</v>
      </c>
      <c r="BR10" s="1519" t="s">
        <v>5247</v>
      </c>
      <c r="BS10" s="1515" t="s">
        <v>5248</v>
      </c>
      <c r="BT10" s="1516" t="s">
        <v>5249</v>
      </c>
      <c r="BU10" s="1517" t="s">
        <v>5250</v>
      </c>
      <c r="BV10" s="1515" t="s">
        <v>5251</v>
      </c>
      <c r="BW10" s="1232" t="s">
        <v>5252</v>
      </c>
      <c r="BX10" s="1236" t="s">
        <v>5253</v>
      </c>
      <c r="BY10" s="1240" t="s">
        <v>5254</v>
      </c>
      <c r="BZ10" s="206" t="s">
        <v>5255</v>
      </c>
    </row>
    <row r="11" spans="1:78" ht="15.75">
      <c r="A11" s="852"/>
      <c r="B11" s="863" t="s">
        <v>5256</v>
      </c>
      <c r="C11" s="867" t="s">
        <v>5257</v>
      </c>
      <c r="D11" s="867"/>
      <c r="E11" s="2155" t="s">
        <v>8</v>
      </c>
      <c r="F11" s="864">
        <v>3</v>
      </c>
      <c r="G11" s="928">
        <v>0</v>
      </c>
      <c r="H11" s="1232">
        <v>1.0118287724073066E-2</v>
      </c>
      <c r="I11" s="1240">
        <v>0</v>
      </c>
      <c r="J11" s="907">
        <v>0</v>
      </c>
      <c r="K11" s="1240">
        <v>0</v>
      </c>
      <c r="L11" s="1355">
        <v>0</v>
      </c>
      <c r="M11" s="1236">
        <v>0</v>
      </c>
      <c r="N11" s="1240">
        <v>0</v>
      </c>
      <c r="O11" s="206">
        <f t="shared" si="0"/>
        <v>1.0118287724073066E-2</v>
      </c>
      <c r="P11" s="928">
        <v>0</v>
      </c>
      <c r="Q11" s="1232">
        <v>0</v>
      </c>
      <c r="R11" s="1240">
        <v>0</v>
      </c>
      <c r="S11" s="907">
        <v>0</v>
      </c>
      <c r="T11" s="1240">
        <v>0</v>
      </c>
      <c r="U11" s="1355">
        <v>0</v>
      </c>
      <c r="V11" s="1236">
        <v>0</v>
      </c>
      <c r="W11" s="1240">
        <v>0</v>
      </c>
      <c r="X11" s="206">
        <f t="shared" si="1"/>
        <v>0</v>
      </c>
      <c r="Y11" s="1872"/>
      <c r="AA11" s="770">
        <f t="shared" si="2"/>
        <v>0</v>
      </c>
      <c r="AB11" s="65"/>
      <c r="AC11" s="66"/>
      <c r="AD11" s="65"/>
      <c r="AE11" s="86">
        <f>IF(Validation!$H$3=1,0,IF(ISNUMBER(G11),0,1))</f>
        <v>0</v>
      </c>
      <c r="AF11" s="86">
        <f>IF(Validation!$H$3=1,0,IF(ISNUMBER(H11),0,1))</f>
        <v>0</v>
      </c>
      <c r="AG11" s="86">
        <f>IF(Validation!$H$3=1,0,IF(ISNUMBER(I11),0,1))</f>
        <v>0</v>
      </c>
      <c r="AH11" s="86">
        <f>IF(Validation!$H$3=1,0,IF(ISNUMBER(J11),0,1))</f>
        <v>0</v>
      </c>
      <c r="AI11" s="86">
        <f>IF(Validation!$H$3=1,0,IF(ISNUMBER(K11),0,1))</f>
        <v>0</v>
      </c>
      <c r="AJ11" s="86">
        <f>IF(Validation!$H$3=1,0,IF(ISNUMBER(L11),0,1))</f>
        <v>0</v>
      </c>
      <c r="AK11" s="86">
        <f>IF(Validation!$H$3=1,0,IF(ISNUMBER(M11),0,1))</f>
        <v>0</v>
      </c>
      <c r="AL11" s="86">
        <f>IF(Validation!$H$3=1,0,IF(ISNUMBER(N11),0,1))</f>
        <v>0</v>
      </c>
      <c r="AM11" s="113"/>
      <c r="AN11" s="86">
        <f>IF(Validation!$H$3=1,0,IF(ISNUMBER(P11),0,1))</f>
        <v>0</v>
      </c>
      <c r="AO11" s="86">
        <f>IF(Validation!$H$3=1,0,IF(ISNUMBER(Q11),0,1))</f>
        <v>0</v>
      </c>
      <c r="AP11" s="86">
        <f>IF(Validation!$H$3=1,0,IF(ISNUMBER(R11),0,1))</f>
        <v>0</v>
      </c>
      <c r="AQ11" s="86">
        <f>IF(Validation!$H$3=1,0,IF(ISNUMBER(S11),0,1))</f>
        <v>0</v>
      </c>
      <c r="AR11" s="86">
        <f>IF(Validation!$H$3=1,0,IF(ISNUMBER(T11),0,1))</f>
        <v>0</v>
      </c>
      <c r="AS11" s="86">
        <f>IF(Validation!$H$3=1,0,IF(ISNUMBER(U11),0,1))</f>
        <v>0</v>
      </c>
      <c r="AT11" s="86">
        <f>IF(Validation!$H$3=1,0,IF(ISNUMBER(V11),0,1))</f>
        <v>0</v>
      </c>
      <c r="AU11" s="86">
        <f>IF(Validation!$H$3=1,0,IF(ISNUMBER(W11),0,1))</f>
        <v>0</v>
      </c>
      <c r="AV11" s="66"/>
      <c r="BD11" s="863" t="s">
        <v>5256</v>
      </c>
      <c r="BE11" s="963" t="s">
        <v>5257</v>
      </c>
      <c r="BF11" s="963"/>
      <c r="BG11" s="2155" t="s">
        <v>8</v>
      </c>
      <c r="BH11" s="864">
        <v>3</v>
      </c>
      <c r="BI11" s="1514" t="s">
        <v>5258</v>
      </c>
      <c r="BJ11" s="1515" t="s">
        <v>5259</v>
      </c>
      <c r="BK11" s="1516" t="s">
        <v>5260</v>
      </c>
      <c r="BL11" s="1517" t="s">
        <v>5261</v>
      </c>
      <c r="BM11" s="1515" t="s">
        <v>5262</v>
      </c>
      <c r="BN11" s="1232" t="s">
        <v>5263</v>
      </c>
      <c r="BO11" s="1236" t="s">
        <v>5264</v>
      </c>
      <c r="BP11" s="1240" t="s">
        <v>5265</v>
      </c>
      <c r="BQ11" s="206" t="s">
        <v>5266</v>
      </c>
      <c r="BR11" s="1519" t="s">
        <v>5267</v>
      </c>
      <c r="BS11" s="1515" t="s">
        <v>5268</v>
      </c>
      <c r="BT11" s="1516" t="s">
        <v>5269</v>
      </c>
      <c r="BU11" s="1517" t="s">
        <v>5270</v>
      </c>
      <c r="BV11" s="1515" t="s">
        <v>5271</v>
      </c>
      <c r="BW11" s="1232" t="s">
        <v>5272</v>
      </c>
      <c r="BX11" s="1236" t="s">
        <v>5273</v>
      </c>
      <c r="BY11" s="1240" t="s">
        <v>5274</v>
      </c>
      <c r="BZ11" s="206" t="s">
        <v>5275</v>
      </c>
    </row>
    <row r="12" spans="1:78" ht="15.75">
      <c r="A12" s="852"/>
      <c r="B12" s="863" t="s">
        <v>5276</v>
      </c>
      <c r="C12" s="867" t="s">
        <v>5277</v>
      </c>
      <c r="D12" s="867"/>
      <c r="E12" s="2155" t="s">
        <v>8</v>
      </c>
      <c r="F12" s="864">
        <v>3</v>
      </c>
      <c r="G12" s="928">
        <v>0</v>
      </c>
      <c r="H12" s="1232">
        <v>0</v>
      </c>
      <c r="I12" s="1240">
        <v>0</v>
      </c>
      <c r="J12" s="907">
        <v>0</v>
      </c>
      <c r="K12" s="1240">
        <v>0</v>
      </c>
      <c r="L12" s="1355">
        <v>0</v>
      </c>
      <c r="M12" s="1236">
        <v>0</v>
      </c>
      <c r="N12" s="1240">
        <v>0</v>
      </c>
      <c r="O12" s="206">
        <f t="shared" si="0"/>
        <v>0</v>
      </c>
      <c r="P12" s="928">
        <v>0</v>
      </c>
      <c r="Q12" s="1232">
        <v>0</v>
      </c>
      <c r="R12" s="1240">
        <v>0</v>
      </c>
      <c r="S12" s="907">
        <v>0</v>
      </c>
      <c r="T12" s="1240">
        <v>0</v>
      </c>
      <c r="U12" s="1355">
        <v>0</v>
      </c>
      <c r="V12" s="1236">
        <v>0</v>
      </c>
      <c r="W12" s="1240">
        <v>0</v>
      </c>
      <c r="X12" s="206">
        <f t="shared" si="1"/>
        <v>0</v>
      </c>
      <c r="Y12" s="1872"/>
      <c r="AA12" s="770">
        <f t="shared" si="2"/>
        <v>0</v>
      </c>
      <c r="AB12" s="65"/>
      <c r="AC12" s="66"/>
      <c r="AD12" s="65"/>
      <c r="AE12" s="86">
        <f>IF(Validation!$H$3=1,0,IF(ISNUMBER(G12),0,1))</f>
        <v>0</v>
      </c>
      <c r="AF12" s="86">
        <f>IF(Validation!$H$3=1,0,IF(ISNUMBER(H12),0,1))</f>
        <v>0</v>
      </c>
      <c r="AG12" s="86">
        <f>IF(Validation!$H$3=1,0,IF(ISNUMBER(I12),0,1))</f>
        <v>0</v>
      </c>
      <c r="AH12" s="86">
        <f>IF(Validation!$H$3=1,0,IF(ISNUMBER(J12),0,1))</f>
        <v>0</v>
      </c>
      <c r="AI12" s="86">
        <f>IF(Validation!$H$3=1,0,IF(ISNUMBER(K12),0,1))</f>
        <v>0</v>
      </c>
      <c r="AJ12" s="86">
        <f>IF(Validation!$H$3=1,0,IF(ISNUMBER(L12),0,1))</f>
        <v>0</v>
      </c>
      <c r="AK12" s="86">
        <f>IF(Validation!$H$3=1,0,IF(ISNUMBER(M12),0,1))</f>
        <v>0</v>
      </c>
      <c r="AL12" s="86">
        <f>IF(Validation!$H$3=1,0,IF(ISNUMBER(N12),0,1))</f>
        <v>0</v>
      </c>
      <c r="AM12" s="113"/>
      <c r="AN12" s="86">
        <f>IF(Validation!$H$3=1,0,IF(ISNUMBER(P12),0,1))</f>
        <v>0</v>
      </c>
      <c r="AO12" s="86">
        <f>IF(Validation!$H$3=1,0,IF(ISNUMBER(Q12),0,1))</f>
        <v>0</v>
      </c>
      <c r="AP12" s="86">
        <f>IF(Validation!$H$3=1,0,IF(ISNUMBER(R12),0,1))</f>
        <v>0</v>
      </c>
      <c r="AQ12" s="86">
        <f>IF(Validation!$H$3=1,0,IF(ISNUMBER(S12),0,1))</f>
        <v>0</v>
      </c>
      <c r="AR12" s="86">
        <f>IF(Validation!$H$3=1,0,IF(ISNUMBER(T12),0,1))</f>
        <v>0</v>
      </c>
      <c r="AS12" s="86">
        <f>IF(Validation!$H$3=1,0,IF(ISNUMBER(U12),0,1))</f>
        <v>0</v>
      </c>
      <c r="AT12" s="86">
        <f>IF(Validation!$H$3=1,0,IF(ISNUMBER(V12),0,1))</f>
        <v>0</v>
      </c>
      <c r="AU12" s="86">
        <f>IF(Validation!$H$3=1,0,IF(ISNUMBER(W12),0,1))</f>
        <v>0</v>
      </c>
      <c r="AV12" s="66"/>
      <c r="BD12" s="863" t="s">
        <v>5276</v>
      </c>
      <c r="BE12" s="963" t="s">
        <v>5277</v>
      </c>
      <c r="BF12" s="963"/>
      <c r="BG12" s="2155" t="s">
        <v>8</v>
      </c>
      <c r="BH12" s="864">
        <v>3</v>
      </c>
      <c r="BI12" s="1514" t="s">
        <v>5278</v>
      </c>
      <c r="BJ12" s="1515" t="s">
        <v>5279</v>
      </c>
      <c r="BK12" s="1516" t="s">
        <v>5280</v>
      </c>
      <c r="BL12" s="1517" t="s">
        <v>5281</v>
      </c>
      <c r="BM12" s="1515" t="s">
        <v>5282</v>
      </c>
      <c r="BN12" s="1515" t="s">
        <v>5283</v>
      </c>
      <c r="BO12" s="1518" t="s">
        <v>5284</v>
      </c>
      <c r="BP12" s="1516" t="s">
        <v>5285</v>
      </c>
      <c r="BQ12" s="1504" t="s">
        <v>5286</v>
      </c>
      <c r="BR12" s="1519" t="s">
        <v>5287</v>
      </c>
      <c r="BS12" s="1515" t="s">
        <v>5288</v>
      </c>
      <c r="BT12" s="1516" t="s">
        <v>5289</v>
      </c>
      <c r="BU12" s="1517" t="s">
        <v>5290</v>
      </c>
      <c r="BV12" s="1515" t="s">
        <v>5291</v>
      </c>
      <c r="BW12" s="1515" t="s">
        <v>5292</v>
      </c>
      <c r="BX12" s="1518" t="s">
        <v>5293</v>
      </c>
      <c r="BY12" s="1516" t="s">
        <v>5294</v>
      </c>
      <c r="BZ12" s="1504" t="s">
        <v>5295</v>
      </c>
    </row>
    <row r="13" spans="1:78" ht="15.75">
      <c r="A13" s="852"/>
      <c r="B13" s="863" t="s">
        <v>5296</v>
      </c>
      <c r="C13" s="867" t="s">
        <v>5297</v>
      </c>
      <c r="D13" s="867"/>
      <c r="E13" s="2155" t="s">
        <v>8</v>
      </c>
      <c r="F13" s="864">
        <v>3</v>
      </c>
      <c r="G13" s="928">
        <v>1.2368396041715701</v>
      </c>
      <c r="H13" s="1232">
        <v>0</v>
      </c>
      <c r="I13" s="1240">
        <v>0</v>
      </c>
      <c r="J13" s="907">
        <v>0</v>
      </c>
      <c r="K13" s="1240">
        <v>0</v>
      </c>
      <c r="L13" s="1355">
        <v>0</v>
      </c>
      <c r="M13" s="1236">
        <v>0</v>
      </c>
      <c r="N13" s="1240">
        <v>0</v>
      </c>
      <c r="O13" s="206">
        <f t="shared" si="0"/>
        <v>1.2368396041715701</v>
      </c>
      <c r="P13" s="928">
        <v>0.74721217505869142</v>
      </c>
      <c r="Q13" s="1232">
        <v>0</v>
      </c>
      <c r="R13" s="1240">
        <v>0</v>
      </c>
      <c r="S13" s="907">
        <v>0</v>
      </c>
      <c r="T13" s="1240">
        <v>0</v>
      </c>
      <c r="U13" s="1355">
        <v>0</v>
      </c>
      <c r="V13" s="1236">
        <v>0</v>
      </c>
      <c r="W13" s="1240">
        <v>0</v>
      </c>
      <c r="X13" s="206">
        <f t="shared" si="1"/>
        <v>0.74721217505869142</v>
      </c>
      <c r="Y13" s="1872"/>
      <c r="AA13" s="770">
        <f t="shared" si="2"/>
        <v>0</v>
      </c>
      <c r="AB13" s="65"/>
      <c r="AC13" s="66"/>
      <c r="AD13" s="65"/>
      <c r="AE13" s="86">
        <f>IF(Validation!$H$3=1,0,IF(ISNUMBER(G13),0,1))</f>
        <v>0</v>
      </c>
      <c r="AF13" s="86">
        <f>IF(Validation!$H$3=1,0,IF(ISNUMBER(H13),0,1))</f>
        <v>0</v>
      </c>
      <c r="AG13" s="86">
        <f>IF(Validation!$H$3=1,0,IF(ISNUMBER(I13),0,1))</f>
        <v>0</v>
      </c>
      <c r="AH13" s="86">
        <f>IF(Validation!$H$3=1,0,IF(ISNUMBER(J13),0,1))</f>
        <v>0</v>
      </c>
      <c r="AI13" s="86">
        <f>IF(Validation!$H$3=1,0,IF(ISNUMBER(K13),0,1))</f>
        <v>0</v>
      </c>
      <c r="AJ13" s="86">
        <f>IF(Validation!$H$3=1,0,IF(ISNUMBER(L13),0,1))</f>
        <v>0</v>
      </c>
      <c r="AK13" s="86">
        <f>IF(Validation!$H$3=1,0,IF(ISNUMBER(M13),0,1))</f>
        <v>0</v>
      </c>
      <c r="AL13" s="86">
        <f>IF(Validation!$H$3=1,0,IF(ISNUMBER(N13),0,1))</f>
        <v>0</v>
      </c>
      <c r="AM13" s="113"/>
      <c r="AN13" s="86">
        <f>IF(Validation!$H$3=1,0,IF(ISNUMBER(P13),0,1))</f>
        <v>0</v>
      </c>
      <c r="AO13" s="86">
        <f>IF(Validation!$H$3=1,0,IF(ISNUMBER(Q13),0,1))</f>
        <v>0</v>
      </c>
      <c r="AP13" s="86">
        <f>IF(Validation!$H$3=1,0,IF(ISNUMBER(R13),0,1))</f>
        <v>0</v>
      </c>
      <c r="AQ13" s="86">
        <f>IF(Validation!$H$3=1,0,IF(ISNUMBER(S13),0,1))</f>
        <v>0</v>
      </c>
      <c r="AR13" s="86">
        <f>IF(Validation!$H$3=1,0,IF(ISNUMBER(T13),0,1))</f>
        <v>0</v>
      </c>
      <c r="AS13" s="86">
        <f>IF(Validation!$H$3=1,0,IF(ISNUMBER(U13),0,1))</f>
        <v>0</v>
      </c>
      <c r="AT13" s="86">
        <f>IF(Validation!$H$3=1,0,IF(ISNUMBER(V13),0,1))</f>
        <v>0</v>
      </c>
      <c r="AU13" s="86">
        <f>IF(Validation!$H$3=1,0,IF(ISNUMBER(W13),0,1))</f>
        <v>0</v>
      </c>
      <c r="AV13" s="66"/>
      <c r="BD13" s="863" t="s">
        <v>5296</v>
      </c>
      <c r="BE13" s="963" t="s">
        <v>5297</v>
      </c>
      <c r="BF13" s="963"/>
      <c r="BG13" s="2155" t="s">
        <v>8</v>
      </c>
      <c r="BH13" s="864">
        <v>3</v>
      </c>
      <c r="BI13" s="1514" t="s">
        <v>5298</v>
      </c>
      <c r="BJ13" s="1515" t="s">
        <v>5299</v>
      </c>
      <c r="BK13" s="1516" t="s">
        <v>5300</v>
      </c>
      <c r="BL13" s="1517" t="s">
        <v>5301</v>
      </c>
      <c r="BM13" s="1515" t="s">
        <v>5302</v>
      </c>
      <c r="BN13" s="1232" t="s">
        <v>5303</v>
      </c>
      <c r="BO13" s="1236" t="s">
        <v>5304</v>
      </c>
      <c r="BP13" s="1240" t="s">
        <v>5305</v>
      </c>
      <c r="BQ13" s="206" t="s">
        <v>5306</v>
      </c>
      <c r="BR13" s="1519" t="s">
        <v>5307</v>
      </c>
      <c r="BS13" s="1515" t="s">
        <v>5308</v>
      </c>
      <c r="BT13" s="1516" t="s">
        <v>5309</v>
      </c>
      <c r="BU13" s="1517" t="s">
        <v>5310</v>
      </c>
      <c r="BV13" s="1515" t="s">
        <v>5311</v>
      </c>
      <c r="BW13" s="1232" t="s">
        <v>5312</v>
      </c>
      <c r="BX13" s="1236" t="s">
        <v>5313</v>
      </c>
      <c r="BY13" s="1240" t="s">
        <v>5314</v>
      </c>
      <c r="BZ13" s="206" t="s">
        <v>5315</v>
      </c>
    </row>
    <row r="14" spans="1:78" ht="15.75">
      <c r="A14" s="852"/>
      <c r="B14" s="863" t="s">
        <v>5316</v>
      </c>
      <c r="C14" s="867" t="s">
        <v>5317</v>
      </c>
      <c r="D14" s="867"/>
      <c r="E14" s="2155" t="s">
        <v>8</v>
      </c>
      <c r="F14" s="864">
        <v>3</v>
      </c>
      <c r="G14" s="928">
        <v>0</v>
      </c>
      <c r="H14" s="1232">
        <v>0</v>
      </c>
      <c r="I14" s="1240">
        <v>0</v>
      </c>
      <c r="J14" s="907">
        <v>0</v>
      </c>
      <c r="K14" s="1240">
        <v>0</v>
      </c>
      <c r="L14" s="1355">
        <v>0</v>
      </c>
      <c r="M14" s="1236">
        <v>0</v>
      </c>
      <c r="N14" s="1240">
        <v>0</v>
      </c>
      <c r="O14" s="206">
        <f t="shared" si="0"/>
        <v>0</v>
      </c>
      <c r="P14" s="928">
        <v>0</v>
      </c>
      <c r="Q14" s="1232">
        <v>0</v>
      </c>
      <c r="R14" s="1240">
        <v>0</v>
      </c>
      <c r="S14" s="907">
        <v>0</v>
      </c>
      <c r="T14" s="1240">
        <v>0</v>
      </c>
      <c r="U14" s="1355">
        <v>0</v>
      </c>
      <c r="V14" s="1236">
        <v>0</v>
      </c>
      <c r="W14" s="1240">
        <v>0</v>
      </c>
      <c r="X14" s="206">
        <f t="shared" si="1"/>
        <v>0</v>
      </c>
      <c r="Y14" s="1872"/>
      <c r="AA14" s="770">
        <f t="shared" si="2"/>
        <v>0</v>
      </c>
      <c r="AB14" s="65"/>
      <c r="AC14" s="66"/>
      <c r="AD14" s="65"/>
      <c r="AE14" s="86">
        <f>IF(Validation!$H$3=1,0,IF(ISNUMBER(G14),0,1))</f>
        <v>0</v>
      </c>
      <c r="AF14" s="86">
        <f>IF(Validation!$H$3=1,0,IF(ISNUMBER(H14),0,1))</f>
        <v>0</v>
      </c>
      <c r="AG14" s="86">
        <f>IF(Validation!$H$3=1,0,IF(ISNUMBER(I14),0,1))</f>
        <v>0</v>
      </c>
      <c r="AH14" s="86">
        <f>IF(Validation!$H$3=1,0,IF(ISNUMBER(J14),0,1))</f>
        <v>0</v>
      </c>
      <c r="AI14" s="86">
        <f>IF(Validation!$H$3=1,0,IF(ISNUMBER(K14),0,1))</f>
        <v>0</v>
      </c>
      <c r="AJ14" s="86">
        <f>IF(Validation!$H$3=1,0,IF(ISNUMBER(L14),0,1))</f>
        <v>0</v>
      </c>
      <c r="AK14" s="86">
        <f>IF(Validation!$H$3=1,0,IF(ISNUMBER(M14),0,1))</f>
        <v>0</v>
      </c>
      <c r="AL14" s="86">
        <f>IF(Validation!$H$3=1,0,IF(ISNUMBER(N14),0,1))</f>
        <v>0</v>
      </c>
      <c r="AM14" s="113"/>
      <c r="AN14" s="86">
        <f>IF(Validation!$H$3=1,0,IF(ISNUMBER(P14),0,1))</f>
        <v>0</v>
      </c>
      <c r="AO14" s="86">
        <f>IF(Validation!$H$3=1,0,IF(ISNUMBER(Q14),0,1))</f>
        <v>0</v>
      </c>
      <c r="AP14" s="86">
        <f>IF(Validation!$H$3=1,0,IF(ISNUMBER(R14),0,1))</f>
        <v>0</v>
      </c>
      <c r="AQ14" s="86">
        <f>IF(Validation!$H$3=1,0,IF(ISNUMBER(S14),0,1))</f>
        <v>0</v>
      </c>
      <c r="AR14" s="86">
        <f>IF(Validation!$H$3=1,0,IF(ISNUMBER(T14),0,1))</f>
        <v>0</v>
      </c>
      <c r="AS14" s="86">
        <f>IF(Validation!$H$3=1,0,IF(ISNUMBER(U14),0,1))</f>
        <v>0</v>
      </c>
      <c r="AT14" s="86">
        <f>IF(Validation!$H$3=1,0,IF(ISNUMBER(V14),0,1))</f>
        <v>0</v>
      </c>
      <c r="AU14" s="86">
        <f>IF(Validation!$H$3=1,0,IF(ISNUMBER(W14),0,1))</f>
        <v>0</v>
      </c>
      <c r="AV14" s="66"/>
      <c r="BD14" s="863" t="s">
        <v>5316</v>
      </c>
      <c r="BE14" s="963" t="s">
        <v>5317</v>
      </c>
      <c r="BF14" s="963"/>
      <c r="BG14" s="2155" t="s">
        <v>8</v>
      </c>
      <c r="BH14" s="864">
        <v>3</v>
      </c>
      <c r="BI14" s="1514" t="s">
        <v>5318</v>
      </c>
      <c r="BJ14" s="1515" t="s">
        <v>5319</v>
      </c>
      <c r="BK14" s="1516" t="s">
        <v>5320</v>
      </c>
      <c r="BL14" s="1517" t="s">
        <v>5321</v>
      </c>
      <c r="BM14" s="1515" t="s">
        <v>5322</v>
      </c>
      <c r="BN14" s="1232" t="s">
        <v>5323</v>
      </c>
      <c r="BO14" s="1236" t="s">
        <v>5324</v>
      </c>
      <c r="BP14" s="1240" t="s">
        <v>5325</v>
      </c>
      <c r="BQ14" s="206" t="s">
        <v>5326</v>
      </c>
      <c r="BR14" s="1519" t="s">
        <v>5327</v>
      </c>
      <c r="BS14" s="1515" t="s">
        <v>5328</v>
      </c>
      <c r="BT14" s="1516" t="s">
        <v>5329</v>
      </c>
      <c r="BU14" s="1517" t="s">
        <v>5330</v>
      </c>
      <c r="BV14" s="1515" t="s">
        <v>5331</v>
      </c>
      <c r="BW14" s="1232" t="s">
        <v>5332</v>
      </c>
      <c r="BX14" s="1236" t="s">
        <v>5333</v>
      </c>
      <c r="BY14" s="1240" t="s">
        <v>5334</v>
      </c>
      <c r="BZ14" s="206" t="s">
        <v>5335</v>
      </c>
    </row>
    <row r="15" spans="1:78" ht="15.75">
      <c r="A15" s="852"/>
      <c r="B15" s="863" t="s">
        <v>5336</v>
      </c>
      <c r="C15" s="867" t="s">
        <v>5337</v>
      </c>
      <c r="D15" s="867"/>
      <c r="E15" s="2155" t="s">
        <v>8</v>
      </c>
      <c r="F15" s="864">
        <v>3</v>
      </c>
      <c r="G15" s="928">
        <v>0.45872513497769268</v>
      </c>
      <c r="H15" s="1232">
        <v>0</v>
      </c>
      <c r="I15" s="1240">
        <v>0</v>
      </c>
      <c r="J15" s="907">
        <v>0</v>
      </c>
      <c r="K15" s="1240">
        <v>0</v>
      </c>
      <c r="L15" s="1355">
        <v>0</v>
      </c>
      <c r="M15" s="1236">
        <v>0</v>
      </c>
      <c r="N15" s="1240">
        <v>0</v>
      </c>
      <c r="O15" s="206">
        <f t="shared" si="0"/>
        <v>0.45872513497769268</v>
      </c>
      <c r="P15" s="928">
        <v>0</v>
      </c>
      <c r="Q15" s="1232">
        <v>0</v>
      </c>
      <c r="R15" s="1240">
        <v>0</v>
      </c>
      <c r="S15" s="907">
        <v>0</v>
      </c>
      <c r="T15" s="1240">
        <v>0</v>
      </c>
      <c r="U15" s="1355">
        <v>0</v>
      </c>
      <c r="V15" s="1236">
        <v>0</v>
      </c>
      <c r="W15" s="1240">
        <v>0</v>
      </c>
      <c r="X15" s="206">
        <f t="shared" si="1"/>
        <v>0</v>
      </c>
      <c r="Y15" s="1872"/>
      <c r="AA15" s="770">
        <f t="shared" si="2"/>
        <v>0</v>
      </c>
      <c r="AB15" s="65"/>
      <c r="AC15" s="66"/>
      <c r="AD15" s="65"/>
      <c r="AE15" s="86">
        <f>IF(Validation!$H$3=1,0,IF(ISNUMBER(G15),0,1))</f>
        <v>0</v>
      </c>
      <c r="AF15" s="86">
        <f>IF(Validation!$H$3=1,0,IF(ISNUMBER(H15),0,1))</f>
        <v>0</v>
      </c>
      <c r="AG15" s="86">
        <f>IF(Validation!$H$3=1,0,IF(ISNUMBER(I15),0,1))</f>
        <v>0</v>
      </c>
      <c r="AH15" s="86">
        <f>IF(Validation!$H$3=1,0,IF(ISNUMBER(J15),0,1))</f>
        <v>0</v>
      </c>
      <c r="AI15" s="86">
        <f>IF(Validation!$H$3=1,0,IF(ISNUMBER(K15),0,1))</f>
        <v>0</v>
      </c>
      <c r="AJ15" s="86">
        <f>IF(Validation!$H$3=1,0,IF(ISNUMBER(L15),0,1))</f>
        <v>0</v>
      </c>
      <c r="AK15" s="86">
        <f>IF(Validation!$H$3=1,0,IF(ISNUMBER(M15),0,1))</f>
        <v>0</v>
      </c>
      <c r="AL15" s="86">
        <f>IF(Validation!$H$3=1,0,IF(ISNUMBER(N15),0,1))</f>
        <v>0</v>
      </c>
      <c r="AM15" s="113"/>
      <c r="AN15" s="86">
        <f>IF(Validation!$H$3=1,0,IF(ISNUMBER(P15),0,1))</f>
        <v>0</v>
      </c>
      <c r="AO15" s="86">
        <f>IF(Validation!$H$3=1,0,IF(ISNUMBER(Q15),0,1))</f>
        <v>0</v>
      </c>
      <c r="AP15" s="86">
        <f>IF(Validation!$H$3=1,0,IF(ISNUMBER(R15),0,1))</f>
        <v>0</v>
      </c>
      <c r="AQ15" s="86">
        <f>IF(Validation!$H$3=1,0,IF(ISNUMBER(S15),0,1))</f>
        <v>0</v>
      </c>
      <c r="AR15" s="86">
        <f>IF(Validation!$H$3=1,0,IF(ISNUMBER(T15),0,1))</f>
        <v>0</v>
      </c>
      <c r="AS15" s="86">
        <f>IF(Validation!$H$3=1,0,IF(ISNUMBER(U15),0,1))</f>
        <v>0</v>
      </c>
      <c r="AT15" s="86">
        <f>IF(Validation!$H$3=1,0,IF(ISNUMBER(V15),0,1))</f>
        <v>0</v>
      </c>
      <c r="AU15" s="86">
        <f>IF(Validation!$H$3=1,0,IF(ISNUMBER(W15),0,1))</f>
        <v>0</v>
      </c>
      <c r="AV15" s="66"/>
      <c r="BD15" s="863" t="s">
        <v>5336</v>
      </c>
      <c r="BE15" s="963" t="s">
        <v>5337</v>
      </c>
      <c r="BF15" s="963"/>
      <c r="BG15" s="2155" t="s">
        <v>8</v>
      </c>
      <c r="BH15" s="864">
        <v>3</v>
      </c>
      <c r="BI15" s="1514" t="s">
        <v>5338</v>
      </c>
      <c r="BJ15" s="1515" t="s">
        <v>5339</v>
      </c>
      <c r="BK15" s="1516" t="s">
        <v>5340</v>
      </c>
      <c r="BL15" s="1517" t="s">
        <v>5341</v>
      </c>
      <c r="BM15" s="1515" t="s">
        <v>5342</v>
      </c>
      <c r="BN15" s="1232" t="s">
        <v>5343</v>
      </c>
      <c r="BO15" s="1236" t="s">
        <v>5344</v>
      </c>
      <c r="BP15" s="1240" t="s">
        <v>5345</v>
      </c>
      <c r="BQ15" s="206" t="s">
        <v>5346</v>
      </c>
      <c r="BR15" s="1519" t="s">
        <v>5347</v>
      </c>
      <c r="BS15" s="1515" t="s">
        <v>5348</v>
      </c>
      <c r="BT15" s="1516" t="s">
        <v>5349</v>
      </c>
      <c r="BU15" s="1517" t="s">
        <v>5350</v>
      </c>
      <c r="BV15" s="1515" t="s">
        <v>5351</v>
      </c>
      <c r="BW15" s="1232" t="s">
        <v>5352</v>
      </c>
      <c r="BX15" s="1236" t="s">
        <v>5353</v>
      </c>
      <c r="BY15" s="1240" t="s">
        <v>5354</v>
      </c>
      <c r="BZ15" s="206" t="s">
        <v>5355</v>
      </c>
    </row>
    <row r="16" spans="1:78" ht="15.75">
      <c r="A16" s="852"/>
      <c r="B16" s="863" t="s">
        <v>5356</v>
      </c>
      <c r="C16" s="867" t="s">
        <v>5357</v>
      </c>
      <c r="D16" s="867"/>
      <c r="E16" s="2155" t="s">
        <v>8</v>
      </c>
      <c r="F16" s="864">
        <v>3</v>
      </c>
      <c r="G16" s="928">
        <v>0</v>
      </c>
      <c r="H16" s="1232">
        <v>0</v>
      </c>
      <c r="I16" s="1240">
        <v>0</v>
      </c>
      <c r="J16" s="907">
        <v>0</v>
      </c>
      <c r="K16" s="1240">
        <v>0</v>
      </c>
      <c r="L16" s="1355">
        <v>0</v>
      </c>
      <c r="M16" s="1236">
        <v>0</v>
      </c>
      <c r="N16" s="1240">
        <v>0</v>
      </c>
      <c r="O16" s="206">
        <f t="shared" si="0"/>
        <v>0</v>
      </c>
      <c r="P16" s="928">
        <v>0</v>
      </c>
      <c r="Q16" s="1232">
        <v>0</v>
      </c>
      <c r="R16" s="1240">
        <v>0</v>
      </c>
      <c r="S16" s="907">
        <v>0</v>
      </c>
      <c r="T16" s="1240">
        <v>0</v>
      </c>
      <c r="U16" s="1355">
        <v>0</v>
      </c>
      <c r="V16" s="1236">
        <v>0</v>
      </c>
      <c r="W16" s="1240">
        <v>0</v>
      </c>
      <c r="X16" s="206">
        <f t="shared" si="1"/>
        <v>0</v>
      </c>
      <c r="Y16" s="1872"/>
      <c r="AA16" s="770">
        <f t="shared" si="2"/>
        <v>0</v>
      </c>
      <c r="AB16" s="65"/>
      <c r="AC16" s="66"/>
      <c r="AD16" s="65"/>
      <c r="AE16" s="86">
        <f>IF(Validation!$H$3=1,0,IF(ISNUMBER(G16),0,1))</f>
        <v>0</v>
      </c>
      <c r="AF16" s="86">
        <f>IF(Validation!$H$3=1,0,IF(ISNUMBER(H16),0,1))</f>
        <v>0</v>
      </c>
      <c r="AG16" s="86">
        <f>IF(Validation!$H$3=1,0,IF(ISNUMBER(I16),0,1))</f>
        <v>0</v>
      </c>
      <c r="AH16" s="86">
        <f>IF(Validation!$H$3=1,0,IF(ISNUMBER(J16),0,1))</f>
        <v>0</v>
      </c>
      <c r="AI16" s="86">
        <f>IF(Validation!$H$3=1,0,IF(ISNUMBER(K16),0,1))</f>
        <v>0</v>
      </c>
      <c r="AJ16" s="86">
        <f>IF(Validation!$H$3=1,0,IF(ISNUMBER(L16),0,1))</f>
        <v>0</v>
      </c>
      <c r="AK16" s="86">
        <f>IF(Validation!$H$3=1,0,IF(ISNUMBER(M16),0,1))</f>
        <v>0</v>
      </c>
      <c r="AL16" s="86">
        <f>IF(Validation!$H$3=1,0,IF(ISNUMBER(N16),0,1))</f>
        <v>0</v>
      </c>
      <c r="AM16" s="113"/>
      <c r="AN16" s="86">
        <f>IF(Validation!$H$3=1,0,IF(ISNUMBER(P16),0,1))</f>
        <v>0</v>
      </c>
      <c r="AO16" s="86">
        <f>IF(Validation!$H$3=1,0,IF(ISNUMBER(Q16),0,1))</f>
        <v>0</v>
      </c>
      <c r="AP16" s="86">
        <f>IF(Validation!$H$3=1,0,IF(ISNUMBER(R16),0,1))</f>
        <v>0</v>
      </c>
      <c r="AQ16" s="86">
        <f>IF(Validation!$H$3=1,0,IF(ISNUMBER(S16),0,1))</f>
        <v>0</v>
      </c>
      <c r="AR16" s="86">
        <f>IF(Validation!$H$3=1,0,IF(ISNUMBER(T16),0,1))</f>
        <v>0</v>
      </c>
      <c r="AS16" s="86">
        <f>IF(Validation!$H$3=1,0,IF(ISNUMBER(U16),0,1))</f>
        <v>0</v>
      </c>
      <c r="AT16" s="86">
        <f>IF(Validation!$H$3=1,0,IF(ISNUMBER(V16),0,1))</f>
        <v>0</v>
      </c>
      <c r="AU16" s="86">
        <f>IF(Validation!$H$3=1,0,IF(ISNUMBER(W16),0,1))</f>
        <v>0</v>
      </c>
      <c r="AV16" s="66"/>
      <c r="BD16" s="863" t="s">
        <v>5356</v>
      </c>
      <c r="BE16" s="963" t="s">
        <v>5357</v>
      </c>
      <c r="BF16" s="963"/>
      <c r="BG16" s="2155" t="s">
        <v>8</v>
      </c>
      <c r="BH16" s="864">
        <v>3</v>
      </c>
      <c r="BI16" s="1514" t="s">
        <v>5358</v>
      </c>
      <c r="BJ16" s="1515" t="s">
        <v>5359</v>
      </c>
      <c r="BK16" s="1516" t="s">
        <v>5360</v>
      </c>
      <c r="BL16" s="1517" t="s">
        <v>5361</v>
      </c>
      <c r="BM16" s="1515" t="s">
        <v>5362</v>
      </c>
      <c r="BN16" s="1515" t="s">
        <v>5363</v>
      </c>
      <c r="BO16" s="1518" t="s">
        <v>5364</v>
      </c>
      <c r="BP16" s="1516" t="s">
        <v>5365</v>
      </c>
      <c r="BQ16" s="1504" t="s">
        <v>5366</v>
      </c>
      <c r="BR16" s="1519" t="s">
        <v>5367</v>
      </c>
      <c r="BS16" s="1515" t="s">
        <v>5368</v>
      </c>
      <c r="BT16" s="1516" t="s">
        <v>5369</v>
      </c>
      <c r="BU16" s="1517" t="s">
        <v>5370</v>
      </c>
      <c r="BV16" s="1515" t="s">
        <v>5371</v>
      </c>
      <c r="BW16" s="1515" t="s">
        <v>5372</v>
      </c>
      <c r="BX16" s="1518" t="s">
        <v>5373</v>
      </c>
      <c r="BY16" s="1516" t="s">
        <v>5374</v>
      </c>
      <c r="BZ16" s="1504" t="s">
        <v>5375</v>
      </c>
    </row>
    <row r="17" spans="1:78" ht="15.75">
      <c r="A17" s="852"/>
      <c r="B17" s="863" t="s">
        <v>5376</v>
      </c>
      <c r="C17" s="867" t="s">
        <v>5377</v>
      </c>
      <c r="D17" s="867"/>
      <c r="E17" s="2155" t="s">
        <v>8</v>
      </c>
      <c r="F17" s="864">
        <v>3</v>
      </c>
      <c r="G17" s="928">
        <v>0</v>
      </c>
      <c r="H17" s="1232">
        <v>0</v>
      </c>
      <c r="I17" s="1240">
        <v>0</v>
      </c>
      <c r="J17" s="907">
        <v>0</v>
      </c>
      <c r="K17" s="1240">
        <v>0</v>
      </c>
      <c r="L17" s="1355">
        <v>0</v>
      </c>
      <c r="M17" s="1236">
        <v>0</v>
      </c>
      <c r="N17" s="1240">
        <v>0</v>
      </c>
      <c r="O17" s="206">
        <f t="shared" si="0"/>
        <v>0</v>
      </c>
      <c r="P17" s="928">
        <v>0</v>
      </c>
      <c r="Q17" s="1232">
        <v>0</v>
      </c>
      <c r="R17" s="1240">
        <v>0</v>
      </c>
      <c r="S17" s="907">
        <v>0</v>
      </c>
      <c r="T17" s="1240">
        <v>0</v>
      </c>
      <c r="U17" s="1355">
        <v>0</v>
      </c>
      <c r="V17" s="1236">
        <v>0</v>
      </c>
      <c r="W17" s="1240">
        <v>0</v>
      </c>
      <c r="X17" s="206">
        <f t="shared" si="1"/>
        <v>0</v>
      </c>
      <c r="Y17" s="1872"/>
      <c r="AA17" s="770">
        <f t="shared" si="2"/>
        <v>0</v>
      </c>
      <c r="AB17" s="65"/>
      <c r="AC17" s="66"/>
      <c r="AD17" s="65"/>
      <c r="AE17" s="86">
        <f>IF(Validation!$H$3=1,0,IF(ISNUMBER(G17),0,1))</f>
        <v>0</v>
      </c>
      <c r="AF17" s="86">
        <f>IF(Validation!$H$3=1,0,IF(ISNUMBER(H17),0,1))</f>
        <v>0</v>
      </c>
      <c r="AG17" s="86">
        <f>IF(Validation!$H$3=1,0,IF(ISNUMBER(I17),0,1))</f>
        <v>0</v>
      </c>
      <c r="AH17" s="86">
        <f>IF(Validation!$H$3=1,0,IF(ISNUMBER(J17),0,1))</f>
        <v>0</v>
      </c>
      <c r="AI17" s="86">
        <f>IF(Validation!$H$3=1,0,IF(ISNUMBER(K17),0,1))</f>
        <v>0</v>
      </c>
      <c r="AJ17" s="86">
        <f>IF(Validation!$H$3=1,0,IF(ISNUMBER(L17),0,1))</f>
        <v>0</v>
      </c>
      <c r="AK17" s="86">
        <f>IF(Validation!$H$3=1,0,IF(ISNUMBER(M17),0,1))</f>
        <v>0</v>
      </c>
      <c r="AL17" s="86">
        <f>IF(Validation!$H$3=1,0,IF(ISNUMBER(N17),0,1))</f>
        <v>0</v>
      </c>
      <c r="AM17" s="113"/>
      <c r="AN17" s="86">
        <f>IF(Validation!$H$3=1,0,IF(ISNUMBER(P17),0,1))</f>
        <v>0</v>
      </c>
      <c r="AO17" s="86">
        <f>IF(Validation!$H$3=1,0,IF(ISNUMBER(Q17),0,1))</f>
        <v>0</v>
      </c>
      <c r="AP17" s="86">
        <f>IF(Validation!$H$3=1,0,IF(ISNUMBER(R17),0,1))</f>
        <v>0</v>
      </c>
      <c r="AQ17" s="86">
        <f>IF(Validation!$H$3=1,0,IF(ISNUMBER(S17),0,1))</f>
        <v>0</v>
      </c>
      <c r="AR17" s="86">
        <f>IF(Validation!$H$3=1,0,IF(ISNUMBER(T17),0,1))</f>
        <v>0</v>
      </c>
      <c r="AS17" s="86">
        <f>IF(Validation!$H$3=1,0,IF(ISNUMBER(U17),0,1))</f>
        <v>0</v>
      </c>
      <c r="AT17" s="86">
        <f>IF(Validation!$H$3=1,0,IF(ISNUMBER(V17),0,1))</f>
        <v>0</v>
      </c>
      <c r="AU17" s="86">
        <f>IF(Validation!$H$3=1,0,IF(ISNUMBER(W17),0,1))</f>
        <v>0</v>
      </c>
      <c r="AV17" s="66"/>
      <c r="BD17" s="863" t="s">
        <v>5376</v>
      </c>
      <c r="BE17" s="963" t="s">
        <v>5377</v>
      </c>
      <c r="BF17" s="963"/>
      <c r="BG17" s="2155" t="s">
        <v>8</v>
      </c>
      <c r="BH17" s="864">
        <v>3</v>
      </c>
      <c r="BI17" s="1514" t="s">
        <v>5378</v>
      </c>
      <c r="BJ17" s="1515" t="s">
        <v>5379</v>
      </c>
      <c r="BK17" s="1516" t="s">
        <v>5380</v>
      </c>
      <c r="BL17" s="1517" t="s">
        <v>5381</v>
      </c>
      <c r="BM17" s="1515" t="s">
        <v>5382</v>
      </c>
      <c r="BN17" s="1515" t="s">
        <v>5383</v>
      </c>
      <c r="BO17" s="1518" t="s">
        <v>5384</v>
      </c>
      <c r="BP17" s="1516" t="s">
        <v>5385</v>
      </c>
      <c r="BQ17" s="1504" t="s">
        <v>5386</v>
      </c>
      <c r="BR17" s="1519" t="s">
        <v>5387</v>
      </c>
      <c r="BS17" s="1515" t="s">
        <v>5388</v>
      </c>
      <c r="BT17" s="1516" t="s">
        <v>5389</v>
      </c>
      <c r="BU17" s="1517" t="s">
        <v>5390</v>
      </c>
      <c r="BV17" s="1515" t="s">
        <v>5391</v>
      </c>
      <c r="BW17" s="1515" t="s">
        <v>5392</v>
      </c>
      <c r="BX17" s="1518" t="s">
        <v>5393</v>
      </c>
      <c r="BY17" s="1516" t="s">
        <v>5394</v>
      </c>
      <c r="BZ17" s="1504" t="s">
        <v>5395</v>
      </c>
    </row>
    <row r="18" spans="1:78" ht="15.75">
      <c r="A18" s="852"/>
      <c r="B18" s="863" t="s">
        <v>5396</v>
      </c>
      <c r="C18" s="867" t="s">
        <v>5397</v>
      </c>
      <c r="D18" s="867"/>
      <c r="E18" s="2155" t="s">
        <v>8</v>
      </c>
      <c r="F18" s="864">
        <v>3</v>
      </c>
      <c r="G18" s="928">
        <v>0</v>
      </c>
      <c r="H18" s="1232">
        <v>0</v>
      </c>
      <c r="I18" s="1240">
        <v>0</v>
      </c>
      <c r="J18" s="907">
        <v>0</v>
      </c>
      <c r="K18" s="1240">
        <v>0</v>
      </c>
      <c r="L18" s="1355">
        <v>0</v>
      </c>
      <c r="M18" s="1236">
        <v>0</v>
      </c>
      <c r="N18" s="1240">
        <v>0</v>
      </c>
      <c r="O18" s="206">
        <f t="shared" si="0"/>
        <v>0</v>
      </c>
      <c r="P18" s="928">
        <v>0</v>
      </c>
      <c r="Q18" s="1232">
        <v>0</v>
      </c>
      <c r="R18" s="1240">
        <v>0</v>
      </c>
      <c r="S18" s="907">
        <v>0</v>
      </c>
      <c r="T18" s="1240">
        <v>0</v>
      </c>
      <c r="U18" s="1355">
        <v>0</v>
      </c>
      <c r="V18" s="1236">
        <v>0</v>
      </c>
      <c r="W18" s="1240">
        <v>0</v>
      </c>
      <c r="X18" s="206">
        <f t="shared" si="1"/>
        <v>0</v>
      </c>
      <c r="Y18" s="1872"/>
      <c r="AA18" s="770">
        <f t="shared" si="2"/>
        <v>0</v>
      </c>
      <c r="AB18" s="65"/>
      <c r="AC18" s="66"/>
      <c r="AD18" s="65"/>
      <c r="AE18" s="86">
        <f>IF(Validation!$H$3=1,0,IF(ISNUMBER(G18),0,1))</f>
        <v>0</v>
      </c>
      <c r="AF18" s="86">
        <f>IF(Validation!$H$3=1,0,IF(ISNUMBER(H18),0,1))</f>
        <v>0</v>
      </c>
      <c r="AG18" s="86">
        <f>IF(Validation!$H$3=1,0,IF(ISNUMBER(I18),0,1))</f>
        <v>0</v>
      </c>
      <c r="AH18" s="86">
        <f>IF(Validation!$H$3=1,0,IF(ISNUMBER(J18),0,1))</f>
        <v>0</v>
      </c>
      <c r="AI18" s="86">
        <f>IF(Validation!$H$3=1,0,IF(ISNUMBER(K18),0,1))</f>
        <v>0</v>
      </c>
      <c r="AJ18" s="86">
        <f>IF(Validation!$H$3=1,0,IF(ISNUMBER(L18),0,1))</f>
        <v>0</v>
      </c>
      <c r="AK18" s="86">
        <f>IF(Validation!$H$3=1,0,IF(ISNUMBER(M18),0,1))</f>
        <v>0</v>
      </c>
      <c r="AL18" s="86">
        <f>IF(Validation!$H$3=1,0,IF(ISNUMBER(N18),0,1))</f>
        <v>0</v>
      </c>
      <c r="AM18" s="113"/>
      <c r="AN18" s="86">
        <f>IF(Validation!$H$3=1,0,IF(ISNUMBER(P18),0,1))</f>
        <v>0</v>
      </c>
      <c r="AO18" s="86">
        <f>IF(Validation!$H$3=1,0,IF(ISNUMBER(Q18),0,1))</f>
        <v>0</v>
      </c>
      <c r="AP18" s="86">
        <f>IF(Validation!$H$3=1,0,IF(ISNUMBER(R18),0,1))</f>
        <v>0</v>
      </c>
      <c r="AQ18" s="86">
        <f>IF(Validation!$H$3=1,0,IF(ISNUMBER(S18),0,1))</f>
        <v>0</v>
      </c>
      <c r="AR18" s="86">
        <f>IF(Validation!$H$3=1,0,IF(ISNUMBER(T18),0,1))</f>
        <v>0</v>
      </c>
      <c r="AS18" s="86">
        <f>IF(Validation!$H$3=1,0,IF(ISNUMBER(U18),0,1))</f>
        <v>0</v>
      </c>
      <c r="AT18" s="86">
        <f>IF(Validation!$H$3=1,0,IF(ISNUMBER(V18),0,1))</f>
        <v>0</v>
      </c>
      <c r="AU18" s="86">
        <f>IF(Validation!$H$3=1,0,IF(ISNUMBER(W18),0,1))</f>
        <v>0</v>
      </c>
      <c r="AV18" s="66"/>
      <c r="BD18" s="863" t="s">
        <v>5396</v>
      </c>
      <c r="BE18" s="963" t="s">
        <v>5397</v>
      </c>
      <c r="BF18" s="963"/>
      <c r="BG18" s="2155" t="s">
        <v>8</v>
      </c>
      <c r="BH18" s="864">
        <v>3</v>
      </c>
      <c r="BI18" s="1514" t="s">
        <v>5398</v>
      </c>
      <c r="BJ18" s="1515" t="s">
        <v>5399</v>
      </c>
      <c r="BK18" s="1516" t="s">
        <v>5400</v>
      </c>
      <c r="BL18" s="1517" t="s">
        <v>5401</v>
      </c>
      <c r="BM18" s="1515" t="s">
        <v>5402</v>
      </c>
      <c r="BN18" s="1232" t="s">
        <v>5403</v>
      </c>
      <c r="BO18" s="1236" t="s">
        <v>5404</v>
      </c>
      <c r="BP18" s="1240" t="s">
        <v>5405</v>
      </c>
      <c r="BQ18" s="206" t="s">
        <v>5406</v>
      </c>
      <c r="BR18" s="1519" t="s">
        <v>5407</v>
      </c>
      <c r="BS18" s="1515" t="s">
        <v>5408</v>
      </c>
      <c r="BT18" s="1516" t="s">
        <v>5409</v>
      </c>
      <c r="BU18" s="1517" t="s">
        <v>5410</v>
      </c>
      <c r="BV18" s="1515" t="s">
        <v>5411</v>
      </c>
      <c r="BW18" s="1232" t="s">
        <v>5412</v>
      </c>
      <c r="BX18" s="1236" t="s">
        <v>5413</v>
      </c>
      <c r="BY18" s="1240" t="s">
        <v>5414</v>
      </c>
      <c r="BZ18" s="206" t="s">
        <v>5415</v>
      </c>
    </row>
    <row r="19" spans="1:78" ht="15.75">
      <c r="A19" s="852"/>
      <c r="B19" s="863" t="s">
        <v>5416</v>
      </c>
      <c r="C19" s="867" t="s">
        <v>5417</v>
      </c>
      <c r="D19" s="867"/>
      <c r="E19" s="2155" t="s">
        <v>8</v>
      </c>
      <c r="F19" s="864">
        <v>3</v>
      </c>
      <c r="G19" s="928">
        <v>0</v>
      </c>
      <c r="H19" s="1232">
        <v>0</v>
      </c>
      <c r="I19" s="1240">
        <v>0</v>
      </c>
      <c r="J19" s="907">
        <v>2.5920415227535889</v>
      </c>
      <c r="K19" s="1240">
        <v>0</v>
      </c>
      <c r="L19" s="1355">
        <v>0</v>
      </c>
      <c r="M19" s="1236">
        <v>0</v>
      </c>
      <c r="N19" s="1240">
        <v>0</v>
      </c>
      <c r="O19" s="206">
        <f t="shared" si="0"/>
        <v>2.5920415227535889</v>
      </c>
      <c r="P19" s="928">
        <v>0</v>
      </c>
      <c r="Q19" s="1232">
        <v>0</v>
      </c>
      <c r="R19" s="1240">
        <v>0</v>
      </c>
      <c r="S19" s="907">
        <v>3.2216985194861971</v>
      </c>
      <c r="T19" s="1240">
        <v>0</v>
      </c>
      <c r="U19" s="1355">
        <v>0</v>
      </c>
      <c r="V19" s="1236">
        <v>0</v>
      </c>
      <c r="W19" s="1240">
        <v>0</v>
      </c>
      <c r="X19" s="206">
        <f t="shared" si="1"/>
        <v>3.2216985194861971</v>
      </c>
      <c r="Y19" s="1872"/>
      <c r="AA19" s="770">
        <f t="shared" si="2"/>
        <v>0</v>
      </c>
      <c r="AB19" s="65"/>
      <c r="AC19" s="66"/>
      <c r="AD19" s="65"/>
      <c r="AE19" s="86">
        <f>IF(Validation!$H$3=1,0,IF(ISNUMBER(G19),0,1))</f>
        <v>0</v>
      </c>
      <c r="AF19" s="86">
        <f>IF(Validation!$H$3=1,0,IF(ISNUMBER(H19),0,1))</f>
        <v>0</v>
      </c>
      <c r="AG19" s="86">
        <f>IF(Validation!$H$3=1,0,IF(ISNUMBER(I19),0,1))</f>
        <v>0</v>
      </c>
      <c r="AH19" s="86">
        <f>IF(Validation!$H$3=1,0,IF(ISNUMBER(J19),0,1))</f>
        <v>0</v>
      </c>
      <c r="AI19" s="86">
        <f>IF(Validation!$H$3=1,0,IF(ISNUMBER(K19),0,1))</f>
        <v>0</v>
      </c>
      <c r="AJ19" s="86">
        <f>IF(Validation!$H$3=1,0,IF(ISNUMBER(L19),0,1))</f>
        <v>0</v>
      </c>
      <c r="AK19" s="86">
        <f>IF(Validation!$H$3=1,0,IF(ISNUMBER(M19),0,1))</f>
        <v>0</v>
      </c>
      <c r="AL19" s="86">
        <f>IF(Validation!$H$3=1,0,IF(ISNUMBER(N19),0,1))</f>
        <v>0</v>
      </c>
      <c r="AM19" s="113"/>
      <c r="AN19" s="86">
        <f>IF(Validation!$H$3=1,0,IF(ISNUMBER(P19),0,1))</f>
        <v>0</v>
      </c>
      <c r="AO19" s="86">
        <f>IF(Validation!$H$3=1,0,IF(ISNUMBER(Q19),0,1))</f>
        <v>0</v>
      </c>
      <c r="AP19" s="86">
        <f>IF(Validation!$H$3=1,0,IF(ISNUMBER(R19),0,1))</f>
        <v>0</v>
      </c>
      <c r="AQ19" s="86">
        <f>IF(Validation!$H$3=1,0,IF(ISNUMBER(S19),0,1))</f>
        <v>0</v>
      </c>
      <c r="AR19" s="86">
        <f>IF(Validation!$H$3=1,0,IF(ISNUMBER(T19),0,1))</f>
        <v>0</v>
      </c>
      <c r="AS19" s="86">
        <f>IF(Validation!$H$3=1,0,IF(ISNUMBER(U19),0,1))</f>
        <v>0</v>
      </c>
      <c r="AT19" s="86">
        <f>IF(Validation!$H$3=1,0,IF(ISNUMBER(V19),0,1))</f>
        <v>0</v>
      </c>
      <c r="AU19" s="86">
        <f>IF(Validation!$H$3=1,0,IF(ISNUMBER(W19),0,1))</f>
        <v>0</v>
      </c>
      <c r="AV19" s="66"/>
      <c r="BD19" s="863" t="s">
        <v>5416</v>
      </c>
      <c r="BE19" s="963" t="s">
        <v>5417</v>
      </c>
      <c r="BF19" s="963"/>
      <c r="BG19" s="2155" t="s">
        <v>8</v>
      </c>
      <c r="BH19" s="864">
        <v>3</v>
      </c>
      <c r="BI19" s="1514" t="s">
        <v>5418</v>
      </c>
      <c r="BJ19" s="1515" t="s">
        <v>5419</v>
      </c>
      <c r="BK19" s="1516" t="s">
        <v>5420</v>
      </c>
      <c r="BL19" s="1517" t="s">
        <v>5421</v>
      </c>
      <c r="BM19" s="1515" t="s">
        <v>5422</v>
      </c>
      <c r="BN19" s="1232" t="s">
        <v>5423</v>
      </c>
      <c r="BO19" s="1236" t="s">
        <v>5424</v>
      </c>
      <c r="BP19" s="1240" t="s">
        <v>5425</v>
      </c>
      <c r="BQ19" s="206" t="s">
        <v>5426</v>
      </c>
      <c r="BR19" s="1519" t="s">
        <v>5427</v>
      </c>
      <c r="BS19" s="1515" t="s">
        <v>5428</v>
      </c>
      <c r="BT19" s="1516" t="s">
        <v>5429</v>
      </c>
      <c r="BU19" s="1517" t="s">
        <v>5430</v>
      </c>
      <c r="BV19" s="1515" t="s">
        <v>5431</v>
      </c>
      <c r="BW19" s="1232" t="s">
        <v>5432</v>
      </c>
      <c r="BX19" s="1236" t="s">
        <v>5433</v>
      </c>
      <c r="BY19" s="1240" t="s">
        <v>5434</v>
      </c>
      <c r="BZ19" s="206" t="s">
        <v>5435</v>
      </c>
    </row>
    <row r="20" spans="1:78" ht="15.75">
      <c r="A20" s="852"/>
      <c r="B20" s="863" t="s">
        <v>5436</v>
      </c>
      <c r="C20" s="867" t="s">
        <v>5437</v>
      </c>
      <c r="D20" s="867"/>
      <c r="E20" s="2155" t="s">
        <v>8</v>
      </c>
      <c r="F20" s="864">
        <v>3</v>
      </c>
      <c r="G20" s="928">
        <v>0</v>
      </c>
      <c r="H20" s="1232">
        <v>0</v>
      </c>
      <c r="I20" s="1240">
        <v>0</v>
      </c>
      <c r="J20" s="907">
        <v>4.1670172503982986E-2</v>
      </c>
      <c r="K20" s="1240">
        <v>0</v>
      </c>
      <c r="L20" s="1355">
        <v>0</v>
      </c>
      <c r="M20" s="1236">
        <v>0</v>
      </c>
      <c r="N20" s="1240">
        <v>0</v>
      </c>
      <c r="O20" s="206">
        <f t="shared" si="0"/>
        <v>4.1670172503982986E-2</v>
      </c>
      <c r="P20" s="928">
        <v>0</v>
      </c>
      <c r="Q20" s="1232">
        <v>0</v>
      </c>
      <c r="R20" s="1240">
        <v>0</v>
      </c>
      <c r="S20" s="907">
        <v>0</v>
      </c>
      <c r="T20" s="1240">
        <v>0</v>
      </c>
      <c r="U20" s="1355">
        <v>0</v>
      </c>
      <c r="V20" s="1236">
        <v>0</v>
      </c>
      <c r="W20" s="1240">
        <v>0</v>
      </c>
      <c r="X20" s="206">
        <f t="shared" si="1"/>
        <v>0</v>
      </c>
      <c r="Y20" s="1872"/>
      <c r="AA20" s="770">
        <f t="shared" si="2"/>
        <v>0</v>
      </c>
      <c r="AB20" s="65"/>
      <c r="AC20" s="66"/>
      <c r="AD20" s="65"/>
      <c r="AE20" s="86">
        <f>IF(Validation!$H$3=1,0,IF(ISNUMBER(G20),0,1))</f>
        <v>0</v>
      </c>
      <c r="AF20" s="86">
        <f>IF(Validation!$H$3=1,0,IF(ISNUMBER(H20),0,1))</f>
        <v>0</v>
      </c>
      <c r="AG20" s="86">
        <f>IF(Validation!$H$3=1,0,IF(ISNUMBER(I20),0,1))</f>
        <v>0</v>
      </c>
      <c r="AH20" s="86">
        <f>IF(Validation!$H$3=1,0,IF(ISNUMBER(J20),0,1))</f>
        <v>0</v>
      </c>
      <c r="AI20" s="86">
        <f>IF(Validation!$H$3=1,0,IF(ISNUMBER(K20),0,1))</f>
        <v>0</v>
      </c>
      <c r="AJ20" s="86">
        <f>IF(Validation!$H$3=1,0,IF(ISNUMBER(L20),0,1))</f>
        <v>0</v>
      </c>
      <c r="AK20" s="86">
        <f>IF(Validation!$H$3=1,0,IF(ISNUMBER(M20),0,1))</f>
        <v>0</v>
      </c>
      <c r="AL20" s="86">
        <f>IF(Validation!$H$3=1,0,IF(ISNUMBER(N20),0,1))</f>
        <v>0</v>
      </c>
      <c r="AM20" s="113"/>
      <c r="AN20" s="86">
        <f>IF(Validation!$H$3=1,0,IF(ISNUMBER(P20),0,1))</f>
        <v>0</v>
      </c>
      <c r="AO20" s="86">
        <f>IF(Validation!$H$3=1,0,IF(ISNUMBER(Q20),0,1))</f>
        <v>0</v>
      </c>
      <c r="AP20" s="86">
        <f>IF(Validation!$H$3=1,0,IF(ISNUMBER(R20),0,1))</f>
        <v>0</v>
      </c>
      <c r="AQ20" s="86">
        <f>IF(Validation!$H$3=1,0,IF(ISNUMBER(S20),0,1))</f>
        <v>0</v>
      </c>
      <c r="AR20" s="86">
        <f>IF(Validation!$H$3=1,0,IF(ISNUMBER(T20),0,1))</f>
        <v>0</v>
      </c>
      <c r="AS20" s="86">
        <f>IF(Validation!$H$3=1,0,IF(ISNUMBER(U20),0,1))</f>
        <v>0</v>
      </c>
      <c r="AT20" s="86">
        <f>IF(Validation!$H$3=1,0,IF(ISNUMBER(V20),0,1))</f>
        <v>0</v>
      </c>
      <c r="AU20" s="86">
        <f>IF(Validation!$H$3=1,0,IF(ISNUMBER(W20),0,1))</f>
        <v>0</v>
      </c>
      <c r="AV20" s="66"/>
      <c r="BD20" s="863" t="s">
        <v>5436</v>
      </c>
      <c r="BE20" s="963" t="s">
        <v>5437</v>
      </c>
      <c r="BF20" s="963"/>
      <c r="BG20" s="2155" t="s">
        <v>8</v>
      </c>
      <c r="BH20" s="864">
        <v>3</v>
      </c>
      <c r="BI20" s="1514" t="s">
        <v>5438</v>
      </c>
      <c r="BJ20" s="1515" t="s">
        <v>5439</v>
      </c>
      <c r="BK20" s="1516" t="s">
        <v>5440</v>
      </c>
      <c r="BL20" s="1517" t="s">
        <v>5441</v>
      </c>
      <c r="BM20" s="1515" t="s">
        <v>5442</v>
      </c>
      <c r="BN20" s="1515" t="s">
        <v>5443</v>
      </c>
      <c r="BO20" s="1518" t="s">
        <v>5444</v>
      </c>
      <c r="BP20" s="1516" t="s">
        <v>5445</v>
      </c>
      <c r="BQ20" s="1504" t="s">
        <v>5446</v>
      </c>
      <c r="BR20" s="1519" t="s">
        <v>5447</v>
      </c>
      <c r="BS20" s="1515" t="s">
        <v>5448</v>
      </c>
      <c r="BT20" s="1516" t="s">
        <v>5449</v>
      </c>
      <c r="BU20" s="1517" t="s">
        <v>5450</v>
      </c>
      <c r="BV20" s="1515" t="s">
        <v>5451</v>
      </c>
      <c r="BW20" s="1515" t="s">
        <v>5452</v>
      </c>
      <c r="BX20" s="1518" t="s">
        <v>5453</v>
      </c>
      <c r="BY20" s="1516" t="s">
        <v>5454</v>
      </c>
      <c r="BZ20" s="1504" t="s">
        <v>5455</v>
      </c>
    </row>
    <row r="21" spans="1:78" ht="15.75">
      <c r="A21" s="852"/>
      <c r="B21" s="863" t="s">
        <v>5456</v>
      </c>
      <c r="C21" s="867" t="s">
        <v>5457</v>
      </c>
      <c r="D21" s="867"/>
      <c r="E21" s="2155" t="s">
        <v>8</v>
      </c>
      <c r="F21" s="864">
        <v>3</v>
      </c>
      <c r="G21" s="928">
        <v>4.74478437005669E-2</v>
      </c>
      <c r="H21" s="1232">
        <v>0</v>
      </c>
      <c r="I21" s="1240">
        <v>0</v>
      </c>
      <c r="J21" s="907">
        <v>2.4708107961282323E-3</v>
      </c>
      <c r="K21" s="1240">
        <v>0</v>
      </c>
      <c r="L21" s="1355">
        <v>0</v>
      </c>
      <c r="M21" s="1236">
        <v>0</v>
      </c>
      <c r="N21" s="1240">
        <v>0</v>
      </c>
      <c r="O21" s="206">
        <f t="shared" si="0"/>
        <v>4.9918654496695129E-2</v>
      </c>
      <c r="P21" s="928">
        <v>0</v>
      </c>
      <c r="Q21" s="1232">
        <v>0</v>
      </c>
      <c r="R21" s="1240">
        <v>0</v>
      </c>
      <c r="S21" s="907">
        <v>0</v>
      </c>
      <c r="T21" s="1240">
        <v>0</v>
      </c>
      <c r="U21" s="1355">
        <v>0</v>
      </c>
      <c r="V21" s="1236">
        <v>0</v>
      </c>
      <c r="W21" s="1240">
        <v>0</v>
      </c>
      <c r="X21" s="206">
        <f t="shared" si="1"/>
        <v>0</v>
      </c>
      <c r="Y21" s="1872"/>
      <c r="AA21" s="770">
        <f t="shared" si="2"/>
        <v>0</v>
      </c>
      <c r="AB21" s="65"/>
      <c r="AC21" s="66"/>
      <c r="AD21" s="65"/>
      <c r="AE21" s="86">
        <f>IF(Validation!$H$3=1,0,IF(ISNUMBER(G21),0,1))</f>
        <v>0</v>
      </c>
      <c r="AF21" s="86">
        <f>IF(Validation!$H$3=1,0,IF(ISNUMBER(H21),0,1))</f>
        <v>0</v>
      </c>
      <c r="AG21" s="86">
        <f>IF(Validation!$H$3=1,0,IF(ISNUMBER(I21),0,1))</f>
        <v>0</v>
      </c>
      <c r="AH21" s="86">
        <f>IF(Validation!$H$3=1,0,IF(ISNUMBER(J21),0,1))</f>
        <v>0</v>
      </c>
      <c r="AI21" s="86">
        <f>IF(Validation!$H$3=1,0,IF(ISNUMBER(K21),0,1))</f>
        <v>0</v>
      </c>
      <c r="AJ21" s="86">
        <f>IF(Validation!$H$3=1,0,IF(ISNUMBER(L21),0,1))</f>
        <v>0</v>
      </c>
      <c r="AK21" s="86">
        <f>IF(Validation!$H$3=1,0,IF(ISNUMBER(M21),0,1))</f>
        <v>0</v>
      </c>
      <c r="AL21" s="86">
        <f>IF(Validation!$H$3=1,0,IF(ISNUMBER(N21),0,1))</f>
        <v>0</v>
      </c>
      <c r="AM21" s="113"/>
      <c r="AN21" s="86">
        <f>IF(Validation!$H$3=1,0,IF(ISNUMBER(P21),0,1))</f>
        <v>0</v>
      </c>
      <c r="AO21" s="86">
        <f>IF(Validation!$H$3=1,0,IF(ISNUMBER(Q21),0,1))</f>
        <v>0</v>
      </c>
      <c r="AP21" s="86">
        <f>IF(Validation!$H$3=1,0,IF(ISNUMBER(R21),0,1))</f>
        <v>0</v>
      </c>
      <c r="AQ21" s="86">
        <f>IF(Validation!$H$3=1,0,IF(ISNUMBER(S21),0,1))</f>
        <v>0</v>
      </c>
      <c r="AR21" s="86">
        <f>IF(Validation!$H$3=1,0,IF(ISNUMBER(T21),0,1))</f>
        <v>0</v>
      </c>
      <c r="AS21" s="86">
        <f>IF(Validation!$H$3=1,0,IF(ISNUMBER(U21),0,1))</f>
        <v>0</v>
      </c>
      <c r="AT21" s="86">
        <f>IF(Validation!$H$3=1,0,IF(ISNUMBER(V21),0,1))</f>
        <v>0</v>
      </c>
      <c r="AU21" s="86">
        <f>IF(Validation!$H$3=1,0,IF(ISNUMBER(W21),0,1))</f>
        <v>0</v>
      </c>
      <c r="AV21" s="66"/>
      <c r="BD21" s="863" t="s">
        <v>5456</v>
      </c>
      <c r="BE21" s="963" t="s">
        <v>5457</v>
      </c>
      <c r="BF21" s="963"/>
      <c r="BG21" s="2155" t="s">
        <v>8</v>
      </c>
      <c r="BH21" s="864">
        <v>3</v>
      </c>
      <c r="BI21" s="1514" t="s">
        <v>5458</v>
      </c>
      <c r="BJ21" s="1515" t="s">
        <v>5459</v>
      </c>
      <c r="BK21" s="1516" t="s">
        <v>5460</v>
      </c>
      <c r="BL21" s="1517" t="s">
        <v>5461</v>
      </c>
      <c r="BM21" s="1515" t="s">
        <v>5462</v>
      </c>
      <c r="BN21" s="1232" t="s">
        <v>5463</v>
      </c>
      <c r="BO21" s="1236" t="s">
        <v>5464</v>
      </c>
      <c r="BP21" s="1240" t="s">
        <v>5465</v>
      </c>
      <c r="BQ21" s="206" t="s">
        <v>5466</v>
      </c>
      <c r="BR21" s="1519" t="s">
        <v>5467</v>
      </c>
      <c r="BS21" s="1515" t="s">
        <v>5468</v>
      </c>
      <c r="BT21" s="1516" t="s">
        <v>5469</v>
      </c>
      <c r="BU21" s="1517" t="s">
        <v>5470</v>
      </c>
      <c r="BV21" s="1515" t="s">
        <v>5471</v>
      </c>
      <c r="BW21" s="1232" t="s">
        <v>5472</v>
      </c>
      <c r="BX21" s="1236" t="s">
        <v>5473</v>
      </c>
      <c r="BY21" s="1240" t="s">
        <v>5474</v>
      </c>
      <c r="BZ21" s="206" t="s">
        <v>5475</v>
      </c>
    </row>
    <row r="22" spans="1:78" ht="15.75">
      <c r="A22" s="852"/>
      <c r="B22" s="863" t="s">
        <v>5476</v>
      </c>
      <c r="C22" s="867" t="s">
        <v>4853</v>
      </c>
      <c r="D22" s="867"/>
      <c r="E22" s="2155" t="s">
        <v>8</v>
      </c>
      <c r="F22" s="864">
        <v>3</v>
      </c>
      <c r="G22" s="928">
        <v>0</v>
      </c>
      <c r="H22" s="1232">
        <v>0</v>
      </c>
      <c r="I22" s="1240">
        <v>0</v>
      </c>
      <c r="J22" s="907">
        <v>2.1127554428804691</v>
      </c>
      <c r="K22" s="1240">
        <v>0</v>
      </c>
      <c r="L22" s="1355">
        <v>0</v>
      </c>
      <c r="M22" s="1236">
        <v>0</v>
      </c>
      <c r="N22" s="1240">
        <v>0</v>
      </c>
      <c r="O22" s="206">
        <f t="shared" si="0"/>
        <v>2.1127554428804691</v>
      </c>
      <c r="P22" s="928">
        <v>0</v>
      </c>
      <c r="Q22" s="1232">
        <v>0</v>
      </c>
      <c r="R22" s="1240">
        <v>0</v>
      </c>
      <c r="S22" s="907">
        <v>3.0793610524869579</v>
      </c>
      <c r="T22" s="1240">
        <v>0</v>
      </c>
      <c r="U22" s="1355">
        <v>0</v>
      </c>
      <c r="V22" s="1236">
        <v>0</v>
      </c>
      <c r="W22" s="1240">
        <v>0</v>
      </c>
      <c r="X22" s="206">
        <f t="shared" si="1"/>
        <v>3.0793610524869579</v>
      </c>
      <c r="Y22" s="1872"/>
      <c r="AA22" s="770">
        <f t="shared" si="2"/>
        <v>0</v>
      </c>
      <c r="AB22" s="65"/>
      <c r="AC22" s="66"/>
      <c r="AD22" s="65"/>
      <c r="AE22" s="86">
        <f>IF(Validation!$H$3=1,0,IF(ISNUMBER(G22),0,1))</f>
        <v>0</v>
      </c>
      <c r="AF22" s="86">
        <f>IF(Validation!$H$3=1,0,IF(ISNUMBER(H22),0,1))</f>
        <v>0</v>
      </c>
      <c r="AG22" s="86">
        <f>IF(Validation!$H$3=1,0,IF(ISNUMBER(I22),0,1))</f>
        <v>0</v>
      </c>
      <c r="AH22" s="86">
        <f>IF(Validation!$H$3=1,0,IF(ISNUMBER(J22),0,1))</f>
        <v>0</v>
      </c>
      <c r="AI22" s="86">
        <f>IF(Validation!$H$3=1,0,IF(ISNUMBER(K22),0,1))</f>
        <v>0</v>
      </c>
      <c r="AJ22" s="86">
        <f>IF(Validation!$H$3=1,0,IF(ISNUMBER(L22),0,1))</f>
        <v>0</v>
      </c>
      <c r="AK22" s="86">
        <f>IF(Validation!$H$3=1,0,IF(ISNUMBER(M22),0,1))</f>
        <v>0</v>
      </c>
      <c r="AL22" s="86">
        <f>IF(Validation!$H$3=1,0,IF(ISNUMBER(N22),0,1))</f>
        <v>0</v>
      </c>
      <c r="AM22" s="113"/>
      <c r="AN22" s="86">
        <f>IF(Validation!$H$3=1,0,IF(ISNUMBER(P22),0,1))</f>
        <v>0</v>
      </c>
      <c r="AO22" s="86">
        <f>IF(Validation!$H$3=1,0,IF(ISNUMBER(Q22),0,1))</f>
        <v>0</v>
      </c>
      <c r="AP22" s="86">
        <f>IF(Validation!$H$3=1,0,IF(ISNUMBER(R22),0,1))</f>
        <v>0</v>
      </c>
      <c r="AQ22" s="86">
        <f>IF(Validation!$H$3=1,0,IF(ISNUMBER(S22),0,1))</f>
        <v>0</v>
      </c>
      <c r="AR22" s="86">
        <f>IF(Validation!$H$3=1,0,IF(ISNUMBER(T22),0,1))</f>
        <v>0</v>
      </c>
      <c r="AS22" s="86">
        <f>IF(Validation!$H$3=1,0,IF(ISNUMBER(U22),0,1))</f>
        <v>0</v>
      </c>
      <c r="AT22" s="86">
        <f>IF(Validation!$H$3=1,0,IF(ISNUMBER(V22),0,1))</f>
        <v>0</v>
      </c>
      <c r="AU22" s="86">
        <f>IF(Validation!$H$3=1,0,IF(ISNUMBER(W22),0,1))</f>
        <v>0</v>
      </c>
      <c r="AV22" s="66"/>
      <c r="BD22" s="863" t="s">
        <v>5476</v>
      </c>
      <c r="BE22" s="963" t="s">
        <v>4853</v>
      </c>
      <c r="BF22" s="963"/>
      <c r="BG22" s="2155" t="s">
        <v>8</v>
      </c>
      <c r="BH22" s="864">
        <v>3</v>
      </c>
      <c r="BI22" s="1514" t="s">
        <v>5477</v>
      </c>
      <c r="BJ22" s="1515" t="s">
        <v>5478</v>
      </c>
      <c r="BK22" s="1516" t="s">
        <v>5479</v>
      </c>
      <c r="BL22" s="1517" t="s">
        <v>5480</v>
      </c>
      <c r="BM22" s="1515" t="s">
        <v>5481</v>
      </c>
      <c r="BN22" s="1232" t="s">
        <v>5482</v>
      </c>
      <c r="BO22" s="1236" t="s">
        <v>5483</v>
      </c>
      <c r="BP22" s="1240" t="s">
        <v>5484</v>
      </c>
      <c r="BQ22" s="206" t="s">
        <v>5485</v>
      </c>
      <c r="BR22" s="1519" t="s">
        <v>5486</v>
      </c>
      <c r="BS22" s="1515" t="s">
        <v>5487</v>
      </c>
      <c r="BT22" s="1516" t="s">
        <v>5488</v>
      </c>
      <c r="BU22" s="1517" t="s">
        <v>5489</v>
      </c>
      <c r="BV22" s="1515" t="s">
        <v>5490</v>
      </c>
      <c r="BW22" s="1232" t="s">
        <v>5491</v>
      </c>
      <c r="BX22" s="1236" t="s">
        <v>5492</v>
      </c>
      <c r="BY22" s="1240" t="s">
        <v>5493</v>
      </c>
      <c r="BZ22" s="206" t="s">
        <v>5494</v>
      </c>
    </row>
    <row r="23" spans="1:78" ht="15.75">
      <c r="A23" s="852"/>
      <c r="B23" s="863" t="s">
        <v>5495</v>
      </c>
      <c r="C23" s="867" t="s">
        <v>5496</v>
      </c>
      <c r="D23" s="867"/>
      <c r="E23" s="2155" t="s">
        <v>8</v>
      </c>
      <c r="F23" s="864">
        <v>3</v>
      </c>
      <c r="G23" s="928">
        <v>0</v>
      </c>
      <c r="H23" s="1232">
        <v>0</v>
      </c>
      <c r="I23" s="1240">
        <v>0</v>
      </c>
      <c r="J23" s="907">
        <v>-1.6677374319009688E-15</v>
      </c>
      <c r="K23" s="1240">
        <v>0</v>
      </c>
      <c r="L23" s="1355">
        <v>0</v>
      </c>
      <c r="M23" s="1236">
        <v>0</v>
      </c>
      <c r="N23" s="1240">
        <v>0</v>
      </c>
      <c r="O23" s="206">
        <f t="shared" si="0"/>
        <v>-1.6677374319009688E-15</v>
      </c>
      <c r="P23" s="928">
        <v>0</v>
      </c>
      <c r="Q23" s="1232">
        <v>0</v>
      </c>
      <c r="R23" s="1240">
        <v>0</v>
      </c>
      <c r="S23" s="907">
        <v>0</v>
      </c>
      <c r="T23" s="1240">
        <v>0</v>
      </c>
      <c r="U23" s="1355">
        <v>0</v>
      </c>
      <c r="V23" s="1236">
        <v>0</v>
      </c>
      <c r="W23" s="1240">
        <v>0</v>
      </c>
      <c r="X23" s="206">
        <f t="shared" si="1"/>
        <v>0</v>
      </c>
      <c r="Y23" s="1872"/>
      <c r="AA23" s="770">
        <f t="shared" si="2"/>
        <v>0</v>
      </c>
      <c r="AB23" s="65"/>
      <c r="AC23" s="66"/>
      <c r="AD23" s="65"/>
      <c r="AE23" s="86">
        <f>IF(Validation!$H$3=1,0,IF(ISNUMBER(G23),0,1))</f>
        <v>0</v>
      </c>
      <c r="AF23" s="86">
        <f>IF(Validation!$H$3=1,0,IF(ISNUMBER(H23),0,1))</f>
        <v>0</v>
      </c>
      <c r="AG23" s="86">
        <f>IF(Validation!$H$3=1,0,IF(ISNUMBER(I23),0,1))</f>
        <v>0</v>
      </c>
      <c r="AH23" s="86">
        <f>IF(Validation!$H$3=1,0,IF(ISNUMBER(J23),0,1))</f>
        <v>0</v>
      </c>
      <c r="AI23" s="86">
        <f>IF(Validation!$H$3=1,0,IF(ISNUMBER(K23),0,1))</f>
        <v>0</v>
      </c>
      <c r="AJ23" s="86">
        <f>IF(Validation!$H$3=1,0,IF(ISNUMBER(L23),0,1))</f>
        <v>0</v>
      </c>
      <c r="AK23" s="86">
        <f>IF(Validation!$H$3=1,0,IF(ISNUMBER(M23),0,1))</f>
        <v>0</v>
      </c>
      <c r="AL23" s="86">
        <f>IF(Validation!$H$3=1,0,IF(ISNUMBER(N23),0,1))</f>
        <v>0</v>
      </c>
      <c r="AM23" s="113"/>
      <c r="AN23" s="86">
        <f>IF(Validation!$H$3=1,0,IF(ISNUMBER(P23),0,1))</f>
        <v>0</v>
      </c>
      <c r="AO23" s="86">
        <f>IF(Validation!$H$3=1,0,IF(ISNUMBER(Q23),0,1))</f>
        <v>0</v>
      </c>
      <c r="AP23" s="86">
        <f>IF(Validation!$H$3=1,0,IF(ISNUMBER(R23),0,1))</f>
        <v>0</v>
      </c>
      <c r="AQ23" s="86">
        <f>IF(Validation!$H$3=1,0,IF(ISNUMBER(S23),0,1))</f>
        <v>0</v>
      </c>
      <c r="AR23" s="86">
        <f>IF(Validation!$H$3=1,0,IF(ISNUMBER(T23),0,1))</f>
        <v>0</v>
      </c>
      <c r="AS23" s="86">
        <f>IF(Validation!$H$3=1,0,IF(ISNUMBER(U23),0,1))</f>
        <v>0</v>
      </c>
      <c r="AT23" s="86">
        <f>IF(Validation!$H$3=1,0,IF(ISNUMBER(V23),0,1))</f>
        <v>0</v>
      </c>
      <c r="AU23" s="86">
        <f>IF(Validation!$H$3=1,0,IF(ISNUMBER(W23),0,1))</f>
        <v>0</v>
      </c>
      <c r="AV23" s="66"/>
      <c r="BD23" s="863" t="s">
        <v>5495</v>
      </c>
      <c r="BE23" s="963" t="s">
        <v>5496</v>
      </c>
      <c r="BF23" s="963"/>
      <c r="BG23" s="2155" t="s">
        <v>8</v>
      </c>
      <c r="BH23" s="864">
        <v>3</v>
      </c>
      <c r="BI23" s="1514" t="s">
        <v>5497</v>
      </c>
      <c r="BJ23" s="1515" t="s">
        <v>5498</v>
      </c>
      <c r="BK23" s="1516" t="s">
        <v>5499</v>
      </c>
      <c r="BL23" s="1517" t="s">
        <v>5500</v>
      </c>
      <c r="BM23" s="1515" t="s">
        <v>5501</v>
      </c>
      <c r="BN23" s="1232" t="s">
        <v>5502</v>
      </c>
      <c r="BO23" s="1236" t="s">
        <v>5503</v>
      </c>
      <c r="BP23" s="1240" t="s">
        <v>5504</v>
      </c>
      <c r="BQ23" s="206" t="s">
        <v>5505</v>
      </c>
      <c r="BR23" s="1519" t="s">
        <v>5506</v>
      </c>
      <c r="BS23" s="1515" t="s">
        <v>5507</v>
      </c>
      <c r="BT23" s="1516" t="s">
        <v>5508</v>
      </c>
      <c r="BU23" s="1517" t="s">
        <v>5509</v>
      </c>
      <c r="BV23" s="1515" t="s">
        <v>5510</v>
      </c>
      <c r="BW23" s="1232" t="s">
        <v>5511</v>
      </c>
      <c r="BX23" s="1236" t="s">
        <v>5512</v>
      </c>
      <c r="BY23" s="1240" t="s">
        <v>5513</v>
      </c>
      <c r="BZ23" s="206" t="s">
        <v>5514</v>
      </c>
    </row>
    <row r="24" spans="1:78" ht="15.75">
      <c r="A24" s="852"/>
      <c r="B24" s="863" t="s">
        <v>5515</v>
      </c>
      <c r="C24" s="867" t="s">
        <v>5516</v>
      </c>
      <c r="D24" s="867"/>
      <c r="E24" s="2155" t="s">
        <v>8</v>
      </c>
      <c r="F24" s="864">
        <v>3</v>
      </c>
      <c r="G24" s="928">
        <v>0</v>
      </c>
      <c r="H24" s="1232">
        <v>0</v>
      </c>
      <c r="I24" s="1240">
        <v>0</v>
      </c>
      <c r="J24" s="907">
        <v>10.128356275408022</v>
      </c>
      <c r="K24" s="1240">
        <v>0</v>
      </c>
      <c r="L24" s="1355">
        <v>0</v>
      </c>
      <c r="M24" s="1236">
        <v>0</v>
      </c>
      <c r="N24" s="1240">
        <v>0</v>
      </c>
      <c r="O24" s="206">
        <f t="shared" si="0"/>
        <v>10.128356275408022</v>
      </c>
      <c r="P24" s="928">
        <v>0</v>
      </c>
      <c r="Q24" s="1232">
        <v>0</v>
      </c>
      <c r="R24" s="1240">
        <v>0</v>
      </c>
      <c r="S24" s="907">
        <v>12.823690882354517</v>
      </c>
      <c r="T24" s="1240">
        <v>0</v>
      </c>
      <c r="U24" s="1355">
        <v>0</v>
      </c>
      <c r="V24" s="1236">
        <v>0</v>
      </c>
      <c r="W24" s="1240">
        <v>0</v>
      </c>
      <c r="X24" s="206">
        <f t="shared" si="1"/>
        <v>12.823690882354517</v>
      </c>
      <c r="Y24" s="1872"/>
      <c r="AA24" s="770">
        <f t="shared" si="2"/>
        <v>0</v>
      </c>
      <c r="AB24" s="65"/>
      <c r="AC24" s="66"/>
      <c r="AD24" s="65"/>
      <c r="AE24" s="86">
        <f>IF(Validation!$H$3=1,0,IF(ISNUMBER(G24),0,1))</f>
        <v>0</v>
      </c>
      <c r="AF24" s="86">
        <f>IF(Validation!$H$3=1,0,IF(ISNUMBER(H24),0,1))</f>
        <v>0</v>
      </c>
      <c r="AG24" s="86">
        <f>IF(Validation!$H$3=1,0,IF(ISNUMBER(I24),0,1))</f>
        <v>0</v>
      </c>
      <c r="AH24" s="86">
        <f>IF(Validation!$H$3=1,0,IF(ISNUMBER(J24),0,1))</f>
        <v>0</v>
      </c>
      <c r="AI24" s="86">
        <f>IF(Validation!$H$3=1,0,IF(ISNUMBER(K24),0,1))</f>
        <v>0</v>
      </c>
      <c r="AJ24" s="86">
        <f>IF(Validation!$H$3=1,0,IF(ISNUMBER(L24),0,1))</f>
        <v>0</v>
      </c>
      <c r="AK24" s="86">
        <f>IF(Validation!$H$3=1,0,IF(ISNUMBER(M24),0,1))</f>
        <v>0</v>
      </c>
      <c r="AL24" s="86">
        <f>IF(Validation!$H$3=1,0,IF(ISNUMBER(N24),0,1))</f>
        <v>0</v>
      </c>
      <c r="AM24" s="113"/>
      <c r="AN24" s="86">
        <f>IF(Validation!$H$3=1,0,IF(ISNUMBER(P24),0,1))</f>
        <v>0</v>
      </c>
      <c r="AO24" s="86">
        <f>IF(Validation!$H$3=1,0,IF(ISNUMBER(Q24),0,1))</f>
        <v>0</v>
      </c>
      <c r="AP24" s="86">
        <f>IF(Validation!$H$3=1,0,IF(ISNUMBER(R24),0,1))</f>
        <v>0</v>
      </c>
      <c r="AQ24" s="86">
        <f>IF(Validation!$H$3=1,0,IF(ISNUMBER(S24),0,1))</f>
        <v>0</v>
      </c>
      <c r="AR24" s="86">
        <f>IF(Validation!$H$3=1,0,IF(ISNUMBER(T24),0,1))</f>
        <v>0</v>
      </c>
      <c r="AS24" s="86">
        <f>IF(Validation!$H$3=1,0,IF(ISNUMBER(U24),0,1))</f>
        <v>0</v>
      </c>
      <c r="AT24" s="86">
        <f>IF(Validation!$H$3=1,0,IF(ISNUMBER(V24),0,1))</f>
        <v>0</v>
      </c>
      <c r="AU24" s="86">
        <f>IF(Validation!$H$3=1,0,IF(ISNUMBER(W24),0,1))</f>
        <v>0</v>
      </c>
      <c r="AV24" s="66"/>
      <c r="BD24" s="863" t="s">
        <v>5515</v>
      </c>
      <c r="BE24" s="963" t="s">
        <v>5516</v>
      </c>
      <c r="BF24" s="963"/>
      <c r="BG24" s="2155" t="s">
        <v>8</v>
      </c>
      <c r="BH24" s="864">
        <v>3</v>
      </c>
      <c r="BI24" s="1514" t="s">
        <v>5517</v>
      </c>
      <c r="BJ24" s="1515" t="s">
        <v>5518</v>
      </c>
      <c r="BK24" s="1516" t="s">
        <v>5519</v>
      </c>
      <c r="BL24" s="1517" t="s">
        <v>5520</v>
      </c>
      <c r="BM24" s="1515" t="s">
        <v>5521</v>
      </c>
      <c r="BN24" s="1232" t="s">
        <v>5522</v>
      </c>
      <c r="BO24" s="1236" t="s">
        <v>5523</v>
      </c>
      <c r="BP24" s="1240" t="s">
        <v>5524</v>
      </c>
      <c r="BQ24" s="206" t="s">
        <v>5525</v>
      </c>
      <c r="BR24" s="1519" t="s">
        <v>5526</v>
      </c>
      <c r="BS24" s="1515" t="s">
        <v>5527</v>
      </c>
      <c r="BT24" s="1516" t="s">
        <v>5528</v>
      </c>
      <c r="BU24" s="1517" t="s">
        <v>5529</v>
      </c>
      <c r="BV24" s="1515" t="s">
        <v>5530</v>
      </c>
      <c r="BW24" s="1232" t="s">
        <v>5531</v>
      </c>
      <c r="BX24" s="1236" t="s">
        <v>5532</v>
      </c>
      <c r="BY24" s="1240" t="s">
        <v>5533</v>
      </c>
      <c r="BZ24" s="206" t="s">
        <v>5534</v>
      </c>
    </row>
    <row r="25" spans="1:78" ht="15.75">
      <c r="A25" s="852"/>
      <c r="B25" s="863" t="s">
        <v>5535</v>
      </c>
      <c r="C25" s="867" t="s">
        <v>5536</v>
      </c>
      <c r="D25" s="867"/>
      <c r="E25" s="2155" t="s">
        <v>8</v>
      </c>
      <c r="F25" s="864">
        <v>3</v>
      </c>
      <c r="G25" s="928">
        <v>0</v>
      </c>
      <c r="H25" s="1232">
        <v>0</v>
      </c>
      <c r="I25" s="1240">
        <v>0</v>
      </c>
      <c r="J25" s="907">
        <v>8.9554320853053309</v>
      </c>
      <c r="K25" s="1240">
        <v>0</v>
      </c>
      <c r="L25" s="1355">
        <v>0</v>
      </c>
      <c r="M25" s="1236">
        <v>0</v>
      </c>
      <c r="N25" s="1240">
        <v>0</v>
      </c>
      <c r="O25" s="206">
        <f t="shared" si="0"/>
        <v>8.9554320853053309</v>
      </c>
      <c r="P25" s="928">
        <v>0</v>
      </c>
      <c r="Q25" s="1232">
        <v>0</v>
      </c>
      <c r="R25" s="1240">
        <v>0</v>
      </c>
      <c r="S25" s="907">
        <v>10.31870797337932</v>
      </c>
      <c r="T25" s="1240">
        <v>0</v>
      </c>
      <c r="U25" s="1355">
        <v>0</v>
      </c>
      <c r="V25" s="1236">
        <v>0</v>
      </c>
      <c r="W25" s="1240">
        <v>0</v>
      </c>
      <c r="X25" s="206">
        <f t="shared" si="1"/>
        <v>10.31870797337932</v>
      </c>
      <c r="Y25" s="1872"/>
      <c r="AA25" s="770">
        <f t="shared" si="2"/>
        <v>0</v>
      </c>
      <c r="AB25" s="65"/>
      <c r="AC25" s="66"/>
      <c r="AD25" s="65"/>
      <c r="AE25" s="86">
        <f>IF(Validation!$H$3=1,0,IF(ISNUMBER(G25),0,1))</f>
        <v>0</v>
      </c>
      <c r="AF25" s="86">
        <f>IF(Validation!$H$3=1,0,IF(ISNUMBER(H25),0,1))</f>
        <v>0</v>
      </c>
      <c r="AG25" s="86">
        <f>IF(Validation!$H$3=1,0,IF(ISNUMBER(I25),0,1))</f>
        <v>0</v>
      </c>
      <c r="AH25" s="86">
        <f>IF(Validation!$H$3=1,0,IF(ISNUMBER(J25),0,1))</f>
        <v>0</v>
      </c>
      <c r="AI25" s="86">
        <f>IF(Validation!$H$3=1,0,IF(ISNUMBER(K25),0,1))</f>
        <v>0</v>
      </c>
      <c r="AJ25" s="86">
        <f>IF(Validation!$H$3=1,0,IF(ISNUMBER(L25),0,1))</f>
        <v>0</v>
      </c>
      <c r="AK25" s="86">
        <f>IF(Validation!$H$3=1,0,IF(ISNUMBER(M25),0,1))</f>
        <v>0</v>
      </c>
      <c r="AL25" s="86">
        <f>IF(Validation!$H$3=1,0,IF(ISNUMBER(N25),0,1))</f>
        <v>0</v>
      </c>
      <c r="AM25" s="113"/>
      <c r="AN25" s="86">
        <f>IF(Validation!$H$3=1,0,IF(ISNUMBER(P25),0,1))</f>
        <v>0</v>
      </c>
      <c r="AO25" s="86">
        <f>IF(Validation!$H$3=1,0,IF(ISNUMBER(Q25),0,1))</f>
        <v>0</v>
      </c>
      <c r="AP25" s="86">
        <f>IF(Validation!$H$3=1,0,IF(ISNUMBER(R25),0,1))</f>
        <v>0</v>
      </c>
      <c r="AQ25" s="86">
        <f>IF(Validation!$H$3=1,0,IF(ISNUMBER(S25),0,1))</f>
        <v>0</v>
      </c>
      <c r="AR25" s="86">
        <f>IF(Validation!$H$3=1,0,IF(ISNUMBER(T25),0,1))</f>
        <v>0</v>
      </c>
      <c r="AS25" s="86">
        <f>IF(Validation!$H$3=1,0,IF(ISNUMBER(U25),0,1))</f>
        <v>0</v>
      </c>
      <c r="AT25" s="86">
        <f>IF(Validation!$H$3=1,0,IF(ISNUMBER(V25),0,1))</f>
        <v>0</v>
      </c>
      <c r="AU25" s="86">
        <f>IF(Validation!$H$3=1,0,IF(ISNUMBER(W25),0,1))</f>
        <v>0</v>
      </c>
      <c r="AV25" s="66"/>
      <c r="BD25" s="863" t="s">
        <v>5535</v>
      </c>
      <c r="BE25" s="963" t="s">
        <v>5536</v>
      </c>
      <c r="BF25" s="963"/>
      <c r="BG25" s="2155" t="s">
        <v>8</v>
      </c>
      <c r="BH25" s="864">
        <v>3</v>
      </c>
      <c r="BI25" s="1514" t="s">
        <v>5537</v>
      </c>
      <c r="BJ25" s="1515" t="s">
        <v>5538</v>
      </c>
      <c r="BK25" s="1516" t="s">
        <v>5539</v>
      </c>
      <c r="BL25" s="1517" t="s">
        <v>5540</v>
      </c>
      <c r="BM25" s="1515" t="s">
        <v>5541</v>
      </c>
      <c r="BN25" s="1232" t="s">
        <v>5542</v>
      </c>
      <c r="BO25" s="1236" t="s">
        <v>5543</v>
      </c>
      <c r="BP25" s="1240" t="s">
        <v>5544</v>
      </c>
      <c r="BQ25" s="206" t="s">
        <v>5545</v>
      </c>
      <c r="BR25" s="1519" t="s">
        <v>5546</v>
      </c>
      <c r="BS25" s="1515" t="s">
        <v>5547</v>
      </c>
      <c r="BT25" s="1516" t="s">
        <v>5548</v>
      </c>
      <c r="BU25" s="1517" t="s">
        <v>5549</v>
      </c>
      <c r="BV25" s="1515" t="s">
        <v>5550</v>
      </c>
      <c r="BW25" s="1232" t="s">
        <v>5551</v>
      </c>
      <c r="BX25" s="1236" t="s">
        <v>5552</v>
      </c>
      <c r="BY25" s="1240" t="s">
        <v>5553</v>
      </c>
      <c r="BZ25" s="206" t="s">
        <v>5554</v>
      </c>
    </row>
    <row r="26" spans="1:78" ht="15.75">
      <c r="A26" s="852"/>
      <c r="B26" s="863" t="s">
        <v>5555</v>
      </c>
      <c r="C26" s="867" t="s">
        <v>5556</v>
      </c>
      <c r="D26" s="867"/>
      <c r="E26" s="2155" t="s">
        <v>8</v>
      </c>
      <c r="F26" s="864">
        <v>3</v>
      </c>
      <c r="G26" s="928">
        <v>0</v>
      </c>
      <c r="H26" s="1232">
        <v>0</v>
      </c>
      <c r="I26" s="1240">
        <v>0</v>
      </c>
      <c r="J26" s="907">
        <v>71.0319550738499</v>
      </c>
      <c r="K26" s="1240">
        <v>0</v>
      </c>
      <c r="L26" s="1355">
        <v>0</v>
      </c>
      <c r="M26" s="1236">
        <v>0</v>
      </c>
      <c r="N26" s="1240">
        <v>0</v>
      </c>
      <c r="O26" s="206">
        <f t="shared" si="0"/>
        <v>71.0319550738499</v>
      </c>
      <c r="P26" s="928">
        <v>0</v>
      </c>
      <c r="Q26" s="1232">
        <v>0</v>
      </c>
      <c r="R26" s="1240">
        <v>0</v>
      </c>
      <c r="S26" s="907">
        <v>22.762401831129939</v>
      </c>
      <c r="T26" s="1240">
        <v>0</v>
      </c>
      <c r="U26" s="1355">
        <v>0</v>
      </c>
      <c r="V26" s="1236">
        <v>0</v>
      </c>
      <c r="W26" s="1240">
        <v>0</v>
      </c>
      <c r="X26" s="206">
        <f t="shared" si="1"/>
        <v>22.762401831129939</v>
      </c>
      <c r="Y26" s="1872"/>
      <c r="AA26" s="770">
        <f t="shared" si="2"/>
        <v>0</v>
      </c>
      <c r="AB26" s="65"/>
      <c r="AC26" s="66"/>
      <c r="AD26" s="65"/>
      <c r="AE26" s="86">
        <f>IF(Validation!$H$3=1,0,IF(ISNUMBER(G26),0,1))</f>
        <v>0</v>
      </c>
      <c r="AF26" s="86">
        <f>IF(Validation!$H$3=1,0,IF(ISNUMBER(H26),0,1))</f>
        <v>0</v>
      </c>
      <c r="AG26" s="86">
        <f>IF(Validation!$H$3=1,0,IF(ISNUMBER(I26),0,1))</f>
        <v>0</v>
      </c>
      <c r="AH26" s="86">
        <f>IF(Validation!$H$3=1,0,IF(ISNUMBER(J26),0,1))</f>
        <v>0</v>
      </c>
      <c r="AI26" s="86">
        <f>IF(Validation!$H$3=1,0,IF(ISNUMBER(K26),0,1))</f>
        <v>0</v>
      </c>
      <c r="AJ26" s="86">
        <f>IF(Validation!$H$3=1,0,IF(ISNUMBER(L26),0,1))</f>
        <v>0</v>
      </c>
      <c r="AK26" s="86">
        <f>IF(Validation!$H$3=1,0,IF(ISNUMBER(M26),0,1))</f>
        <v>0</v>
      </c>
      <c r="AL26" s="86">
        <f>IF(Validation!$H$3=1,0,IF(ISNUMBER(N26),0,1))</f>
        <v>0</v>
      </c>
      <c r="AM26" s="113"/>
      <c r="AN26" s="86">
        <f>IF(Validation!$H$3=1,0,IF(ISNUMBER(P26),0,1))</f>
        <v>0</v>
      </c>
      <c r="AO26" s="86">
        <f>IF(Validation!$H$3=1,0,IF(ISNUMBER(Q26),0,1))</f>
        <v>0</v>
      </c>
      <c r="AP26" s="86">
        <f>IF(Validation!$H$3=1,0,IF(ISNUMBER(R26),0,1))</f>
        <v>0</v>
      </c>
      <c r="AQ26" s="86">
        <f>IF(Validation!$H$3=1,0,IF(ISNUMBER(S26),0,1))</f>
        <v>0</v>
      </c>
      <c r="AR26" s="86">
        <f>IF(Validation!$H$3=1,0,IF(ISNUMBER(T26),0,1))</f>
        <v>0</v>
      </c>
      <c r="AS26" s="86">
        <f>IF(Validation!$H$3=1,0,IF(ISNUMBER(U26),0,1))</f>
        <v>0</v>
      </c>
      <c r="AT26" s="86">
        <f>IF(Validation!$H$3=1,0,IF(ISNUMBER(V26),0,1))</f>
        <v>0</v>
      </c>
      <c r="AU26" s="86">
        <f>IF(Validation!$H$3=1,0,IF(ISNUMBER(W26),0,1))</f>
        <v>0</v>
      </c>
      <c r="AV26" s="66"/>
      <c r="BD26" s="863" t="s">
        <v>5555</v>
      </c>
      <c r="BE26" s="963" t="s">
        <v>5556</v>
      </c>
      <c r="BF26" s="963"/>
      <c r="BG26" s="2155" t="s">
        <v>8</v>
      </c>
      <c r="BH26" s="864">
        <v>3</v>
      </c>
      <c r="BI26" s="1514" t="s">
        <v>5557</v>
      </c>
      <c r="BJ26" s="1515" t="s">
        <v>5558</v>
      </c>
      <c r="BK26" s="1516" t="s">
        <v>5559</v>
      </c>
      <c r="BL26" s="1517" t="s">
        <v>5560</v>
      </c>
      <c r="BM26" s="1515" t="s">
        <v>5561</v>
      </c>
      <c r="BN26" s="1232" t="s">
        <v>5562</v>
      </c>
      <c r="BO26" s="1236" t="s">
        <v>5563</v>
      </c>
      <c r="BP26" s="1240" t="s">
        <v>5564</v>
      </c>
      <c r="BQ26" s="206" t="s">
        <v>5565</v>
      </c>
      <c r="BR26" s="1519" t="s">
        <v>5566</v>
      </c>
      <c r="BS26" s="1515" t="s">
        <v>5567</v>
      </c>
      <c r="BT26" s="1516" t="s">
        <v>5568</v>
      </c>
      <c r="BU26" s="1517" t="s">
        <v>5569</v>
      </c>
      <c r="BV26" s="1515" t="s">
        <v>5570</v>
      </c>
      <c r="BW26" s="1232" t="s">
        <v>5571</v>
      </c>
      <c r="BX26" s="1236" t="s">
        <v>5572</v>
      </c>
      <c r="BY26" s="1240" t="s">
        <v>5573</v>
      </c>
      <c r="BZ26" s="206" t="s">
        <v>5574</v>
      </c>
    </row>
    <row r="27" spans="1:78" ht="15.75">
      <c r="A27" s="852"/>
      <c r="B27" s="863" t="s">
        <v>5575</v>
      </c>
      <c r="C27" s="867" t="s">
        <v>5576</v>
      </c>
      <c r="D27" s="867"/>
      <c r="E27" s="2155" t="s">
        <v>8</v>
      </c>
      <c r="F27" s="864">
        <v>3</v>
      </c>
      <c r="G27" s="928">
        <v>0</v>
      </c>
      <c r="H27" s="1232">
        <v>0</v>
      </c>
      <c r="I27" s="1240">
        <v>0</v>
      </c>
      <c r="J27" s="907">
        <v>0</v>
      </c>
      <c r="K27" s="1240">
        <v>0</v>
      </c>
      <c r="L27" s="1355">
        <v>0</v>
      </c>
      <c r="M27" s="1236">
        <v>0</v>
      </c>
      <c r="N27" s="1240">
        <v>0</v>
      </c>
      <c r="O27" s="206">
        <f t="shared" si="0"/>
        <v>0</v>
      </c>
      <c r="P27" s="928">
        <v>0</v>
      </c>
      <c r="Q27" s="1232">
        <v>0</v>
      </c>
      <c r="R27" s="1240">
        <v>0</v>
      </c>
      <c r="S27" s="907">
        <v>0</v>
      </c>
      <c r="T27" s="1240">
        <v>0</v>
      </c>
      <c r="U27" s="1355">
        <v>0</v>
      </c>
      <c r="V27" s="1236">
        <v>0</v>
      </c>
      <c r="W27" s="1240">
        <v>0</v>
      </c>
      <c r="X27" s="206">
        <f t="shared" si="1"/>
        <v>0</v>
      </c>
      <c r="Y27" s="1872"/>
      <c r="AA27" s="770">
        <f t="shared" si="2"/>
        <v>0</v>
      </c>
      <c r="AB27" s="65"/>
      <c r="AC27" s="66"/>
      <c r="AD27" s="65"/>
      <c r="AE27" s="86">
        <f>IF(Validation!$H$3=1,0,IF(ISNUMBER(G27),0,1))</f>
        <v>0</v>
      </c>
      <c r="AF27" s="86">
        <f>IF(Validation!$H$3=1,0,IF(ISNUMBER(H27),0,1))</f>
        <v>0</v>
      </c>
      <c r="AG27" s="86">
        <f>IF(Validation!$H$3=1,0,IF(ISNUMBER(I27),0,1))</f>
        <v>0</v>
      </c>
      <c r="AH27" s="86">
        <f>IF(Validation!$H$3=1,0,IF(ISNUMBER(J27),0,1))</f>
        <v>0</v>
      </c>
      <c r="AI27" s="86">
        <f>IF(Validation!$H$3=1,0,IF(ISNUMBER(K27),0,1))</f>
        <v>0</v>
      </c>
      <c r="AJ27" s="86">
        <f>IF(Validation!$H$3=1,0,IF(ISNUMBER(L27),0,1))</f>
        <v>0</v>
      </c>
      <c r="AK27" s="86">
        <f>IF(Validation!$H$3=1,0,IF(ISNUMBER(M27),0,1))</f>
        <v>0</v>
      </c>
      <c r="AL27" s="86">
        <f>IF(Validation!$H$3=1,0,IF(ISNUMBER(N27),0,1))</f>
        <v>0</v>
      </c>
      <c r="AM27" s="113"/>
      <c r="AN27" s="86">
        <f>IF(Validation!$H$3=1,0,IF(ISNUMBER(P27),0,1))</f>
        <v>0</v>
      </c>
      <c r="AO27" s="86">
        <f>IF(Validation!$H$3=1,0,IF(ISNUMBER(Q27),0,1))</f>
        <v>0</v>
      </c>
      <c r="AP27" s="86">
        <f>IF(Validation!$H$3=1,0,IF(ISNUMBER(R27),0,1))</f>
        <v>0</v>
      </c>
      <c r="AQ27" s="86">
        <f>IF(Validation!$H$3=1,0,IF(ISNUMBER(S27),0,1))</f>
        <v>0</v>
      </c>
      <c r="AR27" s="86">
        <f>IF(Validation!$H$3=1,0,IF(ISNUMBER(T27),0,1))</f>
        <v>0</v>
      </c>
      <c r="AS27" s="86">
        <f>IF(Validation!$H$3=1,0,IF(ISNUMBER(U27),0,1))</f>
        <v>0</v>
      </c>
      <c r="AT27" s="86">
        <f>IF(Validation!$H$3=1,0,IF(ISNUMBER(V27),0,1))</f>
        <v>0</v>
      </c>
      <c r="AU27" s="86">
        <f>IF(Validation!$H$3=1,0,IF(ISNUMBER(W27),0,1))</f>
        <v>0</v>
      </c>
      <c r="AV27" s="66"/>
      <c r="BD27" s="863" t="s">
        <v>5575</v>
      </c>
      <c r="BE27" s="963" t="s">
        <v>5576</v>
      </c>
      <c r="BF27" s="963"/>
      <c r="BG27" s="2155" t="s">
        <v>8</v>
      </c>
      <c r="BH27" s="864">
        <v>3</v>
      </c>
      <c r="BI27" s="1514" t="s">
        <v>5577</v>
      </c>
      <c r="BJ27" s="1515" t="s">
        <v>5578</v>
      </c>
      <c r="BK27" s="1516" t="s">
        <v>5579</v>
      </c>
      <c r="BL27" s="1517" t="s">
        <v>5580</v>
      </c>
      <c r="BM27" s="1515" t="s">
        <v>5581</v>
      </c>
      <c r="BN27" s="1232" t="s">
        <v>5582</v>
      </c>
      <c r="BO27" s="1236" t="s">
        <v>5583</v>
      </c>
      <c r="BP27" s="1240" t="s">
        <v>5584</v>
      </c>
      <c r="BQ27" s="206" t="s">
        <v>5585</v>
      </c>
      <c r="BR27" s="1519" t="s">
        <v>5586</v>
      </c>
      <c r="BS27" s="1515" t="s">
        <v>5587</v>
      </c>
      <c r="BT27" s="1516" t="s">
        <v>5588</v>
      </c>
      <c r="BU27" s="1517" t="s">
        <v>5589</v>
      </c>
      <c r="BV27" s="1515" t="s">
        <v>5590</v>
      </c>
      <c r="BW27" s="1232" t="s">
        <v>5591</v>
      </c>
      <c r="BX27" s="1236" t="s">
        <v>5592</v>
      </c>
      <c r="BY27" s="1240" t="s">
        <v>5593</v>
      </c>
      <c r="BZ27" s="206" t="s">
        <v>5594</v>
      </c>
    </row>
    <row r="28" spans="1:78" ht="15.75">
      <c r="A28" s="852"/>
      <c r="B28" s="863" t="s">
        <v>5595</v>
      </c>
      <c r="C28" s="867" t="s">
        <v>5596</v>
      </c>
      <c r="D28" s="867"/>
      <c r="E28" s="2155" t="s">
        <v>8</v>
      </c>
      <c r="F28" s="864">
        <v>3</v>
      </c>
      <c r="G28" s="928">
        <v>0</v>
      </c>
      <c r="H28" s="1232">
        <v>0</v>
      </c>
      <c r="I28" s="1240">
        <v>0</v>
      </c>
      <c r="J28" s="907">
        <v>0</v>
      </c>
      <c r="K28" s="1240">
        <v>0</v>
      </c>
      <c r="L28" s="1355">
        <v>0</v>
      </c>
      <c r="M28" s="1236">
        <v>0</v>
      </c>
      <c r="N28" s="1240">
        <v>0</v>
      </c>
      <c r="O28" s="206">
        <f t="shared" si="0"/>
        <v>0</v>
      </c>
      <c r="P28" s="928">
        <v>0</v>
      </c>
      <c r="Q28" s="1232">
        <v>0</v>
      </c>
      <c r="R28" s="1240">
        <v>0</v>
      </c>
      <c r="S28" s="907">
        <v>0</v>
      </c>
      <c r="T28" s="1240">
        <v>0</v>
      </c>
      <c r="U28" s="1355">
        <v>0</v>
      </c>
      <c r="V28" s="1236">
        <v>0</v>
      </c>
      <c r="W28" s="1240">
        <v>0</v>
      </c>
      <c r="X28" s="206">
        <f t="shared" si="1"/>
        <v>0</v>
      </c>
      <c r="Y28" s="1872"/>
      <c r="AA28" s="770">
        <f t="shared" si="2"/>
        <v>0</v>
      </c>
      <c r="AB28" s="65"/>
      <c r="AC28" s="66"/>
      <c r="AD28" s="65"/>
      <c r="AE28" s="86">
        <f>IF(Validation!$H$3=1,0,IF(ISNUMBER(G28),0,1))</f>
        <v>0</v>
      </c>
      <c r="AF28" s="86">
        <f>IF(Validation!$H$3=1,0,IF(ISNUMBER(H28),0,1))</f>
        <v>0</v>
      </c>
      <c r="AG28" s="86">
        <f>IF(Validation!$H$3=1,0,IF(ISNUMBER(I28),0,1))</f>
        <v>0</v>
      </c>
      <c r="AH28" s="86">
        <f>IF(Validation!$H$3=1,0,IF(ISNUMBER(J28),0,1))</f>
        <v>0</v>
      </c>
      <c r="AI28" s="86">
        <f>IF(Validation!$H$3=1,0,IF(ISNUMBER(K28),0,1))</f>
        <v>0</v>
      </c>
      <c r="AJ28" s="86">
        <f>IF(Validation!$H$3=1,0,IF(ISNUMBER(L28),0,1))</f>
        <v>0</v>
      </c>
      <c r="AK28" s="86">
        <f>IF(Validation!$H$3=1,0,IF(ISNUMBER(M28),0,1))</f>
        <v>0</v>
      </c>
      <c r="AL28" s="86">
        <f>IF(Validation!$H$3=1,0,IF(ISNUMBER(N28),0,1))</f>
        <v>0</v>
      </c>
      <c r="AM28" s="113"/>
      <c r="AN28" s="86">
        <f>IF(Validation!$H$3=1,0,IF(ISNUMBER(P28),0,1))</f>
        <v>0</v>
      </c>
      <c r="AO28" s="86">
        <f>IF(Validation!$H$3=1,0,IF(ISNUMBER(Q28),0,1))</f>
        <v>0</v>
      </c>
      <c r="AP28" s="86">
        <f>IF(Validation!$H$3=1,0,IF(ISNUMBER(R28),0,1))</f>
        <v>0</v>
      </c>
      <c r="AQ28" s="86">
        <f>IF(Validation!$H$3=1,0,IF(ISNUMBER(S28),0,1))</f>
        <v>0</v>
      </c>
      <c r="AR28" s="86">
        <f>IF(Validation!$H$3=1,0,IF(ISNUMBER(T28),0,1))</f>
        <v>0</v>
      </c>
      <c r="AS28" s="86">
        <f>IF(Validation!$H$3=1,0,IF(ISNUMBER(U28),0,1))</f>
        <v>0</v>
      </c>
      <c r="AT28" s="86">
        <f>IF(Validation!$H$3=1,0,IF(ISNUMBER(V28),0,1))</f>
        <v>0</v>
      </c>
      <c r="AU28" s="86">
        <f>IF(Validation!$H$3=1,0,IF(ISNUMBER(W28),0,1))</f>
        <v>0</v>
      </c>
      <c r="AV28" s="66"/>
      <c r="BD28" s="863" t="s">
        <v>5595</v>
      </c>
      <c r="BE28" s="963" t="s">
        <v>5596</v>
      </c>
      <c r="BF28" s="963"/>
      <c r="BG28" s="2155" t="s">
        <v>8</v>
      </c>
      <c r="BH28" s="864">
        <v>3</v>
      </c>
      <c r="BI28" s="1514" t="s">
        <v>5597</v>
      </c>
      <c r="BJ28" s="1515" t="s">
        <v>5598</v>
      </c>
      <c r="BK28" s="1516" t="s">
        <v>5599</v>
      </c>
      <c r="BL28" s="1517" t="s">
        <v>5600</v>
      </c>
      <c r="BM28" s="1515" t="s">
        <v>5601</v>
      </c>
      <c r="BN28" s="1232" t="s">
        <v>5602</v>
      </c>
      <c r="BO28" s="1236" t="s">
        <v>5603</v>
      </c>
      <c r="BP28" s="1240" t="s">
        <v>5604</v>
      </c>
      <c r="BQ28" s="206" t="s">
        <v>5605</v>
      </c>
      <c r="BR28" s="1519" t="s">
        <v>5606</v>
      </c>
      <c r="BS28" s="1515" t="s">
        <v>5607</v>
      </c>
      <c r="BT28" s="1516" t="s">
        <v>5608</v>
      </c>
      <c r="BU28" s="1517" t="s">
        <v>5609</v>
      </c>
      <c r="BV28" s="1515" t="s">
        <v>5610</v>
      </c>
      <c r="BW28" s="1232" t="s">
        <v>5611</v>
      </c>
      <c r="BX28" s="1236" t="s">
        <v>5612</v>
      </c>
      <c r="BY28" s="1240" t="s">
        <v>5613</v>
      </c>
      <c r="BZ28" s="206" t="s">
        <v>5614</v>
      </c>
    </row>
    <row r="29" spans="1:78" ht="15.75">
      <c r="A29" s="852"/>
      <c r="B29" s="863" t="s">
        <v>5615</v>
      </c>
      <c r="C29" s="867" t="s">
        <v>5616</v>
      </c>
      <c r="D29" s="867"/>
      <c r="E29" s="2155" t="s">
        <v>8</v>
      </c>
      <c r="F29" s="864">
        <v>3</v>
      </c>
      <c r="G29" s="928">
        <v>0</v>
      </c>
      <c r="H29" s="1232">
        <v>0</v>
      </c>
      <c r="I29" s="1240">
        <v>0</v>
      </c>
      <c r="J29" s="907">
        <v>1.2027192052602431</v>
      </c>
      <c r="K29" s="1240">
        <v>0</v>
      </c>
      <c r="L29" s="1355">
        <v>0</v>
      </c>
      <c r="M29" s="1236">
        <v>0</v>
      </c>
      <c r="N29" s="1240">
        <v>0</v>
      </c>
      <c r="O29" s="206">
        <f t="shared" si="0"/>
        <v>1.2027192052602431</v>
      </c>
      <c r="P29" s="928">
        <v>0</v>
      </c>
      <c r="Q29" s="1232">
        <v>0</v>
      </c>
      <c r="R29" s="1240">
        <v>0</v>
      </c>
      <c r="S29" s="907">
        <v>0</v>
      </c>
      <c r="T29" s="1240">
        <v>0</v>
      </c>
      <c r="U29" s="1355">
        <v>0</v>
      </c>
      <c r="V29" s="1236">
        <v>0</v>
      </c>
      <c r="W29" s="1240">
        <v>0</v>
      </c>
      <c r="X29" s="206">
        <f t="shared" si="1"/>
        <v>0</v>
      </c>
      <c r="Y29" s="1872"/>
      <c r="AA29" s="770">
        <f t="shared" si="2"/>
        <v>0</v>
      </c>
      <c r="AB29" s="65"/>
      <c r="AC29" s="66"/>
      <c r="AD29" s="65"/>
      <c r="AE29" s="86">
        <f>IF(Validation!$H$3=1,0,IF(ISNUMBER(G29),0,1))</f>
        <v>0</v>
      </c>
      <c r="AF29" s="86">
        <f>IF(Validation!$H$3=1,0,IF(ISNUMBER(H29),0,1))</f>
        <v>0</v>
      </c>
      <c r="AG29" s="86">
        <f>IF(Validation!$H$3=1,0,IF(ISNUMBER(I29),0,1))</f>
        <v>0</v>
      </c>
      <c r="AH29" s="86">
        <f>IF(Validation!$H$3=1,0,IF(ISNUMBER(J29),0,1))</f>
        <v>0</v>
      </c>
      <c r="AI29" s="86">
        <f>IF(Validation!$H$3=1,0,IF(ISNUMBER(K29),0,1))</f>
        <v>0</v>
      </c>
      <c r="AJ29" s="86">
        <f>IF(Validation!$H$3=1,0,IF(ISNUMBER(L29),0,1))</f>
        <v>0</v>
      </c>
      <c r="AK29" s="86">
        <f>IF(Validation!$H$3=1,0,IF(ISNUMBER(M29),0,1))</f>
        <v>0</v>
      </c>
      <c r="AL29" s="86">
        <f>IF(Validation!$H$3=1,0,IF(ISNUMBER(N29),0,1))</f>
        <v>0</v>
      </c>
      <c r="AM29" s="113"/>
      <c r="AN29" s="86">
        <f>IF(Validation!$H$3=1,0,IF(ISNUMBER(P29),0,1))</f>
        <v>0</v>
      </c>
      <c r="AO29" s="86">
        <f>IF(Validation!$H$3=1,0,IF(ISNUMBER(Q29),0,1))</f>
        <v>0</v>
      </c>
      <c r="AP29" s="86">
        <f>IF(Validation!$H$3=1,0,IF(ISNUMBER(R29),0,1))</f>
        <v>0</v>
      </c>
      <c r="AQ29" s="86">
        <f>IF(Validation!$H$3=1,0,IF(ISNUMBER(S29),0,1))</f>
        <v>0</v>
      </c>
      <c r="AR29" s="86">
        <f>IF(Validation!$H$3=1,0,IF(ISNUMBER(T29),0,1))</f>
        <v>0</v>
      </c>
      <c r="AS29" s="86">
        <f>IF(Validation!$H$3=1,0,IF(ISNUMBER(U29),0,1))</f>
        <v>0</v>
      </c>
      <c r="AT29" s="86">
        <f>IF(Validation!$H$3=1,0,IF(ISNUMBER(V29),0,1))</f>
        <v>0</v>
      </c>
      <c r="AU29" s="86">
        <f>IF(Validation!$H$3=1,0,IF(ISNUMBER(W29),0,1))</f>
        <v>0</v>
      </c>
      <c r="AV29" s="66"/>
      <c r="BD29" s="863" t="s">
        <v>5615</v>
      </c>
      <c r="BE29" s="963" t="s">
        <v>5616</v>
      </c>
      <c r="BF29" s="963"/>
      <c r="BG29" s="2155" t="s">
        <v>8</v>
      </c>
      <c r="BH29" s="864">
        <v>3</v>
      </c>
      <c r="BI29" s="1514" t="s">
        <v>5617</v>
      </c>
      <c r="BJ29" s="1515" t="s">
        <v>5618</v>
      </c>
      <c r="BK29" s="1516" t="s">
        <v>5619</v>
      </c>
      <c r="BL29" s="1517" t="s">
        <v>5620</v>
      </c>
      <c r="BM29" s="1515" t="s">
        <v>5621</v>
      </c>
      <c r="BN29" s="1232" t="s">
        <v>5622</v>
      </c>
      <c r="BO29" s="1236" t="s">
        <v>5623</v>
      </c>
      <c r="BP29" s="1240" t="s">
        <v>5624</v>
      </c>
      <c r="BQ29" s="206" t="s">
        <v>5625</v>
      </c>
      <c r="BR29" s="1519" t="s">
        <v>5626</v>
      </c>
      <c r="BS29" s="1515" t="s">
        <v>5627</v>
      </c>
      <c r="BT29" s="1516" t="s">
        <v>5628</v>
      </c>
      <c r="BU29" s="1517" t="s">
        <v>5629</v>
      </c>
      <c r="BV29" s="1515" t="s">
        <v>5630</v>
      </c>
      <c r="BW29" s="1232" t="s">
        <v>5631</v>
      </c>
      <c r="BX29" s="1236" t="s">
        <v>5632</v>
      </c>
      <c r="BY29" s="1240" t="s">
        <v>5633</v>
      </c>
      <c r="BZ29" s="206" t="s">
        <v>5634</v>
      </c>
    </row>
    <row r="30" spans="1:78" ht="15.75">
      <c r="A30" s="852"/>
      <c r="B30" s="863" t="s">
        <v>5635</v>
      </c>
      <c r="C30" s="867" t="s">
        <v>5636</v>
      </c>
      <c r="D30" s="867"/>
      <c r="E30" s="2155" t="s">
        <v>8</v>
      </c>
      <c r="F30" s="864">
        <v>3</v>
      </c>
      <c r="G30" s="928">
        <v>0</v>
      </c>
      <c r="H30" s="1232">
        <v>0</v>
      </c>
      <c r="I30" s="1240">
        <v>0</v>
      </c>
      <c r="J30" s="907">
        <v>9.7516199221584436</v>
      </c>
      <c r="K30" s="1240">
        <v>0</v>
      </c>
      <c r="L30" s="1355">
        <v>0</v>
      </c>
      <c r="M30" s="1236">
        <v>1.2104608316525598E-3</v>
      </c>
      <c r="N30" s="1240">
        <v>-2.1261474017920186E-4</v>
      </c>
      <c r="O30" s="206">
        <f t="shared" si="0"/>
        <v>9.752617768249916</v>
      </c>
      <c r="P30" s="928">
        <v>0</v>
      </c>
      <c r="Q30" s="1232">
        <v>0</v>
      </c>
      <c r="R30" s="1240">
        <v>0</v>
      </c>
      <c r="S30" s="907">
        <v>4.608706619471314</v>
      </c>
      <c r="T30" s="1240">
        <v>0</v>
      </c>
      <c r="U30" s="1355">
        <v>0</v>
      </c>
      <c r="V30" s="1236">
        <v>0</v>
      </c>
      <c r="W30" s="1240">
        <v>0</v>
      </c>
      <c r="X30" s="206">
        <f t="shared" si="1"/>
        <v>4.608706619471314</v>
      </c>
      <c r="Y30" s="1872"/>
      <c r="AA30" s="770">
        <f t="shared" si="2"/>
        <v>0</v>
      </c>
      <c r="AB30" s="65"/>
      <c r="AC30" s="66"/>
      <c r="AD30" s="65"/>
      <c r="AE30" s="86">
        <f>IF(Validation!$H$3=1,0,IF(ISNUMBER(G30),0,1))</f>
        <v>0</v>
      </c>
      <c r="AF30" s="86">
        <f>IF(Validation!$H$3=1,0,IF(ISNUMBER(H30),0,1))</f>
        <v>0</v>
      </c>
      <c r="AG30" s="86">
        <f>IF(Validation!$H$3=1,0,IF(ISNUMBER(I30),0,1))</f>
        <v>0</v>
      </c>
      <c r="AH30" s="86">
        <f>IF(Validation!$H$3=1,0,IF(ISNUMBER(J30),0,1))</f>
        <v>0</v>
      </c>
      <c r="AI30" s="86">
        <f>IF(Validation!$H$3=1,0,IF(ISNUMBER(K30),0,1))</f>
        <v>0</v>
      </c>
      <c r="AJ30" s="86">
        <f>IF(Validation!$H$3=1,0,IF(ISNUMBER(L30),0,1))</f>
        <v>0</v>
      </c>
      <c r="AK30" s="86">
        <f>IF(Validation!$H$3=1,0,IF(ISNUMBER(M30),0,1))</f>
        <v>0</v>
      </c>
      <c r="AL30" s="86">
        <f>IF(Validation!$H$3=1,0,IF(ISNUMBER(N30),0,1))</f>
        <v>0</v>
      </c>
      <c r="AM30" s="113"/>
      <c r="AN30" s="86">
        <f>IF(Validation!$H$3=1,0,IF(ISNUMBER(P30),0,1))</f>
        <v>0</v>
      </c>
      <c r="AO30" s="86">
        <f>IF(Validation!$H$3=1,0,IF(ISNUMBER(Q30),0,1))</f>
        <v>0</v>
      </c>
      <c r="AP30" s="86">
        <f>IF(Validation!$H$3=1,0,IF(ISNUMBER(R30),0,1))</f>
        <v>0</v>
      </c>
      <c r="AQ30" s="86">
        <f>IF(Validation!$H$3=1,0,IF(ISNUMBER(S30),0,1))</f>
        <v>0</v>
      </c>
      <c r="AR30" s="86">
        <f>IF(Validation!$H$3=1,0,IF(ISNUMBER(T30),0,1))</f>
        <v>0</v>
      </c>
      <c r="AS30" s="86">
        <f>IF(Validation!$H$3=1,0,IF(ISNUMBER(U30),0,1))</f>
        <v>0</v>
      </c>
      <c r="AT30" s="86">
        <f>IF(Validation!$H$3=1,0,IF(ISNUMBER(V30),0,1))</f>
        <v>0</v>
      </c>
      <c r="AU30" s="86">
        <f>IF(Validation!$H$3=1,0,IF(ISNUMBER(W30),0,1))</f>
        <v>0</v>
      </c>
      <c r="AV30" s="66"/>
      <c r="BD30" s="863" t="s">
        <v>5635</v>
      </c>
      <c r="BE30" s="963" t="s">
        <v>5636</v>
      </c>
      <c r="BF30" s="963"/>
      <c r="BG30" s="2155" t="s">
        <v>8</v>
      </c>
      <c r="BH30" s="864">
        <v>3</v>
      </c>
      <c r="BI30" s="1514" t="s">
        <v>5637</v>
      </c>
      <c r="BJ30" s="1515" t="s">
        <v>5638</v>
      </c>
      <c r="BK30" s="1516" t="s">
        <v>5639</v>
      </c>
      <c r="BL30" s="1517" t="s">
        <v>5640</v>
      </c>
      <c r="BM30" s="1515" t="s">
        <v>5641</v>
      </c>
      <c r="BN30" s="1232" t="s">
        <v>5642</v>
      </c>
      <c r="BO30" s="1236" t="s">
        <v>5643</v>
      </c>
      <c r="BP30" s="1240" t="s">
        <v>5644</v>
      </c>
      <c r="BQ30" s="206" t="s">
        <v>5645</v>
      </c>
      <c r="BR30" s="1519" t="s">
        <v>5646</v>
      </c>
      <c r="BS30" s="1515" t="s">
        <v>5647</v>
      </c>
      <c r="BT30" s="1516" t="s">
        <v>5648</v>
      </c>
      <c r="BU30" s="1517" t="s">
        <v>5649</v>
      </c>
      <c r="BV30" s="1515" t="s">
        <v>5650</v>
      </c>
      <c r="BW30" s="1232" t="s">
        <v>5651</v>
      </c>
      <c r="BX30" s="1236" t="s">
        <v>5652</v>
      </c>
      <c r="BY30" s="1240" t="s">
        <v>5653</v>
      </c>
      <c r="BZ30" s="206" t="s">
        <v>5654</v>
      </c>
    </row>
    <row r="31" spans="1:78" ht="15.75">
      <c r="A31" s="852"/>
      <c r="B31" s="863" t="s">
        <v>5655</v>
      </c>
      <c r="C31" s="867" t="s">
        <v>5656</v>
      </c>
      <c r="D31" s="867"/>
      <c r="E31" s="2155" t="s">
        <v>8</v>
      </c>
      <c r="F31" s="864">
        <v>3</v>
      </c>
      <c r="G31" s="928">
        <v>14.119767298252281</v>
      </c>
      <c r="H31" s="1232">
        <v>1.7786252755431913</v>
      </c>
      <c r="I31" s="1240">
        <v>0</v>
      </c>
      <c r="J31" s="907">
        <v>0</v>
      </c>
      <c r="K31" s="1240">
        <v>0</v>
      </c>
      <c r="L31" s="1355">
        <v>0</v>
      </c>
      <c r="M31" s="1236">
        <v>0</v>
      </c>
      <c r="N31" s="1240">
        <v>0</v>
      </c>
      <c r="O31" s="206">
        <f t="shared" si="0"/>
        <v>15.898392573795473</v>
      </c>
      <c r="P31" s="928">
        <v>9.9119099987856494</v>
      </c>
      <c r="Q31" s="1232">
        <v>1.0952888794407201</v>
      </c>
      <c r="R31" s="1240">
        <v>0</v>
      </c>
      <c r="S31" s="907">
        <v>0</v>
      </c>
      <c r="T31" s="1240">
        <v>0</v>
      </c>
      <c r="U31" s="1355">
        <v>0</v>
      </c>
      <c r="V31" s="1236">
        <v>0</v>
      </c>
      <c r="W31" s="1240">
        <v>0</v>
      </c>
      <c r="X31" s="206">
        <f t="shared" si="1"/>
        <v>11.007198878226369</v>
      </c>
      <c r="Y31" s="1872"/>
      <c r="AA31" s="770">
        <f t="shared" si="2"/>
        <v>0</v>
      </c>
      <c r="AB31" s="65"/>
      <c r="AC31" s="66"/>
      <c r="AD31" s="65"/>
      <c r="AE31" s="86">
        <f>IF(Validation!$H$3=1,0,IF(ISNUMBER(G31),0,1))</f>
        <v>0</v>
      </c>
      <c r="AF31" s="86">
        <f>IF(Validation!$H$3=1,0,IF(ISNUMBER(H31),0,1))</f>
        <v>0</v>
      </c>
      <c r="AG31" s="86">
        <f>IF(Validation!$H$3=1,0,IF(ISNUMBER(I31),0,1))</f>
        <v>0</v>
      </c>
      <c r="AH31" s="86">
        <f>IF(Validation!$H$3=1,0,IF(ISNUMBER(J31),0,1))</f>
        <v>0</v>
      </c>
      <c r="AI31" s="86">
        <f>IF(Validation!$H$3=1,0,IF(ISNUMBER(K31),0,1))</f>
        <v>0</v>
      </c>
      <c r="AJ31" s="86">
        <f>IF(Validation!$H$3=1,0,IF(ISNUMBER(L31),0,1))</f>
        <v>0</v>
      </c>
      <c r="AK31" s="86">
        <f>IF(Validation!$H$3=1,0,IF(ISNUMBER(M31),0,1))</f>
        <v>0</v>
      </c>
      <c r="AL31" s="86">
        <f>IF(Validation!$H$3=1,0,IF(ISNUMBER(N31),0,1))</f>
        <v>0</v>
      </c>
      <c r="AM31" s="113"/>
      <c r="AN31" s="86">
        <f>IF(Validation!$H$3=1,0,IF(ISNUMBER(P31),0,1))</f>
        <v>0</v>
      </c>
      <c r="AO31" s="86">
        <f>IF(Validation!$H$3=1,0,IF(ISNUMBER(Q31),0,1))</f>
        <v>0</v>
      </c>
      <c r="AP31" s="86">
        <f>IF(Validation!$H$3=1,0,IF(ISNUMBER(R31),0,1))</f>
        <v>0</v>
      </c>
      <c r="AQ31" s="86">
        <f>IF(Validation!$H$3=1,0,IF(ISNUMBER(S31),0,1))</f>
        <v>0</v>
      </c>
      <c r="AR31" s="86">
        <f>IF(Validation!$H$3=1,0,IF(ISNUMBER(T31),0,1))</f>
        <v>0</v>
      </c>
      <c r="AS31" s="86">
        <f>IF(Validation!$H$3=1,0,IF(ISNUMBER(U31),0,1))</f>
        <v>0</v>
      </c>
      <c r="AT31" s="86">
        <f>IF(Validation!$H$3=1,0,IF(ISNUMBER(V31),0,1))</f>
        <v>0</v>
      </c>
      <c r="AU31" s="86">
        <f>IF(Validation!$H$3=1,0,IF(ISNUMBER(W31),0,1))</f>
        <v>0</v>
      </c>
      <c r="AV31" s="66"/>
      <c r="BD31" s="863" t="s">
        <v>5655</v>
      </c>
      <c r="BE31" s="963" t="s">
        <v>5656</v>
      </c>
      <c r="BF31" s="963"/>
      <c r="BG31" s="2155" t="s">
        <v>8</v>
      </c>
      <c r="BH31" s="864">
        <v>3</v>
      </c>
      <c r="BI31" s="1514" t="s">
        <v>5657</v>
      </c>
      <c r="BJ31" s="1515" t="s">
        <v>5658</v>
      </c>
      <c r="BK31" s="1516" t="s">
        <v>5659</v>
      </c>
      <c r="BL31" s="1517" t="s">
        <v>5660</v>
      </c>
      <c r="BM31" s="1515" t="s">
        <v>5661</v>
      </c>
      <c r="BN31" s="1232" t="s">
        <v>5662</v>
      </c>
      <c r="BO31" s="1236" t="s">
        <v>5663</v>
      </c>
      <c r="BP31" s="1240" t="s">
        <v>5664</v>
      </c>
      <c r="BQ31" s="206" t="s">
        <v>5665</v>
      </c>
      <c r="BR31" s="1519" t="s">
        <v>5666</v>
      </c>
      <c r="BS31" s="1515" t="s">
        <v>5667</v>
      </c>
      <c r="BT31" s="1516" t="s">
        <v>5668</v>
      </c>
      <c r="BU31" s="1517" t="s">
        <v>5669</v>
      </c>
      <c r="BV31" s="1515" t="s">
        <v>5670</v>
      </c>
      <c r="BW31" s="1232" t="s">
        <v>5671</v>
      </c>
      <c r="BX31" s="1236" t="s">
        <v>5672</v>
      </c>
      <c r="BY31" s="1240" t="s">
        <v>5673</v>
      </c>
      <c r="BZ31" s="206" t="s">
        <v>5674</v>
      </c>
    </row>
    <row r="32" spans="1:78" ht="15.75">
      <c r="A32" s="852"/>
      <c r="B32" s="863" t="s">
        <v>5675</v>
      </c>
      <c r="C32" s="867" t="s">
        <v>5676</v>
      </c>
      <c r="D32" s="867"/>
      <c r="E32" s="2155" t="s">
        <v>8</v>
      </c>
      <c r="F32" s="864">
        <v>3</v>
      </c>
      <c r="G32" s="928">
        <v>0</v>
      </c>
      <c r="H32" s="1232">
        <v>0</v>
      </c>
      <c r="I32" s="1240">
        <v>0</v>
      </c>
      <c r="J32" s="907">
        <v>27.088357244369124</v>
      </c>
      <c r="K32" s="1240">
        <v>0</v>
      </c>
      <c r="L32" s="1355">
        <v>0</v>
      </c>
      <c r="M32" s="1236">
        <v>0</v>
      </c>
      <c r="N32" s="1240">
        <v>0</v>
      </c>
      <c r="O32" s="206">
        <f t="shared" si="0"/>
        <v>27.088357244369124</v>
      </c>
      <c r="P32" s="928">
        <v>0</v>
      </c>
      <c r="Q32" s="1232">
        <v>0</v>
      </c>
      <c r="R32" s="1240">
        <v>0</v>
      </c>
      <c r="S32" s="907">
        <v>1.1474241066930921</v>
      </c>
      <c r="T32" s="1240">
        <v>0</v>
      </c>
      <c r="U32" s="1355">
        <v>0</v>
      </c>
      <c r="V32" s="1236">
        <v>0</v>
      </c>
      <c r="W32" s="1240">
        <v>0</v>
      </c>
      <c r="X32" s="206">
        <f t="shared" si="1"/>
        <v>1.1474241066930921</v>
      </c>
      <c r="Y32" s="1872"/>
      <c r="AA32" s="770">
        <f t="shared" si="2"/>
        <v>0</v>
      </c>
      <c r="AB32" s="65"/>
      <c r="AC32" s="66"/>
      <c r="AD32" s="65"/>
      <c r="AE32" s="86">
        <f>IF(Validation!$H$3=1,0,IF(ISNUMBER(G32),0,1))</f>
        <v>0</v>
      </c>
      <c r="AF32" s="86">
        <f>IF(Validation!$H$3=1,0,IF(ISNUMBER(H32),0,1))</f>
        <v>0</v>
      </c>
      <c r="AG32" s="86">
        <f>IF(Validation!$H$3=1,0,IF(ISNUMBER(I32),0,1))</f>
        <v>0</v>
      </c>
      <c r="AH32" s="86">
        <f>IF(Validation!$H$3=1,0,IF(ISNUMBER(J32),0,1))</f>
        <v>0</v>
      </c>
      <c r="AI32" s="86">
        <f>IF(Validation!$H$3=1,0,IF(ISNUMBER(K32),0,1))</f>
        <v>0</v>
      </c>
      <c r="AJ32" s="86">
        <f>IF(Validation!$H$3=1,0,IF(ISNUMBER(L32),0,1))</f>
        <v>0</v>
      </c>
      <c r="AK32" s="86">
        <f>IF(Validation!$H$3=1,0,IF(ISNUMBER(M32),0,1))</f>
        <v>0</v>
      </c>
      <c r="AL32" s="86">
        <f>IF(Validation!$H$3=1,0,IF(ISNUMBER(N32),0,1))</f>
        <v>0</v>
      </c>
      <c r="AM32" s="113"/>
      <c r="AN32" s="86">
        <f>IF(Validation!$H$3=1,0,IF(ISNUMBER(P32),0,1))</f>
        <v>0</v>
      </c>
      <c r="AO32" s="86">
        <f>IF(Validation!$H$3=1,0,IF(ISNUMBER(Q32),0,1))</f>
        <v>0</v>
      </c>
      <c r="AP32" s="86">
        <f>IF(Validation!$H$3=1,0,IF(ISNUMBER(R32),0,1))</f>
        <v>0</v>
      </c>
      <c r="AQ32" s="86">
        <f>IF(Validation!$H$3=1,0,IF(ISNUMBER(S32),0,1))</f>
        <v>0</v>
      </c>
      <c r="AR32" s="86">
        <f>IF(Validation!$H$3=1,0,IF(ISNUMBER(T32),0,1))</f>
        <v>0</v>
      </c>
      <c r="AS32" s="86">
        <f>IF(Validation!$H$3=1,0,IF(ISNUMBER(U32),0,1))</f>
        <v>0</v>
      </c>
      <c r="AT32" s="86">
        <f>IF(Validation!$H$3=1,0,IF(ISNUMBER(V32),0,1))</f>
        <v>0</v>
      </c>
      <c r="AU32" s="86">
        <f>IF(Validation!$H$3=1,0,IF(ISNUMBER(W32),0,1))</f>
        <v>0</v>
      </c>
      <c r="AV32" s="66"/>
      <c r="BD32" s="863" t="s">
        <v>5675</v>
      </c>
      <c r="BE32" s="963" t="s">
        <v>5676</v>
      </c>
      <c r="BF32" s="963"/>
      <c r="BG32" s="2155" t="s">
        <v>8</v>
      </c>
      <c r="BH32" s="864">
        <v>3</v>
      </c>
      <c r="BI32" s="1514" t="s">
        <v>5677</v>
      </c>
      <c r="BJ32" s="1515" t="s">
        <v>5678</v>
      </c>
      <c r="BK32" s="1516" t="s">
        <v>5679</v>
      </c>
      <c r="BL32" s="1517" t="s">
        <v>5680</v>
      </c>
      <c r="BM32" s="1515" t="s">
        <v>5681</v>
      </c>
      <c r="BN32" s="1232" t="s">
        <v>5682</v>
      </c>
      <c r="BO32" s="1236" t="s">
        <v>5683</v>
      </c>
      <c r="BP32" s="1240" t="s">
        <v>5684</v>
      </c>
      <c r="BQ32" s="206" t="s">
        <v>5685</v>
      </c>
      <c r="BR32" s="1519" t="s">
        <v>5686</v>
      </c>
      <c r="BS32" s="1515" t="s">
        <v>5687</v>
      </c>
      <c r="BT32" s="1516" t="s">
        <v>5688</v>
      </c>
      <c r="BU32" s="1517" t="s">
        <v>5689</v>
      </c>
      <c r="BV32" s="1515" t="s">
        <v>5690</v>
      </c>
      <c r="BW32" s="1232" t="s">
        <v>5691</v>
      </c>
      <c r="BX32" s="1236" t="s">
        <v>5692</v>
      </c>
      <c r="BY32" s="1240" t="s">
        <v>5693</v>
      </c>
      <c r="BZ32" s="206" t="s">
        <v>5694</v>
      </c>
    </row>
    <row r="33" spans="1:78" ht="15.75">
      <c r="A33" s="852"/>
      <c r="B33" s="863" t="s">
        <v>5695</v>
      </c>
      <c r="C33" s="867" t="s">
        <v>4821</v>
      </c>
      <c r="D33" s="867"/>
      <c r="E33" s="2155" t="s">
        <v>8</v>
      </c>
      <c r="F33" s="864">
        <v>3</v>
      </c>
      <c r="G33" s="928">
        <v>0</v>
      </c>
      <c r="H33" s="1232">
        <v>0</v>
      </c>
      <c r="I33" s="1240">
        <v>0</v>
      </c>
      <c r="J33" s="907">
        <v>1.1295602116635259</v>
      </c>
      <c r="K33" s="1240">
        <v>0</v>
      </c>
      <c r="L33" s="1355">
        <v>0</v>
      </c>
      <c r="M33" s="1236">
        <v>0</v>
      </c>
      <c r="N33" s="1240">
        <v>0</v>
      </c>
      <c r="O33" s="206">
        <f t="shared" si="0"/>
        <v>1.1295602116635259</v>
      </c>
      <c r="P33" s="928">
        <v>0</v>
      </c>
      <c r="Q33" s="1232">
        <v>0</v>
      </c>
      <c r="R33" s="1240">
        <v>0</v>
      </c>
      <c r="S33" s="907">
        <v>0.5485599260084556</v>
      </c>
      <c r="T33" s="1240">
        <v>0</v>
      </c>
      <c r="U33" s="1355">
        <v>0</v>
      </c>
      <c r="V33" s="1236">
        <v>0.25315145652143406</v>
      </c>
      <c r="W33" s="1240">
        <v>0</v>
      </c>
      <c r="X33" s="206">
        <f t="shared" si="1"/>
        <v>0.8017113825298896</v>
      </c>
      <c r="Y33" s="1872"/>
      <c r="AA33" s="770">
        <f t="shared" si="2"/>
        <v>0</v>
      </c>
      <c r="AB33" s="65"/>
      <c r="AC33" s="66"/>
      <c r="AD33" s="65"/>
      <c r="AE33" s="86">
        <f>IF(Validation!$H$3=1,0,IF(ISNUMBER(G33),0,1))</f>
        <v>0</v>
      </c>
      <c r="AF33" s="86">
        <f>IF(Validation!$H$3=1,0,IF(ISNUMBER(H33),0,1))</f>
        <v>0</v>
      </c>
      <c r="AG33" s="86">
        <f>IF(Validation!$H$3=1,0,IF(ISNUMBER(I33),0,1))</f>
        <v>0</v>
      </c>
      <c r="AH33" s="86">
        <f>IF(Validation!$H$3=1,0,IF(ISNUMBER(J33),0,1))</f>
        <v>0</v>
      </c>
      <c r="AI33" s="86">
        <f>IF(Validation!$H$3=1,0,IF(ISNUMBER(K33),0,1))</f>
        <v>0</v>
      </c>
      <c r="AJ33" s="86">
        <f>IF(Validation!$H$3=1,0,IF(ISNUMBER(L33),0,1))</f>
        <v>0</v>
      </c>
      <c r="AK33" s="86">
        <f>IF(Validation!$H$3=1,0,IF(ISNUMBER(M33),0,1))</f>
        <v>0</v>
      </c>
      <c r="AL33" s="86">
        <f>IF(Validation!$H$3=1,0,IF(ISNUMBER(N33),0,1))</f>
        <v>0</v>
      </c>
      <c r="AM33" s="113"/>
      <c r="AN33" s="86">
        <f>IF(Validation!$H$3=1,0,IF(ISNUMBER(P33),0,1))</f>
        <v>0</v>
      </c>
      <c r="AO33" s="86">
        <f>IF(Validation!$H$3=1,0,IF(ISNUMBER(Q33),0,1))</f>
        <v>0</v>
      </c>
      <c r="AP33" s="86">
        <f>IF(Validation!$H$3=1,0,IF(ISNUMBER(R33),0,1))</f>
        <v>0</v>
      </c>
      <c r="AQ33" s="86">
        <f>IF(Validation!$H$3=1,0,IF(ISNUMBER(S33),0,1))</f>
        <v>0</v>
      </c>
      <c r="AR33" s="86">
        <f>IF(Validation!$H$3=1,0,IF(ISNUMBER(T33),0,1))</f>
        <v>0</v>
      </c>
      <c r="AS33" s="86">
        <f>IF(Validation!$H$3=1,0,IF(ISNUMBER(U33),0,1))</f>
        <v>0</v>
      </c>
      <c r="AT33" s="86">
        <f>IF(Validation!$H$3=1,0,IF(ISNUMBER(V33),0,1))</f>
        <v>0</v>
      </c>
      <c r="AU33" s="86">
        <f>IF(Validation!$H$3=1,0,IF(ISNUMBER(W33),0,1))</f>
        <v>0</v>
      </c>
      <c r="AV33" s="66"/>
      <c r="BD33" s="863" t="s">
        <v>5695</v>
      </c>
      <c r="BE33" s="963" t="s">
        <v>4821</v>
      </c>
      <c r="BF33" s="963"/>
      <c r="BG33" s="2155" t="s">
        <v>8</v>
      </c>
      <c r="BH33" s="864">
        <v>3</v>
      </c>
      <c r="BI33" s="1514" t="s">
        <v>5696</v>
      </c>
      <c r="BJ33" s="1515" t="s">
        <v>5697</v>
      </c>
      <c r="BK33" s="1516" t="s">
        <v>5698</v>
      </c>
      <c r="BL33" s="1517" t="s">
        <v>5699</v>
      </c>
      <c r="BM33" s="1515" t="s">
        <v>5700</v>
      </c>
      <c r="BN33" s="1232" t="s">
        <v>5701</v>
      </c>
      <c r="BO33" s="1236" t="s">
        <v>5702</v>
      </c>
      <c r="BP33" s="1240" t="s">
        <v>5703</v>
      </c>
      <c r="BQ33" s="206" t="s">
        <v>5704</v>
      </c>
      <c r="BR33" s="1519" t="s">
        <v>5705</v>
      </c>
      <c r="BS33" s="1515" t="s">
        <v>5706</v>
      </c>
      <c r="BT33" s="1516" t="s">
        <v>5707</v>
      </c>
      <c r="BU33" s="1517" t="s">
        <v>5708</v>
      </c>
      <c r="BV33" s="1515" t="s">
        <v>5709</v>
      </c>
      <c r="BW33" s="1232" t="s">
        <v>5710</v>
      </c>
      <c r="BX33" s="1236" t="s">
        <v>5711</v>
      </c>
      <c r="BY33" s="1240" t="s">
        <v>5712</v>
      </c>
      <c r="BZ33" s="206" t="s">
        <v>5713</v>
      </c>
    </row>
    <row r="34" spans="1:78" ht="15.75">
      <c r="A34" s="852"/>
      <c r="B34" s="863" t="s">
        <v>5714</v>
      </c>
      <c r="C34" s="867" t="s">
        <v>4837</v>
      </c>
      <c r="D34" s="867"/>
      <c r="E34" s="2155" t="s">
        <v>8</v>
      </c>
      <c r="F34" s="864">
        <v>3</v>
      </c>
      <c r="G34" s="928">
        <v>-1.4713197274442208E-2</v>
      </c>
      <c r="H34" s="1232">
        <v>0</v>
      </c>
      <c r="I34" s="1240">
        <v>0</v>
      </c>
      <c r="J34" s="907">
        <v>3.2540670705512804</v>
      </c>
      <c r="K34" s="1240">
        <v>0</v>
      </c>
      <c r="L34" s="1355">
        <v>-2.0092113039047618E-8</v>
      </c>
      <c r="M34" s="1236">
        <v>0</v>
      </c>
      <c r="N34" s="1240">
        <v>-2.6401036533308564E-5</v>
      </c>
      <c r="O34" s="206">
        <f t="shared" si="0"/>
        <v>3.2393274521481921</v>
      </c>
      <c r="P34" s="928">
        <v>0</v>
      </c>
      <c r="Q34" s="1232">
        <v>0</v>
      </c>
      <c r="R34" s="1240">
        <v>0</v>
      </c>
      <c r="S34" s="907">
        <v>9.6926625608042887</v>
      </c>
      <c r="T34" s="1240">
        <v>0</v>
      </c>
      <c r="U34" s="1355">
        <v>0</v>
      </c>
      <c r="V34" s="1236">
        <v>0</v>
      </c>
      <c r="W34" s="1240">
        <v>0</v>
      </c>
      <c r="X34" s="206">
        <f t="shared" si="1"/>
        <v>9.6926625608042887</v>
      </c>
      <c r="Y34" s="1872"/>
      <c r="AA34" s="770">
        <f t="shared" si="2"/>
        <v>0</v>
      </c>
      <c r="AB34" s="65"/>
      <c r="AC34" s="66"/>
      <c r="AD34" s="65"/>
      <c r="AE34" s="86">
        <f>IF(Validation!$H$3=1,0,IF(ISNUMBER(G34),0,1))</f>
        <v>0</v>
      </c>
      <c r="AF34" s="86">
        <f>IF(Validation!$H$3=1,0,IF(ISNUMBER(H34),0,1))</f>
        <v>0</v>
      </c>
      <c r="AG34" s="86">
        <f>IF(Validation!$H$3=1,0,IF(ISNUMBER(I34),0,1))</f>
        <v>0</v>
      </c>
      <c r="AH34" s="86">
        <f>IF(Validation!$H$3=1,0,IF(ISNUMBER(J34),0,1))</f>
        <v>0</v>
      </c>
      <c r="AI34" s="86">
        <f>IF(Validation!$H$3=1,0,IF(ISNUMBER(K34),0,1))</f>
        <v>0</v>
      </c>
      <c r="AJ34" s="86">
        <f>IF(Validation!$H$3=1,0,IF(ISNUMBER(L34),0,1))</f>
        <v>0</v>
      </c>
      <c r="AK34" s="86">
        <f>IF(Validation!$H$3=1,0,IF(ISNUMBER(M34),0,1))</f>
        <v>0</v>
      </c>
      <c r="AL34" s="86">
        <f>IF(Validation!$H$3=1,0,IF(ISNUMBER(N34),0,1))</f>
        <v>0</v>
      </c>
      <c r="AM34" s="113"/>
      <c r="AN34" s="86">
        <f>IF(Validation!$H$3=1,0,IF(ISNUMBER(P34),0,1))</f>
        <v>0</v>
      </c>
      <c r="AO34" s="86">
        <f>IF(Validation!$H$3=1,0,IF(ISNUMBER(Q34),0,1))</f>
        <v>0</v>
      </c>
      <c r="AP34" s="86">
        <f>IF(Validation!$H$3=1,0,IF(ISNUMBER(R34),0,1))</f>
        <v>0</v>
      </c>
      <c r="AQ34" s="86">
        <f>IF(Validation!$H$3=1,0,IF(ISNUMBER(S34),0,1))</f>
        <v>0</v>
      </c>
      <c r="AR34" s="86">
        <f>IF(Validation!$H$3=1,0,IF(ISNUMBER(T34),0,1))</f>
        <v>0</v>
      </c>
      <c r="AS34" s="86">
        <f>IF(Validation!$H$3=1,0,IF(ISNUMBER(U34),0,1))</f>
        <v>0</v>
      </c>
      <c r="AT34" s="86">
        <f>IF(Validation!$H$3=1,0,IF(ISNUMBER(V34),0,1))</f>
        <v>0</v>
      </c>
      <c r="AU34" s="86">
        <f>IF(Validation!$H$3=1,0,IF(ISNUMBER(W34),0,1))</f>
        <v>0</v>
      </c>
      <c r="AV34" s="66"/>
      <c r="BD34" s="863" t="s">
        <v>5714</v>
      </c>
      <c r="BE34" s="963" t="s">
        <v>4837</v>
      </c>
      <c r="BF34" s="963"/>
      <c r="BG34" s="2155" t="s">
        <v>8</v>
      </c>
      <c r="BH34" s="864">
        <v>3</v>
      </c>
      <c r="BI34" s="1514" t="s">
        <v>5715</v>
      </c>
      <c r="BJ34" s="1515" t="s">
        <v>5716</v>
      </c>
      <c r="BK34" s="1516" t="s">
        <v>5717</v>
      </c>
      <c r="BL34" s="1517" t="s">
        <v>5718</v>
      </c>
      <c r="BM34" s="1515" t="s">
        <v>5719</v>
      </c>
      <c r="BN34" s="1232" t="s">
        <v>5720</v>
      </c>
      <c r="BO34" s="1236" t="s">
        <v>5721</v>
      </c>
      <c r="BP34" s="1240" t="s">
        <v>5722</v>
      </c>
      <c r="BQ34" s="206" t="s">
        <v>5723</v>
      </c>
      <c r="BR34" s="1519" t="s">
        <v>5724</v>
      </c>
      <c r="BS34" s="1515" t="s">
        <v>5725</v>
      </c>
      <c r="BT34" s="1516" t="s">
        <v>5726</v>
      </c>
      <c r="BU34" s="1517" t="s">
        <v>5727</v>
      </c>
      <c r="BV34" s="1515" t="s">
        <v>5728</v>
      </c>
      <c r="BW34" s="1232" t="s">
        <v>5729</v>
      </c>
      <c r="BX34" s="1236" t="s">
        <v>5730</v>
      </c>
      <c r="BY34" s="1240" t="s">
        <v>5731</v>
      </c>
      <c r="BZ34" s="206" t="s">
        <v>5732</v>
      </c>
    </row>
    <row r="35" spans="1:78" ht="15.75">
      <c r="A35" s="852"/>
      <c r="B35" s="863" t="s">
        <v>5733</v>
      </c>
      <c r="C35" s="867" t="s">
        <v>5734</v>
      </c>
      <c r="D35" s="867"/>
      <c r="E35" s="2155" t="s">
        <v>8</v>
      </c>
      <c r="F35" s="864">
        <v>3</v>
      </c>
      <c r="G35" s="928">
        <v>14.894898350938268</v>
      </c>
      <c r="H35" s="1232">
        <v>6.3265946075810348E-2</v>
      </c>
      <c r="I35" s="1240">
        <v>0</v>
      </c>
      <c r="J35" s="907">
        <v>-3.2929253121454533E-2</v>
      </c>
      <c r="K35" s="1240">
        <v>0</v>
      </c>
      <c r="L35" s="1355">
        <v>0</v>
      </c>
      <c r="M35" s="1236">
        <v>0</v>
      </c>
      <c r="N35" s="1240">
        <v>0</v>
      </c>
      <c r="O35" s="206">
        <f t="shared" si="0"/>
        <v>14.925235043892625</v>
      </c>
      <c r="P35" s="928">
        <v>6.656712127993492</v>
      </c>
      <c r="Q35" s="1232">
        <v>6.6502710798059375E-2</v>
      </c>
      <c r="R35" s="1240">
        <v>0</v>
      </c>
      <c r="S35" s="907">
        <v>1.9745102264516739E-4</v>
      </c>
      <c r="T35" s="1240">
        <v>0</v>
      </c>
      <c r="U35" s="1355">
        <v>0</v>
      </c>
      <c r="V35" s="1236">
        <v>0</v>
      </c>
      <c r="W35" s="1240">
        <v>0</v>
      </c>
      <c r="X35" s="206">
        <f t="shared" si="1"/>
        <v>6.7234122898141964</v>
      </c>
      <c r="Y35" s="1872"/>
      <c r="AA35" s="770">
        <f t="shared" si="2"/>
        <v>0</v>
      </c>
      <c r="AB35" s="65"/>
      <c r="AC35" s="66"/>
      <c r="AD35" s="65"/>
      <c r="AE35" s="86">
        <f>IF(Validation!$H$3=1,0,IF(ISNUMBER(G35),0,1))</f>
        <v>0</v>
      </c>
      <c r="AF35" s="86">
        <f>IF(Validation!$H$3=1,0,IF(ISNUMBER(H35),0,1))</f>
        <v>0</v>
      </c>
      <c r="AG35" s="86">
        <f>IF(Validation!$H$3=1,0,IF(ISNUMBER(I35),0,1))</f>
        <v>0</v>
      </c>
      <c r="AH35" s="86">
        <f>IF(Validation!$H$3=1,0,IF(ISNUMBER(J35),0,1))</f>
        <v>0</v>
      </c>
      <c r="AI35" s="86">
        <f>IF(Validation!$H$3=1,0,IF(ISNUMBER(K35),0,1))</f>
        <v>0</v>
      </c>
      <c r="AJ35" s="86">
        <f>IF(Validation!$H$3=1,0,IF(ISNUMBER(L35),0,1))</f>
        <v>0</v>
      </c>
      <c r="AK35" s="86">
        <f>IF(Validation!$H$3=1,0,IF(ISNUMBER(M35),0,1))</f>
        <v>0</v>
      </c>
      <c r="AL35" s="86">
        <f>IF(Validation!$H$3=1,0,IF(ISNUMBER(N35),0,1))</f>
        <v>0</v>
      </c>
      <c r="AM35" s="113"/>
      <c r="AN35" s="86">
        <f>IF(Validation!$H$3=1,0,IF(ISNUMBER(P35),0,1))</f>
        <v>0</v>
      </c>
      <c r="AO35" s="86">
        <f>IF(Validation!$H$3=1,0,IF(ISNUMBER(Q35),0,1))</f>
        <v>0</v>
      </c>
      <c r="AP35" s="86">
        <f>IF(Validation!$H$3=1,0,IF(ISNUMBER(R35),0,1))</f>
        <v>0</v>
      </c>
      <c r="AQ35" s="86">
        <f>IF(Validation!$H$3=1,0,IF(ISNUMBER(S35),0,1))</f>
        <v>0</v>
      </c>
      <c r="AR35" s="86">
        <f>IF(Validation!$H$3=1,0,IF(ISNUMBER(T35),0,1))</f>
        <v>0</v>
      </c>
      <c r="AS35" s="86">
        <f>IF(Validation!$H$3=1,0,IF(ISNUMBER(U35),0,1))</f>
        <v>0</v>
      </c>
      <c r="AT35" s="86">
        <f>IF(Validation!$H$3=1,0,IF(ISNUMBER(V35),0,1))</f>
        <v>0</v>
      </c>
      <c r="AU35" s="86">
        <f>IF(Validation!$H$3=1,0,IF(ISNUMBER(W35),0,1))</f>
        <v>0</v>
      </c>
      <c r="AV35" s="66"/>
      <c r="BD35" s="863" t="s">
        <v>5733</v>
      </c>
      <c r="BE35" s="963" t="s">
        <v>5734</v>
      </c>
      <c r="BF35" s="963"/>
      <c r="BG35" s="2155" t="s">
        <v>8</v>
      </c>
      <c r="BH35" s="864">
        <v>3</v>
      </c>
      <c r="BI35" s="1514" t="s">
        <v>5735</v>
      </c>
      <c r="BJ35" s="1515" t="s">
        <v>5736</v>
      </c>
      <c r="BK35" s="1516" t="s">
        <v>5737</v>
      </c>
      <c r="BL35" s="1517" t="s">
        <v>5738</v>
      </c>
      <c r="BM35" s="1515" t="s">
        <v>5739</v>
      </c>
      <c r="BN35" s="1232" t="s">
        <v>5740</v>
      </c>
      <c r="BO35" s="1236" t="s">
        <v>5741</v>
      </c>
      <c r="BP35" s="1240" t="s">
        <v>5742</v>
      </c>
      <c r="BQ35" s="206" t="s">
        <v>5743</v>
      </c>
      <c r="BR35" s="1519" t="s">
        <v>5744</v>
      </c>
      <c r="BS35" s="1515" t="s">
        <v>5745</v>
      </c>
      <c r="BT35" s="1516" t="s">
        <v>5746</v>
      </c>
      <c r="BU35" s="1517" t="s">
        <v>5747</v>
      </c>
      <c r="BV35" s="1515" t="s">
        <v>5748</v>
      </c>
      <c r="BW35" s="1232" t="s">
        <v>5749</v>
      </c>
      <c r="BX35" s="1236" t="s">
        <v>5750</v>
      </c>
      <c r="BY35" s="1240" t="s">
        <v>5751</v>
      </c>
      <c r="BZ35" s="206" t="s">
        <v>5752</v>
      </c>
    </row>
    <row r="36" spans="1:78" ht="15.75">
      <c r="A36" s="852"/>
      <c r="B36" s="863" t="s">
        <v>5753</v>
      </c>
      <c r="C36" s="908" t="s">
        <v>5754</v>
      </c>
      <c r="D36" s="867"/>
      <c r="E36" s="2155" t="s">
        <v>8</v>
      </c>
      <c r="F36" s="864">
        <v>3</v>
      </c>
      <c r="G36" s="928">
        <v>0.28485914683848723</v>
      </c>
      <c r="H36" s="1232">
        <v>0</v>
      </c>
      <c r="I36" s="1240">
        <v>0</v>
      </c>
      <c r="J36" s="907">
        <v>0</v>
      </c>
      <c r="K36" s="1240">
        <v>0</v>
      </c>
      <c r="L36" s="1355">
        <v>0</v>
      </c>
      <c r="M36" s="1236">
        <v>0</v>
      </c>
      <c r="N36" s="1240">
        <v>0</v>
      </c>
      <c r="O36" s="206">
        <f t="shared" si="0"/>
        <v>0.28485914683848723</v>
      </c>
      <c r="P36" s="928">
        <v>0</v>
      </c>
      <c r="Q36" s="1232">
        <v>0</v>
      </c>
      <c r="R36" s="1240">
        <v>0</v>
      </c>
      <c r="S36" s="907">
        <v>0</v>
      </c>
      <c r="T36" s="1240">
        <v>0</v>
      </c>
      <c r="U36" s="1355">
        <v>0</v>
      </c>
      <c r="V36" s="1236">
        <v>0</v>
      </c>
      <c r="W36" s="1240">
        <v>0</v>
      </c>
      <c r="X36" s="206">
        <f t="shared" si="1"/>
        <v>0</v>
      </c>
      <c r="Y36" s="1873"/>
      <c r="AA36" s="770">
        <f>(IF(SUM(AE36:AV36)=0,IF(AD36=1,BA$36,0),$AE$5))</f>
        <v>0</v>
      </c>
      <c r="AB36" s="65"/>
      <c r="AC36" s="66"/>
      <c r="AD36" s="86">
        <f xml:space="preserve"> IF( AND(OR($C36 = "Capital expenditure purpose - WASTEWATER additional line 1 [Other categories]",$C36=""), OR( G36 &lt;&gt; 0, H36 &lt;&gt; 0, I36 &lt;&gt; 0, J36 &lt;&gt; 0, K36 &lt;&gt; 0, L36 &lt;&gt; 0, M36 &lt;&gt; 0, N36 &lt;&gt; 0, P36 &lt;&gt; 0, Q36 &lt;&gt; 0, R36 &lt;&gt; 0, S36 &lt;&gt; 0, T36 &lt;&gt; 0, U36 &lt;&gt; 0, V36 &lt;&gt; 0, W36 &lt;&gt; 0) ), 1, 0 )</f>
        <v>0</v>
      </c>
      <c r="AE36" s="86">
        <f t="shared" ref="AE36:AL36" si="3" xml:space="preserve"> IF(AND($C36="Capital expenditure purpose - WASTEWATER additional line 1 [Other categories]",$O36=0), 0, IF( ISNUMBER( G36 ), 0, 1 ))</f>
        <v>0</v>
      </c>
      <c r="AF36" s="86">
        <f t="shared" si="3"/>
        <v>0</v>
      </c>
      <c r="AG36" s="86">
        <f t="shared" si="3"/>
        <v>0</v>
      </c>
      <c r="AH36" s="86">
        <f t="shared" si="3"/>
        <v>0</v>
      </c>
      <c r="AI36" s="86">
        <f t="shared" si="3"/>
        <v>0</v>
      </c>
      <c r="AJ36" s="86">
        <f t="shared" si="3"/>
        <v>0</v>
      </c>
      <c r="AK36" s="86">
        <f t="shared" si="3"/>
        <v>0</v>
      </c>
      <c r="AL36" s="86">
        <f t="shared" si="3"/>
        <v>0</v>
      </c>
      <c r="AM36" s="113"/>
      <c r="AN36" s="86">
        <f t="shared" ref="AN36:AU36" si="4" xml:space="preserve"> IF(AND($C36="Capital expenditure purpose - WASTEWATER additional line 1 [Other categories]",$O36=0), 0, IF( ISNUMBER( P36 ), 0, 1 ))</f>
        <v>0</v>
      </c>
      <c r="AO36" s="86">
        <f t="shared" si="4"/>
        <v>0</v>
      </c>
      <c r="AP36" s="86">
        <f t="shared" si="4"/>
        <v>0</v>
      </c>
      <c r="AQ36" s="86">
        <f t="shared" si="4"/>
        <v>0</v>
      </c>
      <c r="AR36" s="86">
        <f t="shared" si="4"/>
        <v>0</v>
      </c>
      <c r="AS36" s="86">
        <f t="shared" si="4"/>
        <v>0</v>
      </c>
      <c r="AT36" s="86">
        <f t="shared" si="4"/>
        <v>0</v>
      </c>
      <c r="AU36" s="86">
        <f t="shared" si="4"/>
        <v>0</v>
      </c>
      <c r="AV36" s="66"/>
      <c r="BA36" t="s">
        <v>4142</v>
      </c>
      <c r="BD36" s="863" t="s">
        <v>5753</v>
      </c>
      <c r="BE36" s="1511" t="s">
        <v>5755</v>
      </c>
      <c r="BF36" s="963"/>
      <c r="BG36" s="2155" t="s">
        <v>8</v>
      </c>
      <c r="BH36" s="864">
        <v>3</v>
      </c>
      <c r="BI36" s="1521" t="s">
        <v>5756</v>
      </c>
      <c r="BJ36" s="1531" t="s">
        <v>5757</v>
      </c>
      <c r="BK36" s="1532" t="s">
        <v>5758</v>
      </c>
      <c r="BL36" s="1525" t="s">
        <v>5759</v>
      </c>
      <c r="BM36" s="1531" t="s">
        <v>5760</v>
      </c>
      <c r="BN36" s="1233" t="s">
        <v>5761</v>
      </c>
      <c r="BO36" s="1237" t="s">
        <v>5762</v>
      </c>
      <c r="BP36" s="1241" t="s">
        <v>5763</v>
      </c>
      <c r="BQ36" s="206" t="s">
        <v>5764</v>
      </c>
      <c r="BR36" s="1537" t="s">
        <v>5765</v>
      </c>
      <c r="BS36" s="1531" t="s">
        <v>5766</v>
      </c>
      <c r="BT36" s="1532" t="s">
        <v>5767</v>
      </c>
      <c r="BU36" s="1525" t="s">
        <v>5768</v>
      </c>
      <c r="BV36" s="1531" t="s">
        <v>5769</v>
      </c>
      <c r="BW36" s="1233" t="s">
        <v>5770</v>
      </c>
      <c r="BX36" s="1237" t="s">
        <v>5771</v>
      </c>
      <c r="BY36" s="1241" t="s">
        <v>5772</v>
      </c>
      <c r="BZ36" s="206" t="s">
        <v>5773</v>
      </c>
    </row>
    <row r="37" spans="1:78" ht="15.75">
      <c r="A37" s="852"/>
      <c r="B37" s="863" t="s">
        <v>5774</v>
      </c>
      <c r="C37" s="908" t="s">
        <v>5775</v>
      </c>
      <c r="D37" s="867"/>
      <c r="E37" s="2155" t="s">
        <v>8</v>
      </c>
      <c r="F37" s="864">
        <v>3</v>
      </c>
      <c r="G37" s="928">
        <v>-1.570537884632621E-3</v>
      </c>
      <c r="H37" s="1232">
        <v>0</v>
      </c>
      <c r="I37" s="1240">
        <v>0</v>
      </c>
      <c r="J37" s="907">
        <v>-0.27779155972915032</v>
      </c>
      <c r="K37" s="1240">
        <v>0</v>
      </c>
      <c r="L37" s="1355">
        <v>1.0749280475890475E-6</v>
      </c>
      <c r="M37" s="1236">
        <v>0</v>
      </c>
      <c r="N37" s="1240">
        <v>0</v>
      </c>
      <c r="O37" s="206">
        <f t="shared" si="0"/>
        <v>-0.27936102268573537</v>
      </c>
      <c r="P37" s="928">
        <v>0</v>
      </c>
      <c r="Q37" s="1232">
        <v>0</v>
      </c>
      <c r="R37" s="1240">
        <v>0</v>
      </c>
      <c r="S37" s="907">
        <v>0</v>
      </c>
      <c r="T37" s="1240">
        <v>0</v>
      </c>
      <c r="U37" s="1355">
        <v>0</v>
      </c>
      <c r="V37" s="1236">
        <v>0</v>
      </c>
      <c r="W37" s="1240">
        <v>0</v>
      </c>
      <c r="X37" s="206">
        <f t="shared" si="1"/>
        <v>0</v>
      </c>
      <c r="Y37" s="1873"/>
      <c r="AA37" s="770">
        <f t="shared" ref="AA37:AA50" si="5">(IF(SUM(AE37:AV37)=0,IF(AD37=1,BA$36,0),$AE$5))</f>
        <v>0</v>
      </c>
      <c r="AB37" s="65"/>
      <c r="AC37" s="66"/>
      <c r="AD37" s="86">
        <f xml:space="preserve"> IF( AND(OR($C37 = "Capital expenditure purpose - WASTEWATER additional line 2 [Other categories]",$C37=""), OR( G37 &lt;&gt; 0, H37 &lt;&gt; 0, I37 &lt;&gt; 0, J37 &lt;&gt; 0, K37 &lt;&gt; 0, L37 &lt;&gt; 0, M37 &lt;&gt; 0, N37 &lt;&gt; 0, P37 &lt;&gt; 0, Q37 &lt;&gt; 0, R37 &lt;&gt; 0, S37 &lt;&gt; 0, T37 &lt;&gt; 0, U37 &lt;&gt; 0, V37 &lt;&gt; 0, W37 &lt;&gt; 0) ), 1, 0 )</f>
        <v>0</v>
      </c>
      <c r="AE37" s="86">
        <f t="shared" ref="AE37:AL37" si="6" xml:space="preserve"> IF(AND($C37="Capital expenditure purpose - WASTEWATER additional line 2 [Other categories]",$O37=0), 0, IF( ISNUMBER( G37 ), 0, 1 ))</f>
        <v>0</v>
      </c>
      <c r="AF37" s="86">
        <f t="shared" si="6"/>
        <v>0</v>
      </c>
      <c r="AG37" s="86">
        <f t="shared" si="6"/>
        <v>0</v>
      </c>
      <c r="AH37" s="86">
        <f t="shared" si="6"/>
        <v>0</v>
      </c>
      <c r="AI37" s="86">
        <f t="shared" si="6"/>
        <v>0</v>
      </c>
      <c r="AJ37" s="86">
        <f t="shared" si="6"/>
        <v>0</v>
      </c>
      <c r="AK37" s="86">
        <f t="shared" si="6"/>
        <v>0</v>
      </c>
      <c r="AL37" s="86">
        <f t="shared" si="6"/>
        <v>0</v>
      </c>
      <c r="AM37" s="113"/>
      <c r="AN37" s="86">
        <f t="shared" ref="AN37:AU37" si="7" xml:space="preserve"> IF(AND($C37="Capital expenditure purpose - WASTEWATER additional line 2 [Other categories]",$O37=0), 0, IF( ISNUMBER( P37 ), 0, 1 ))</f>
        <v>0</v>
      </c>
      <c r="AO37" s="86">
        <f t="shared" si="7"/>
        <v>0</v>
      </c>
      <c r="AP37" s="86">
        <f t="shared" si="7"/>
        <v>0</v>
      </c>
      <c r="AQ37" s="86">
        <f t="shared" si="7"/>
        <v>0</v>
      </c>
      <c r="AR37" s="86">
        <f t="shared" si="7"/>
        <v>0</v>
      </c>
      <c r="AS37" s="86">
        <f t="shared" si="7"/>
        <v>0</v>
      </c>
      <c r="AT37" s="86">
        <f t="shared" si="7"/>
        <v>0</v>
      </c>
      <c r="AU37" s="86">
        <f t="shared" si="7"/>
        <v>0</v>
      </c>
      <c r="AV37" s="66"/>
      <c r="BD37" s="863" t="s">
        <v>5774</v>
      </c>
      <c r="BE37" s="1511" t="s">
        <v>5776</v>
      </c>
      <c r="BF37" s="963"/>
      <c r="BG37" s="2155" t="s">
        <v>8</v>
      </c>
      <c r="BH37" s="864">
        <v>3</v>
      </c>
      <c r="BI37" s="1521" t="s">
        <v>5777</v>
      </c>
      <c r="BJ37" s="1531" t="s">
        <v>5778</v>
      </c>
      <c r="BK37" s="1532" t="s">
        <v>5779</v>
      </c>
      <c r="BL37" s="1525" t="s">
        <v>5780</v>
      </c>
      <c r="BM37" s="1531" t="s">
        <v>5781</v>
      </c>
      <c r="BN37" s="1233" t="s">
        <v>5782</v>
      </c>
      <c r="BO37" s="1237" t="s">
        <v>5783</v>
      </c>
      <c r="BP37" s="1241" t="s">
        <v>5784</v>
      </c>
      <c r="BQ37" s="206" t="s">
        <v>5785</v>
      </c>
      <c r="BR37" s="1537" t="s">
        <v>5786</v>
      </c>
      <c r="BS37" s="1531" t="s">
        <v>5787</v>
      </c>
      <c r="BT37" s="1532" t="s">
        <v>5788</v>
      </c>
      <c r="BU37" s="1525" t="s">
        <v>5789</v>
      </c>
      <c r="BV37" s="1531" t="s">
        <v>5790</v>
      </c>
      <c r="BW37" s="1233" t="s">
        <v>5791</v>
      </c>
      <c r="BX37" s="1237" t="s">
        <v>5792</v>
      </c>
      <c r="BY37" s="1241" t="s">
        <v>5793</v>
      </c>
      <c r="BZ37" s="206" t="s">
        <v>5794</v>
      </c>
    </row>
    <row r="38" spans="1:78" ht="15.75">
      <c r="A38" s="852"/>
      <c r="B38" s="863" t="s">
        <v>5795</v>
      </c>
      <c r="C38" s="908" t="s">
        <v>5796</v>
      </c>
      <c r="D38" s="867"/>
      <c r="E38" s="2155" t="s">
        <v>8</v>
      </c>
      <c r="F38" s="864">
        <v>3</v>
      </c>
      <c r="G38" s="928">
        <v>7.6175321746461426</v>
      </c>
      <c r="H38" s="1232">
        <v>0</v>
      </c>
      <c r="I38" s="1240">
        <v>0</v>
      </c>
      <c r="J38" s="907">
        <v>0</v>
      </c>
      <c r="K38" s="1240">
        <v>0</v>
      </c>
      <c r="L38" s="1355">
        <v>0</v>
      </c>
      <c r="M38" s="1236">
        <v>0</v>
      </c>
      <c r="N38" s="1240">
        <v>0</v>
      </c>
      <c r="O38" s="206">
        <f t="shared" si="0"/>
        <v>7.6175321746461426</v>
      </c>
      <c r="P38" s="928">
        <v>0</v>
      </c>
      <c r="Q38" s="1232">
        <v>0</v>
      </c>
      <c r="R38" s="1240">
        <v>0</v>
      </c>
      <c r="S38" s="907">
        <v>0</v>
      </c>
      <c r="T38" s="1240">
        <v>0</v>
      </c>
      <c r="U38" s="1355">
        <v>0</v>
      </c>
      <c r="V38" s="1236">
        <v>0</v>
      </c>
      <c r="W38" s="1240">
        <v>0</v>
      </c>
      <c r="X38" s="206">
        <f t="shared" si="1"/>
        <v>0</v>
      </c>
      <c r="Y38" s="1873"/>
      <c r="AA38" s="770">
        <f t="shared" si="5"/>
        <v>0</v>
      </c>
      <c r="AB38" s="65"/>
      <c r="AC38" s="66"/>
      <c r="AD38" s="86">
        <f xml:space="preserve"> IF( AND(OR($C38 = "Capital expenditure purpose - WASTEWATER additional line 3 [Other categories]",$C38=""), OR( G38 &lt;&gt; 0, H38 &lt;&gt; 0, I38 &lt;&gt; 0, J38 &lt;&gt; 0, K38 &lt;&gt; 0, L38 &lt;&gt; 0, M38 &lt;&gt; 0, N38 &lt;&gt; 0, P38 &lt;&gt; 0, Q38 &lt;&gt; 0, R38 &lt;&gt; 0, S38 &lt;&gt; 0, T38 &lt;&gt; 0, U38 &lt;&gt; 0, V38 &lt;&gt; 0, W38 &lt;&gt; 0) ), 1, 0 )</f>
        <v>0</v>
      </c>
      <c r="AE38" s="86">
        <f t="shared" ref="AE38:AL38" si="8" xml:space="preserve"> IF(AND($C38="Capital expenditure purpose - WASTEWATER additional line 3 [Other categories]",$O38=0), 0, IF( ISNUMBER( G38 ), 0, 1 ))</f>
        <v>0</v>
      </c>
      <c r="AF38" s="86">
        <f t="shared" si="8"/>
        <v>0</v>
      </c>
      <c r="AG38" s="86">
        <f t="shared" si="8"/>
        <v>0</v>
      </c>
      <c r="AH38" s="86">
        <f t="shared" si="8"/>
        <v>0</v>
      </c>
      <c r="AI38" s="86">
        <f t="shared" si="8"/>
        <v>0</v>
      </c>
      <c r="AJ38" s="86">
        <f t="shared" si="8"/>
        <v>0</v>
      </c>
      <c r="AK38" s="86">
        <f t="shared" si="8"/>
        <v>0</v>
      </c>
      <c r="AL38" s="86">
        <f t="shared" si="8"/>
        <v>0</v>
      </c>
      <c r="AM38" s="113"/>
      <c r="AN38" s="86">
        <f t="shared" ref="AN38:AU38" si="9" xml:space="preserve"> IF(AND($C38="Capital expenditure purpose - WASTEWATER additional line 3 [Other categories]",$O38=0), 0, IF( ISNUMBER( P38 ), 0, 1 ))</f>
        <v>0</v>
      </c>
      <c r="AO38" s="86">
        <f t="shared" si="9"/>
        <v>0</v>
      </c>
      <c r="AP38" s="86">
        <f t="shared" si="9"/>
        <v>0</v>
      </c>
      <c r="AQ38" s="86">
        <f t="shared" si="9"/>
        <v>0</v>
      </c>
      <c r="AR38" s="86">
        <f t="shared" si="9"/>
        <v>0</v>
      </c>
      <c r="AS38" s="86">
        <f t="shared" si="9"/>
        <v>0</v>
      </c>
      <c r="AT38" s="86">
        <f t="shared" si="9"/>
        <v>0</v>
      </c>
      <c r="AU38" s="86">
        <f t="shared" si="9"/>
        <v>0</v>
      </c>
      <c r="AV38" s="66"/>
      <c r="BD38" s="863" t="s">
        <v>5795</v>
      </c>
      <c r="BE38" s="1511" t="s">
        <v>5797</v>
      </c>
      <c r="BF38" s="963"/>
      <c r="BG38" s="2155" t="s">
        <v>8</v>
      </c>
      <c r="BH38" s="864">
        <v>3</v>
      </c>
      <c r="BI38" s="1521" t="s">
        <v>5798</v>
      </c>
      <c r="BJ38" s="1531" t="s">
        <v>5799</v>
      </c>
      <c r="BK38" s="1532" t="s">
        <v>5800</v>
      </c>
      <c r="BL38" s="1525" t="s">
        <v>5801</v>
      </c>
      <c r="BM38" s="1531" t="s">
        <v>5802</v>
      </c>
      <c r="BN38" s="1233" t="s">
        <v>5803</v>
      </c>
      <c r="BO38" s="1237" t="s">
        <v>5804</v>
      </c>
      <c r="BP38" s="1241" t="s">
        <v>5805</v>
      </c>
      <c r="BQ38" s="206" t="s">
        <v>5806</v>
      </c>
      <c r="BR38" s="1537" t="s">
        <v>5807</v>
      </c>
      <c r="BS38" s="1531" t="s">
        <v>5808</v>
      </c>
      <c r="BT38" s="1532" t="s">
        <v>5809</v>
      </c>
      <c r="BU38" s="1525" t="s">
        <v>5810</v>
      </c>
      <c r="BV38" s="1531" t="s">
        <v>5811</v>
      </c>
      <c r="BW38" s="1233" t="s">
        <v>5812</v>
      </c>
      <c r="BX38" s="1237" t="s">
        <v>5813</v>
      </c>
      <c r="BY38" s="1241" t="s">
        <v>5814</v>
      </c>
      <c r="BZ38" s="206" t="s">
        <v>5815</v>
      </c>
    </row>
    <row r="39" spans="1:78" ht="15.75">
      <c r="A39" s="852"/>
      <c r="B39" s="863" t="s">
        <v>5816</v>
      </c>
      <c r="C39" s="2179" t="s">
        <v>5817</v>
      </c>
      <c r="D39" s="867"/>
      <c r="E39" s="2155" t="s">
        <v>8</v>
      </c>
      <c r="F39" s="864">
        <v>3</v>
      </c>
      <c r="G39" s="2180">
        <v>0.36144379432444607</v>
      </c>
      <c r="H39" s="2181">
        <v>0.10647841143883016</v>
      </c>
      <c r="I39" s="2182">
        <v>4.9055455734580353E-2</v>
      </c>
      <c r="J39" s="2183">
        <v>0.46368034376231837</v>
      </c>
      <c r="K39" s="2182">
        <v>1.5735935090774205E-4</v>
      </c>
      <c r="L39" s="2184">
        <v>1.1187812291257303E-2</v>
      </c>
      <c r="M39" s="2185">
        <v>0.2214433079514182</v>
      </c>
      <c r="N39" s="2182">
        <v>2.1375299385796233E-3</v>
      </c>
      <c r="O39" s="206">
        <f t="shared" si="0"/>
        <v>1.2155840147923378</v>
      </c>
      <c r="P39" s="2180">
        <v>0.31112623239455073</v>
      </c>
      <c r="Q39" s="2181">
        <v>0.11120820463373179</v>
      </c>
      <c r="R39" s="2182">
        <v>4.9055455734580353E-2</v>
      </c>
      <c r="S39" s="2183">
        <v>0.57506449717822117</v>
      </c>
      <c r="T39" s="2182">
        <v>1.566379311144877E-4</v>
      </c>
      <c r="U39" s="2184">
        <v>1.1187623781922892E-2</v>
      </c>
      <c r="V39" s="2185">
        <v>0.2214433079514182</v>
      </c>
      <c r="W39" s="2182">
        <v>2.136434161867113E-3</v>
      </c>
      <c r="X39" s="206">
        <f t="shared" si="1"/>
        <v>1.2813783937674066</v>
      </c>
      <c r="Y39" s="1873"/>
      <c r="AA39" s="770">
        <f t="shared" si="5"/>
        <v>0</v>
      </c>
      <c r="AB39" s="65"/>
      <c r="AC39" s="66"/>
      <c r="AD39" s="86">
        <f xml:space="preserve"> IF( AND(OR($C39 = "Capital expenditure purpose - WASTEWATER additional line 4 [Other categories]",$C39=""), OR( G39 &lt;&gt; 0, H39 &lt;&gt; 0, I39 &lt;&gt; 0, J39 &lt;&gt; 0, K39 &lt;&gt; 0, L39 &lt;&gt; 0, M39 &lt;&gt; 0, N39 &lt;&gt; 0, P39 &lt;&gt; 0, Q39 &lt;&gt; 0, R39 &lt;&gt; 0, S39 &lt;&gt; 0, T39 &lt;&gt; 0, U39 &lt;&gt; 0, V39 &lt;&gt; 0, W39 &lt;&gt; 0) ), 1, 0 )</f>
        <v>0</v>
      </c>
      <c r="AE39" s="86">
        <f t="shared" ref="AE39:AL39" si="10" xml:space="preserve"> IF(AND($C39="Capital expenditure purpose - WASTEWATER additional line 4 [Other categories]",$O39=0), 0, IF( ISNUMBER( G39 ), 0, 1 ))</f>
        <v>0</v>
      </c>
      <c r="AF39" s="86">
        <f t="shared" si="10"/>
        <v>0</v>
      </c>
      <c r="AG39" s="86">
        <f t="shared" si="10"/>
        <v>0</v>
      </c>
      <c r="AH39" s="86">
        <f t="shared" si="10"/>
        <v>0</v>
      </c>
      <c r="AI39" s="86">
        <f t="shared" si="10"/>
        <v>0</v>
      </c>
      <c r="AJ39" s="86">
        <f t="shared" si="10"/>
        <v>0</v>
      </c>
      <c r="AK39" s="86">
        <f t="shared" si="10"/>
        <v>0</v>
      </c>
      <c r="AL39" s="86">
        <f t="shared" si="10"/>
        <v>0</v>
      </c>
      <c r="AM39" s="113"/>
      <c r="AN39" s="86">
        <f t="shared" ref="AN39:AU39" si="11" xml:space="preserve"> IF(AND($C39="Capital expenditure purpose - WASTEWATER additional line 4 [Other categories]",$O39=0), 0, IF( ISNUMBER( P39 ), 0, 1 ))</f>
        <v>0</v>
      </c>
      <c r="AO39" s="86">
        <f t="shared" si="11"/>
        <v>0</v>
      </c>
      <c r="AP39" s="86">
        <f t="shared" si="11"/>
        <v>0</v>
      </c>
      <c r="AQ39" s="86">
        <f t="shared" si="11"/>
        <v>0</v>
      </c>
      <c r="AR39" s="86">
        <f t="shared" si="11"/>
        <v>0</v>
      </c>
      <c r="AS39" s="86">
        <f t="shared" si="11"/>
        <v>0</v>
      </c>
      <c r="AT39" s="86">
        <f t="shared" si="11"/>
        <v>0</v>
      </c>
      <c r="AU39" s="86">
        <f t="shared" si="11"/>
        <v>0</v>
      </c>
      <c r="AV39" s="66"/>
      <c r="BD39" s="863" t="s">
        <v>5816</v>
      </c>
      <c r="BE39" s="1511" t="s">
        <v>5818</v>
      </c>
      <c r="BF39" s="963"/>
      <c r="BG39" s="2155" t="s">
        <v>8</v>
      </c>
      <c r="BH39" s="864">
        <v>3</v>
      </c>
      <c r="BI39" s="1521" t="s">
        <v>5819</v>
      </c>
      <c r="BJ39" s="1531" t="s">
        <v>5820</v>
      </c>
      <c r="BK39" s="1532" t="s">
        <v>5821</v>
      </c>
      <c r="BL39" s="1525" t="s">
        <v>5822</v>
      </c>
      <c r="BM39" s="1531" t="s">
        <v>5823</v>
      </c>
      <c r="BN39" s="1233" t="s">
        <v>5824</v>
      </c>
      <c r="BO39" s="1237" t="s">
        <v>5825</v>
      </c>
      <c r="BP39" s="1241" t="s">
        <v>5826</v>
      </c>
      <c r="BQ39" s="206" t="s">
        <v>5827</v>
      </c>
      <c r="BR39" s="1537" t="s">
        <v>5828</v>
      </c>
      <c r="BS39" s="1531" t="s">
        <v>5829</v>
      </c>
      <c r="BT39" s="1532" t="s">
        <v>5830</v>
      </c>
      <c r="BU39" s="1525" t="s">
        <v>5831</v>
      </c>
      <c r="BV39" s="1531" t="s">
        <v>5832</v>
      </c>
      <c r="BW39" s="1233" t="s">
        <v>5833</v>
      </c>
      <c r="BX39" s="1237" t="s">
        <v>5834</v>
      </c>
      <c r="BY39" s="1241" t="s">
        <v>5835</v>
      </c>
      <c r="BZ39" s="206" t="s">
        <v>5836</v>
      </c>
    </row>
    <row r="40" spans="1:78" ht="15.75">
      <c r="A40" s="852"/>
      <c r="B40" s="863" t="s">
        <v>5837</v>
      </c>
      <c r="C40" s="908" t="s">
        <v>5838</v>
      </c>
      <c r="D40" s="867"/>
      <c r="E40" s="2155" t="s">
        <v>8</v>
      </c>
      <c r="F40" s="864">
        <v>3</v>
      </c>
      <c r="G40" s="928"/>
      <c r="H40" s="1232"/>
      <c r="I40" s="1240"/>
      <c r="J40" s="907"/>
      <c r="K40" s="1240"/>
      <c r="L40" s="1355"/>
      <c r="M40" s="1236"/>
      <c r="N40" s="1240"/>
      <c r="O40" s="206">
        <f t="shared" si="0"/>
        <v>0</v>
      </c>
      <c r="P40" s="928"/>
      <c r="Q40" s="1232"/>
      <c r="R40" s="1240"/>
      <c r="S40" s="907"/>
      <c r="T40" s="1240"/>
      <c r="U40" s="1355"/>
      <c r="V40" s="1236"/>
      <c r="W40" s="1240"/>
      <c r="X40" s="206">
        <f t="shared" si="1"/>
        <v>0</v>
      </c>
      <c r="Y40" s="1873"/>
      <c r="AA40" s="770">
        <f t="shared" si="5"/>
        <v>0</v>
      </c>
      <c r="AB40" s="65"/>
      <c r="AC40" s="66"/>
      <c r="AD40" s="86">
        <f xml:space="preserve"> IF( AND(OR($C40 = "Capital expenditure purpose - WASTEWATER additional line 5 [Other categories]",$C40=""), OR( G40 &lt;&gt; 0, H40 &lt;&gt; 0, I40 &lt;&gt; 0, J40 &lt;&gt; 0, K40 &lt;&gt; 0, L40 &lt;&gt; 0, M40 &lt;&gt; 0, N40 &lt;&gt; 0, P40 &lt;&gt; 0, Q40 &lt;&gt; 0, R40 &lt;&gt; 0, S40 &lt;&gt; 0, T40 &lt;&gt; 0, U40 &lt;&gt; 0, V40 &lt;&gt; 0, W40 &lt;&gt; 0) ), 1, 0 )</f>
        <v>0</v>
      </c>
      <c r="AE40" s="86">
        <f t="shared" ref="AE40:AL40" si="12" xml:space="preserve"> IF(AND($C40="Capital expenditure purpose - WASTEWATER additional line 5 [Other categories]",$O40=0), 0, IF( ISNUMBER( G40 ), 0, 1 ))</f>
        <v>0</v>
      </c>
      <c r="AF40" s="86">
        <f t="shared" si="12"/>
        <v>0</v>
      </c>
      <c r="AG40" s="86">
        <f t="shared" si="12"/>
        <v>0</v>
      </c>
      <c r="AH40" s="86">
        <f t="shared" si="12"/>
        <v>0</v>
      </c>
      <c r="AI40" s="86">
        <f t="shared" si="12"/>
        <v>0</v>
      </c>
      <c r="AJ40" s="86">
        <f t="shared" si="12"/>
        <v>0</v>
      </c>
      <c r="AK40" s="86">
        <f t="shared" si="12"/>
        <v>0</v>
      </c>
      <c r="AL40" s="86">
        <f t="shared" si="12"/>
        <v>0</v>
      </c>
      <c r="AM40" s="113"/>
      <c r="AN40" s="86">
        <f t="shared" ref="AN40:AU40" si="13" xml:space="preserve"> IF(AND($C40="Capital expenditure purpose - WASTEWATER additional line 5 [Other categories]",$O40=0), 0, IF( ISNUMBER( P40 ), 0, 1 ))</f>
        <v>0</v>
      </c>
      <c r="AO40" s="86">
        <f t="shared" si="13"/>
        <v>0</v>
      </c>
      <c r="AP40" s="86">
        <f t="shared" si="13"/>
        <v>0</v>
      </c>
      <c r="AQ40" s="86">
        <f t="shared" si="13"/>
        <v>0</v>
      </c>
      <c r="AR40" s="86">
        <f t="shared" si="13"/>
        <v>0</v>
      </c>
      <c r="AS40" s="86">
        <f t="shared" si="13"/>
        <v>0</v>
      </c>
      <c r="AT40" s="86">
        <f t="shared" si="13"/>
        <v>0</v>
      </c>
      <c r="AU40" s="86">
        <f t="shared" si="13"/>
        <v>0</v>
      </c>
      <c r="AV40" s="66"/>
      <c r="BD40" s="863" t="s">
        <v>5837</v>
      </c>
      <c r="BE40" s="1511" t="s">
        <v>5839</v>
      </c>
      <c r="BF40" s="963"/>
      <c r="BG40" s="2155" t="s">
        <v>8</v>
      </c>
      <c r="BH40" s="864">
        <v>3</v>
      </c>
      <c r="BI40" s="1521" t="s">
        <v>5840</v>
      </c>
      <c r="BJ40" s="1531" t="s">
        <v>5841</v>
      </c>
      <c r="BK40" s="1532" t="s">
        <v>5842</v>
      </c>
      <c r="BL40" s="1525" t="s">
        <v>5843</v>
      </c>
      <c r="BM40" s="1531" t="s">
        <v>5844</v>
      </c>
      <c r="BN40" s="1233" t="s">
        <v>5845</v>
      </c>
      <c r="BO40" s="1237" t="s">
        <v>5846</v>
      </c>
      <c r="BP40" s="1241" t="s">
        <v>5847</v>
      </c>
      <c r="BQ40" s="206" t="s">
        <v>5848</v>
      </c>
      <c r="BR40" s="1537" t="s">
        <v>5849</v>
      </c>
      <c r="BS40" s="1531" t="s">
        <v>5850</v>
      </c>
      <c r="BT40" s="1532" t="s">
        <v>5851</v>
      </c>
      <c r="BU40" s="1525" t="s">
        <v>5852</v>
      </c>
      <c r="BV40" s="1531" t="s">
        <v>5853</v>
      </c>
      <c r="BW40" s="1233" t="s">
        <v>5854</v>
      </c>
      <c r="BX40" s="1237" t="s">
        <v>5855</v>
      </c>
      <c r="BY40" s="1241" t="s">
        <v>5856</v>
      </c>
      <c r="BZ40" s="206" t="s">
        <v>5857</v>
      </c>
    </row>
    <row r="41" spans="1:78" ht="15.75">
      <c r="A41" s="852"/>
      <c r="B41" s="863" t="s">
        <v>5858</v>
      </c>
      <c r="C41" s="908" t="s">
        <v>5859</v>
      </c>
      <c r="D41" s="867"/>
      <c r="E41" s="2155" t="s">
        <v>8</v>
      </c>
      <c r="F41" s="864">
        <v>3</v>
      </c>
      <c r="G41" s="928"/>
      <c r="H41" s="1232"/>
      <c r="I41" s="1240"/>
      <c r="J41" s="907"/>
      <c r="K41" s="1240"/>
      <c r="L41" s="1355"/>
      <c r="M41" s="1236"/>
      <c r="N41" s="1240"/>
      <c r="O41" s="206">
        <f t="shared" si="0"/>
        <v>0</v>
      </c>
      <c r="P41" s="928"/>
      <c r="Q41" s="1232"/>
      <c r="R41" s="1240"/>
      <c r="S41" s="907"/>
      <c r="T41" s="1240"/>
      <c r="U41" s="1355"/>
      <c r="V41" s="1236"/>
      <c r="W41" s="1240"/>
      <c r="X41" s="206">
        <f t="shared" si="1"/>
        <v>0</v>
      </c>
      <c r="Y41" s="1873"/>
      <c r="AA41" s="770">
        <f t="shared" si="5"/>
        <v>0</v>
      </c>
      <c r="AB41" s="65"/>
      <c r="AC41" s="66"/>
      <c r="AD41" s="86">
        <f xml:space="preserve"> IF( AND(OR($C41 = "Capital expenditure purpose - WASTEWATER additional line 6 [Other categories]",$C41=""), OR( G41 &lt;&gt; 0, H41 &lt;&gt; 0, I41 &lt;&gt; 0, J41 &lt;&gt; 0, K41 &lt;&gt; 0, L41 &lt;&gt; 0, M41 &lt;&gt; 0, N41 &lt;&gt; 0, P41 &lt;&gt; 0, Q41 &lt;&gt; 0, R41 &lt;&gt; 0, S41 &lt;&gt; 0, T41 &lt;&gt; 0, U41 &lt;&gt; 0, V41 &lt;&gt; 0, W41 &lt;&gt; 0) ), 1, 0 )</f>
        <v>0</v>
      </c>
      <c r="AE41" s="86">
        <f t="shared" ref="AE41:AL41" si="14" xml:space="preserve"> IF(AND($C41="Capital expenditure purpose - WASTEWATER additional line 6 [Other categories]",$O41=0), 0, IF( ISNUMBER( G41 ), 0, 1 ))</f>
        <v>0</v>
      </c>
      <c r="AF41" s="86">
        <f t="shared" si="14"/>
        <v>0</v>
      </c>
      <c r="AG41" s="86">
        <f t="shared" si="14"/>
        <v>0</v>
      </c>
      <c r="AH41" s="86">
        <f t="shared" si="14"/>
        <v>0</v>
      </c>
      <c r="AI41" s="86">
        <f t="shared" si="14"/>
        <v>0</v>
      </c>
      <c r="AJ41" s="86">
        <f t="shared" si="14"/>
        <v>0</v>
      </c>
      <c r="AK41" s="86">
        <f t="shared" si="14"/>
        <v>0</v>
      </c>
      <c r="AL41" s="86">
        <f t="shared" si="14"/>
        <v>0</v>
      </c>
      <c r="AM41" s="113"/>
      <c r="AN41" s="86">
        <f t="shared" ref="AN41:AU41" si="15" xml:space="preserve"> IF(AND($C41="Capital expenditure purpose - WASTEWATER additional line 6 [Other categories]",$O41=0), 0, IF( ISNUMBER( P41 ), 0, 1 ))</f>
        <v>0</v>
      </c>
      <c r="AO41" s="86">
        <f t="shared" si="15"/>
        <v>0</v>
      </c>
      <c r="AP41" s="86">
        <f t="shared" si="15"/>
        <v>0</v>
      </c>
      <c r="AQ41" s="86">
        <f t="shared" si="15"/>
        <v>0</v>
      </c>
      <c r="AR41" s="86">
        <f t="shared" si="15"/>
        <v>0</v>
      </c>
      <c r="AS41" s="86">
        <f t="shared" si="15"/>
        <v>0</v>
      </c>
      <c r="AT41" s="86">
        <f t="shared" si="15"/>
        <v>0</v>
      </c>
      <c r="AU41" s="86">
        <f t="shared" si="15"/>
        <v>0</v>
      </c>
      <c r="AV41" s="66"/>
      <c r="BD41" s="863" t="s">
        <v>5858</v>
      </c>
      <c r="BE41" s="1511" t="s">
        <v>5860</v>
      </c>
      <c r="BF41" s="963"/>
      <c r="BG41" s="2155" t="s">
        <v>8</v>
      </c>
      <c r="BH41" s="864">
        <v>3</v>
      </c>
      <c r="BI41" s="1521" t="s">
        <v>5861</v>
      </c>
      <c r="BJ41" s="1531" t="s">
        <v>5862</v>
      </c>
      <c r="BK41" s="1532" t="s">
        <v>5863</v>
      </c>
      <c r="BL41" s="1525" t="s">
        <v>5864</v>
      </c>
      <c r="BM41" s="1531" t="s">
        <v>5865</v>
      </c>
      <c r="BN41" s="1233" t="s">
        <v>5866</v>
      </c>
      <c r="BO41" s="1237" t="s">
        <v>5867</v>
      </c>
      <c r="BP41" s="1241" t="s">
        <v>5868</v>
      </c>
      <c r="BQ41" s="206" t="s">
        <v>5869</v>
      </c>
      <c r="BR41" s="1537" t="s">
        <v>5870</v>
      </c>
      <c r="BS41" s="1531" t="s">
        <v>5871</v>
      </c>
      <c r="BT41" s="1532" t="s">
        <v>5872</v>
      </c>
      <c r="BU41" s="1525" t="s">
        <v>5873</v>
      </c>
      <c r="BV41" s="1531" t="s">
        <v>5874</v>
      </c>
      <c r="BW41" s="1233" t="s">
        <v>5875</v>
      </c>
      <c r="BX41" s="1237" t="s">
        <v>5876</v>
      </c>
      <c r="BY41" s="1241" t="s">
        <v>5877</v>
      </c>
      <c r="BZ41" s="206" t="s">
        <v>5878</v>
      </c>
    </row>
    <row r="42" spans="1:78" ht="15.75">
      <c r="A42" s="852"/>
      <c r="B42" s="863" t="s">
        <v>5879</v>
      </c>
      <c r="C42" s="908" t="s">
        <v>5880</v>
      </c>
      <c r="D42" s="867"/>
      <c r="E42" s="2155" t="s">
        <v>8</v>
      </c>
      <c r="F42" s="864">
        <v>3</v>
      </c>
      <c r="G42" s="928"/>
      <c r="H42" s="1232"/>
      <c r="I42" s="1240"/>
      <c r="J42" s="907"/>
      <c r="K42" s="1240"/>
      <c r="L42" s="1355"/>
      <c r="M42" s="1236"/>
      <c r="N42" s="1240"/>
      <c r="O42" s="206">
        <f t="shared" si="0"/>
        <v>0</v>
      </c>
      <c r="P42" s="928"/>
      <c r="Q42" s="1232"/>
      <c r="R42" s="1240"/>
      <c r="S42" s="907"/>
      <c r="T42" s="1240"/>
      <c r="U42" s="1355"/>
      <c r="V42" s="1236"/>
      <c r="W42" s="1240"/>
      <c r="X42" s="206">
        <f t="shared" si="1"/>
        <v>0</v>
      </c>
      <c r="Y42" s="1873"/>
      <c r="AA42" s="770">
        <f t="shared" si="5"/>
        <v>0</v>
      </c>
      <c r="AB42" s="65"/>
      <c r="AC42" s="66"/>
      <c r="AD42" s="86">
        <f xml:space="preserve"> IF( AND(OR($C42 = "Capital expenditure purpose - WASTEWATER additional line 7 [Other categories]",$C42=""), OR( G42 &lt;&gt; 0, H42 &lt;&gt; 0, I42 &lt;&gt; 0, J42 &lt;&gt; 0, K42 &lt;&gt; 0, L42 &lt;&gt; 0, M42 &lt;&gt; 0, N42 &lt;&gt; 0, P42 &lt;&gt; 0, Q42 &lt;&gt; 0, R42 &lt;&gt; 0, S42 &lt;&gt; 0, T42 &lt;&gt; 0, U42 &lt;&gt; 0, V42 &lt;&gt; 0, W42 &lt;&gt; 0) ), 1, 0 )</f>
        <v>0</v>
      </c>
      <c r="AE42" s="86">
        <f t="shared" ref="AE42:AL42" si="16" xml:space="preserve"> IF(AND($C42="Capital expenditure purpose - WASTEWATER additional line 7 [Other categories]",$O42=0), 0, IF( ISNUMBER( G42 ), 0, 1 ))</f>
        <v>0</v>
      </c>
      <c r="AF42" s="86">
        <f t="shared" si="16"/>
        <v>0</v>
      </c>
      <c r="AG42" s="86">
        <f t="shared" si="16"/>
        <v>0</v>
      </c>
      <c r="AH42" s="86">
        <f t="shared" si="16"/>
        <v>0</v>
      </c>
      <c r="AI42" s="86">
        <f t="shared" si="16"/>
        <v>0</v>
      </c>
      <c r="AJ42" s="86">
        <f t="shared" si="16"/>
        <v>0</v>
      </c>
      <c r="AK42" s="86">
        <f t="shared" si="16"/>
        <v>0</v>
      </c>
      <c r="AL42" s="86">
        <f t="shared" si="16"/>
        <v>0</v>
      </c>
      <c r="AM42" s="113"/>
      <c r="AN42" s="86">
        <f t="shared" ref="AN42:AU42" si="17" xml:space="preserve"> IF(AND($C42="Capital expenditure purpose - WASTEWATER additional line 7 [Other categories]",$O42=0), 0, IF( ISNUMBER( P42 ), 0, 1 ))</f>
        <v>0</v>
      </c>
      <c r="AO42" s="86">
        <f t="shared" si="17"/>
        <v>0</v>
      </c>
      <c r="AP42" s="86">
        <f t="shared" si="17"/>
        <v>0</v>
      </c>
      <c r="AQ42" s="86">
        <f t="shared" si="17"/>
        <v>0</v>
      </c>
      <c r="AR42" s="86">
        <f t="shared" si="17"/>
        <v>0</v>
      </c>
      <c r="AS42" s="86">
        <f t="shared" si="17"/>
        <v>0</v>
      </c>
      <c r="AT42" s="86">
        <f t="shared" si="17"/>
        <v>0</v>
      </c>
      <c r="AU42" s="86">
        <f t="shared" si="17"/>
        <v>0</v>
      </c>
      <c r="AV42" s="66"/>
      <c r="BD42" s="863" t="s">
        <v>5879</v>
      </c>
      <c r="BE42" s="1511" t="s">
        <v>5881</v>
      </c>
      <c r="BF42" s="963"/>
      <c r="BG42" s="2155" t="s">
        <v>8</v>
      </c>
      <c r="BH42" s="864">
        <v>3</v>
      </c>
      <c r="BI42" s="1521" t="s">
        <v>5882</v>
      </c>
      <c r="BJ42" s="1531" t="s">
        <v>5883</v>
      </c>
      <c r="BK42" s="1532" t="s">
        <v>5884</v>
      </c>
      <c r="BL42" s="1525" t="s">
        <v>5885</v>
      </c>
      <c r="BM42" s="1531" t="s">
        <v>5886</v>
      </c>
      <c r="BN42" s="1233" t="s">
        <v>5887</v>
      </c>
      <c r="BO42" s="1237" t="s">
        <v>5888</v>
      </c>
      <c r="BP42" s="1241" t="s">
        <v>5889</v>
      </c>
      <c r="BQ42" s="206" t="s">
        <v>5890</v>
      </c>
      <c r="BR42" s="1537" t="s">
        <v>5891</v>
      </c>
      <c r="BS42" s="1531" t="s">
        <v>5892</v>
      </c>
      <c r="BT42" s="1532" t="s">
        <v>5893</v>
      </c>
      <c r="BU42" s="1525" t="s">
        <v>5894</v>
      </c>
      <c r="BV42" s="1531" t="s">
        <v>5895</v>
      </c>
      <c r="BW42" s="1233" t="s">
        <v>5896</v>
      </c>
      <c r="BX42" s="1237" t="s">
        <v>5897</v>
      </c>
      <c r="BY42" s="1241" t="s">
        <v>5898</v>
      </c>
      <c r="BZ42" s="206" t="s">
        <v>5899</v>
      </c>
    </row>
    <row r="43" spans="1:78" ht="15.75">
      <c r="A43" s="852"/>
      <c r="B43" s="863" t="s">
        <v>5900</v>
      </c>
      <c r="C43" s="908" t="s">
        <v>5901</v>
      </c>
      <c r="D43" s="867"/>
      <c r="E43" s="2155" t="s">
        <v>8</v>
      </c>
      <c r="F43" s="864">
        <v>3</v>
      </c>
      <c r="G43" s="928"/>
      <c r="H43" s="1232"/>
      <c r="I43" s="1240"/>
      <c r="J43" s="907"/>
      <c r="K43" s="1240"/>
      <c r="L43" s="1355"/>
      <c r="M43" s="1236"/>
      <c r="N43" s="1240"/>
      <c r="O43" s="206">
        <f t="shared" si="0"/>
        <v>0</v>
      </c>
      <c r="P43" s="928"/>
      <c r="Q43" s="1232"/>
      <c r="R43" s="1240"/>
      <c r="S43" s="907"/>
      <c r="T43" s="1240"/>
      <c r="U43" s="1355"/>
      <c r="V43" s="1236"/>
      <c r="W43" s="1240"/>
      <c r="X43" s="206">
        <f t="shared" si="1"/>
        <v>0</v>
      </c>
      <c r="Y43" s="1873"/>
      <c r="AA43" s="770">
        <f t="shared" si="5"/>
        <v>0</v>
      </c>
      <c r="AB43" s="65"/>
      <c r="AC43" s="66"/>
      <c r="AD43" s="86">
        <f xml:space="preserve"> IF( AND(OR($C43 = "Capital expenditure purpose - WASTEWATER additional line 8 [Other categories]",$C43=""), OR( G43 &lt;&gt; 0, H43 &lt;&gt; 0, I43 &lt;&gt; 0, J43 &lt;&gt; 0, K43 &lt;&gt; 0, L43 &lt;&gt; 0, M43 &lt;&gt; 0, N43 &lt;&gt; 0, P43 &lt;&gt; 0, Q43 &lt;&gt; 0, R43 &lt;&gt; 0, S43 &lt;&gt; 0, T43 &lt;&gt; 0, U43 &lt;&gt; 0, V43 &lt;&gt; 0, W43 &lt;&gt; 0) ), 1, 0 )</f>
        <v>0</v>
      </c>
      <c r="AE43" s="86">
        <f t="shared" ref="AE43:AL43" si="18" xml:space="preserve"> IF(AND($C43="Capital expenditure purpose - WASTEWATER additional line 8 [Other categories]",$O43=0), 0, IF( ISNUMBER( G43 ), 0, 1 ))</f>
        <v>0</v>
      </c>
      <c r="AF43" s="86">
        <f t="shared" si="18"/>
        <v>0</v>
      </c>
      <c r="AG43" s="86">
        <f t="shared" si="18"/>
        <v>0</v>
      </c>
      <c r="AH43" s="86">
        <f t="shared" si="18"/>
        <v>0</v>
      </c>
      <c r="AI43" s="86">
        <f t="shared" si="18"/>
        <v>0</v>
      </c>
      <c r="AJ43" s="86">
        <f t="shared" si="18"/>
        <v>0</v>
      </c>
      <c r="AK43" s="86">
        <f t="shared" si="18"/>
        <v>0</v>
      </c>
      <c r="AL43" s="86">
        <f t="shared" si="18"/>
        <v>0</v>
      </c>
      <c r="AM43" s="113"/>
      <c r="AN43" s="86">
        <f t="shared" ref="AN43:AU43" si="19" xml:space="preserve"> IF(AND($C43="Capital expenditure purpose - WASTEWATER additional line 8 [Other categories]",$O43=0), 0, IF( ISNUMBER( P43 ), 0, 1 ))</f>
        <v>0</v>
      </c>
      <c r="AO43" s="86">
        <f t="shared" si="19"/>
        <v>0</v>
      </c>
      <c r="AP43" s="86">
        <f t="shared" si="19"/>
        <v>0</v>
      </c>
      <c r="AQ43" s="86">
        <f t="shared" si="19"/>
        <v>0</v>
      </c>
      <c r="AR43" s="86">
        <f t="shared" si="19"/>
        <v>0</v>
      </c>
      <c r="AS43" s="86">
        <f t="shared" si="19"/>
        <v>0</v>
      </c>
      <c r="AT43" s="86">
        <f t="shared" si="19"/>
        <v>0</v>
      </c>
      <c r="AU43" s="86">
        <f t="shared" si="19"/>
        <v>0</v>
      </c>
      <c r="AV43" s="66"/>
      <c r="BD43" s="863" t="s">
        <v>5900</v>
      </c>
      <c r="BE43" s="1511" t="s">
        <v>5902</v>
      </c>
      <c r="BF43" s="963"/>
      <c r="BG43" s="2155" t="s">
        <v>8</v>
      </c>
      <c r="BH43" s="864">
        <v>3</v>
      </c>
      <c r="BI43" s="1521" t="s">
        <v>5903</v>
      </c>
      <c r="BJ43" s="1531" t="s">
        <v>5904</v>
      </c>
      <c r="BK43" s="1532" t="s">
        <v>5905</v>
      </c>
      <c r="BL43" s="1525" t="s">
        <v>5906</v>
      </c>
      <c r="BM43" s="1531" t="s">
        <v>5907</v>
      </c>
      <c r="BN43" s="1233" t="s">
        <v>5908</v>
      </c>
      <c r="BO43" s="1237" t="s">
        <v>5909</v>
      </c>
      <c r="BP43" s="1241" t="s">
        <v>5910</v>
      </c>
      <c r="BQ43" s="206" t="s">
        <v>5911</v>
      </c>
      <c r="BR43" s="1537" t="s">
        <v>5912</v>
      </c>
      <c r="BS43" s="1531" t="s">
        <v>5913</v>
      </c>
      <c r="BT43" s="1532" t="s">
        <v>5914</v>
      </c>
      <c r="BU43" s="1525" t="s">
        <v>5915</v>
      </c>
      <c r="BV43" s="1531" t="s">
        <v>5916</v>
      </c>
      <c r="BW43" s="1233" t="s">
        <v>5917</v>
      </c>
      <c r="BX43" s="1237" t="s">
        <v>5918</v>
      </c>
      <c r="BY43" s="1241" t="s">
        <v>5919</v>
      </c>
      <c r="BZ43" s="206" t="s">
        <v>5920</v>
      </c>
    </row>
    <row r="44" spans="1:78" ht="15.75">
      <c r="A44" s="852"/>
      <c r="B44" s="863" t="s">
        <v>5921</v>
      </c>
      <c r="C44" s="908" t="s">
        <v>5922</v>
      </c>
      <c r="D44" s="867"/>
      <c r="E44" s="2155" t="s">
        <v>8</v>
      </c>
      <c r="F44" s="864">
        <v>3</v>
      </c>
      <c r="G44" s="928"/>
      <c r="H44" s="1232"/>
      <c r="I44" s="1240"/>
      <c r="J44" s="907"/>
      <c r="K44" s="1240"/>
      <c r="L44" s="1355"/>
      <c r="M44" s="1236"/>
      <c r="N44" s="1240"/>
      <c r="O44" s="206">
        <f t="shared" si="0"/>
        <v>0</v>
      </c>
      <c r="P44" s="928"/>
      <c r="Q44" s="1232"/>
      <c r="R44" s="1240"/>
      <c r="S44" s="907"/>
      <c r="T44" s="1240"/>
      <c r="U44" s="1355"/>
      <c r="V44" s="1236"/>
      <c r="W44" s="1240"/>
      <c r="X44" s="206">
        <f t="shared" si="1"/>
        <v>0</v>
      </c>
      <c r="Y44" s="1873"/>
      <c r="AA44" s="770">
        <f t="shared" si="5"/>
        <v>0</v>
      </c>
      <c r="AB44" s="65"/>
      <c r="AC44" s="66"/>
      <c r="AD44" s="86">
        <f xml:space="preserve"> IF( AND(OR($C44 = "Capital expenditure purpose - WASTEWATER additional line 9 [Other categories]",$C44=""), OR( G44 &lt;&gt; 0, H44 &lt;&gt; 0, I44 &lt;&gt; 0, J44 &lt;&gt; 0, K44 &lt;&gt; 0, L44 &lt;&gt; 0, M44 &lt;&gt; 0, N44 &lt;&gt; 0, P44 &lt;&gt; 0, Q44 &lt;&gt; 0, R44 &lt;&gt; 0, S44 &lt;&gt; 0, T44 &lt;&gt; 0, U44 &lt;&gt; 0, V44 &lt;&gt; 0, W44 &lt;&gt; 0) ), 1, 0 )</f>
        <v>0</v>
      </c>
      <c r="AE44" s="86">
        <f t="shared" ref="AE44:AL44" si="20" xml:space="preserve"> IF(AND($C44="Capital expenditure purpose - WASTEWATER additional line 9 [Other categories]",$O44=0), 0, IF( ISNUMBER( G44 ), 0, 1 ))</f>
        <v>0</v>
      </c>
      <c r="AF44" s="86">
        <f t="shared" si="20"/>
        <v>0</v>
      </c>
      <c r="AG44" s="86">
        <f t="shared" si="20"/>
        <v>0</v>
      </c>
      <c r="AH44" s="86">
        <f t="shared" si="20"/>
        <v>0</v>
      </c>
      <c r="AI44" s="86">
        <f t="shared" si="20"/>
        <v>0</v>
      </c>
      <c r="AJ44" s="86">
        <f t="shared" si="20"/>
        <v>0</v>
      </c>
      <c r="AK44" s="86">
        <f t="shared" si="20"/>
        <v>0</v>
      </c>
      <c r="AL44" s="86">
        <f t="shared" si="20"/>
        <v>0</v>
      </c>
      <c r="AM44" s="113"/>
      <c r="AN44" s="86">
        <f t="shared" ref="AN44:AU44" si="21" xml:space="preserve"> IF(AND($C44="Capital expenditure purpose - WASTEWATER additional line 9 [Other categories]",$O44=0), 0, IF( ISNUMBER( P44 ), 0, 1 ))</f>
        <v>0</v>
      </c>
      <c r="AO44" s="86">
        <f t="shared" si="21"/>
        <v>0</v>
      </c>
      <c r="AP44" s="86">
        <f t="shared" si="21"/>
        <v>0</v>
      </c>
      <c r="AQ44" s="86">
        <f t="shared" si="21"/>
        <v>0</v>
      </c>
      <c r="AR44" s="86">
        <f t="shared" si="21"/>
        <v>0</v>
      </c>
      <c r="AS44" s="86">
        <f t="shared" si="21"/>
        <v>0</v>
      </c>
      <c r="AT44" s="86">
        <f t="shared" si="21"/>
        <v>0</v>
      </c>
      <c r="AU44" s="86">
        <f t="shared" si="21"/>
        <v>0</v>
      </c>
      <c r="AV44" s="66"/>
      <c r="BD44" s="863" t="s">
        <v>5921</v>
      </c>
      <c r="BE44" s="1511" t="s">
        <v>5923</v>
      </c>
      <c r="BF44" s="963"/>
      <c r="BG44" s="2155" t="s">
        <v>8</v>
      </c>
      <c r="BH44" s="864">
        <v>3</v>
      </c>
      <c r="BI44" s="1521" t="s">
        <v>5924</v>
      </c>
      <c r="BJ44" s="1531" t="s">
        <v>5925</v>
      </c>
      <c r="BK44" s="1532" t="s">
        <v>5926</v>
      </c>
      <c r="BL44" s="1525" t="s">
        <v>5927</v>
      </c>
      <c r="BM44" s="1531" t="s">
        <v>5928</v>
      </c>
      <c r="BN44" s="1233" t="s">
        <v>5929</v>
      </c>
      <c r="BO44" s="1237" t="s">
        <v>5930</v>
      </c>
      <c r="BP44" s="1241" t="s">
        <v>5931</v>
      </c>
      <c r="BQ44" s="206" t="s">
        <v>5932</v>
      </c>
      <c r="BR44" s="1537" t="s">
        <v>5933</v>
      </c>
      <c r="BS44" s="1531" t="s">
        <v>5934</v>
      </c>
      <c r="BT44" s="1532" t="s">
        <v>5935</v>
      </c>
      <c r="BU44" s="1525" t="s">
        <v>5936</v>
      </c>
      <c r="BV44" s="1531" t="s">
        <v>5937</v>
      </c>
      <c r="BW44" s="1233" t="s">
        <v>5938</v>
      </c>
      <c r="BX44" s="1237" t="s">
        <v>5939</v>
      </c>
      <c r="BY44" s="1241" t="s">
        <v>5940</v>
      </c>
      <c r="BZ44" s="206" t="s">
        <v>5941</v>
      </c>
    </row>
    <row r="45" spans="1:78" ht="15.75">
      <c r="A45" s="852"/>
      <c r="B45" s="863" t="s">
        <v>5942</v>
      </c>
      <c r="C45" s="1260" t="s">
        <v>5943</v>
      </c>
      <c r="D45" s="966"/>
      <c r="E45" s="2155" t="s">
        <v>8</v>
      </c>
      <c r="F45" s="864">
        <v>3</v>
      </c>
      <c r="G45" s="928"/>
      <c r="H45" s="1232"/>
      <c r="I45" s="1240"/>
      <c r="J45" s="907"/>
      <c r="K45" s="1240"/>
      <c r="L45" s="1355"/>
      <c r="M45" s="1236"/>
      <c r="N45" s="1240"/>
      <c r="O45" s="206">
        <f t="shared" ref="O45:O49" si="22">+SUM(G45:N45)</f>
        <v>0</v>
      </c>
      <c r="P45" s="928"/>
      <c r="Q45" s="1232"/>
      <c r="R45" s="1240"/>
      <c r="S45" s="907"/>
      <c r="T45" s="1240"/>
      <c r="U45" s="1355"/>
      <c r="V45" s="1236"/>
      <c r="W45" s="1240"/>
      <c r="X45" s="206">
        <f t="shared" ref="X45:X49" si="23">+SUM(P45:W45)</f>
        <v>0</v>
      </c>
      <c r="Y45" s="1873"/>
      <c r="AA45" s="770">
        <f t="shared" si="5"/>
        <v>0</v>
      </c>
      <c r="AB45" s="65"/>
      <c r="AC45" s="66"/>
      <c r="AD45" s="86">
        <f xml:space="preserve"> IF( AND(OR($C45 = "Capital expenditure purpose - WASTEWATER additional line 10 [Other categories]",$C45=""), OR( G45 &lt;&gt; 0, H45 &lt;&gt; 0, I45 &lt;&gt; 0, J45 &lt;&gt; 0, K45 &lt;&gt; 0, L45 &lt;&gt; 0, M45 &lt;&gt; 0, N45 &lt;&gt; 0, P45 &lt;&gt; 0, Q45 &lt;&gt; 0, R45 &lt;&gt; 0, S45 &lt;&gt; 0, T45 &lt;&gt; 0, U45 &lt;&gt; 0, V45 &lt;&gt; 0, W45 &lt;&gt; 0) ), 1, 0 )</f>
        <v>0</v>
      </c>
      <c r="AE45" s="86">
        <f t="shared" ref="AE45:AL45" si="24" xml:space="preserve"> IF(AND($C45="Capital expenditure purpose - WASTEWATER additional line 10 [Other categories]",$O45=0), 0, IF( ISNUMBER( G45 ), 0, 1 ))</f>
        <v>0</v>
      </c>
      <c r="AF45" s="86">
        <f t="shared" si="24"/>
        <v>0</v>
      </c>
      <c r="AG45" s="86">
        <f t="shared" si="24"/>
        <v>0</v>
      </c>
      <c r="AH45" s="86">
        <f t="shared" si="24"/>
        <v>0</v>
      </c>
      <c r="AI45" s="86">
        <f t="shared" si="24"/>
        <v>0</v>
      </c>
      <c r="AJ45" s="86">
        <f t="shared" si="24"/>
        <v>0</v>
      </c>
      <c r="AK45" s="86">
        <f t="shared" si="24"/>
        <v>0</v>
      </c>
      <c r="AL45" s="86">
        <f t="shared" si="24"/>
        <v>0</v>
      </c>
      <c r="AM45" s="113"/>
      <c r="AN45" s="86">
        <f t="shared" ref="AN45:AU45" si="25" xml:space="preserve"> IF(AND($C45="Capital expenditure purpose - WASTEWATER additional line 10 [Other categories]",$O45=0), 0, IF( ISNUMBER( P45 ), 0, 1 ))</f>
        <v>0</v>
      </c>
      <c r="AO45" s="86">
        <f t="shared" si="25"/>
        <v>0</v>
      </c>
      <c r="AP45" s="86">
        <f t="shared" si="25"/>
        <v>0</v>
      </c>
      <c r="AQ45" s="86">
        <f t="shared" si="25"/>
        <v>0</v>
      </c>
      <c r="AR45" s="86">
        <f t="shared" si="25"/>
        <v>0</v>
      </c>
      <c r="AS45" s="86">
        <f t="shared" si="25"/>
        <v>0</v>
      </c>
      <c r="AT45" s="86">
        <f t="shared" si="25"/>
        <v>0</v>
      </c>
      <c r="AU45" s="86">
        <f t="shared" si="25"/>
        <v>0</v>
      </c>
      <c r="AV45" s="66"/>
      <c r="BD45" s="863" t="s">
        <v>5942</v>
      </c>
      <c r="BE45" s="1512" t="s">
        <v>5944</v>
      </c>
      <c r="BF45" s="967"/>
      <c r="BG45" s="2155" t="s">
        <v>8</v>
      </c>
      <c r="BH45" s="864">
        <v>3</v>
      </c>
      <c r="BI45" s="1521" t="s">
        <v>5945</v>
      </c>
      <c r="BJ45" s="1531" t="s">
        <v>5946</v>
      </c>
      <c r="BK45" s="1532" t="s">
        <v>5947</v>
      </c>
      <c r="BL45" s="1525" t="s">
        <v>5948</v>
      </c>
      <c r="BM45" s="1531" t="s">
        <v>5949</v>
      </c>
      <c r="BN45" s="1233" t="s">
        <v>5950</v>
      </c>
      <c r="BO45" s="1237" t="s">
        <v>5951</v>
      </c>
      <c r="BP45" s="1241" t="s">
        <v>5952</v>
      </c>
      <c r="BQ45" s="206" t="s">
        <v>5953</v>
      </c>
      <c r="BR45" s="1537" t="s">
        <v>5954</v>
      </c>
      <c r="BS45" s="1531" t="s">
        <v>5955</v>
      </c>
      <c r="BT45" s="1532" t="s">
        <v>5956</v>
      </c>
      <c r="BU45" s="1525" t="s">
        <v>5957</v>
      </c>
      <c r="BV45" s="1531" t="s">
        <v>5958</v>
      </c>
      <c r="BW45" s="1233" t="s">
        <v>5959</v>
      </c>
      <c r="BX45" s="1237" t="s">
        <v>5960</v>
      </c>
      <c r="BY45" s="1241" t="s">
        <v>5961</v>
      </c>
      <c r="BZ45" s="206" t="s">
        <v>5962</v>
      </c>
    </row>
    <row r="46" spans="1:78" ht="15.75">
      <c r="A46" s="852"/>
      <c r="B46" s="863" t="s">
        <v>5963</v>
      </c>
      <c r="C46" s="1260" t="s">
        <v>5964</v>
      </c>
      <c r="D46" s="966"/>
      <c r="E46" s="2155" t="s">
        <v>8</v>
      </c>
      <c r="F46" s="864">
        <v>3</v>
      </c>
      <c r="G46" s="928"/>
      <c r="H46" s="1232"/>
      <c r="I46" s="1240"/>
      <c r="J46" s="907"/>
      <c r="K46" s="1240"/>
      <c r="L46" s="1355"/>
      <c r="M46" s="1236"/>
      <c r="N46" s="1240"/>
      <c r="O46" s="206">
        <f t="shared" si="22"/>
        <v>0</v>
      </c>
      <c r="P46" s="928"/>
      <c r="Q46" s="1232"/>
      <c r="R46" s="1240"/>
      <c r="S46" s="907"/>
      <c r="T46" s="1240"/>
      <c r="U46" s="1355"/>
      <c r="V46" s="1236"/>
      <c r="W46" s="1240"/>
      <c r="X46" s="206">
        <f t="shared" si="23"/>
        <v>0</v>
      </c>
      <c r="Y46" s="1873"/>
      <c r="AA46" s="770">
        <f t="shared" si="5"/>
        <v>0</v>
      </c>
      <c r="AB46" s="65"/>
      <c r="AC46" s="66"/>
      <c r="AD46" s="86">
        <f xml:space="preserve"> IF( AND(OR($C46 = "Capital expenditure purpose - WASTEWATER additional line 11 [Other categories]",$C46=""), OR( G46 &lt;&gt; 0, H46 &lt;&gt; 0, I46 &lt;&gt; 0, J46 &lt;&gt; 0, K46 &lt;&gt; 0, L46 &lt;&gt; 0, M46 &lt;&gt; 0, N46 &lt;&gt; 0, P46 &lt;&gt; 0, Q46 &lt;&gt; 0, R46 &lt;&gt; 0, S46 &lt;&gt; 0, T46 &lt;&gt; 0, U46 &lt;&gt; 0, V46 &lt;&gt; 0, W46 &lt;&gt; 0) ), 1, 0 )</f>
        <v>0</v>
      </c>
      <c r="AE46" s="86">
        <f t="shared" ref="AE46:AL46" si="26" xml:space="preserve"> IF(AND($C46="Capital expenditure purpose - WASTEWATER additional line 11 [Other categories]",$O46=0), 0, IF( ISNUMBER( G46 ), 0, 1 ))</f>
        <v>0</v>
      </c>
      <c r="AF46" s="86">
        <f t="shared" si="26"/>
        <v>0</v>
      </c>
      <c r="AG46" s="86">
        <f t="shared" si="26"/>
        <v>0</v>
      </c>
      <c r="AH46" s="86">
        <f t="shared" si="26"/>
        <v>0</v>
      </c>
      <c r="AI46" s="86">
        <f t="shared" si="26"/>
        <v>0</v>
      </c>
      <c r="AJ46" s="86">
        <f t="shared" si="26"/>
        <v>0</v>
      </c>
      <c r="AK46" s="86">
        <f t="shared" si="26"/>
        <v>0</v>
      </c>
      <c r="AL46" s="86">
        <f t="shared" si="26"/>
        <v>0</v>
      </c>
      <c r="AM46" s="113"/>
      <c r="AN46" s="86">
        <f t="shared" ref="AN46:AU46" si="27" xml:space="preserve"> IF(AND($C46="Capital expenditure purpose - WASTEWATER additional line 11 [Other categories]",$O46=0), 0, IF( ISNUMBER( P46 ), 0, 1 ))</f>
        <v>0</v>
      </c>
      <c r="AO46" s="86">
        <f t="shared" si="27"/>
        <v>0</v>
      </c>
      <c r="AP46" s="86">
        <f t="shared" si="27"/>
        <v>0</v>
      </c>
      <c r="AQ46" s="86">
        <f t="shared" si="27"/>
        <v>0</v>
      </c>
      <c r="AR46" s="86">
        <f t="shared" si="27"/>
        <v>0</v>
      </c>
      <c r="AS46" s="86">
        <f t="shared" si="27"/>
        <v>0</v>
      </c>
      <c r="AT46" s="86">
        <f t="shared" si="27"/>
        <v>0</v>
      </c>
      <c r="AU46" s="86">
        <f t="shared" si="27"/>
        <v>0</v>
      </c>
      <c r="AV46" s="66"/>
      <c r="BD46" s="863" t="s">
        <v>5963</v>
      </c>
      <c r="BE46" s="1512" t="s">
        <v>5965</v>
      </c>
      <c r="BF46" s="967"/>
      <c r="BG46" s="2155" t="s">
        <v>8</v>
      </c>
      <c r="BH46" s="864">
        <v>3</v>
      </c>
      <c r="BI46" s="1521" t="s">
        <v>5966</v>
      </c>
      <c r="BJ46" s="1531" t="s">
        <v>5967</v>
      </c>
      <c r="BK46" s="1532" t="s">
        <v>5968</v>
      </c>
      <c r="BL46" s="1525" t="s">
        <v>5969</v>
      </c>
      <c r="BM46" s="1531" t="s">
        <v>5970</v>
      </c>
      <c r="BN46" s="1233" t="s">
        <v>5971</v>
      </c>
      <c r="BO46" s="1237" t="s">
        <v>5972</v>
      </c>
      <c r="BP46" s="1241" t="s">
        <v>5973</v>
      </c>
      <c r="BQ46" s="206" t="s">
        <v>5974</v>
      </c>
      <c r="BR46" s="1537" t="s">
        <v>5975</v>
      </c>
      <c r="BS46" s="1531" t="s">
        <v>5976</v>
      </c>
      <c r="BT46" s="1532" t="s">
        <v>5977</v>
      </c>
      <c r="BU46" s="1525" t="s">
        <v>5978</v>
      </c>
      <c r="BV46" s="1531" t="s">
        <v>5979</v>
      </c>
      <c r="BW46" s="1233" t="s">
        <v>5980</v>
      </c>
      <c r="BX46" s="1237" t="s">
        <v>5981</v>
      </c>
      <c r="BY46" s="1241" t="s">
        <v>5982</v>
      </c>
      <c r="BZ46" s="206" t="s">
        <v>5983</v>
      </c>
    </row>
    <row r="47" spans="1:78" ht="15.75">
      <c r="A47" s="852"/>
      <c r="B47" s="863" t="s">
        <v>5984</v>
      </c>
      <c r="C47" s="1260" t="s">
        <v>5985</v>
      </c>
      <c r="D47" s="966"/>
      <c r="E47" s="2155" t="s">
        <v>8</v>
      </c>
      <c r="F47" s="864">
        <v>3</v>
      </c>
      <c r="G47" s="928"/>
      <c r="H47" s="1232"/>
      <c r="I47" s="1240"/>
      <c r="J47" s="907"/>
      <c r="K47" s="1240"/>
      <c r="L47" s="1355"/>
      <c r="M47" s="1236"/>
      <c r="N47" s="1240"/>
      <c r="O47" s="206">
        <f t="shared" si="22"/>
        <v>0</v>
      </c>
      <c r="P47" s="928"/>
      <c r="Q47" s="1232"/>
      <c r="R47" s="1240"/>
      <c r="S47" s="907"/>
      <c r="T47" s="1240"/>
      <c r="U47" s="1355"/>
      <c r="V47" s="1236"/>
      <c r="W47" s="1240"/>
      <c r="X47" s="206">
        <f t="shared" si="23"/>
        <v>0</v>
      </c>
      <c r="Y47" s="1873"/>
      <c r="AA47" s="770">
        <f t="shared" si="5"/>
        <v>0</v>
      </c>
      <c r="AB47" s="65"/>
      <c r="AC47" s="66"/>
      <c r="AD47" s="86">
        <f xml:space="preserve"> IF( AND(OR($C47 = "Capital expenditure purpose - WASTEWATER additional line 12 [Other categories]",$C47=""), OR( G47 &lt;&gt; 0, H47 &lt;&gt; 0, I47 &lt;&gt; 0, J47 &lt;&gt; 0, K47 &lt;&gt; 0, L47 &lt;&gt; 0, M47 &lt;&gt; 0, N47 &lt;&gt; 0, P47 &lt;&gt; 0, Q47 &lt;&gt; 0, R47 &lt;&gt; 0, S47 &lt;&gt; 0, T47 &lt;&gt; 0, U47 &lt;&gt; 0, V47 &lt;&gt; 0, W47 &lt;&gt; 0) ), 1, 0 )</f>
        <v>0</v>
      </c>
      <c r="AE47" s="86">
        <f t="shared" ref="AE47:AL47" si="28" xml:space="preserve"> IF(AND($C47="Capital expenditure purpose - WASTEWATER additional line 12 [Other categories]",$O47=0), 0, IF( ISNUMBER( G47 ), 0, 1 ))</f>
        <v>0</v>
      </c>
      <c r="AF47" s="86">
        <f t="shared" si="28"/>
        <v>0</v>
      </c>
      <c r="AG47" s="86">
        <f t="shared" si="28"/>
        <v>0</v>
      </c>
      <c r="AH47" s="86">
        <f t="shared" si="28"/>
        <v>0</v>
      </c>
      <c r="AI47" s="86">
        <f t="shared" si="28"/>
        <v>0</v>
      </c>
      <c r="AJ47" s="86">
        <f t="shared" si="28"/>
        <v>0</v>
      </c>
      <c r="AK47" s="86">
        <f t="shared" si="28"/>
        <v>0</v>
      </c>
      <c r="AL47" s="86">
        <f t="shared" si="28"/>
        <v>0</v>
      </c>
      <c r="AM47" s="113"/>
      <c r="AN47" s="86">
        <f t="shared" ref="AN47:AU47" si="29" xml:space="preserve"> IF(AND($C47="Capital expenditure purpose - WASTEWATER additional line 12 [Other categories]",$O47=0), 0, IF( ISNUMBER( P47 ), 0, 1 ))</f>
        <v>0</v>
      </c>
      <c r="AO47" s="86">
        <f t="shared" si="29"/>
        <v>0</v>
      </c>
      <c r="AP47" s="86">
        <f t="shared" si="29"/>
        <v>0</v>
      </c>
      <c r="AQ47" s="86">
        <f t="shared" si="29"/>
        <v>0</v>
      </c>
      <c r="AR47" s="86">
        <f t="shared" si="29"/>
        <v>0</v>
      </c>
      <c r="AS47" s="86">
        <f t="shared" si="29"/>
        <v>0</v>
      </c>
      <c r="AT47" s="86">
        <f t="shared" si="29"/>
        <v>0</v>
      </c>
      <c r="AU47" s="86">
        <f t="shared" si="29"/>
        <v>0</v>
      </c>
      <c r="AV47" s="66"/>
      <c r="BD47" s="863" t="s">
        <v>5984</v>
      </c>
      <c r="BE47" s="1512" t="s">
        <v>5986</v>
      </c>
      <c r="BF47" s="967"/>
      <c r="BG47" s="2155" t="s">
        <v>8</v>
      </c>
      <c r="BH47" s="864">
        <v>3</v>
      </c>
      <c r="BI47" s="1521" t="s">
        <v>5987</v>
      </c>
      <c r="BJ47" s="1531" t="s">
        <v>5988</v>
      </c>
      <c r="BK47" s="1532" t="s">
        <v>5989</v>
      </c>
      <c r="BL47" s="1525" t="s">
        <v>5990</v>
      </c>
      <c r="BM47" s="1531" t="s">
        <v>5991</v>
      </c>
      <c r="BN47" s="1233" t="s">
        <v>5992</v>
      </c>
      <c r="BO47" s="1237" t="s">
        <v>5993</v>
      </c>
      <c r="BP47" s="1241" t="s">
        <v>5994</v>
      </c>
      <c r="BQ47" s="206" t="s">
        <v>5995</v>
      </c>
      <c r="BR47" s="1537" t="s">
        <v>5996</v>
      </c>
      <c r="BS47" s="1531" t="s">
        <v>5997</v>
      </c>
      <c r="BT47" s="1532" t="s">
        <v>5998</v>
      </c>
      <c r="BU47" s="1525" t="s">
        <v>5999</v>
      </c>
      <c r="BV47" s="1531" t="s">
        <v>6000</v>
      </c>
      <c r="BW47" s="1233" t="s">
        <v>6001</v>
      </c>
      <c r="BX47" s="1237" t="s">
        <v>6002</v>
      </c>
      <c r="BY47" s="1241" t="s">
        <v>6003</v>
      </c>
      <c r="BZ47" s="206" t="s">
        <v>6004</v>
      </c>
    </row>
    <row r="48" spans="1:78" ht="15.75">
      <c r="A48" s="852"/>
      <c r="B48" s="863" t="s">
        <v>6005</v>
      </c>
      <c r="C48" s="1260" t="s">
        <v>6006</v>
      </c>
      <c r="D48" s="966"/>
      <c r="E48" s="2155" t="s">
        <v>8</v>
      </c>
      <c r="F48" s="864">
        <v>3</v>
      </c>
      <c r="G48" s="928"/>
      <c r="H48" s="1232"/>
      <c r="I48" s="1240"/>
      <c r="J48" s="907"/>
      <c r="K48" s="1240"/>
      <c r="L48" s="1355"/>
      <c r="M48" s="1236"/>
      <c r="N48" s="1240"/>
      <c r="O48" s="206">
        <f t="shared" si="22"/>
        <v>0</v>
      </c>
      <c r="P48" s="928"/>
      <c r="Q48" s="1232"/>
      <c r="R48" s="1240"/>
      <c r="S48" s="907"/>
      <c r="T48" s="1240"/>
      <c r="U48" s="1355"/>
      <c r="V48" s="1236"/>
      <c r="W48" s="1240"/>
      <c r="X48" s="206">
        <f t="shared" si="23"/>
        <v>0</v>
      </c>
      <c r="Y48" s="1873"/>
      <c r="AA48" s="770">
        <f t="shared" si="5"/>
        <v>0</v>
      </c>
      <c r="AB48" s="65"/>
      <c r="AC48" s="66"/>
      <c r="AD48" s="86">
        <f xml:space="preserve"> IF( AND(OR($C48 = "Capital expenditure purpose - WASTEWATER additional line 13 [Other categories]",$C48=""), OR( G48 &lt;&gt; 0, H48 &lt;&gt; 0, I48 &lt;&gt; 0, J48 &lt;&gt; 0, K48 &lt;&gt; 0, L48 &lt;&gt; 0, M48 &lt;&gt; 0, N48 &lt;&gt; 0, P48 &lt;&gt; 0, Q48 &lt;&gt; 0, R48 &lt;&gt; 0, S48 &lt;&gt; 0, T48 &lt;&gt; 0, U48 &lt;&gt; 0, V48 &lt;&gt; 0, W48 &lt;&gt; 0) ), 1, 0 )</f>
        <v>0</v>
      </c>
      <c r="AE48" s="86">
        <f t="shared" ref="AE48:AL48" si="30" xml:space="preserve"> IF(AND($C48="Capital expenditure purpose - WASTEWATER additional line 13 [Other categories]",$O48=0), 0, IF( ISNUMBER( G48 ), 0, 1 ))</f>
        <v>0</v>
      </c>
      <c r="AF48" s="86">
        <f t="shared" si="30"/>
        <v>0</v>
      </c>
      <c r="AG48" s="86">
        <f t="shared" si="30"/>
        <v>0</v>
      </c>
      <c r="AH48" s="86">
        <f t="shared" si="30"/>
        <v>0</v>
      </c>
      <c r="AI48" s="86">
        <f t="shared" si="30"/>
        <v>0</v>
      </c>
      <c r="AJ48" s="86">
        <f t="shared" si="30"/>
        <v>0</v>
      </c>
      <c r="AK48" s="86">
        <f t="shared" si="30"/>
        <v>0</v>
      </c>
      <c r="AL48" s="86">
        <f t="shared" si="30"/>
        <v>0</v>
      </c>
      <c r="AM48" s="113"/>
      <c r="AN48" s="86">
        <f t="shared" ref="AN48:AU48" si="31" xml:space="preserve"> IF(AND($C48="Capital expenditure purpose - WASTEWATER additional line 13 [Other categories]",$O48=0), 0, IF( ISNUMBER( P48 ), 0, 1 ))</f>
        <v>0</v>
      </c>
      <c r="AO48" s="86">
        <f t="shared" si="31"/>
        <v>0</v>
      </c>
      <c r="AP48" s="86">
        <f t="shared" si="31"/>
        <v>0</v>
      </c>
      <c r="AQ48" s="86">
        <f t="shared" si="31"/>
        <v>0</v>
      </c>
      <c r="AR48" s="86">
        <f t="shared" si="31"/>
        <v>0</v>
      </c>
      <c r="AS48" s="86">
        <f t="shared" si="31"/>
        <v>0</v>
      </c>
      <c r="AT48" s="86">
        <f t="shared" si="31"/>
        <v>0</v>
      </c>
      <c r="AU48" s="86">
        <f t="shared" si="31"/>
        <v>0</v>
      </c>
      <c r="AV48" s="66"/>
      <c r="BD48" s="863" t="s">
        <v>6005</v>
      </c>
      <c r="BE48" s="1512" t="s">
        <v>6007</v>
      </c>
      <c r="BF48" s="967"/>
      <c r="BG48" s="2155" t="s">
        <v>8</v>
      </c>
      <c r="BH48" s="864">
        <v>3</v>
      </c>
      <c r="BI48" s="1521" t="s">
        <v>6008</v>
      </c>
      <c r="BJ48" s="1531" t="s">
        <v>6009</v>
      </c>
      <c r="BK48" s="1532" t="s">
        <v>6010</v>
      </c>
      <c r="BL48" s="1525" t="s">
        <v>6011</v>
      </c>
      <c r="BM48" s="1531" t="s">
        <v>6012</v>
      </c>
      <c r="BN48" s="1233" t="s">
        <v>6013</v>
      </c>
      <c r="BO48" s="1237" t="s">
        <v>6014</v>
      </c>
      <c r="BP48" s="1241" t="s">
        <v>6015</v>
      </c>
      <c r="BQ48" s="206" t="s">
        <v>6016</v>
      </c>
      <c r="BR48" s="1537" t="s">
        <v>6017</v>
      </c>
      <c r="BS48" s="1531" t="s">
        <v>6018</v>
      </c>
      <c r="BT48" s="1532" t="s">
        <v>6019</v>
      </c>
      <c r="BU48" s="1525" t="s">
        <v>6020</v>
      </c>
      <c r="BV48" s="1531" t="s">
        <v>6021</v>
      </c>
      <c r="BW48" s="1233" t="s">
        <v>6022</v>
      </c>
      <c r="BX48" s="1237" t="s">
        <v>6023</v>
      </c>
      <c r="BY48" s="1241" t="s">
        <v>6024</v>
      </c>
      <c r="BZ48" s="206" t="s">
        <v>6025</v>
      </c>
    </row>
    <row r="49" spans="1:78" ht="15.75">
      <c r="A49" s="852"/>
      <c r="B49" s="863" t="s">
        <v>6026</v>
      </c>
      <c r="C49" s="1260" t="s">
        <v>6027</v>
      </c>
      <c r="D49" s="966"/>
      <c r="E49" s="2155" t="s">
        <v>8</v>
      </c>
      <c r="F49" s="864">
        <v>3</v>
      </c>
      <c r="G49" s="928"/>
      <c r="H49" s="1232"/>
      <c r="I49" s="1240"/>
      <c r="J49" s="907"/>
      <c r="K49" s="1240"/>
      <c r="L49" s="1355"/>
      <c r="M49" s="1236"/>
      <c r="N49" s="1240"/>
      <c r="O49" s="206">
        <f t="shared" si="22"/>
        <v>0</v>
      </c>
      <c r="P49" s="928"/>
      <c r="Q49" s="1232"/>
      <c r="R49" s="1240"/>
      <c r="S49" s="907"/>
      <c r="T49" s="1240"/>
      <c r="U49" s="1355"/>
      <c r="V49" s="1236"/>
      <c r="W49" s="1240"/>
      <c r="X49" s="206">
        <f t="shared" si="23"/>
        <v>0</v>
      </c>
      <c r="Y49" s="1873"/>
      <c r="AA49" s="770">
        <f t="shared" si="5"/>
        <v>0</v>
      </c>
      <c r="AB49" s="65"/>
      <c r="AC49" s="66"/>
      <c r="AD49" s="86">
        <f xml:space="preserve"> IF( AND(OR($C49 = "Capital expenditure purpose - WASTEWATER additional line 14 [Other categories]",$C49=""), OR( G49 &lt;&gt; 0, H49 &lt;&gt; 0, I49 &lt;&gt; 0, J49 &lt;&gt; 0, K49 &lt;&gt; 0, L49 &lt;&gt; 0, M49 &lt;&gt; 0, N49 &lt;&gt; 0, P49 &lt;&gt; 0, Q49 &lt;&gt; 0, R49 &lt;&gt; 0, S49 &lt;&gt; 0, T49 &lt;&gt; 0, U49 &lt;&gt; 0, V49 &lt;&gt; 0, W49 &lt;&gt; 0) ), 1, 0 )</f>
        <v>0</v>
      </c>
      <c r="AE49" s="86">
        <f t="shared" ref="AE49:AL49" si="32" xml:space="preserve"> IF(AND($C49="Capital expenditure purpose - WASTEWATER additional line 14 [Other categories]",$O49=0), 0, IF( ISNUMBER( G49 ), 0, 1 ))</f>
        <v>0</v>
      </c>
      <c r="AF49" s="86">
        <f t="shared" si="32"/>
        <v>0</v>
      </c>
      <c r="AG49" s="86">
        <f t="shared" si="32"/>
        <v>0</v>
      </c>
      <c r="AH49" s="86">
        <f t="shared" si="32"/>
        <v>0</v>
      </c>
      <c r="AI49" s="86">
        <f t="shared" si="32"/>
        <v>0</v>
      </c>
      <c r="AJ49" s="86">
        <f t="shared" si="32"/>
        <v>0</v>
      </c>
      <c r="AK49" s="86">
        <f t="shared" si="32"/>
        <v>0</v>
      </c>
      <c r="AL49" s="86">
        <f t="shared" si="32"/>
        <v>0</v>
      </c>
      <c r="AM49" s="113"/>
      <c r="AN49" s="86">
        <f t="shared" ref="AN49:AU49" si="33" xml:space="preserve"> IF(AND($C49="Capital expenditure purpose - WASTEWATER additional line 14 [Other categories]",$O49=0), 0, IF( ISNUMBER( P49 ), 0, 1 ))</f>
        <v>0</v>
      </c>
      <c r="AO49" s="86">
        <f t="shared" si="33"/>
        <v>0</v>
      </c>
      <c r="AP49" s="86">
        <f t="shared" si="33"/>
        <v>0</v>
      </c>
      <c r="AQ49" s="86">
        <f t="shared" si="33"/>
        <v>0</v>
      </c>
      <c r="AR49" s="86">
        <f t="shared" si="33"/>
        <v>0</v>
      </c>
      <c r="AS49" s="86">
        <f t="shared" si="33"/>
        <v>0</v>
      </c>
      <c r="AT49" s="86">
        <f t="shared" si="33"/>
        <v>0</v>
      </c>
      <c r="AU49" s="86">
        <f t="shared" si="33"/>
        <v>0</v>
      </c>
      <c r="AV49" s="66"/>
      <c r="BD49" s="863" t="s">
        <v>6026</v>
      </c>
      <c r="BE49" s="1512" t="s">
        <v>6028</v>
      </c>
      <c r="BF49" s="967"/>
      <c r="BG49" s="2155" t="s">
        <v>8</v>
      </c>
      <c r="BH49" s="864">
        <v>3</v>
      </c>
      <c r="BI49" s="1521" t="s">
        <v>6029</v>
      </c>
      <c r="BJ49" s="1531" t="s">
        <v>6030</v>
      </c>
      <c r="BK49" s="1532" t="s">
        <v>6031</v>
      </c>
      <c r="BL49" s="1525" t="s">
        <v>6032</v>
      </c>
      <c r="BM49" s="1531" t="s">
        <v>6033</v>
      </c>
      <c r="BN49" s="1233" t="s">
        <v>6034</v>
      </c>
      <c r="BO49" s="1237" t="s">
        <v>6035</v>
      </c>
      <c r="BP49" s="1241" t="s">
        <v>6036</v>
      </c>
      <c r="BQ49" s="206" t="s">
        <v>6037</v>
      </c>
      <c r="BR49" s="1537" t="s">
        <v>6038</v>
      </c>
      <c r="BS49" s="1531" t="s">
        <v>6039</v>
      </c>
      <c r="BT49" s="1532" t="s">
        <v>6040</v>
      </c>
      <c r="BU49" s="1525" t="s">
        <v>6041</v>
      </c>
      <c r="BV49" s="1531" t="s">
        <v>6042</v>
      </c>
      <c r="BW49" s="1233" t="s">
        <v>6043</v>
      </c>
      <c r="BX49" s="1237" t="s">
        <v>6044</v>
      </c>
      <c r="BY49" s="1241" t="s">
        <v>6045</v>
      </c>
      <c r="BZ49" s="206" t="s">
        <v>6046</v>
      </c>
    </row>
    <row r="50" spans="1:78" ht="16.5" thickBot="1">
      <c r="A50" s="852"/>
      <c r="B50" s="1261" t="s">
        <v>6047</v>
      </c>
      <c r="C50" s="910" t="s">
        <v>6048</v>
      </c>
      <c r="D50" s="873"/>
      <c r="E50" s="873" t="s">
        <v>8</v>
      </c>
      <c r="F50" s="874">
        <v>3</v>
      </c>
      <c r="G50" s="1230"/>
      <c r="H50" s="1234"/>
      <c r="I50" s="1242"/>
      <c r="J50" s="911"/>
      <c r="K50" s="1242"/>
      <c r="L50" s="1356"/>
      <c r="M50" s="1238"/>
      <c r="N50" s="1242"/>
      <c r="O50" s="912">
        <f t="shared" si="0"/>
        <v>0</v>
      </c>
      <c r="P50" s="1230"/>
      <c r="Q50" s="1234"/>
      <c r="R50" s="1242"/>
      <c r="S50" s="911"/>
      <c r="T50" s="1242"/>
      <c r="U50" s="1356"/>
      <c r="V50" s="1238"/>
      <c r="W50" s="1242"/>
      <c r="X50" s="912">
        <f t="shared" si="1"/>
        <v>0</v>
      </c>
      <c r="Y50" s="1874"/>
      <c r="AA50" s="770">
        <f t="shared" si="5"/>
        <v>0</v>
      </c>
      <c r="AB50" s="65"/>
      <c r="AC50" s="66"/>
      <c r="AD50" s="86">
        <f xml:space="preserve"> IF( AND(OR($C50 = "Capital expenditure purpose - WASTEWATER additional line 15 [Other categories]",$C50=""), OR( G50 &lt;&gt; 0, H50 &lt;&gt; 0, I50 &lt;&gt; 0, J50 &lt;&gt; 0, K50 &lt;&gt; 0, L50 &lt;&gt; 0, M50 &lt;&gt; 0, N50 &lt;&gt; 0, P50 &lt;&gt; 0, Q50 &lt;&gt; 0, R50 &lt;&gt; 0, S50 &lt;&gt; 0, T50 &lt;&gt; 0, U50 &lt;&gt; 0, V50 &lt;&gt; 0, W50 &lt;&gt; 0) ), 1, 0 )</f>
        <v>0</v>
      </c>
      <c r="AE50" s="86">
        <f t="shared" ref="AE50:AL50" si="34" xml:space="preserve"> IF(AND($C50="Capital expenditure purpose - WASTEWATER additional line 15 [Other categories]",$O50=0), 0, IF( ISNUMBER( G50 ), 0, 1 ))</f>
        <v>0</v>
      </c>
      <c r="AF50" s="86">
        <f t="shared" si="34"/>
        <v>0</v>
      </c>
      <c r="AG50" s="86">
        <f t="shared" si="34"/>
        <v>0</v>
      </c>
      <c r="AH50" s="86">
        <f t="shared" si="34"/>
        <v>0</v>
      </c>
      <c r="AI50" s="86">
        <f t="shared" si="34"/>
        <v>0</v>
      </c>
      <c r="AJ50" s="86">
        <f t="shared" si="34"/>
        <v>0</v>
      </c>
      <c r="AK50" s="86">
        <f t="shared" si="34"/>
        <v>0</v>
      </c>
      <c r="AL50" s="86">
        <f t="shared" si="34"/>
        <v>0</v>
      </c>
      <c r="AM50" s="113"/>
      <c r="AN50" s="86">
        <f t="shared" ref="AN50:AU50" si="35" xml:space="preserve"> IF(AND($C50="Capital expenditure purpose - WASTEWATER additional line 15 [Other categories]",$O50=0), 0, IF( ISNUMBER( P50 ), 0, 1 ))</f>
        <v>0</v>
      </c>
      <c r="AO50" s="86">
        <f t="shared" si="35"/>
        <v>0</v>
      </c>
      <c r="AP50" s="86">
        <f t="shared" si="35"/>
        <v>0</v>
      </c>
      <c r="AQ50" s="86">
        <f t="shared" si="35"/>
        <v>0</v>
      </c>
      <c r="AR50" s="86">
        <f t="shared" si="35"/>
        <v>0</v>
      </c>
      <c r="AS50" s="86">
        <f t="shared" si="35"/>
        <v>0</v>
      </c>
      <c r="AT50" s="86">
        <f t="shared" si="35"/>
        <v>0</v>
      </c>
      <c r="AU50" s="86">
        <f t="shared" si="35"/>
        <v>0</v>
      </c>
      <c r="AV50" s="66"/>
      <c r="BD50" s="1261" t="s">
        <v>6047</v>
      </c>
      <c r="BE50" s="1513" t="s">
        <v>6049</v>
      </c>
      <c r="BF50" s="873"/>
      <c r="BG50" s="873" t="s">
        <v>8</v>
      </c>
      <c r="BH50" s="874">
        <v>3</v>
      </c>
      <c r="BI50" s="1522" t="s">
        <v>6050</v>
      </c>
      <c r="BJ50" s="1533" t="s">
        <v>6051</v>
      </c>
      <c r="BK50" s="1534" t="s">
        <v>6052</v>
      </c>
      <c r="BL50" s="1526" t="s">
        <v>6053</v>
      </c>
      <c r="BM50" s="1533" t="s">
        <v>6054</v>
      </c>
      <c r="BN50" s="1234" t="s">
        <v>6055</v>
      </c>
      <c r="BO50" s="1238" t="s">
        <v>6056</v>
      </c>
      <c r="BP50" s="1242" t="s">
        <v>6057</v>
      </c>
      <c r="BQ50" s="912" t="s">
        <v>6058</v>
      </c>
      <c r="BR50" s="1538" t="s">
        <v>6059</v>
      </c>
      <c r="BS50" s="1533" t="s">
        <v>6060</v>
      </c>
      <c r="BT50" s="1534" t="s">
        <v>6061</v>
      </c>
      <c r="BU50" s="1526" t="s">
        <v>6062</v>
      </c>
      <c r="BV50" s="1533" t="s">
        <v>6063</v>
      </c>
      <c r="BW50" s="1234" t="s">
        <v>6064</v>
      </c>
      <c r="BX50" s="1238" t="s">
        <v>6065</v>
      </c>
      <c r="BY50" s="1242" t="s">
        <v>6066</v>
      </c>
      <c r="BZ50" s="912" t="s">
        <v>6067</v>
      </c>
    </row>
    <row r="51" spans="1:78" ht="23.1" customHeight="1" thickBot="1">
      <c r="A51" s="852"/>
      <c r="B51" s="877" t="s">
        <v>6068</v>
      </c>
      <c r="C51" s="878" t="s">
        <v>5173</v>
      </c>
      <c r="D51" s="873"/>
      <c r="E51" s="873" t="s">
        <v>8</v>
      </c>
      <c r="F51" s="874">
        <v>3</v>
      </c>
      <c r="G51" s="2030">
        <f>SUM(G8:G50)</f>
        <v>39.485388533754204</v>
      </c>
      <c r="H51" s="2034">
        <f>SUM(H8:H50)</f>
        <v>1.9584879207819048</v>
      </c>
      <c r="I51" s="2031">
        <f t="shared" ref="I51:M51" si="36">SUM(I8:I50)</f>
        <v>4.9055455734580353E-2</v>
      </c>
      <c r="J51" s="2149">
        <f t="shared" si="36"/>
        <v>137.44396456841173</v>
      </c>
      <c r="K51" s="2031">
        <f t="shared" si="36"/>
        <v>1.5735935090774205E-4</v>
      </c>
      <c r="L51" s="2032">
        <f t="shared" si="36"/>
        <v>1.1146693781922892E-2</v>
      </c>
      <c r="M51" s="2150">
        <f t="shared" si="36"/>
        <v>-1.2814380136091987</v>
      </c>
      <c r="N51" s="2031">
        <f>SUM(N8:N50)</f>
        <v>1.8985141618671128E-3</v>
      </c>
      <c r="O51" s="416">
        <f t="shared" si="0"/>
        <v>177.66866103236791</v>
      </c>
      <c r="P51" s="2149">
        <f>SUM(P8:P50)</f>
        <v>17.626960534232381</v>
      </c>
      <c r="Q51" s="2034">
        <f t="shared" ref="Q51:V51" si="37">SUM(Q8:Q50)</f>
        <v>1.2729997948725111</v>
      </c>
      <c r="R51" s="2031">
        <f t="shared" si="37"/>
        <v>4.9055455734580353E-2</v>
      </c>
      <c r="S51" s="2149">
        <f t="shared" si="37"/>
        <v>68.778475420014956</v>
      </c>
      <c r="T51" s="2031">
        <f t="shared" si="37"/>
        <v>1.566379311144877E-4</v>
      </c>
      <c r="U51" s="2032">
        <f t="shared" si="37"/>
        <v>1.1187623781922892E-2</v>
      </c>
      <c r="V51" s="2150">
        <f t="shared" si="37"/>
        <v>0.9428823153908017</v>
      </c>
      <c r="W51" s="2031">
        <f>SUM(W8:W50)</f>
        <v>2.136434161867113E-3</v>
      </c>
      <c r="X51" s="416">
        <f t="shared" si="1"/>
        <v>88.683854216120139</v>
      </c>
      <c r="Y51" s="1874"/>
      <c r="AA51" s="1164" t="str">
        <f>IF(SUM(AV51:AX51)&lt;&gt;0,$BA$51,IF(SUM(AV52:AX53)=0,0,$BA$52))</f>
        <v>Table 4M does not equal table 4E, please provide reasoning and reconciliation in your commentary</v>
      </c>
      <c r="AB51" s="65"/>
      <c r="AC51" s="66"/>
      <c r="AD51" s="65"/>
      <c r="AM51" s="113"/>
      <c r="AV51" s="66"/>
      <c r="AW51" s="86">
        <f xml:space="preserve"> IF( (AY51 - AZ51) = 0, 0, 1 )</f>
        <v>1</v>
      </c>
      <c r="AX51" s="114"/>
      <c r="AY51" s="105">
        <f>ROUND(O51,3)</f>
        <v>177.66900000000001</v>
      </c>
      <c r="AZ51" s="105">
        <f xml:space="preserve"> ROUND( ('4E'!O23+'4E'!O24+'4E'!O25), 3 )</f>
        <v>177.64599999999999</v>
      </c>
      <c r="BA51" s="24" t="s">
        <v>6069</v>
      </c>
      <c r="BB51" s="66"/>
      <c r="BD51" s="877" t="s">
        <v>6068</v>
      </c>
      <c r="BE51" s="1493" t="s">
        <v>5173</v>
      </c>
      <c r="BF51" s="873"/>
      <c r="BG51" s="873" t="s">
        <v>8</v>
      </c>
      <c r="BH51" s="874">
        <v>3</v>
      </c>
      <c r="BI51" s="1523" t="s">
        <v>6070</v>
      </c>
      <c r="BJ51" s="1535" t="s">
        <v>6071</v>
      </c>
      <c r="BK51" s="1536" t="s">
        <v>6072</v>
      </c>
      <c r="BL51" s="1527" t="s">
        <v>6073</v>
      </c>
      <c r="BM51" s="1535" t="s">
        <v>6074</v>
      </c>
      <c r="BN51" s="1222" t="s">
        <v>6075</v>
      </c>
      <c r="BO51" s="1223" t="s">
        <v>6076</v>
      </c>
      <c r="BP51" s="1243" t="s">
        <v>6077</v>
      </c>
      <c r="BQ51" s="416" t="s">
        <v>6078</v>
      </c>
      <c r="BR51" s="1539" t="s">
        <v>6079</v>
      </c>
      <c r="BS51" s="1535" t="s">
        <v>6080</v>
      </c>
      <c r="BT51" s="1536" t="s">
        <v>6081</v>
      </c>
      <c r="BU51" s="1527" t="s">
        <v>6082</v>
      </c>
      <c r="BV51" s="1535" t="s">
        <v>6083</v>
      </c>
      <c r="BW51" s="1222" t="s">
        <v>6084</v>
      </c>
      <c r="BX51" s="1223" t="s">
        <v>6085</v>
      </c>
      <c r="BY51" s="1243" t="s">
        <v>6086</v>
      </c>
      <c r="BZ51" s="416" t="s">
        <v>6087</v>
      </c>
    </row>
    <row r="52" spans="1:78" ht="15.75">
      <c r="A52" s="852"/>
      <c r="B52" s="852"/>
      <c r="C52" s="852"/>
      <c r="D52" s="852"/>
      <c r="E52" s="852"/>
      <c r="F52" s="852"/>
      <c r="G52" s="1348">
        <f>IF('4K'!G49=0,(IF(G51='4K'!G24+'4K'!G25+'4K'!G26,0,1)),0)</f>
        <v>0</v>
      </c>
      <c r="H52" s="1348">
        <f>IF('4K'!H49=0,(IF(H51='4K'!H24+'4K'!H25+'4K'!H26,0,1)),0)</f>
        <v>0</v>
      </c>
      <c r="I52" s="1348">
        <f>IF('4K'!I49=0,(IF(I51='4K'!I24+'4K'!I25+'4K'!I26,0,1)),0)</f>
        <v>0</v>
      </c>
      <c r="J52" s="1348">
        <f>IF('4K'!J49=0,(IF(J51='4K'!J24+'4K'!J25+'4K'!J26,0,1)),0)</f>
        <v>0</v>
      </c>
      <c r="K52" s="1348">
        <f>IF('4K'!K49=0,(IF(K51='4K'!K24+'4K'!K25+'4K'!K26,0,1)),0)</f>
        <v>0</v>
      </c>
      <c r="L52" s="1348">
        <f>IF('4K'!L49=0,(IF(L51='4K'!L24+'4K'!L25+'4K'!L26,0,1)),0)</f>
        <v>0</v>
      </c>
      <c r="M52" s="1348">
        <f>IF('4K'!M49=0,(IF(M51='4K'!M24+'4K'!M25+'4K'!M26,0,1)),0)</f>
        <v>0</v>
      </c>
      <c r="N52" s="1348">
        <f>IF('4K'!N49=0,(IF(N51='4K'!N24+'4K'!N25+'4K'!N26,0,1)),0)</f>
        <v>0</v>
      </c>
      <c r="O52" s="1362">
        <f>SUM(G52:N52)</f>
        <v>0</v>
      </c>
      <c r="AA52" s="884"/>
      <c r="AB52" s="885"/>
      <c r="AC52" s="66"/>
      <c r="AD52" s="65"/>
      <c r="AJ52" s="889"/>
      <c r="AK52" s="889"/>
      <c r="AL52" s="889"/>
      <c r="AM52" s="889"/>
      <c r="AN52" s="889"/>
      <c r="AO52" s="889"/>
      <c r="AP52" s="889"/>
      <c r="AQ52" s="889"/>
      <c r="AR52" s="889"/>
      <c r="AS52" s="889"/>
      <c r="AT52" s="889"/>
      <c r="AU52" s="889"/>
      <c r="AV52" s="66"/>
      <c r="AW52" s="86">
        <f xml:space="preserve"> IF( (AY52 - AZ52) = 0, 0, 1 )</f>
        <v>0</v>
      </c>
      <c r="AX52" s="114"/>
      <c r="AY52" s="105">
        <f>IF(AZ52=0,0,ROUND(O51,3))</f>
        <v>0</v>
      </c>
      <c r="AZ52" s="105">
        <f xml:space="preserve"> IF('4K'!O49 = 0,ROUND( ('4K'!O24+'4K'!O25+'4K'!O26), 3 ),0)</f>
        <v>0</v>
      </c>
      <c r="BA52" s="24" t="s">
        <v>6088</v>
      </c>
      <c r="BB52" s="66"/>
    </row>
    <row r="53" spans="1:78" ht="15.75">
      <c r="A53" s="852"/>
      <c r="B53" s="913" t="s">
        <v>275</v>
      </c>
      <c r="C53" s="2215"/>
      <c r="D53" s="2215"/>
      <c r="E53" s="852"/>
      <c r="F53" s="852"/>
      <c r="G53" s="852"/>
      <c r="H53" s="852"/>
      <c r="I53" s="852"/>
      <c r="J53" s="852"/>
      <c r="K53" s="852"/>
      <c r="L53" s="852"/>
      <c r="M53" s="852"/>
      <c r="N53" s="852"/>
      <c r="O53" s="852"/>
      <c r="AA53" s="103"/>
      <c r="AB53" s="103"/>
      <c r="AC53" s="1710"/>
      <c r="AD53" s="103"/>
      <c r="AE53" s="103"/>
      <c r="AF53" s="103"/>
      <c r="AG53" s="103"/>
      <c r="AH53" s="103"/>
      <c r="AI53" s="103"/>
      <c r="AJ53" s="890"/>
      <c r="AK53" s="890"/>
      <c r="AL53" s="890"/>
      <c r="AM53" s="890"/>
      <c r="AN53" s="890"/>
      <c r="AO53" s="890"/>
      <c r="AP53" s="890"/>
      <c r="AQ53" s="890"/>
      <c r="AR53" s="890"/>
      <c r="AS53" s="890"/>
      <c r="AT53" s="890"/>
      <c r="AU53" s="890"/>
      <c r="AV53" s="1715"/>
      <c r="AW53" s="890"/>
      <c r="AX53" s="1715"/>
    </row>
    <row r="54" spans="1:78" ht="15.75">
      <c r="A54" s="852"/>
      <c r="B54" s="881"/>
      <c r="C54" s="887"/>
      <c r="D54" s="887"/>
      <c r="E54" s="852"/>
      <c r="F54" s="852"/>
      <c r="G54" s="852"/>
      <c r="H54" s="852"/>
      <c r="I54" s="852"/>
      <c r="J54" s="852"/>
      <c r="K54" s="852"/>
      <c r="L54" s="852"/>
      <c r="M54" s="852"/>
      <c r="N54" s="852"/>
      <c r="O54" s="852"/>
      <c r="AA54" s="103"/>
      <c r="AB54" s="103"/>
      <c r="AC54" s="1710"/>
      <c r="AD54" s="103"/>
      <c r="AE54" s="103"/>
      <c r="AF54" s="103"/>
      <c r="AG54" s="103"/>
      <c r="AH54" s="103"/>
      <c r="AI54" s="103"/>
      <c r="AJ54" s="890"/>
      <c r="AK54" s="890"/>
      <c r="AL54" s="890"/>
      <c r="AM54" s="890"/>
      <c r="AN54" s="890"/>
      <c r="AO54" s="890"/>
      <c r="AP54" s="890"/>
      <c r="AQ54" s="890"/>
      <c r="AR54" s="890"/>
      <c r="AS54" s="890"/>
      <c r="AT54" s="890"/>
      <c r="AU54" s="890"/>
      <c r="AV54" s="1715"/>
    </row>
    <row r="55" spans="1:78" ht="15.75">
      <c r="A55" s="852"/>
      <c r="B55" s="827"/>
      <c r="C55" s="828" t="s">
        <v>249</v>
      </c>
      <c r="D55" s="828"/>
      <c r="E55" s="852"/>
      <c r="F55" s="852"/>
      <c r="G55" s="852"/>
      <c r="H55" s="852"/>
      <c r="I55" s="852"/>
      <c r="J55" s="852"/>
      <c r="K55" s="852"/>
      <c r="L55" s="852"/>
      <c r="M55" s="852"/>
      <c r="N55" s="852"/>
      <c r="O55" s="852"/>
      <c r="AA55" s="103"/>
      <c r="AB55" s="103"/>
      <c r="AC55" s="1710"/>
      <c r="AD55" s="103"/>
      <c r="AE55" s="103"/>
      <c r="AF55" s="103"/>
      <c r="AG55" s="103"/>
      <c r="AH55" s="103"/>
      <c r="AI55" s="103"/>
      <c r="AJ55" s="890"/>
      <c r="AK55" s="890"/>
      <c r="AL55" s="890"/>
      <c r="AM55" s="890"/>
      <c r="AN55" s="890"/>
      <c r="AO55" s="890"/>
      <c r="AP55" s="890"/>
      <c r="AQ55" s="890"/>
      <c r="AR55" s="890"/>
      <c r="AS55" s="890"/>
      <c r="AT55" s="890"/>
      <c r="AU55" s="890"/>
      <c r="AV55" s="1715"/>
    </row>
    <row r="56" spans="1:78" ht="15.75">
      <c r="A56" s="852"/>
      <c r="B56" s="281"/>
      <c r="C56" s="826"/>
      <c r="D56" s="826"/>
      <c r="E56" s="852"/>
      <c r="F56" s="852"/>
      <c r="G56" s="852"/>
      <c r="H56" s="852"/>
      <c r="I56" s="852"/>
      <c r="J56" s="852"/>
      <c r="K56" s="852"/>
      <c r="L56" s="852"/>
      <c r="M56" s="852"/>
      <c r="N56" s="852"/>
      <c r="O56" s="852"/>
      <c r="AA56" s="103"/>
      <c r="AB56" s="103"/>
      <c r="AC56" s="1710"/>
      <c r="AD56" s="103"/>
      <c r="AE56" s="103"/>
      <c r="AF56" s="103"/>
      <c r="AG56" s="103"/>
      <c r="AH56" s="103"/>
      <c r="AI56" s="103"/>
      <c r="AJ56" s="890"/>
      <c r="AK56" s="890"/>
      <c r="AL56" s="890"/>
      <c r="AM56" s="890"/>
      <c r="AN56" s="890"/>
      <c r="AO56" s="890"/>
      <c r="AP56" s="890"/>
      <c r="AQ56" s="890"/>
      <c r="AR56" s="890"/>
      <c r="AS56" s="890"/>
      <c r="AT56" s="890"/>
      <c r="AU56" s="890"/>
      <c r="AV56" s="1715"/>
    </row>
    <row r="57" spans="1:78" ht="15.75">
      <c r="A57" s="852"/>
      <c r="B57" s="829"/>
      <c r="C57" s="828" t="s">
        <v>4621</v>
      </c>
      <c r="D57" s="828"/>
      <c r="E57" s="852"/>
      <c r="F57" s="852"/>
      <c r="G57" s="852"/>
      <c r="H57" s="852"/>
      <c r="I57" s="852"/>
      <c r="J57" s="852"/>
      <c r="K57" s="852"/>
      <c r="L57" s="852"/>
      <c r="M57" s="852"/>
      <c r="N57" s="852"/>
      <c r="O57" s="852"/>
      <c r="AA57" s="103"/>
      <c r="AB57" s="103"/>
      <c r="AC57" s="1710"/>
      <c r="AD57" s="103"/>
      <c r="AE57" s="103"/>
      <c r="AF57" s="103"/>
      <c r="AG57" s="103"/>
      <c r="AH57" s="103"/>
      <c r="AI57" s="103"/>
      <c r="AJ57" s="890"/>
      <c r="AK57" s="890"/>
      <c r="AL57" s="890"/>
      <c r="AM57" s="890"/>
      <c r="AN57" s="890"/>
      <c r="AO57" s="890"/>
      <c r="AP57" s="890"/>
      <c r="AQ57" s="890"/>
      <c r="AR57" s="890"/>
      <c r="AS57" s="890"/>
      <c r="AT57" s="890"/>
      <c r="AU57" s="890"/>
      <c r="AV57" s="1715"/>
    </row>
    <row r="58" spans="1:78" ht="15.75">
      <c r="A58" s="852"/>
      <c r="B58" s="852"/>
      <c r="C58" s="852"/>
      <c r="D58" s="852"/>
      <c r="E58" s="852"/>
      <c r="F58" s="852"/>
      <c r="G58" s="852"/>
      <c r="H58" s="852"/>
      <c r="I58" s="852"/>
      <c r="J58" s="852"/>
      <c r="K58" s="852"/>
      <c r="L58" s="852"/>
      <c r="M58" s="852"/>
      <c r="N58" s="852"/>
      <c r="O58" s="852"/>
      <c r="AA58" s="103"/>
      <c r="AB58" s="103"/>
      <c r="AC58" s="1710"/>
      <c r="AD58" s="103"/>
      <c r="AE58" s="103"/>
      <c r="AF58" s="103"/>
      <c r="AG58" s="103"/>
      <c r="AH58" s="103"/>
      <c r="AI58" s="103"/>
      <c r="AJ58" s="890"/>
      <c r="AK58" s="890"/>
      <c r="AL58" s="890"/>
      <c r="AM58" s="890"/>
      <c r="AN58" s="890"/>
      <c r="AO58" s="890"/>
      <c r="AP58" s="890"/>
      <c r="AQ58" s="890"/>
      <c r="AR58" s="890"/>
      <c r="AS58" s="890"/>
      <c r="AT58" s="890"/>
      <c r="AU58" s="890"/>
      <c r="AV58" s="1715"/>
    </row>
    <row r="59" spans="1:78" ht="16.5" thickBot="1">
      <c r="A59" s="852"/>
      <c r="B59" s="852"/>
      <c r="C59" s="852"/>
      <c r="D59" s="852"/>
      <c r="E59" s="852"/>
      <c r="F59" s="852"/>
      <c r="G59" s="852"/>
      <c r="H59" s="852"/>
      <c r="I59" s="852"/>
      <c r="J59" s="852"/>
      <c r="K59" s="852"/>
      <c r="L59" s="852"/>
      <c r="M59" s="852"/>
      <c r="N59" s="852"/>
      <c r="O59" s="852"/>
      <c r="AA59" s="103"/>
      <c r="AB59" s="103"/>
      <c r="AC59" s="1710"/>
      <c r="AD59" s="103"/>
      <c r="AE59" s="103"/>
      <c r="AF59" s="103"/>
      <c r="AG59" s="103"/>
      <c r="AH59" s="103"/>
      <c r="AI59" s="103"/>
      <c r="AJ59" s="890"/>
      <c r="AK59" s="890"/>
      <c r="AL59" s="890"/>
      <c r="AM59" s="890"/>
      <c r="AN59" s="890"/>
      <c r="AO59" s="890"/>
      <c r="AP59" s="890"/>
      <c r="AQ59" s="890"/>
      <c r="AR59" s="890"/>
      <c r="AS59" s="890"/>
      <c r="AT59" s="890"/>
      <c r="AU59" s="890"/>
      <c r="AV59" s="1715"/>
    </row>
    <row r="60" spans="1:78" ht="16.5" thickBot="1">
      <c r="A60" s="852"/>
      <c r="B60" s="2383" t="s">
        <v>251</v>
      </c>
      <c r="C60" s="2581"/>
      <c r="D60" s="2581"/>
      <c r="E60" s="2581"/>
      <c r="F60" s="2581"/>
      <c r="G60" s="2581"/>
      <c r="H60" s="2581"/>
      <c r="I60" s="2581"/>
      <c r="J60" s="2581"/>
      <c r="K60" s="2581"/>
      <c r="L60" s="2581"/>
      <c r="M60" s="2581"/>
      <c r="N60" s="2581"/>
      <c r="O60" s="2582"/>
      <c r="AA60" s="103"/>
      <c r="AB60" s="103"/>
      <c r="AC60" s="1710"/>
      <c r="AD60" s="103"/>
      <c r="AE60" s="103"/>
      <c r="AF60" s="103"/>
      <c r="AG60" s="103"/>
      <c r="AH60" s="103"/>
      <c r="AI60" s="103"/>
      <c r="AJ60" s="890"/>
      <c r="AK60" s="890"/>
      <c r="AL60" s="890"/>
      <c r="AM60" s="890"/>
      <c r="AN60" s="890"/>
      <c r="AO60" s="890"/>
      <c r="AP60" s="890"/>
      <c r="AQ60" s="890"/>
      <c r="AR60" s="890"/>
      <c r="AS60" s="890"/>
      <c r="AT60" s="890"/>
      <c r="AU60" s="890"/>
      <c r="AV60" s="1715"/>
    </row>
    <row r="61" spans="1:78" ht="15.75">
      <c r="A61" s="852"/>
      <c r="B61" s="852"/>
      <c r="C61" s="852"/>
      <c r="D61" s="852"/>
      <c r="E61" s="852"/>
      <c r="F61" s="852"/>
      <c r="G61" s="852"/>
      <c r="H61" s="852"/>
      <c r="I61" s="852"/>
      <c r="J61" s="852"/>
      <c r="K61" s="852"/>
      <c r="L61" s="852"/>
      <c r="M61" s="852"/>
      <c r="N61" s="852"/>
      <c r="O61" s="852"/>
      <c r="AA61" s="103"/>
      <c r="AB61" s="103"/>
      <c r="AC61" s="1710"/>
      <c r="AD61" s="103"/>
      <c r="AE61" s="103"/>
      <c r="AF61" s="103"/>
      <c r="AG61" s="103"/>
      <c r="AH61" s="103"/>
      <c r="AI61" s="103"/>
      <c r="AJ61" s="890"/>
      <c r="AK61" s="890"/>
      <c r="AL61" s="890"/>
      <c r="AM61" s="890"/>
      <c r="AN61" s="890"/>
      <c r="AO61" s="890"/>
      <c r="AP61" s="890"/>
      <c r="AQ61" s="890"/>
      <c r="AR61" s="890"/>
      <c r="AS61" s="890"/>
      <c r="AT61" s="890"/>
      <c r="AU61" s="890"/>
      <c r="AV61" s="1715"/>
    </row>
  </sheetData>
  <sheetProtection password="C460" sheet="1" objects="1" scenarios="1"/>
  <mergeCells count="27">
    <mergeCell ref="BR3:BZ3"/>
    <mergeCell ref="BI4:BK4"/>
    <mergeCell ref="BL4:BM4"/>
    <mergeCell ref="BN4:BP4"/>
    <mergeCell ref="BQ4:BQ5"/>
    <mergeCell ref="BR4:BT4"/>
    <mergeCell ref="BU4:BV4"/>
    <mergeCell ref="BW4:BY4"/>
    <mergeCell ref="BZ4:BZ5"/>
    <mergeCell ref="BI3:BQ3"/>
    <mergeCell ref="AA3:AA5"/>
    <mergeCell ref="G4:I4"/>
    <mergeCell ref="J4:K4"/>
    <mergeCell ref="L4:N4"/>
    <mergeCell ref="O4:O5"/>
    <mergeCell ref="P4:R4"/>
    <mergeCell ref="S4:T4"/>
    <mergeCell ref="G3:O3"/>
    <mergeCell ref="P3:X3"/>
    <mergeCell ref="Y3:Y5"/>
    <mergeCell ref="U4:W4"/>
    <mergeCell ref="X4:X5"/>
    <mergeCell ref="B60:O60"/>
    <mergeCell ref="E3:E5"/>
    <mergeCell ref="F3:F5"/>
    <mergeCell ref="B3:C5"/>
    <mergeCell ref="D3:D5"/>
  </mergeCells>
  <conditionalFormatting sqref="AA8:AA50">
    <cfRule type="cellIs" dxfId="74" priority="5" operator="equal">
      <formula>0</formula>
    </cfRule>
  </conditionalFormatting>
  <conditionalFormatting sqref="AA10:AA50">
    <cfRule type="cellIs" dxfId="73" priority="7" operator="equal">
      <formula>$BA$36</formula>
    </cfRule>
  </conditionalFormatting>
  <conditionalFormatting sqref="AA51">
    <cfRule type="cellIs" dxfId="7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EC577C40-4025-4E99-A4C8-E2EDCBAF105F}">
            <xm:f>Validation!$H$3=1</xm:f>
            <x14:dxf>
              <fill>
                <patternFill>
                  <bgColor theme="2"/>
                </patternFill>
              </fill>
            </x14:dxf>
          </x14:cfRule>
          <xm:sqref>G8:Y38 G40:Y51 O39 X39:Y39</xm:sqref>
        </x14:conditionalFormatting>
        <x14:conditionalFormatting xmlns:xm="http://schemas.microsoft.com/office/excel/2006/main">
          <x14:cfRule type="containsText" priority="6" operator="containsText" id="{7D0D2DFB-7E25-4999-9455-62F30A369F59}">
            <xm:f>NOT(ISERROR(SEARCH($AE$5,AA8)))</xm:f>
            <xm:f>$AE$5</xm:f>
            <x14:dxf>
              <fill>
                <patternFill>
                  <bgColor rgb="FFFF0000"/>
                </patternFill>
              </fill>
            </x14:dxf>
          </x14:cfRule>
          <xm:sqref>AA8:AA50</xm:sqref>
        </x14:conditionalFormatting>
        <x14:conditionalFormatting xmlns:xm="http://schemas.microsoft.com/office/excel/2006/main">
          <x14:cfRule type="expression" priority="1" id="{AE14522F-FDA8-42A3-BD36-B9994B635A63}">
            <xm:f>Validation!$H$3=1</xm:f>
            <x14:dxf>
              <fill>
                <patternFill>
                  <bgColor theme="2"/>
                </patternFill>
              </fill>
            </x14:dxf>
          </x14:cfRule>
          <xm:sqref>BI8:BZ51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Z34"/>
  <sheetViews>
    <sheetView showGridLines="0" zoomScale="80" zoomScaleNormal="80" workbookViewId="0">
      <selection activeCell="G10" sqref="G10"/>
    </sheetView>
  </sheetViews>
  <sheetFormatPr defaultColWidth="0" defaultRowHeight="14.25"/>
  <cols>
    <col min="1" max="1" width="0.625" customWidth="1"/>
    <col min="2" max="2" width="8.625" customWidth="1"/>
    <col min="3" max="3" width="54.625" customWidth="1"/>
    <col min="4" max="4" width="4.125" hidden="1" customWidth="1"/>
    <col min="5" max="6" width="8.625" customWidth="1"/>
    <col min="7" max="9" width="10.125" customWidth="1"/>
    <col min="10" max="10" width="38.625" customWidth="1"/>
    <col min="11" max="11" width="2.5" customWidth="1"/>
    <col min="12" max="12" width="21.125" customWidth="1"/>
    <col min="13" max="13" width="2.625" customWidth="1"/>
    <col min="14" max="14" width="1.625" style="66" hidden="1" customWidth="1"/>
    <col min="15" max="16" width="8.125" hidden="1" customWidth="1"/>
    <col min="17" max="17" width="1.625" style="66" hidden="1" customWidth="1"/>
    <col min="18" max="18" width="2.625" hidden="1" customWidth="1"/>
    <col min="19" max="19" width="8.625" hidden="1" customWidth="1"/>
    <col min="20" max="20" width="48.5" hidden="1" customWidth="1"/>
    <col min="21" max="21" width="12.125" hidden="1" customWidth="1"/>
    <col min="22" max="23" width="8.625" hidden="1" customWidth="1"/>
    <col min="24" max="24" width="14" hidden="1" customWidth="1"/>
    <col min="25" max="25" width="13.625" hidden="1" customWidth="1"/>
    <col min="26" max="26" width="11.625" hidden="1" customWidth="1"/>
    <col min="27" max="16384" width="8.625" hidden="1"/>
  </cols>
  <sheetData>
    <row r="1" spans="1:26" ht="20.25">
      <c r="A1" s="852"/>
      <c r="B1" s="61" t="s">
        <v>6089</v>
      </c>
      <c r="C1" s="61"/>
      <c r="D1" s="61"/>
      <c r="E1" s="61"/>
      <c r="F1" s="61"/>
      <c r="G1" s="61"/>
      <c r="H1" s="61"/>
      <c r="I1" s="61"/>
      <c r="J1" s="63" t="str">
        <f>Validation!B3</f>
        <v>Thames Water</v>
      </c>
      <c r="K1" s="61"/>
      <c r="L1" s="64" t="s">
        <v>94</v>
      </c>
      <c r="M1" s="65"/>
      <c r="O1" s="65"/>
      <c r="P1" s="65"/>
      <c r="S1" s="61" t="s">
        <v>6089</v>
      </c>
      <c r="T1" s="61"/>
      <c r="U1" s="61"/>
      <c r="V1" s="61"/>
      <c r="W1" s="61"/>
      <c r="X1" s="61"/>
      <c r="Y1" s="61"/>
      <c r="Z1" s="61"/>
    </row>
    <row r="2" spans="1:26" ht="16.5" thickBot="1">
      <c r="A2" s="852"/>
      <c r="B2" s="68" t="s">
        <v>80</v>
      </c>
      <c r="C2" s="852"/>
      <c r="D2" s="852"/>
      <c r="E2" s="852"/>
      <c r="F2" s="852"/>
      <c r="G2" s="852"/>
      <c r="H2" s="852"/>
      <c r="I2" s="852"/>
      <c r="J2" s="852"/>
      <c r="K2" s="852"/>
      <c r="L2" s="65"/>
      <c r="M2" s="65"/>
      <c r="O2" s="65"/>
      <c r="P2" s="65"/>
      <c r="S2" s="68" t="s">
        <v>80</v>
      </c>
      <c r="T2" s="852"/>
      <c r="U2" s="852"/>
      <c r="V2" s="852"/>
      <c r="W2" s="852"/>
      <c r="X2" s="852"/>
      <c r="Y2" s="852"/>
      <c r="Z2" s="852"/>
    </row>
    <row r="3" spans="1:26" ht="16.5" thickBot="1">
      <c r="A3" s="852"/>
      <c r="B3" s="2428" t="s">
        <v>96</v>
      </c>
      <c r="C3" s="2429"/>
      <c r="D3" s="855" t="s">
        <v>2690</v>
      </c>
      <c r="E3" s="855" t="s">
        <v>3</v>
      </c>
      <c r="F3" s="897" t="s">
        <v>99</v>
      </c>
      <c r="G3" s="160" t="s">
        <v>2817</v>
      </c>
      <c r="H3" s="301" t="s">
        <v>749</v>
      </c>
      <c r="I3" s="161" t="s">
        <v>680</v>
      </c>
      <c r="J3" s="162" t="s">
        <v>3938</v>
      </c>
      <c r="K3" s="914"/>
      <c r="L3" s="162" t="s">
        <v>103</v>
      </c>
      <c r="M3" s="65"/>
      <c r="O3" s="543" t="s">
        <v>107</v>
      </c>
      <c r="P3" s="543"/>
      <c r="S3" s="896" t="s">
        <v>4255</v>
      </c>
      <c r="T3" s="854" t="s">
        <v>2</v>
      </c>
      <c r="U3" s="855" t="s">
        <v>2690</v>
      </c>
      <c r="V3" s="855" t="s">
        <v>3</v>
      </c>
      <c r="W3" s="897" t="s">
        <v>99</v>
      </c>
      <c r="X3" s="160" t="s">
        <v>2817</v>
      </c>
      <c r="Y3" s="301" t="s">
        <v>749</v>
      </c>
      <c r="Z3" s="161" t="s">
        <v>680</v>
      </c>
    </row>
    <row r="4" spans="1:26" ht="16.5" thickBot="1">
      <c r="A4" s="852"/>
      <c r="B4" s="915"/>
      <c r="C4" s="916"/>
      <c r="D4" s="852"/>
      <c r="E4" s="852"/>
      <c r="F4" s="852"/>
      <c r="G4" s="852"/>
      <c r="H4" s="852"/>
      <c r="I4" s="852"/>
      <c r="J4" s="852"/>
      <c r="K4" s="852"/>
      <c r="L4" s="852"/>
      <c r="M4" s="65"/>
      <c r="O4" s="78" t="s">
        <v>6090</v>
      </c>
      <c r="P4" s="78" t="s">
        <v>6091</v>
      </c>
      <c r="S4" s="915"/>
      <c r="T4" s="916"/>
      <c r="U4" s="852"/>
      <c r="V4" s="852"/>
      <c r="W4" s="852"/>
      <c r="X4" s="852"/>
      <c r="Y4" s="852"/>
      <c r="Z4" s="852"/>
    </row>
    <row r="5" spans="1:26" ht="15.75">
      <c r="A5" s="917"/>
      <c r="B5" s="918" t="s">
        <v>6092</v>
      </c>
      <c r="C5" s="919" t="s">
        <v>6093</v>
      </c>
      <c r="D5" s="1564"/>
      <c r="E5" s="920" t="s">
        <v>12</v>
      </c>
      <c r="F5" s="921">
        <v>3</v>
      </c>
      <c r="G5" s="922">
        <v>722.76616870543273</v>
      </c>
      <c r="H5" s="1856"/>
      <c r="I5" s="923">
        <f>+SUM(G5:H5)</f>
        <v>722.76616870543273</v>
      </c>
      <c r="J5" s="1875"/>
      <c r="K5" s="852"/>
      <c r="L5" s="770">
        <f xml:space="preserve"> IF(O5 &lt;&gt; 0, $O$4, IF(P5 = 1, $P$4,0))</f>
        <v>0</v>
      </c>
      <c r="M5" s="65"/>
      <c r="O5" s="86">
        <f>IF(Validation!$H$3=1,0,IF(ISNUMBER(G5),0,1))</f>
        <v>0</v>
      </c>
      <c r="P5" s="86">
        <f>IF(Validation!$H$3=1,0,IF(ISNUMBER(H5),1,0))</f>
        <v>0</v>
      </c>
      <c r="S5" s="918" t="s">
        <v>6092</v>
      </c>
      <c r="T5" s="919" t="s">
        <v>6093</v>
      </c>
      <c r="U5" s="1564" t="s">
        <v>6094</v>
      </c>
      <c r="V5" s="920" t="s">
        <v>12</v>
      </c>
      <c r="W5" s="921">
        <v>3</v>
      </c>
      <c r="X5" s="922" t="s">
        <v>6095</v>
      </c>
      <c r="Y5" s="1239" t="s">
        <v>6096</v>
      </c>
      <c r="Z5" s="923" t="s">
        <v>6094</v>
      </c>
    </row>
    <row r="6" spans="1:26" ht="15.75">
      <c r="A6" s="917"/>
      <c r="B6" s="924" t="s">
        <v>6097</v>
      </c>
      <c r="C6" s="925" t="s">
        <v>6098</v>
      </c>
      <c r="D6" s="1565"/>
      <c r="E6" s="926" t="s">
        <v>12</v>
      </c>
      <c r="F6" s="927">
        <v>3</v>
      </c>
      <c r="G6" s="928">
        <v>816.10529930312305</v>
      </c>
      <c r="H6" s="1857"/>
      <c r="I6" s="1860">
        <f t="shared" ref="I6:I16" si="0">+SUM(G6:H6)</f>
        <v>816.10529930312305</v>
      </c>
      <c r="J6" s="1876"/>
      <c r="K6" s="852"/>
      <c r="L6" s="770">
        <f t="shared" ref="L6:L16" si="1" xml:space="preserve"> IF(O6 &lt;&gt; 0, $O$4, IF(P6 = 1, $P$4,0))</f>
        <v>0</v>
      </c>
      <c r="M6" s="65"/>
      <c r="O6" s="86">
        <f>IF(Validation!$H$3=1,0,IF(ISNUMBER(G6),0,1))</f>
        <v>0</v>
      </c>
      <c r="P6" s="86">
        <f>IF(Validation!$H$3=1,0,IF(ISNUMBER(H6),1,0))</f>
        <v>0</v>
      </c>
      <c r="S6" s="924" t="s">
        <v>6097</v>
      </c>
      <c r="T6" s="925" t="s">
        <v>6098</v>
      </c>
      <c r="U6" s="1565" t="s">
        <v>6099</v>
      </c>
      <c r="V6" s="926" t="s">
        <v>12</v>
      </c>
      <c r="W6" s="927">
        <v>3</v>
      </c>
      <c r="X6" s="928" t="s">
        <v>6100</v>
      </c>
      <c r="Y6" s="1240" t="s">
        <v>6101</v>
      </c>
      <c r="Z6" s="929" t="s">
        <v>6099</v>
      </c>
    </row>
    <row r="7" spans="1:26" ht="15.75">
      <c r="A7" s="917"/>
      <c r="B7" s="924" t="s">
        <v>6102</v>
      </c>
      <c r="C7" s="925" t="s">
        <v>6103</v>
      </c>
      <c r="D7" s="1565"/>
      <c r="E7" s="926" t="s">
        <v>12</v>
      </c>
      <c r="F7" s="927">
        <v>3</v>
      </c>
      <c r="G7" s="928">
        <v>2398.398778709784</v>
      </c>
      <c r="H7" s="1857"/>
      <c r="I7" s="1860">
        <f t="shared" si="0"/>
        <v>2398.398778709784</v>
      </c>
      <c r="J7" s="1876"/>
      <c r="K7" s="852"/>
      <c r="L7" s="770">
        <f t="shared" si="1"/>
        <v>0</v>
      </c>
      <c r="M7" s="65"/>
      <c r="O7" s="86">
        <f>IF(Validation!$H$3=1,0,IF(ISNUMBER(G7),0,1))</f>
        <v>0</v>
      </c>
      <c r="P7" s="86">
        <f>IF(Validation!$H$3=1,0,IF(ISNUMBER(H7),1,0))</f>
        <v>0</v>
      </c>
      <c r="S7" s="924" t="s">
        <v>6102</v>
      </c>
      <c r="T7" s="925" t="s">
        <v>6103</v>
      </c>
      <c r="U7" s="1565" t="s">
        <v>6104</v>
      </c>
      <c r="V7" s="926" t="s">
        <v>12</v>
      </c>
      <c r="W7" s="927">
        <v>3</v>
      </c>
      <c r="X7" s="928" t="s">
        <v>6105</v>
      </c>
      <c r="Y7" s="1240" t="s">
        <v>6106</v>
      </c>
      <c r="Z7" s="929" t="s">
        <v>6104</v>
      </c>
    </row>
    <row r="8" spans="1:26" ht="15.75">
      <c r="A8" s="917"/>
      <c r="B8" s="924" t="s">
        <v>6107</v>
      </c>
      <c r="C8" s="925" t="s">
        <v>6108</v>
      </c>
      <c r="D8" s="1565"/>
      <c r="E8" s="926" t="s">
        <v>12</v>
      </c>
      <c r="F8" s="927">
        <v>3</v>
      </c>
      <c r="G8" s="928">
        <v>7216.9712611100304</v>
      </c>
      <c r="H8" s="1857"/>
      <c r="I8" s="1860">
        <f t="shared" si="0"/>
        <v>7216.9712611100304</v>
      </c>
      <c r="J8" s="1876"/>
      <c r="K8" s="852"/>
      <c r="L8" s="770">
        <f t="shared" si="1"/>
        <v>0</v>
      </c>
      <c r="M8" s="65"/>
      <c r="O8" s="86">
        <f>IF(Validation!$H$3=1,0,IF(ISNUMBER(G8),0,1))</f>
        <v>0</v>
      </c>
      <c r="P8" s="86">
        <f>IF(Validation!$H$3=1,0,IF(ISNUMBER(H8),1,0))</f>
        <v>0</v>
      </c>
      <c r="S8" s="924" t="s">
        <v>6107</v>
      </c>
      <c r="T8" s="925" t="s">
        <v>6108</v>
      </c>
      <c r="U8" s="1565" t="s">
        <v>6109</v>
      </c>
      <c r="V8" s="926" t="s">
        <v>12</v>
      </c>
      <c r="W8" s="927">
        <v>3</v>
      </c>
      <c r="X8" s="928" t="s">
        <v>6110</v>
      </c>
      <c r="Y8" s="1240" t="s">
        <v>6111</v>
      </c>
      <c r="Z8" s="929" t="s">
        <v>6109</v>
      </c>
    </row>
    <row r="9" spans="1:26" ht="15.75">
      <c r="A9" s="917"/>
      <c r="B9" s="924" t="s">
        <v>6112</v>
      </c>
      <c r="C9" s="925" t="s">
        <v>6113</v>
      </c>
      <c r="D9" s="1565"/>
      <c r="E9" s="926" t="s">
        <v>12</v>
      </c>
      <c r="F9" s="927">
        <v>3</v>
      </c>
      <c r="G9" s="928">
        <v>8006.7554543901133</v>
      </c>
      <c r="H9" s="1857"/>
      <c r="I9" s="1860">
        <f t="shared" si="0"/>
        <v>8006.7554543901133</v>
      </c>
      <c r="J9" s="1876"/>
      <c r="K9" s="852"/>
      <c r="L9" s="770">
        <f t="shared" si="1"/>
        <v>0</v>
      </c>
      <c r="M9" s="65"/>
      <c r="O9" s="86">
        <f>IF(Validation!$H$3=1,0,IF(ISNUMBER(G9),0,1))</f>
        <v>0</v>
      </c>
      <c r="P9" s="86">
        <f>IF(Validation!$H$3=1,0,IF(ISNUMBER(H9),1,0))</f>
        <v>0</v>
      </c>
      <c r="S9" s="924" t="s">
        <v>6112</v>
      </c>
      <c r="T9" s="925" t="s">
        <v>6113</v>
      </c>
      <c r="U9" s="1565" t="s">
        <v>6114</v>
      </c>
      <c r="V9" s="926" t="s">
        <v>12</v>
      </c>
      <c r="W9" s="927">
        <v>3</v>
      </c>
      <c r="X9" s="928" t="s">
        <v>6115</v>
      </c>
      <c r="Y9" s="1240" t="s">
        <v>6116</v>
      </c>
      <c r="Z9" s="929" t="s">
        <v>6114</v>
      </c>
    </row>
    <row r="10" spans="1:26" ht="15.75">
      <c r="A10" s="917"/>
      <c r="B10" s="924" t="s">
        <v>6117</v>
      </c>
      <c r="C10" s="925" t="s">
        <v>6118</v>
      </c>
      <c r="D10" s="1565"/>
      <c r="E10" s="926" t="s">
        <v>12</v>
      </c>
      <c r="F10" s="927">
        <v>3</v>
      </c>
      <c r="G10" s="928">
        <v>2894.3406080307909</v>
      </c>
      <c r="H10" s="1857"/>
      <c r="I10" s="1860">
        <f t="shared" si="0"/>
        <v>2894.3406080307909</v>
      </c>
      <c r="J10" s="1876"/>
      <c r="K10" s="852"/>
      <c r="L10" s="770">
        <f t="shared" si="1"/>
        <v>0</v>
      </c>
      <c r="M10" s="65"/>
      <c r="O10" s="86">
        <f>IF(Validation!$H$3=1,0,IF(ISNUMBER(G10),0,1))</f>
        <v>0</v>
      </c>
      <c r="P10" s="86">
        <f>IF(Validation!$H$3=1,0,IF(ISNUMBER(H10),1,0))</f>
        <v>0</v>
      </c>
      <c r="S10" s="924" t="s">
        <v>6117</v>
      </c>
      <c r="T10" s="925" t="s">
        <v>6118</v>
      </c>
      <c r="U10" s="1565" t="s">
        <v>6119</v>
      </c>
      <c r="V10" s="926" t="s">
        <v>12</v>
      </c>
      <c r="W10" s="927">
        <v>3</v>
      </c>
      <c r="X10" s="928" t="s">
        <v>6120</v>
      </c>
      <c r="Y10" s="1240" t="s">
        <v>6121</v>
      </c>
      <c r="Z10" s="929" t="s">
        <v>6119</v>
      </c>
    </row>
    <row r="11" spans="1:26" ht="15.75">
      <c r="A11" s="917"/>
      <c r="B11" s="924" t="s">
        <v>6122</v>
      </c>
      <c r="C11" s="925" t="s">
        <v>6123</v>
      </c>
      <c r="D11" s="1565"/>
      <c r="E11" s="926" t="s">
        <v>12</v>
      </c>
      <c r="F11" s="927">
        <v>3</v>
      </c>
      <c r="G11" s="1860">
        <f>SUM('4O'!G18:CH18)</f>
        <v>129041.72514909634</v>
      </c>
      <c r="H11" s="1857"/>
      <c r="I11" s="1860">
        <f t="shared" si="0"/>
        <v>129041.72514909634</v>
      </c>
      <c r="J11" s="1876"/>
      <c r="K11" s="852"/>
      <c r="L11" s="770">
        <f t="shared" si="1"/>
        <v>0</v>
      </c>
      <c r="M11" s="65"/>
      <c r="O11" s="86">
        <f>IF(Validation!$H$3=1,0,IF(ISNUMBER(G11),0,1))</f>
        <v>0</v>
      </c>
      <c r="P11" s="86">
        <f>IF(Validation!$H$3=1,0,IF(ISNUMBER(H11),1,0))</f>
        <v>0</v>
      </c>
      <c r="S11" s="924" t="s">
        <v>6122</v>
      </c>
      <c r="T11" s="925" t="s">
        <v>6123</v>
      </c>
      <c r="U11" s="1565" t="s">
        <v>6124</v>
      </c>
      <c r="V11" s="926" t="s">
        <v>12</v>
      </c>
      <c r="W11" s="927">
        <v>3</v>
      </c>
      <c r="X11" s="929" t="s">
        <v>6125</v>
      </c>
      <c r="Y11" s="1240" t="s">
        <v>6126</v>
      </c>
      <c r="Z11" s="929" t="s">
        <v>6124</v>
      </c>
    </row>
    <row r="12" spans="1:26" ht="15.75">
      <c r="A12" s="917"/>
      <c r="B12" s="924" t="s">
        <v>6127</v>
      </c>
      <c r="C12" s="925" t="s">
        <v>6128</v>
      </c>
      <c r="D12" s="1566"/>
      <c r="E12" s="926" t="s">
        <v>12</v>
      </c>
      <c r="F12" s="927">
        <v>3</v>
      </c>
      <c r="G12" s="1860">
        <f>SUM('4O'!G19:CH19)</f>
        <v>19783.06666212991</v>
      </c>
      <c r="H12" s="1857"/>
      <c r="I12" s="1860">
        <f t="shared" si="0"/>
        <v>19783.06666212991</v>
      </c>
      <c r="J12" s="1876"/>
      <c r="K12" s="852"/>
      <c r="L12" s="770">
        <f t="shared" si="1"/>
        <v>0</v>
      </c>
      <c r="M12" s="65"/>
      <c r="O12" s="86">
        <f>IF(Validation!$H$3=1,0,IF(ISNUMBER(G12),0,1))</f>
        <v>0</v>
      </c>
      <c r="P12" s="86">
        <f>IF(Validation!$H$3=1,0,IF(ISNUMBER(H12),1,0))</f>
        <v>0</v>
      </c>
      <c r="S12" s="924" t="s">
        <v>6127</v>
      </c>
      <c r="T12" s="925" t="s">
        <v>6128</v>
      </c>
      <c r="U12" s="1566" t="s">
        <v>6129</v>
      </c>
      <c r="V12" s="926" t="s">
        <v>12</v>
      </c>
      <c r="W12" s="927">
        <v>3</v>
      </c>
      <c r="X12" s="929" t="s">
        <v>6130</v>
      </c>
      <c r="Y12" s="1240" t="s">
        <v>6131</v>
      </c>
      <c r="Z12" s="929" t="s">
        <v>6129</v>
      </c>
    </row>
    <row r="13" spans="1:26" ht="15.75">
      <c r="A13" s="917"/>
      <c r="B13" s="924" t="s">
        <v>6132</v>
      </c>
      <c r="C13" s="925" t="s">
        <v>6133</v>
      </c>
      <c r="D13" s="1566"/>
      <c r="E13" s="926" t="s">
        <v>12</v>
      </c>
      <c r="F13" s="927">
        <v>3</v>
      </c>
      <c r="G13" s="1860">
        <f>SUM('4O'!G21:CH21)</f>
        <v>2096.0568276783474</v>
      </c>
      <c r="H13" s="1857"/>
      <c r="I13" s="1860">
        <f t="shared" si="0"/>
        <v>2096.0568276783474</v>
      </c>
      <c r="J13" s="1876"/>
      <c r="K13" s="852"/>
      <c r="L13" s="770">
        <f t="shared" si="1"/>
        <v>0</v>
      </c>
      <c r="M13" s="65"/>
      <c r="O13" s="86">
        <f>IF(Validation!$H$3=1,0,IF(ISNUMBER(G13),0,1))</f>
        <v>0</v>
      </c>
      <c r="P13" s="86">
        <f>IF(Validation!$H$3=1,0,IF(ISNUMBER(H13),1,0))</f>
        <v>0</v>
      </c>
      <c r="S13" s="924" t="s">
        <v>6132</v>
      </c>
      <c r="T13" s="925" t="s">
        <v>6133</v>
      </c>
      <c r="U13" s="1566" t="s">
        <v>6134</v>
      </c>
      <c r="V13" s="926" t="s">
        <v>12</v>
      </c>
      <c r="W13" s="927">
        <v>3</v>
      </c>
      <c r="X13" s="929" t="s">
        <v>6135</v>
      </c>
      <c r="Y13" s="1240" t="s">
        <v>6136</v>
      </c>
      <c r="Z13" s="929" t="s">
        <v>6134</v>
      </c>
    </row>
    <row r="14" spans="1:26" ht="15.75">
      <c r="A14" s="917"/>
      <c r="B14" s="924" t="s">
        <v>6137</v>
      </c>
      <c r="C14" s="925" t="s">
        <v>6138</v>
      </c>
      <c r="D14" s="1566"/>
      <c r="E14" s="926" t="s">
        <v>12</v>
      </c>
      <c r="F14" s="927">
        <v>3</v>
      </c>
      <c r="G14" s="1860">
        <f>SUM('4O'!G22:CH22)</f>
        <v>769.63136626425398</v>
      </c>
      <c r="H14" s="1857"/>
      <c r="I14" s="1860">
        <f t="shared" si="0"/>
        <v>769.63136626425398</v>
      </c>
      <c r="J14" s="1876"/>
      <c r="K14" s="852"/>
      <c r="L14" s="770">
        <f t="shared" si="1"/>
        <v>0</v>
      </c>
      <c r="M14" s="65"/>
      <c r="O14" s="86">
        <f>IF(Validation!$H$3=1,0,IF(ISNUMBER(G14),0,1))</f>
        <v>0</v>
      </c>
      <c r="P14" s="86">
        <f>IF(Validation!$H$3=1,0,IF(ISNUMBER(H14),1,0))</f>
        <v>0</v>
      </c>
      <c r="S14" s="924" t="s">
        <v>6137</v>
      </c>
      <c r="T14" s="925" t="s">
        <v>6138</v>
      </c>
      <c r="U14" s="1566" t="s">
        <v>6139</v>
      </c>
      <c r="V14" s="926" t="s">
        <v>12</v>
      </c>
      <c r="W14" s="927">
        <v>3</v>
      </c>
      <c r="X14" s="929" t="s">
        <v>6140</v>
      </c>
      <c r="Y14" s="1240" t="s">
        <v>6141</v>
      </c>
      <c r="Z14" s="929" t="s">
        <v>6139</v>
      </c>
    </row>
    <row r="15" spans="1:26" ht="16.5" thickBot="1">
      <c r="A15" s="917"/>
      <c r="B15" s="1244" t="s">
        <v>6142</v>
      </c>
      <c r="C15" s="1245" t="s">
        <v>6143</v>
      </c>
      <c r="D15" s="1567"/>
      <c r="E15" s="1246" t="s">
        <v>12</v>
      </c>
      <c r="F15" s="1247">
        <v>3</v>
      </c>
      <c r="G15" s="1229">
        <v>0</v>
      </c>
      <c r="H15" s="1858"/>
      <c r="I15" s="1862">
        <f t="shared" ref="I15" si="2">+SUM(G15:H15)</f>
        <v>0</v>
      </c>
      <c r="J15" s="1877"/>
      <c r="K15" s="852"/>
      <c r="L15" s="770">
        <f t="shared" si="1"/>
        <v>0</v>
      </c>
      <c r="M15" s="65"/>
      <c r="O15" s="86">
        <f>IF(Validation!$H$3=1,0,IF(ISNUMBER(G15),0,1))</f>
        <v>0</v>
      </c>
      <c r="P15" s="86">
        <f>IF(Validation!$H$3=1,0,IF(ISNUMBER(H15),1,0))</f>
        <v>0</v>
      </c>
      <c r="S15" s="1244" t="s">
        <v>6142</v>
      </c>
      <c r="T15" s="1245" t="s">
        <v>6143</v>
      </c>
      <c r="U15" s="1567" t="s">
        <v>6144</v>
      </c>
      <c r="V15" s="1246" t="s">
        <v>12</v>
      </c>
      <c r="W15" s="1247">
        <v>3</v>
      </c>
      <c r="X15" s="1229" t="s">
        <v>6145</v>
      </c>
      <c r="Y15" s="1241" t="s">
        <v>6146</v>
      </c>
      <c r="Z15" s="1248" t="s">
        <v>6144</v>
      </c>
    </row>
    <row r="16" spans="1:26" ht="16.5" thickBot="1">
      <c r="A16" s="917"/>
      <c r="B16" s="1249" t="s">
        <v>6147</v>
      </c>
      <c r="C16" s="1250" t="s">
        <v>6148</v>
      </c>
      <c r="D16" s="1568"/>
      <c r="E16" s="1251" t="s">
        <v>12</v>
      </c>
      <c r="F16" s="1252">
        <v>3</v>
      </c>
      <c r="G16" s="1861">
        <f>SUM(G5:G12)</f>
        <v>170880.12938147553</v>
      </c>
      <c r="H16" s="1859"/>
      <c r="I16" s="1706">
        <f t="shared" si="0"/>
        <v>170880.12938147553</v>
      </c>
      <c r="J16" s="1878"/>
      <c r="K16" s="852"/>
      <c r="L16" s="770">
        <f t="shared" si="1"/>
        <v>0</v>
      </c>
      <c r="M16" s="65"/>
      <c r="O16" s="852"/>
      <c r="P16" s="86">
        <f>IF(Validation!$H$3=1,0,IF(ISNUMBER(H16),1,0))</f>
        <v>0</v>
      </c>
      <c r="S16" s="1249" t="s">
        <v>6147</v>
      </c>
      <c r="T16" s="1250" t="s">
        <v>6148</v>
      </c>
      <c r="U16" s="1568" t="s">
        <v>6149</v>
      </c>
      <c r="V16" s="1251" t="s">
        <v>12</v>
      </c>
      <c r="W16" s="1252">
        <v>3</v>
      </c>
      <c r="X16" s="1253" t="s">
        <v>6150</v>
      </c>
      <c r="Y16" s="1253" t="s">
        <v>6151</v>
      </c>
      <c r="Z16" s="1254" t="s">
        <v>6149</v>
      </c>
    </row>
    <row r="17" spans="2:17" ht="15.75">
      <c r="B17" s="852"/>
      <c r="C17" s="852"/>
      <c r="D17" s="852"/>
      <c r="E17" s="852"/>
      <c r="F17" s="852"/>
      <c r="G17" s="932"/>
      <c r="H17" s="932"/>
      <c r="I17" s="852"/>
      <c r="J17" s="852"/>
      <c r="K17" s="852"/>
      <c r="L17" s="931"/>
      <c r="M17" s="852"/>
      <c r="O17" s="852"/>
      <c r="P17" s="852"/>
    </row>
    <row r="18" spans="2:17" ht="15.75">
      <c r="B18" s="2227" t="s">
        <v>275</v>
      </c>
      <c r="C18" s="852"/>
      <c r="D18" s="852"/>
      <c r="E18" s="852"/>
      <c r="F18" s="852"/>
      <c r="G18" s="852"/>
      <c r="H18" s="852"/>
      <c r="I18" s="852"/>
      <c r="J18" s="852"/>
      <c r="K18" s="852"/>
      <c r="L18" s="852"/>
      <c r="M18" s="852"/>
      <c r="O18" s="852"/>
      <c r="P18" s="852"/>
    </row>
    <row r="19" spans="2:17" ht="15.75">
      <c r="B19" s="852"/>
      <c r="C19" s="852"/>
      <c r="D19" s="852"/>
      <c r="E19" s="852"/>
      <c r="F19" s="852"/>
      <c r="G19" s="852"/>
      <c r="H19" s="852"/>
      <c r="I19" s="852"/>
      <c r="J19" s="852"/>
      <c r="K19" s="852"/>
      <c r="L19" s="852"/>
      <c r="M19" s="852"/>
      <c r="O19" s="852"/>
      <c r="P19" s="852"/>
    </row>
    <row r="20" spans="2:17">
      <c r="B20" s="827"/>
      <c r="C20" s="933" t="s">
        <v>6152</v>
      </c>
      <c r="D20" s="934"/>
      <c r="E20" s="934"/>
      <c r="F20" s="934"/>
      <c r="G20" s="934"/>
      <c r="H20" s="934"/>
      <c r="I20" s="934"/>
      <c r="J20" s="934"/>
      <c r="K20" s="934"/>
      <c r="L20" s="934"/>
      <c r="M20" s="934"/>
      <c r="O20" s="934"/>
      <c r="P20" s="934"/>
    </row>
    <row r="21" spans="2:17" ht="15.75">
      <c r="B21" s="852"/>
      <c r="C21" s="935"/>
      <c r="D21" s="852"/>
      <c r="E21" s="852"/>
      <c r="F21" s="852"/>
      <c r="G21" s="852"/>
      <c r="H21" s="852"/>
      <c r="I21" s="852"/>
      <c r="J21" s="852"/>
      <c r="K21" s="852"/>
      <c r="L21" s="852"/>
      <c r="M21" s="852"/>
      <c r="N21" s="111"/>
      <c r="O21" s="852"/>
      <c r="P21" s="852"/>
      <c r="Q21" s="111"/>
    </row>
    <row r="22" spans="2:17" ht="15.75">
      <c r="B22" s="829"/>
      <c r="C22" s="935" t="s">
        <v>4621</v>
      </c>
      <c r="D22" s="852"/>
      <c r="E22" s="852"/>
      <c r="F22" s="852"/>
      <c r="G22" s="852"/>
      <c r="H22" s="852"/>
      <c r="I22" s="852"/>
      <c r="J22" s="852"/>
      <c r="K22" s="852"/>
      <c r="L22" s="852"/>
      <c r="M22" s="852"/>
      <c r="N22" s="111"/>
      <c r="O22" s="852"/>
      <c r="P22" s="852"/>
      <c r="Q22" s="111"/>
    </row>
    <row r="23" spans="2:17" ht="15.75">
      <c r="B23" s="852"/>
      <c r="C23" s="852"/>
      <c r="D23" s="852"/>
      <c r="E23" s="852"/>
      <c r="F23" s="852"/>
      <c r="G23" s="852"/>
      <c r="H23" s="852"/>
      <c r="I23" s="852"/>
      <c r="J23" s="852"/>
      <c r="K23" s="852"/>
      <c r="L23" s="852"/>
      <c r="M23" s="852"/>
      <c r="N23" s="111"/>
      <c r="O23" s="852"/>
      <c r="P23" s="852"/>
      <c r="Q23" s="111"/>
    </row>
    <row r="24" spans="2:17" ht="16.5" thickBot="1">
      <c r="B24" s="852"/>
      <c r="C24" s="852"/>
      <c r="D24" s="852"/>
      <c r="E24" s="852"/>
      <c r="F24" s="852"/>
      <c r="G24" s="852"/>
      <c r="H24" s="852"/>
      <c r="I24" s="852"/>
      <c r="J24" s="852"/>
      <c r="K24" s="852"/>
      <c r="L24" s="852"/>
      <c r="M24" s="852"/>
      <c r="O24" s="852"/>
      <c r="P24" s="852"/>
    </row>
    <row r="25" spans="2:17" ht="16.5" thickBot="1">
      <c r="B25" s="2383" t="s">
        <v>251</v>
      </c>
      <c r="C25" s="2430"/>
      <c r="D25" s="2430"/>
      <c r="E25" s="2430"/>
      <c r="F25" s="2430"/>
      <c r="G25" s="2430"/>
      <c r="H25" s="2430"/>
      <c r="I25" s="2430"/>
      <c r="J25" s="2430"/>
      <c r="K25" s="2430"/>
      <c r="L25" s="2431"/>
      <c r="M25" s="852"/>
      <c r="O25" s="852"/>
      <c r="P25" s="852"/>
    </row>
    <row r="26" spans="2:17" ht="16.5" thickBot="1">
      <c r="B26" s="852"/>
      <c r="C26" s="852"/>
      <c r="D26" s="852"/>
      <c r="E26" s="852"/>
      <c r="F26" s="852"/>
      <c r="G26" s="852"/>
      <c r="H26" s="852"/>
      <c r="I26" s="852"/>
      <c r="J26" s="852"/>
      <c r="K26" s="852"/>
      <c r="L26" s="852"/>
      <c r="M26" s="852"/>
      <c r="O26" s="852"/>
      <c r="P26" s="852"/>
    </row>
    <row r="27" spans="2:17" ht="78.75" customHeight="1" thickBot="1">
      <c r="B27" s="2432" t="s">
        <v>6153</v>
      </c>
      <c r="C27" s="2433"/>
      <c r="D27" s="2433"/>
      <c r="E27" s="2433"/>
      <c r="F27" s="2433"/>
      <c r="G27" s="2433"/>
      <c r="H27" s="2433"/>
      <c r="I27" s="2433"/>
      <c r="J27" s="2433"/>
      <c r="K27" s="2433"/>
      <c r="L27" s="2434"/>
      <c r="M27" s="852"/>
      <c r="O27" s="852"/>
      <c r="P27" s="852"/>
    </row>
    <row r="28" spans="2:17" ht="15.75">
      <c r="B28" s="852"/>
      <c r="C28" s="852"/>
      <c r="D28" s="852"/>
      <c r="E28" s="852"/>
      <c r="F28" s="852"/>
      <c r="G28" s="852"/>
      <c r="H28" s="852"/>
      <c r="I28" s="852"/>
      <c r="J28" s="852"/>
      <c r="K28" s="852"/>
      <c r="L28" s="852"/>
      <c r="M28" s="852"/>
      <c r="O28" s="852"/>
      <c r="P28" s="852"/>
    </row>
    <row r="29" spans="2:17" ht="15.75">
      <c r="B29" s="852"/>
      <c r="C29" s="852"/>
      <c r="D29" s="852"/>
      <c r="E29" s="852"/>
      <c r="F29" s="852"/>
      <c r="G29" s="852"/>
      <c r="H29" s="852"/>
      <c r="I29" s="852"/>
      <c r="J29" s="852"/>
      <c r="K29" s="852"/>
      <c r="L29" s="852"/>
      <c r="M29" s="852"/>
      <c r="O29" s="852"/>
      <c r="P29" s="852"/>
    </row>
    <row r="30" spans="2:17">
      <c r="B30" t="s">
        <v>4622</v>
      </c>
      <c r="N30" s="114"/>
      <c r="Q30" s="114"/>
    </row>
    <row r="31" spans="2:17" ht="16.5" thickBot="1">
      <c r="B31" s="852"/>
      <c r="C31" s="852"/>
      <c r="D31" s="852"/>
      <c r="E31" s="852"/>
      <c r="F31" s="852"/>
      <c r="G31" s="852"/>
      <c r="H31" s="852"/>
      <c r="I31" s="852"/>
      <c r="J31" s="852"/>
      <c r="K31" s="852"/>
      <c r="L31" s="852"/>
      <c r="N31" s="114"/>
      <c r="Q31" s="114"/>
    </row>
    <row r="32" spans="2:17" ht="323.85000000000002" customHeight="1" thickBot="1">
      <c r="B32" s="2435" t="s">
        <v>6154</v>
      </c>
      <c r="C32" s="2436"/>
      <c r="D32" s="2436"/>
      <c r="E32" s="2436"/>
      <c r="F32" s="2436"/>
      <c r="G32" s="2436"/>
      <c r="H32" s="2436"/>
      <c r="I32" s="2436"/>
      <c r="J32" s="2436"/>
      <c r="K32" s="2436"/>
      <c r="L32" s="2437"/>
      <c r="N32" s="114"/>
      <c r="Q32" s="114"/>
    </row>
    <row r="33" spans="14:17">
      <c r="N33" s="114"/>
      <c r="Q33" s="114"/>
    </row>
    <row r="34" spans="14:17">
      <c r="N34" s="114"/>
      <c r="Q34" s="114"/>
    </row>
  </sheetData>
  <sheetProtection algorithmName="SHA-512" hashValue="UY0Y9aT1E9wPalx8KiG41ekpOR9eJV0VY83oRiWRWKO2EQqCoKpM82plOuO9xzF8QrlisAkPhEqkisLMNH889Q==" saltValue="hovwk4d+CRrYRXAaCcnecg==" spinCount="100000" sheet="1" objects="1" scenarios="1"/>
  <mergeCells count="4">
    <mergeCell ref="B3:C3"/>
    <mergeCell ref="B25:L25"/>
    <mergeCell ref="B27:L27"/>
    <mergeCell ref="B32:L32"/>
  </mergeCells>
  <conditionalFormatting sqref="L5:L16">
    <cfRule type="cellIs" dxfId="68" priority="3" operator="equal">
      <formula>$P$4</formula>
    </cfRule>
    <cfRule type="containsText" dxfId="67" priority="4" operator="containsText" text="$P$4">
      <formula>NOT(ISERROR(SEARCH("$P$4",L5)))</formula>
    </cfRule>
    <cfRule type="cellIs" dxfId="6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50"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1" id="{62C2FA5B-B4F7-4D6D-91A4-17EEF0D39D42}">
            <xm:f>Validation!$H$3=1</xm:f>
            <x14:dxf>
              <fill>
                <patternFill>
                  <bgColor theme="2"/>
                </patternFill>
              </fill>
            </x14:dxf>
          </x14:cfRule>
          <xm:sqref>G11:J16 H5:J10</xm:sqref>
        </x14:conditionalFormatting>
        <x14:conditionalFormatting xmlns:xm="http://schemas.microsoft.com/office/excel/2006/main">
          <x14:cfRule type="containsText" priority="1" operator="containsText" id="{AD2356BD-30C9-473C-BF82-B5BC6F3F78A0}">
            <xm:f>NOT(ISERROR(SEARCH($P$4,L5)))</xm:f>
            <xm:f>$P$4</xm:f>
            <x14:dxf>
              <font>
                <color auto="1"/>
              </font>
              <fill>
                <patternFill>
                  <bgColor rgb="FFFF0000"/>
                </patternFill>
              </fill>
            </x14:dxf>
          </x14:cfRule>
          <x14:cfRule type="containsText" priority="2" operator="containsText" id="{08EA14A0-4941-4ADC-8D37-86F9CE2B1AD3}">
            <xm:f>NOT(ISERROR(SEARCH($P$4,L5)))</xm:f>
            <xm:f>$P$4</xm:f>
            <x14:dxf>
              <fill>
                <patternFill>
                  <bgColor rgb="FFFF0000"/>
                </patternFill>
              </fill>
            </x14:dxf>
          </x14:cfRule>
          <x14:cfRule type="containsText" priority="6" operator="containsText" id="{AA6AF693-1F78-4720-9D49-972ABF4848B3}">
            <xm:f>NOT(ISERROR(SEARCH($O$4,L5)))</xm:f>
            <xm:f>$O$4</xm:f>
            <x14:dxf>
              <fill>
                <patternFill>
                  <bgColor rgb="FFFF0000"/>
                </patternFill>
              </fill>
            </x14:dxf>
          </x14:cfRule>
          <xm:sqref>L5:L16</xm:sqref>
        </x14:conditionalFormatting>
        <x14:conditionalFormatting xmlns:xm="http://schemas.microsoft.com/office/excel/2006/main">
          <x14:cfRule type="expression" priority="7" id="{59978520-5C41-4F7F-AE01-85A53F3C2700}">
            <xm:f>Validation!$H$3=1</xm:f>
            <x14:dxf>
              <fill>
                <patternFill>
                  <bgColor theme="2"/>
                </patternFill>
              </fill>
            </x14:dxf>
          </x14:cfRule>
          <xm:sqref>X5:Z16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pageSetUpPr fitToPage="1"/>
  </sheetPr>
  <dimension ref="A1:CJ65"/>
  <sheetViews>
    <sheetView showGridLines="0" tabSelected="1" topLeftCell="BP1" zoomScale="80" zoomScaleNormal="80" workbookViewId="0">
      <selection activeCell="G6" sqref="G6:BZ6"/>
    </sheetView>
  </sheetViews>
  <sheetFormatPr defaultColWidth="0" defaultRowHeight="14.25" zeroHeight="1"/>
  <cols>
    <col min="1" max="1" width="0.625" style="934" customWidth="1"/>
    <col min="2" max="2" width="10.625" style="934" customWidth="1"/>
    <col min="3" max="3" width="46.625" style="934" customWidth="1"/>
    <col min="4" max="4" width="3.125" style="934" hidden="1" customWidth="1"/>
    <col min="5" max="5" width="8.125" style="934" customWidth="1"/>
    <col min="6" max="6" width="4.625" style="934" bestFit="1" customWidth="1"/>
    <col min="7" max="11" width="15.625" style="934" bestFit="1" customWidth="1"/>
    <col min="12" max="85" width="15.625" style="934" customWidth="1"/>
    <col min="86" max="86" width="15.625" style="934" bestFit="1" customWidth="1"/>
    <col min="87" max="87" width="36.625" style="934" customWidth="1"/>
    <col min="88" max="88" width="10.625" style="934" customWidth="1"/>
    <col min="89" max="16384" width="10.625" style="934" hidden="1"/>
  </cols>
  <sheetData>
    <row r="1" spans="1:88" ht="20.25">
      <c r="A1" s="850"/>
      <c r="B1" s="893" t="s">
        <v>6155</v>
      </c>
      <c r="C1" s="936"/>
      <c r="D1" s="61"/>
      <c r="E1" s="61"/>
      <c r="F1" s="61"/>
      <c r="G1" s="61"/>
      <c r="H1" s="61"/>
      <c r="I1" s="61"/>
      <c r="J1" s="6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t="str">
        <f>Validation!B3</f>
        <v>Thames Water</v>
      </c>
      <c r="CJ1" s="850"/>
    </row>
    <row r="2" spans="1:88" ht="16.5" thickBot="1">
      <c r="A2" s="850"/>
      <c r="B2" s="68" t="s">
        <v>80</v>
      </c>
      <c r="C2" s="937"/>
      <c r="D2" s="937"/>
      <c r="E2" s="937"/>
      <c r="F2" s="937"/>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row>
    <row r="3" spans="1:88" s="939" customFormat="1" ht="15.75" thickBot="1">
      <c r="A3" s="938"/>
      <c r="B3" s="2440" t="s">
        <v>96</v>
      </c>
      <c r="C3" s="2441"/>
      <c r="D3" s="158" t="s">
        <v>2690</v>
      </c>
      <c r="E3" s="158" t="s">
        <v>98</v>
      </c>
      <c r="F3" s="159" t="s">
        <v>99</v>
      </c>
      <c r="G3" s="162" t="s">
        <v>6156</v>
      </c>
      <c r="H3" s="162" t="s">
        <v>6157</v>
      </c>
      <c r="I3" s="162" t="s">
        <v>6158</v>
      </c>
      <c r="J3" s="162" t="s">
        <v>6159</v>
      </c>
      <c r="K3" s="162" t="s">
        <v>6160</v>
      </c>
      <c r="L3" s="162" t="s">
        <v>6161</v>
      </c>
      <c r="M3" s="162" t="s">
        <v>6162</v>
      </c>
      <c r="N3" s="162" t="s">
        <v>6163</v>
      </c>
      <c r="O3" s="162" t="s">
        <v>6164</v>
      </c>
      <c r="P3" s="162" t="s">
        <v>6165</v>
      </c>
      <c r="Q3" s="162" t="s">
        <v>6166</v>
      </c>
      <c r="R3" s="162" t="s">
        <v>6167</v>
      </c>
      <c r="S3" s="162" t="s">
        <v>6168</v>
      </c>
      <c r="T3" s="162" t="s">
        <v>6169</v>
      </c>
      <c r="U3" s="162" t="s">
        <v>6170</v>
      </c>
      <c r="V3" s="162" t="s">
        <v>6171</v>
      </c>
      <c r="W3" s="162" t="s">
        <v>6172</v>
      </c>
      <c r="X3" s="162" t="s">
        <v>6173</v>
      </c>
      <c r="Y3" s="162" t="s">
        <v>6174</v>
      </c>
      <c r="Z3" s="162" t="s">
        <v>6175</v>
      </c>
      <c r="AA3" s="162" t="s">
        <v>6176</v>
      </c>
      <c r="AB3" s="162" t="s">
        <v>6177</v>
      </c>
      <c r="AC3" s="162" t="s">
        <v>6178</v>
      </c>
      <c r="AD3" s="162" t="s">
        <v>6179</v>
      </c>
      <c r="AE3" s="162" t="s">
        <v>6180</v>
      </c>
      <c r="AF3" s="162" t="s">
        <v>6181</v>
      </c>
      <c r="AG3" s="162" t="s">
        <v>6182</v>
      </c>
      <c r="AH3" s="162" t="s">
        <v>6183</v>
      </c>
      <c r="AI3" s="162" t="s">
        <v>6184</v>
      </c>
      <c r="AJ3" s="162" t="s">
        <v>6185</v>
      </c>
      <c r="AK3" s="162" t="s">
        <v>6186</v>
      </c>
      <c r="AL3" s="162" t="s">
        <v>6187</v>
      </c>
      <c r="AM3" s="162" t="s">
        <v>6188</v>
      </c>
      <c r="AN3" s="162" t="s">
        <v>6189</v>
      </c>
      <c r="AO3" s="162" t="s">
        <v>6190</v>
      </c>
      <c r="AP3" s="162" t="s">
        <v>6191</v>
      </c>
      <c r="AQ3" s="162" t="s">
        <v>6192</v>
      </c>
      <c r="AR3" s="162" t="s">
        <v>6193</v>
      </c>
      <c r="AS3" s="162" t="s">
        <v>6194</v>
      </c>
      <c r="AT3" s="162" t="s">
        <v>6195</v>
      </c>
      <c r="AU3" s="162" t="s">
        <v>6196</v>
      </c>
      <c r="AV3" s="162" t="s">
        <v>6197</v>
      </c>
      <c r="AW3" s="162" t="s">
        <v>6198</v>
      </c>
      <c r="AX3" s="162" t="s">
        <v>6199</v>
      </c>
      <c r="AY3" s="162" t="s">
        <v>6200</v>
      </c>
      <c r="AZ3" s="162" t="s">
        <v>6201</v>
      </c>
      <c r="BA3" s="162" t="s">
        <v>6202</v>
      </c>
      <c r="BB3" s="162" t="s">
        <v>6203</v>
      </c>
      <c r="BC3" s="162" t="s">
        <v>6204</v>
      </c>
      <c r="BD3" s="162" t="s">
        <v>6205</v>
      </c>
      <c r="BE3" s="162" t="s">
        <v>6206</v>
      </c>
      <c r="BF3" s="162" t="s">
        <v>6207</v>
      </c>
      <c r="BG3" s="162" t="s">
        <v>6208</v>
      </c>
      <c r="BH3" s="162" t="s">
        <v>6209</v>
      </c>
      <c r="BI3" s="162" t="s">
        <v>6210</v>
      </c>
      <c r="BJ3" s="162" t="s">
        <v>6211</v>
      </c>
      <c r="BK3" s="162" t="s">
        <v>6212</v>
      </c>
      <c r="BL3" s="162" t="s">
        <v>6213</v>
      </c>
      <c r="BM3" s="162" t="s">
        <v>6214</v>
      </c>
      <c r="BN3" s="162" t="s">
        <v>6215</v>
      </c>
      <c r="BO3" s="162" t="s">
        <v>6216</v>
      </c>
      <c r="BP3" s="162" t="s">
        <v>6217</v>
      </c>
      <c r="BQ3" s="162" t="s">
        <v>6218</v>
      </c>
      <c r="BR3" s="162" t="s">
        <v>6219</v>
      </c>
      <c r="BS3" s="162" t="s">
        <v>6220</v>
      </c>
      <c r="BT3" s="162" t="s">
        <v>6221</v>
      </c>
      <c r="BU3" s="162" t="s">
        <v>6222</v>
      </c>
      <c r="BV3" s="162" t="s">
        <v>6223</v>
      </c>
      <c r="BW3" s="162" t="s">
        <v>6224</v>
      </c>
      <c r="BX3" s="162" t="s">
        <v>6225</v>
      </c>
      <c r="BY3" s="162" t="s">
        <v>6226</v>
      </c>
      <c r="BZ3" s="162" t="s">
        <v>6227</v>
      </c>
      <c r="CA3" s="162" t="s">
        <v>6228</v>
      </c>
      <c r="CB3" s="162" t="s">
        <v>6229</v>
      </c>
      <c r="CC3" s="162" t="s">
        <v>6230</v>
      </c>
      <c r="CD3" s="162" t="s">
        <v>6231</v>
      </c>
      <c r="CE3" s="162" t="s">
        <v>6232</v>
      </c>
      <c r="CF3" s="162" t="s">
        <v>6233</v>
      </c>
      <c r="CG3" s="162" t="s">
        <v>6234</v>
      </c>
      <c r="CH3" s="162" t="s">
        <v>6235</v>
      </c>
      <c r="CI3" s="162" t="s">
        <v>3938</v>
      </c>
      <c r="CJ3" s="938"/>
    </row>
    <row r="4" spans="1:88" ht="16.5" thickBot="1">
      <c r="A4" s="850"/>
      <c r="B4" s="937"/>
      <c r="C4" s="937"/>
      <c r="D4" s="937"/>
      <c r="E4" s="937"/>
      <c r="F4" s="937"/>
      <c r="G4" s="1854"/>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0"/>
      <c r="BL4" s="850"/>
      <c r="BM4" s="850"/>
      <c r="BN4" s="850"/>
      <c r="BO4" s="850"/>
      <c r="BP4" s="850"/>
      <c r="BQ4" s="850"/>
      <c r="BR4" s="850"/>
      <c r="BS4" s="850"/>
      <c r="BT4" s="850"/>
      <c r="BU4" s="850"/>
      <c r="BV4" s="850"/>
      <c r="BW4" s="850"/>
      <c r="BX4" s="850"/>
      <c r="BY4" s="850"/>
      <c r="BZ4" s="850"/>
      <c r="CA4" s="850"/>
      <c r="CB4" s="850"/>
      <c r="CC4" s="850"/>
      <c r="CD4" s="850"/>
      <c r="CE4" s="850"/>
      <c r="CF4" s="850"/>
      <c r="CG4" s="850"/>
      <c r="CH4" s="850"/>
      <c r="CI4" s="850"/>
      <c r="CJ4" s="850"/>
    </row>
    <row r="5" spans="1:88" ht="30.75" thickBot="1">
      <c r="A5" s="850"/>
      <c r="B5" s="2219" t="s">
        <v>214</v>
      </c>
      <c r="C5" s="904" t="s">
        <v>6236</v>
      </c>
      <c r="D5" s="940"/>
      <c r="E5" s="937"/>
      <c r="F5" s="937"/>
      <c r="I5" s="2170" t="s">
        <v>6237</v>
      </c>
      <c r="J5" s="2170"/>
      <c r="K5" s="2170"/>
      <c r="L5" s="2170"/>
      <c r="M5" s="2170"/>
      <c r="N5" s="2170"/>
      <c r="O5" s="2170"/>
      <c r="P5" s="2170"/>
      <c r="Q5" s="2170"/>
      <c r="R5" s="2170"/>
      <c r="S5" s="2170"/>
      <c r="T5" s="2170"/>
      <c r="U5" s="2170"/>
      <c r="V5" s="2170"/>
      <c r="W5" s="2170"/>
      <c r="X5" s="2170"/>
      <c r="Y5" s="2170"/>
      <c r="Z5" s="2170"/>
      <c r="AA5" s="2170"/>
      <c r="AB5" s="2170"/>
      <c r="AC5" s="2170"/>
      <c r="AD5" s="2170"/>
      <c r="AE5" s="2170"/>
      <c r="AF5" s="2170"/>
      <c r="AG5" s="2170"/>
      <c r="AH5" s="2170"/>
      <c r="AI5" s="2170"/>
      <c r="AJ5" s="2170"/>
      <c r="AK5" s="2170" t="s">
        <v>6237</v>
      </c>
      <c r="AL5" s="2170" t="s">
        <v>6237</v>
      </c>
      <c r="AM5" s="2170"/>
      <c r="AN5" s="2170"/>
      <c r="AO5" s="2170" t="s">
        <v>6237</v>
      </c>
      <c r="AP5" s="2170"/>
      <c r="AQ5" s="2170"/>
      <c r="AR5" s="2170"/>
      <c r="AS5" s="2170"/>
      <c r="AT5" s="2170"/>
      <c r="AU5" s="2170"/>
      <c r="AV5" s="2170"/>
      <c r="AW5" s="2170"/>
      <c r="AX5" s="2170"/>
      <c r="AY5" s="2170"/>
      <c r="AZ5" s="2170"/>
      <c r="BA5" s="2170"/>
      <c r="BB5" s="2170"/>
      <c r="BC5" s="2170"/>
      <c r="BD5" s="2170"/>
      <c r="BE5" s="2170"/>
      <c r="BF5" s="2170"/>
      <c r="BG5" s="2170"/>
      <c r="BH5" s="2170"/>
      <c r="BI5" s="2170" t="s">
        <v>6237</v>
      </c>
      <c r="BJ5" s="2170" t="s">
        <v>6237</v>
      </c>
      <c r="BK5" s="2170" t="s">
        <v>6237</v>
      </c>
      <c r="BL5" s="2170"/>
      <c r="BM5" s="2170"/>
      <c r="BN5" s="2170"/>
      <c r="BO5" s="2170"/>
      <c r="BP5" s="2170"/>
      <c r="BQ5" s="2170"/>
      <c r="BR5" s="2170"/>
      <c r="BS5" s="850"/>
      <c r="BT5" s="850"/>
      <c r="BU5" s="850"/>
      <c r="BV5" s="850"/>
      <c r="BW5" s="850"/>
      <c r="BX5" s="850"/>
      <c r="BY5" s="850"/>
      <c r="BZ5" s="850"/>
      <c r="CA5" s="850"/>
      <c r="CB5" s="850"/>
      <c r="CC5" s="850"/>
      <c r="CD5" s="850"/>
      <c r="CE5" s="850"/>
      <c r="CF5" s="850"/>
      <c r="CG5" s="850"/>
      <c r="CH5" s="937"/>
      <c r="CI5" s="850"/>
      <c r="CJ5" s="850"/>
    </row>
    <row r="6" spans="1:88" ht="25.5">
      <c r="A6" s="850"/>
      <c r="B6" s="857" t="s">
        <v>6238</v>
      </c>
      <c r="C6" s="941" t="s">
        <v>6239</v>
      </c>
      <c r="D6" s="859" t="s">
        <v>6240</v>
      </c>
      <c r="E6" s="859" t="s">
        <v>6241</v>
      </c>
      <c r="F6" s="860">
        <v>0</v>
      </c>
      <c r="G6" s="957" t="str">
        <f>IF(HLOOKUP($CI$1,LWTW!$A$2:$L$85,COLUMN(B$1),FALSE)="","",HLOOKUP($CI$1,LWTW!$A$2:$L$85,COLUMN(B$1),FALSE))</f>
        <v>ABINGDON</v>
      </c>
      <c r="H6" s="957" t="str">
        <f>IF(HLOOKUP($CI$1,LWTW!$A$2:$L$85,COLUMN(C$1),FALSE)="","",HLOOKUP($CI$1,LWTW!$A$2:$L$85,COLUMN(C$1),FALSE))</f>
        <v>ALDERSHOT</v>
      </c>
      <c r="I6" s="957" t="str">
        <f>IF(HLOOKUP($CI$1,LWTW!$A$2:$L$85,COLUMN(D$1),FALSE)="","",HLOOKUP($CI$1,LWTW!$A$2:$L$85,COLUMN(D$1),FALSE))</f>
        <v>ALTON</v>
      </c>
      <c r="J6" s="957" t="str">
        <f>IF(HLOOKUP($CI$1,LWTW!$A$2:$L$85,COLUMN(E$1),FALSE)="","",HLOOKUP($CI$1,LWTW!$A$2:$L$85,COLUMN(E$1),FALSE))</f>
        <v>ASCOT</v>
      </c>
      <c r="K6" s="957" t="str">
        <f>IF(HLOOKUP($CI$1,LWTW!$A$2:$L$85,COLUMN(F$1),FALSE)="","",HLOOKUP($CI$1,LWTW!$A$2:$L$85,COLUMN(F$1),FALSE))</f>
        <v>AYLESBURY</v>
      </c>
      <c r="L6" s="957" t="str">
        <f>IF(HLOOKUP($CI$1,LWTW!$A$2:$L$85,COLUMN(G$1),FALSE)="","",HLOOKUP($CI$1,LWTW!$A$2:$L$85,COLUMN(G$1),FALSE))</f>
        <v>BANBURY</v>
      </c>
      <c r="M6" s="957" t="str">
        <f>IF(HLOOKUP($CI$1,LWTW!$A$2:$L$85,COLUMN(H$1),FALSE)="","",HLOOKUP($CI$1,LWTW!$A$2:$L$85,COLUMN(H$1),FALSE))</f>
        <v>BASINGSTOKE</v>
      </c>
      <c r="N6" s="957" t="str">
        <f>IF(HLOOKUP($CI$1,LWTW!$A$2:$L$85,COLUMN(I$1),FALSE)="","",HLOOKUP($CI$1,LWTW!$A$2:$L$85,COLUMN(I$1),FALSE))</f>
        <v>BECKTON</v>
      </c>
      <c r="O6" s="957" t="str">
        <f>IF(HLOOKUP($CI$1,LWTW!$A$2:$L$85,COLUMN(J$1),FALSE)="","",HLOOKUP($CI$1,LWTW!$A$2:$L$85,COLUMN(J$1),FALSE))</f>
        <v>BEDDINGTON</v>
      </c>
      <c r="P6" s="957" t="str">
        <f>IF(HLOOKUP($CI$1,LWTW!$A$2:$L$85,COLUMN(K$1),FALSE)="","",HLOOKUP($CI$1,LWTW!$A$2:$L$85,COLUMN(K$1),FALSE))</f>
        <v>BICESTER</v>
      </c>
      <c r="Q6" s="957" t="str">
        <f>IF(HLOOKUP($CI$1,LWTW!$A$2:$L$85,COLUMN(L$1),FALSE)="","",HLOOKUP($CI$1,LWTW!$A$2:$L$85,COLUMN(L$1),FALSE))</f>
        <v>BISHOP'S STORTFORD</v>
      </c>
      <c r="R6" s="957" t="str">
        <f>IF(HLOOKUP($CI$1,LWTW!$A$2:$L$85,COLUMN(M$1),FALSE)="","",HLOOKUP($CI$1,LWTW!$A$2:$L$85,COLUMN(M$1),FALSE))</f>
        <v>BLACKBIRDS</v>
      </c>
      <c r="S6" s="957" t="str">
        <f>IF(HLOOKUP($CI$1,LWTW!$A$2:$L$85,COLUMN(N$1),FALSE)="","",HLOOKUP($CI$1,LWTW!$A$2:$L$85,COLUMN(N$1),FALSE))</f>
        <v>BORDON</v>
      </c>
      <c r="T6" s="957" t="str">
        <f>IF(HLOOKUP($CI$1,LWTW!$A$2:$L$85,COLUMN(O$1),FALSE)="","",HLOOKUP($CI$1,LWTW!$A$2:$L$85,COLUMN(O$1),FALSE))</f>
        <v>BRACKNELL</v>
      </c>
      <c r="U6" s="957" t="str">
        <f>IF(HLOOKUP($CI$1,LWTW!$A$2:$L$85,COLUMN(P$1),FALSE)="","",HLOOKUP($CI$1,LWTW!$A$2:$L$85,COLUMN(P$1),FALSE))</f>
        <v>BRENTWOOD</v>
      </c>
      <c r="V6" s="957" t="str">
        <f>IF(HLOOKUP($CI$1,LWTW!$A$2:$L$85,COLUMN(Q$1),FALSE)="","",HLOOKUP($CI$1,LWTW!$A$2:$L$85,COLUMN(Q$1),FALSE))</f>
        <v>CAMBERLEY</v>
      </c>
      <c r="W6" s="957" t="str">
        <f>IF(HLOOKUP($CI$1,LWTW!$A$2:$L$85,COLUMN(R$1),FALSE)="","",HLOOKUP($CI$1,LWTW!$A$2:$L$85,COLUMN(R$1),FALSE))</f>
        <v>CHERTSEY</v>
      </c>
      <c r="X6" s="957" t="str">
        <f>IF(HLOOKUP($CI$1,LWTW!$A$2:$L$85,COLUMN(S$1),FALSE)="","",HLOOKUP($CI$1,LWTW!$A$2:$L$85,COLUMN(S$1),FALSE))</f>
        <v>CHESHAM</v>
      </c>
      <c r="Y6" s="957" t="str">
        <f>IF(HLOOKUP($CI$1,LWTW!$A$2:$L$85,COLUMN(T$1),FALSE)="","",HLOOKUP($CI$1,LWTW!$A$2:$L$85,COLUMN(T$1),FALSE))</f>
        <v>CIRENCESTER</v>
      </c>
      <c r="Z6" s="957" t="str">
        <f>IF(HLOOKUP($CI$1,LWTW!$A$2:$L$85,COLUMN(U$1),FALSE)="","",HLOOKUP($CI$1,LWTW!$A$2:$L$85,COLUMN(U$1),FALSE))</f>
        <v>CRAWLEY</v>
      </c>
      <c r="AA6" s="957" t="str">
        <f>IF(HLOOKUP($CI$1,LWTW!$A$2:$L$85,COLUMN(V$1),FALSE)="","",HLOOKUP($CI$1,LWTW!$A$2:$L$85,COLUMN(V$1),FALSE))</f>
        <v>CROSSNESS</v>
      </c>
      <c r="AB6" s="957" t="str">
        <f>IF(HLOOKUP($CI$1,LWTW!$A$2:$L$85,COLUMN(W$1),FALSE)="","",HLOOKUP($CI$1,LWTW!$A$2:$L$85,COLUMN(W$1),FALSE))</f>
        <v>DEEPHAMS</v>
      </c>
      <c r="AC6" s="957" t="str">
        <f>IF(HLOOKUP($CI$1,LWTW!$A$2:$L$85,COLUMN(X$1),FALSE)="","",HLOOKUP($CI$1,LWTW!$A$2:$L$85,COLUMN(X$1),FALSE))</f>
        <v>DIDCOT</v>
      </c>
      <c r="AD6" s="957" t="str">
        <f>IF(HLOOKUP($CI$1,LWTW!$A$2:$L$85,COLUMN(Y$1),FALSE)="","",HLOOKUP($CI$1,LWTW!$A$2:$L$85,COLUMN(Y$1),FALSE))</f>
        <v>DORKING</v>
      </c>
      <c r="AE6" s="957" t="str">
        <f>IF(HLOOKUP($CI$1,LWTW!$A$2:$L$85,COLUMN(Z$1),FALSE)="","",HLOOKUP($CI$1,LWTW!$A$2:$L$85,COLUMN(Z$1),FALSE))</f>
        <v>ESHER</v>
      </c>
      <c r="AF6" s="957" t="str">
        <f>IF(HLOOKUP($CI$1,LWTW!$A$2:$L$85,COLUMN(AA$1),FALSE)="","",HLOOKUP($CI$1,LWTW!$A$2:$L$85,COLUMN(AA$1),FALSE))</f>
        <v>FARNHAM</v>
      </c>
      <c r="AG6" s="957" t="str">
        <f>IF(HLOOKUP($CI$1,LWTW!$A$2:$L$85,COLUMN(AB$1),FALSE)="","",HLOOKUP($CI$1,LWTW!$A$2:$L$85,COLUMN(AB$1),FALSE))</f>
        <v>FLEET</v>
      </c>
      <c r="AH6" s="957" t="str">
        <f>IF(HLOOKUP($CI$1,LWTW!$A$2:$L$85,COLUMN(AC$1),FALSE)="","",HLOOKUP($CI$1,LWTW!$A$2:$L$85,COLUMN(AC$1),FALSE))</f>
        <v>GODALMING</v>
      </c>
      <c r="AI6" s="957" t="str">
        <f>IF(HLOOKUP($CI$1,LWTW!$A$2:$L$85,COLUMN(AD$1),FALSE)="","",HLOOKUP($CI$1,LWTW!$A$2:$L$85,COLUMN(AD$1),FALSE))</f>
        <v>GUILDFORD</v>
      </c>
      <c r="AJ6" s="957" t="str">
        <f>IF(HLOOKUP($CI$1,LWTW!$A$2:$L$85,COLUMN(AE$1),FALSE)="","",HLOOKUP($CI$1,LWTW!$A$2:$L$85,COLUMN(AE$1),FALSE))</f>
        <v>HARPENDEN</v>
      </c>
      <c r="AK6" s="957" t="str">
        <f>IF(HLOOKUP($CI$1,LWTW!$A$2:$L$85,COLUMN(AF$1),FALSE)="","",HLOOKUP($CI$1,LWTW!$A$2:$L$85,COLUMN(AF$1),FALSE))</f>
        <v>HOGSMILL (A)</v>
      </c>
      <c r="AL6" s="957" t="str">
        <f>IF(HLOOKUP($CI$1,LWTW!$A$2:$L$85,COLUMN(AG$1),FALSE)="","",HLOOKUP($CI$1,LWTW!$A$2:$L$85,COLUMN(AG$1),FALSE))</f>
        <v>HOGSMILL (A &amp; B)</v>
      </c>
      <c r="AM6" s="957" t="str">
        <f>IF(HLOOKUP($CI$1,LWTW!$A$2:$L$85,COLUMN(AH$1),FALSE)="","",HLOOKUP($CI$1,LWTW!$A$2:$L$85,COLUMN(AH$1),FALSE))</f>
        <v>HORLEY</v>
      </c>
      <c r="AN6" s="957" t="str">
        <f>IF(HLOOKUP($CI$1,LWTW!$A$2:$L$85,COLUMN(AI$1),FALSE)="","",HLOOKUP($CI$1,LWTW!$A$2:$L$85,COLUMN(AI$1),FALSE))</f>
        <v>LEATHERHEAD</v>
      </c>
      <c r="AO6" s="957" t="str">
        <f>IF(HLOOKUP($CI$1,LWTW!$A$2:$L$85,COLUMN(AJ$1),FALSE)="","",HLOOKUP($CI$1,LWTW!$A$2:$L$85,COLUMN(AJ$1),FALSE))</f>
        <v>LITTLE MARLOW</v>
      </c>
      <c r="AP6" s="957" t="str">
        <f>IF(HLOOKUP($CI$1,LWTW!$A$2:$L$85,COLUMN(AK$1),FALSE)="","",HLOOKUP($CI$1,LWTW!$A$2:$L$85,COLUMN(AK$1),FALSE))</f>
        <v>LONG REACH</v>
      </c>
      <c r="AQ6" s="957" t="str">
        <f>IF(HLOOKUP($CI$1,LWTW!$A$2:$L$85,COLUMN(AL$1),FALSE)="","",HLOOKUP($CI$1,LWTW!$A$2:$L$85,COLUMN(AL$1),FALSE))</f>
        <v>LUTON (EAST HYDE)</v>
      </c>
      <c r="AR6" s="957" t="str">
        <f>IF(HLOOKUP($CI$1,LWTW!$A$2:$L$85,COLUMN(AM$1),FALSE)="","",HLOOKUP($CI$1,LWTW!$A$2:$L$85,COLUMN(AM$1),FALSE))</f>
        <v>MAIDENHEAD</v>
      </c>
      <c r="AS6" s="957" t="str">
        <f>IF(HLOOKUP($CI$1,LWTW!$A$2:$L$85,COLUMN(AN$1),FALSE)="","",HLOOKUP($CI$1,LWTW!$A$2:$L$85,COLUMN(AN$1),FALSE))</f>
        <v>MAPLE LODGE</v>
      </c>
      <c r="AT6" s="957" t="str">
        <f>IF(HLOOKUP($CI$1,LWTW!$A$2:$L$85,COLUMN(AO$1),FALSE)="","",HLOOKUP($CI$1,LWTW!$A$2:$L$85,COLUMN(AO$1),FALSE))</f>
        <v>MOGDEN</v>
      </c>
      <c r="AU6" s="957" t="str">
        <f>IF(HLOOKUP($CI$1,LWTW!$A$2:$L$85,COLUMN(AP$1),FALSE)="","",HLOOKUP($CI$1,LWTW!$A$2:$L$85,COLUMN(AP$1),FALSE))</f>
        <v>NEWBURY</v>
      </c>
      <c r="AV6" s="957" t="str">
        <f>IF(HLOOKUP($CI$1,LWTW!$A$2:$L$85,COLUMN(AQ$1),FALSE)="","",HLOOKUP($CI$1,LWTW!$A$2:$L$85,COLUMN(AQ$1),FALSE))</f>
        <v>OXFORD</v>
      </c>
      <c r="AW6" s="957" t="str">
        <f>IF(HLOOKUP($CI$1,LWTW!$A$2:$L$85,COLUMN(AR$1),FALSE)="","",HLOOKUP($CI$1,LWTW!$A$2:$L$85,COLUMN(AR$1),FALSE))</f>
        <v>READING</v>
      </c>
      <c r="AX6" s="957" t="str">
        <f>IF(HLOOKUP($CI$1,LWTW!$A$2:$L$85,COLUMN(AS$1),FALSE)="","",HLOOKUP($CI$1,LWTW!$A$2:$L$85,COLUMN(AS$1),FALSE))</f>
        <v>REIGATE</v>
      </c>
      <c r="AY6" s="957" t="str">
        <f>IF(HLOOKUP($CI$1,LWTW!$A$2:$L$85,COLUMN(AT$1),FALSE)="","",HLOOKUP($CI$1,LWTW!$A$2:$L$85,COLUMN(AT$1),FALSE))</f>
        <v>RIVERSIDE</v>
      </c>
      <c r="AZ6" s="957" t="str">
        <f>IF(HLOOKUP($CI$1,LWTW!$A$2:$L$85,COLUMN(AU$1),FALSE)="","",HLOOKUP($CI$1,LWTW!$A$2:$L$85,COLUMN(AU$1),FALSE))</f>
        <v>RYE MEADS</v>
      </c>
      <c r="BA6" s="957" t="str">
        <f>IF(HLOOKUP($CI$1,LWTW!$A$2:$L$85,COLUMN(AV$1),FALSE)="","",HLOOKUP($CI$1,LWTW!$A$2:$L$85,COLUMN(AV$1),FALSE))</f>
        <v>SANDHURST</v>
      </c>
      <c r="BB6" s="957" t="str">
        <f>IF(HLOOKUP($CI$1,LWTW!$A$2:$L$85,COLUMN(AW$1),FALSE)="","",HLOOKUP($CI$1,LWTW!$A$2:$L$85,COLUMN(AW$1),FALSE))</f>
        <v>SLOUGH</v>
      </c>
      <c r="BC6" s="957" t="str">
        <f>IF(HLOOKUP($CI$1,LWTW!$A$2:$L$85,COLUMN(AX$1),FALSE)="","",HLOOKUP($CI$1,LWTW!$A$2:$L$85,COLUMN(AX$1),FALSE))</f>
        <v>SWINDON</v>
      </c>
      <c r="BD6" s="957" t="str">
        <f>IF(HLOOKUP($CI$1,LWTW!$A$2:$L$85,COLUMN(AY$1),FALSE)="","",HLOOKUP($CI$1,LWTW!$A$2:$L$85,COLUMN(AY$1),FALSE))</f>
        <v>WANTAGE</v>
      </c>
      <c r="BE6" s="957" t="str">
        <f>IF(HLOOKUP($CI$1,LWTW!$A$2:$L$85,COLUMN(AZ$1),FALSE)="","",HLOOKUP($CI$1,LWTW!$A$2:$L$85,COLUMN(AZ$1),FALSE))</f>
        <v>WARGRAVE</v>
      </c>
      <c r="BF6" s="957" t="str">
        <f>IF(HLOOKUP($CI$1,LWTW!$A$2:$L$85,COLUMN(BA$1),FALSE)="","",HLOOKUP($CI$1,LWTW!$A$2:$L$85,COLUMN(BA$1),FALSE))</f>
        <v>WINDSOR</v>
      </c>
      <c r="BG6" s="957" t="str">
        <f>IF(HLOOKUP($CI$1,LWTW!$A$2:$L$85,COLUMN(BB$1),FALSE)="","",HLOOKUP($CI$1,LWTW!$A$2:$L$85,COLUMN(BB$1),FALSE))</f>
        <v>WITNEY</v>
      </c>
      <c r="BH6" s="957" t="str">
        <f>IF(HLOOKUP($CI$1,LWTW!$A$2:$L$85,COLUMN(BC$1),FALSE)="","",HLOOKUP($CI$1,LWTW!$A$2:$L$85,COLUMN(BC$1),FALSE))</f>
        <v>WOKING</v>
      </c>
      <c r="BI6" s="957" t="str">
        <f>IF(HLOOKUP($CI$1,LWTW!$A$2:$L$85,COLUMN(BD$1),FALSE)="","",HLOOKUP($CI$1,LWTW!$A$2:$L$85,COLUMN(BD$1),FALSE))</f>
        <v>BERKHAMSTED</v>
      </c>
      <c r="BJ6" s="957" t="str">
        <f>IF(HLOOKUP($CI$1,LWTW!$A$2:$L$85,COLUMN(BE$1),FALSE)="","",HLOOKUP($CI$1,LWTW!$A$2:$L$85,COLUMN(BE$1),FALSE))</f>
        <v>HOGSMILL</v>
      </c>
      <c r="BK6" s="957" t="str">
        <f>IF(HLOOKUP($CI$1,LWTW!$A$2:$L$85,COLUMN(BF$1),FALSE)="","",HLOOKUP($CI$1,LWTW!$A$2:$L$85,COLUMN(BF$1),FALSE))</f>
        <v>WISLEY</v>
      </c>
      <c r="BL6" s="957" t="str">
        <f>IF(HLOOKUP($CI$1,LWTW!$A$2:$L$85,COLUMN(BG$1),FALSE)="","",HLOOKUP($CI$1,LWTW!$A$2:$L$85,COLUMN(BG$1),FALSE))</f>
        <v/>
      </c>
      <c r="BM6" s="957" t="str">
        <f>IF(HLOOKUP($CI$1,LWTW!$A$2:$L$85,COLUMN(BH$1),FALSE)="","",HLOOKUP($CI$1,LWTW!$A$2:$L$85,COLUMN(BH$1),FALSE))</f>
        <v/>
      </c>
      <c r="BN6" s="957" t="str">
        <f>IF(HLOOKUP($CI$1,LWTW!$A$2:$L$85,COLUMN(BI$1),FALSE)="","",HLOOKUP($CI$1,LWTW!$A$2:$L$85,COLUMN(BI$1),FALSE))</f>
        <v/>
      </c>
      <c r="BO6" s="957" t="str">
        <f>IF(HLOOKUP($CI$1,LWTW!$A$2:$L$85,COLUMN(BJ$1),FALSE)="","",HLOOKUP($CI$1,LWTW!$A$2:$L$85,COLUMN(BJ$1),FALSE))</f>
        <v/>
      </c>
      <c r="BP6" s="957" t="str">
        <f>IF(HLOOKUP($CI$1,LWTW!$A$2:$L$85,COLUMN(BK$1),FALSE)="","",HLOOKUP($CI$1,LWTW!$A$2:$L$85,COLUMN(BK$1),FALSE))</f>
        <v/>
      </c>
      <c r="BQ6" s="957" t="str">
        <f>IF(HLOOKUP($CI$1,LWTW!$A$2:$L$85,COLUMN(BL$1),FALSE)="","",HLOOKUP($CI$1,LWTW!$A$2:$L$85,COLUMN(BL$1),FALSE))</f>
        <v/>
      </c>
      <c r="BR6" s="957" t="str">
        <f>IF(HLOOKUP($CI$1,LWTW!$A$2:$L$85,COLUMN(BM$1),FALSE)="","",HLOOKUP($CI$1,LWTW!$A$2:$L$85,COLUMN(BM$1),FALSE))</f>
        <v/>
      </c>
      <c r="BS6" s="957" t="str">
        <f>IF(HLOOKUP($CI$1,LWTW!$A$2:$L$85,COLUMN(BN$1),FALSE)="","",HLOOKUP($CI$1,LWTW!$A$2:$L$85,COLUMN(BN$1),FALSE))</f>
        <v/>
      </c>
      <c r="BT6" s="957" t="str">
        <f>IF(HLOOKUP($CI$1,LWTW!$A$2:$L$85,COLUMN(BO$1),FALSE)="","",HLOOKUP($CI$1,LWTW!$A$2:$L$85,COLUMN(BO$1),FALSE))</f>
        <v/>
      </c>
      <c r="BU6" s="957" t="str">
        <f>IF(HLOOKUP($CI$1,LWTW!$A$2:$L$85,COLUMN(BP$1),FALSE)="","",HLOOKUP($CI$1,LWTW!$A$2:$L$85,COLUMN(BP$1),FALSE))</f>
        <v/>
      </c>
      <c r="BV6" s="957" t="str">
        <f>IF(HLOOKUP($CI$1,LWTW!$A$2:$L$85,COLUMN(BQ$1),FALSE)="","",HLOOKUP($CI$1,LWTW!$A$2:$L$85,COLUMN(BQ$1),FALSE))</f>
        <v/>
      </c>
      <c r="BW6" s="957" t="str">
        <f>IF(HLOOKUP($CI$1,LWTW!$A$2:$L$85,COLUMN(BR$1),FALSE)="","",HLOOKUP($CI$1,LWTW!$A$2:$L$85,COLUMN(BR$1),FALSE))</f>
        <v/>
      </c>
      <c r="BX6" s="957" t="str">
        <f>IF(HLOOKUP($CI$1,LWTW!$A$2:$L$85,COLUMN(BS$1),FALSE)="","",HLOOKUP($CI$1,LWTW!$A$2:$L$85,COLUMN(BS$1),FALSE))</f>
        <v/>
      </c>
      <c r="BY6" s="957" t="str">
        <f>IF(HLOOKUP($CI$1,LWTW!$A$2:$L$85,COLUMN(BT$1),FALSE)="","",HLOOKUP($CI$1,LWTW!$A$2:$L$85,COLUMN(BT$1),FALSE))</f>
        <v/>
      </c>
      <c r="BZ6" s="957" t="str">
        <f>IF(HLOOKUP($CI$1,LWTW!$A$2:$L$85,COLUMN(BU$1),FALSE)="","",HLOOKUP($CI$1,LWTW!$A$2:$L$85,COLUMN(BU$1),FALSE))</f>
        <v/>
      </c>
      <c r="CA6" s="957" t="str">
        <f>IF(HLOOKUP($CI$1,LWTW!$A$2:$L$85,COLUMN(BV$1),FALSE)="","",HLOOKUP($CI$1,LWTW!$A$2:$L$85,COLUMN(BV$1),FALSE))</f>
        <v/>
      </c>
      <c r="CB6" s="957" t="str">
        <f>IF(HLOOKUP($CI$1,LWTW!$A$2:$L$85,COLUMN(BW$1),FALSE)="","",HLOOKUP($CI$1,LWTW!$A$2:$L$85,COLUMN(BW$1),FALSE))</f>
        <v/>
      </c>
      <c r="CC6" s="957" t="str">
        <f>IF(HLOOKUP($CI$1,LWTW!$A$2:$L$85,COLUMN(BX$1),FALSE)="","",HLOOKUP($CI$1,LWTW!$A$2:$L$85,COLUMN(BX$1),FALSE))</f>
        <v/>
      </c>
      <c r="CD6" s="957" t="str">
        <f>IF(HLOOKUP($CI$1,LWTW!$A$2:$L$85,COLUMN(BY$1),FALSE)="","",HLOOKUP($CI$1,LWTW!$A$2:$L$85,COLUMN(BY$1),FALSE))</f>
        <v/>
      </c>
      <c r="CE6" s="957" t="str">
        <f>IF(HLOOKUP($CI$1,LWTW!$A$2:$L$85,COLUMN(BZ$1),FALSE)="","",HLOOKUP($CI$1,LWTW!$A$2:$L$85,COLUMN(BZ$1),FALSE))</f>
        <v/>
      </c>
      <c r="CF6" s="957" t="str">
        <f>IF(HLOOKUP($CI$1,LWTW!$A$2:$L$85,COLUMN(CA$1),FALSE)="","",HLOOKUP($CI$1,LWTW!$A$2:$L$85,COLUMN(CA$1),FALSE))</f>
        <v/>
      </c>
      <c r="CG6" s="957" t="str">
        <f>IF(HLOOKUP($CI$1,LWTW!$A$2:$L$85,COLUMN(CB$1),FALSE)="","",HLOOKUP($CI$1,LWTW!$A$2:$L$85,COLUMN(CB$1),FALSE))</f>
        <v/>
      </c>
      <c r="CH6" s="957" t="str">
        <f>IF(HLOOKUP($CI$1,LWTW!$A$2:$L$85,COLUMN(CC$1),FALSE)="","",HLOOKUP($CI$1,LWTW!$A$2:$L$85,COLUMN(CC$1),FALSE))</f>
        <v/>
      </c>
      <c r="CI6" s="942"/>
      <c r="CJ6" s="850"/>
    </row>
    <row r="7" spans="1:88" ht="15.75">
      <c r="A7" s="850"/>
      <c r="B7" s="866" t="s">
        <v>6242</v>
      </c>
      <c r="C7" s="867" t="s">
        <v>6243</v>
      </c>
      <c r="D7" s="2155" t="s">
        <v>6244</v>
      </c>
      <c r="E7" s="2155" t="s">
        <v>6241</v>
      </c>
      <c r="F7" s="864">
        <v>0</v>
      </c>
      <c r="G7" s="943" t="s">
        <v>6245</v>
      </c>
      <c r="H7" s="943" t="s">
        <v>6246</v>
      </c>
      <c r="I7" s="2163"/>
      <c r="J7" s="943" t="s">
        <v>6246</v>
      </c>
      <c r="K7" s="943" t="s">
        <v>6246</v>
      </c>
      <c r="L7" s="943" t="s">
        <v>6246</v>
      </c>
      <c r="M7" s="943" t="s">
        <v>6246</v>
      </c>
      <c r="N7" s="943" t="s">
        <v>6247</v>
      </c>
      <c r="O7" s="943" t="s">
        <v>6247</v>
      </c>
      <c r="P7" s="943" t="s">
        <v>6246</v>
      </c>
      <c r="Q7" s="943" t="s">
        <v>6246</v>
      </c>
      <c r="R7" s="943" t="s">
        <v>6246</v>
      </c>
      <c r="S7" s="943" t="s">
        <v>6247</v>
      </c>
      <c r="T7" s="943" t="s">
        <v>6245</v>
      </c>
      <c r="U7" s="943" t="s">
        <v>6248</v>
      </c>
      <c r="V7" s="943" t="s">
        <v>6246</v>
      </c>
      <c r="W7" s="943" t="s">
        <v>6245</v>
      </c>
      <c r="X7" s="943" t="s">
        <v>6246</v>
      </c>
      <c r="Y7" s="943" t="s">
        <v>6246</v>
      </c>
      <c r="Z7" s="943" t="s">
        <v>6246</v>
      </c>
      <c r="AA7" s="943" t="s">
        <v>6247</v>
      </c>
      <c r="AB7" s="943" t="s">
        <v>6246</v>
      </c>
      <c r="AC7" s="943" t="s">
        <v>6246</v>
      </c>
      <c r="AD7" s="943" t="s">
        <v>6246</v>
      </c>
      <c r="AE7" s="943" t="s">
        <v>6246</v>
      </c>
      <c r="AF7" s="943" t="s">
        <v>6246</v>
      </c>
      <c r="AG7" s="943" t="s">
        <v>6246</v>
      </c>
      <c r="AH7" s="943" t="s">
        <v>6245</v>
      </c>
      <c r="AI7" s="943" t="s">
        <v>6245</v>
      </c>
      <c r="AJ7" s="943" t="s">
        <v>6245</v>
      </c>
      <c r="AK7" s="2163"/>
      <c r="AL7" s="2163" t="s">
        <v>6246</v>
      </c>
      <c r="AM7" s="943" t="s">
        <v>6246</v>
      </c>
      <c r="AN7" s="943" t="s">
        <v>6246</v>
      </c>
      <c r="AO7" s="943" t="s">
        <v>6246</v>
      </c>
      <c r="AP7" s="943" t="s">
        <v>6247</v>
      </c>
      <c r="AQ7" s="943" t="s">
        <v>6246</v>
      </c>
      <c r="AR7" s="943" t="s">
        <v>6246</v>
      </c>
      <c r="AS7" s="943" t="s">
        <v>6246</v>
      </c>
      <c r="AT7" s="943" t="s">
        <v>6247</v>
      </c>
      <c r="AU7" s="943" t="s">
        <v>6246</v>
      </c>
      <c r="AV7" s="943" t="s">
        <v>6246</v>
      </c>
      <c r="AW7" s="943" t="s">
        <v>6246</v>
      </c>
      <c r="AX7" s="943" t="s">
        <v>6245</v>
      </c>
      <c r="AY7" s="943" t="s">
        <v>6247</v>
      </c>
      <c r="AZ7" s="943" t="s">
        <v>6246</v>
      </c>
      <c r="BA7" s="943" t="s">
        <v>6245</v>
      </c>
      <c r="BB7" s="943" t="s">
        <v>6246</v>
      </c>
      <c r="BC7" s="943" t="s">
        <v>6246</v>
      </c>
      <c r="BD7" s="943" t="s">
        <v>6245</v>
      </c>
      <c r="BE7" s="943" t="s">
        <v>6246</v>
      </c>
      <c r="BF7" s="943" t="s">
        <v>6245</v>
      </c>
      <c r="BG7" s="943" t="s">
        <v>6246</v>
      </c>
      <c r="BH7" s="943" t="s">
        <v>6245</v>
      </c>
      <c r="BI7" s="2163"/>
      <c r="BJ7" s="2163"/>
      <c r="BK7" s="2163"/>
      <c r="BL7" s="943"/>
      <c r="BM7" s="943"/>
      <c r="BN7" s="943"/>
      <c r="BO7" s="943"/>
      <c r="BP7" s="943"/>
      <c r="BQ7" s="943"/>
      <c r="BR7" s="943"/>
      <c r="BS7" s="943"/>
      <c r="BT7" s="943"/>
      <c r="BU7" s="943"/>
      <c r="BV7" s="943"/>
      <c r="BW7" s="943"/>
      <c r="BX7" s="943"/>
      <c r="BY7" s="943"/>
      <c r="BZ7" s="943"/>
      <c r="CA7" s="943"/>
      <c r="CB7" s="943"/>
      <c r="CC7" s="943"/>
      <c r="CD7" s="943"/>
      <c r="CE7" s="943"/>
      <c r="CF7" s="943"/>
      <c r="CG7" s="943"/>
      <c r="CH7" s="943"/>
      <c r="CI7" s="943"/>
      <c r="CJ7" s="850"/>
    </row>
    <row r="8" spans="1:88" ht="15.75">
      <c r="A8" s="850"/>
      <c r="B8" s="866" t="s">
        <v>6249</v>
      </c>
      <c r="C8" s="867" t="s">
        <v>6250</v>
      </c>
      <c r="D8" s="2155" t="s">
        <v>6251</v>
      </c>
      <c r="E8" s="2155" t="s">
        <v>6252</v>
      </c>
      <c r="F8" s="864">
        <v>2</v>
      </c>
      <c r="G8" s="944">
        <v>39.465698725296498</v>
      </c>
      <c r="H8" s="944">
        <v>39.227537535657262</v>
      </c>
      <c r="I8" s="2164"/>
      <c r="J8" s="944">
        <v>26.916855644076815</v>
      </c>
      <c r="K8" s="944">
        <v>120.85327028795788</v>
      </c>
      <c r="L8" s="944">
        <v>90.703387648720252</v>
      </c>
      <c r="M8" s="944">
        <v>135.71848252593804</v>
      </c>
      <c r="N8" s="944">
        <v>3757.7156585264397</v>
      </c>
      <c r="O8" s="944">
        <v>405.61088906258857</v>
      </c>
      <c r="P8" s="944">
        <v>49.221249938435321</v>
      </c>
      <c r="Q8" s="944">
        <v>59.897041588201013</v>
      </c>
      <c r="R8" s="944">
        <v>91.839600342448165</v>
      </c>
      <c r="S8" s="944">
        <v>36.871673000523195</v>
      </c>
      <c r="T8" s="944">
        <v>87.498289629568433</v>
      </c>
      <c r="U8" s="944">
        <v>35.59277487275083</v>
      </c>
      <c r="V8" s="944">
        <v>140.54690697978126</v>
      </c>
      <c r="W8" s="944">
        <v>94.759302453962363</v>
      </c>
      <c r="X8" s="944">
        <v>33.658912461097188</v>
      </c>
      <c r="Y8" s="944">
        <v>31.964731691738738</v>
      </c>
      <c r="Z8" s="944">
        <v>152.91496881045538</v>
      </c>
      <c r="AA8" s="944">
        <v>1950.1993430153902</v>
      </c>
      <c r="AB8" s="944">
        <v>909.55295447214905</v>
      </c>
      <c r="AC8" s="944">
        <v>42.965608868512135</v>
      </c>
      <c r="AD8" s="944">
        <v>29.720011545213872</v>
      </c>
      <c r="AE8" s="944">
        <v>112.98956832040071</v>
      </c>
      <c r="AF8" s="944">
        <v>44.515456608901303</v>
      </c>
      <c r="AG8" s="944">
        <v>45.274995030102637</v>
      </c>
      <c r="AH8" s="944">
        <v>30.720183957383625</v>
      </c>
      <c r="AI8" s="944">
        <v>95.914706066546202</v>
      </c>
      <c r="AJ8" s="944">
        <v>37.348359421325235</v>
      </c>
      <c r="AK8" s="2164"/>
      <c r="AL8" s="2164">
        <v>394.15013416710394</v>
      </c>
      <c r="AM8" s="944">
        <v>37.022450233179633</v>
      </c>
      <c r="AN8" s="944">
        <v>48.800952151756945</v>
      </c>
      <c r="AO8" s="944">
        <v>184.37180140433904</v>
      </c>
      <c r="AP8" s="944">
        <v>868.00181174969578</v>
      </c>
      <c r="AQ8" s="944">
        <v>170.68148661828764</v>
      </c>
      <c r="AR8" s="944">
        <v>82.576302019313303</v>
      </c>
      <c r="AS8" s="944">
        <v>503.90430776734536</v>
      </c>
      <c r="AT8" s="944">
        <v>2010.7847234334811</v>
      </c>
      <c r="AU8" s="944">
        <v>88.659186960576093</v>
      </c>
      <c r="AV8" s="944">
        <v>210.6561153610368</v>
      </c>
      <c r="AW8" s="944">
        <v>210.03117259803821</v>
      </c>
      <c r="AX8" s="944">
        <v>67.274645627257215</v>
      </c>
      <c r="AY8" s="944">
        <v>423.38442999042138</v>
      </c>
      <c r="AZ8" s="944">
        <v>411.32055797642175</v>
      </c>
      <c r="BA8" s="944">
        <v>36.490380708123411</v>
      </c>
      <c r="BB8" s="944">
        <v>213.04789067777364</v>
      </c>
      <c r="BC8" s="944">
        <v>223.186224521821</v>
      </c>
      <c r="BD8" s="944">
        <v>27.209260867780884</v>
      </c>
      <c r="BE8" s="944">
        <v>120</v>
      </c>
      <c r="BF8" s="944">
        <v>41.4</v>
      </c>
      <c r="BG8" s="944">
        <v>48.775066711529888</v>
      </c>
      <c r="BH8" s="944">
        <v>79.7</v>
      </c>
      <c r="BI8" s="2164"/>
      <c r="BJ8" s="2164"/>
      <c r="BK8" s="216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5"/>
      <c r="CJ8" s="850"/>
    </row>
    <row r="9" spans="1:88" ht="15.75">
      <c r="A9" s="850"/>
      <c r="B9" s="866" t="s">
        <v>6253</v>
      </c>
      <c r="C9" s="867" t="s">
        <v>6254</v>
      </c>
      <c r="D9" s="2155" t="s">
        <v>6255</v>
      </c>
      <c r="E9" s="2155" t="s">
        <v>6256</v>
      </c>
      <c r="F9" s="864">
        <v>0</v>
      </c>
      <c r="G9" s="946">
        <v>25</v>
      </c>
      <c r="H9" s="946">
        <v>20</v>
      </c>
      <c r="I9" s="2165"/>
      <c r="J9" s="946">
        <v>30</v>
      </c>
      <c r="K9" s="946">
        <v>15</v>
      </c>
      <c r="L9" s="946">
        <v>15</v>
      </c>
      <c r="M9" s="946">
        <v>10</v>
      </c>
      <c r="N9" s="946">
        <v>45</v>
      </c>
      <c r="O9" s="946">
        <v>15</v>
      </c>
      <c r="P9" s="946">
        <v>25</v>
      </c>
      <c r="Q9" s="946">
        <v>22</v>
      </c>
      <c r="R9" s="946">
        <v>10</v>
      </c>
      <c r="S9" s="946">
        <v>25</v>
      </c>
      <c r="T9" s="946">
        <v>30</v>
      </c>
      <c r="U9" s="946">
        <v>20</v>
      </c>
      <c r="V9" s="946">
        <v>20</v>
      </c>
      <c r="W9" s="946">
        <v>30</v>
      </c>
      <c r="X9" s="946">
        <v>20</v>
      </c>
      <c r="Y9" s="946">
        <v>25</v>
      </c>
      <c r="Z9" s="946">
        <v>10</v>
      </c>
      <c r="AA9" s="946">
        <v>45</v>
      </c>
      <c r="AB9" s="946">
        <v>10</v>
      </c>
      <c r="AC9" s="946">
        <v>20</v>
      </c>
      <c r="AD9" s="946">
        <v>40</v>
      </c>
      <c r="AE9" s="946">
        <v>25</v>
      </c>
      <c r="AF9" s="946">
        <v>20</v>
      </c>
      <c r="AG9" s="946">
        <v>25</v>
      </c>
      <c r="AH9" s="946">
        <v>25</v>
      </c>
      <c r="AI9" s="946">
        <v>45</v>
      </c>
      <c r="AJ9" s="946">
        <v>20</v>
      </c>
      <c r="AK9" s="2165"/>
      <c r="AL9" s="2165">
        <v>25</v>
      </c>
      <c r="AM9" s="946">
        <v>30</v>
      </c>
      <c r="AN9" s="946">
        <v>25</v>
      </c>
      <c r="AO9" s="2165">
        <v>15</v>
      </c>
      <c r="AP9" s="946">
        <v>50</v>
      </c>
      <c r="AQ9" s="946">
        <v>15</v>
      </c>
      <c r="AR9" s="946">
        <v>15</v>
      </c>
      <c r="AS9" s="946">
        <v>15</v>
      </c>
      <c r="AT9" s="946">
        <v>45</v>
      </c>
      <c r="AU9" s="946">
        <v>30</v>
      </c>
      <c r="AV9" s="946">
        <v>45</v>
      </c>
      <c r="AW9" s="946">
        <v>30</v>
      </c>
      <c r="AX9" s="946">
        <v>30</v>
      </c>
      <c r="AY9" s="946">
        <v>45</v>
      </c>
      <c r="AZ9" s="946">
        <v>15</v>
      </c>
      <c r="BA9" s="946">
        <v>20</v>
      </c>
      <c r="BB9" s="946">
        <v>15</v>
      </c>
      <c r="BC9" s="946">
        <v>17</v>
      </c>
      <c r="BD9" s="946">
        <v>40</v>
      </c>
      <c r="BE9" s="946">
        <v>45</v>
      </c>
      <c r="BF9" s="946">
        <v>30</v>
      </c>
      <c r="BG9" s="946">
        <v>15</v>
      </c>
      <c r="BH9" s="946">
        <v>45</v>
      </c>
      <c r="BI9" s="2165"/>
      <c r="BJ9" s="2165"/>
      <c r="BK9" s="2165"/>
      <c r="BL9" s="946"/>
      <c r="BM9" s="946"/>
      <c r="BN9" s="946"/>
      <c r="BO9" s="946"/>
      <c r="BP9" s="946"/>
      <c r="BQ9" s="946"/>
      <c r="BR9" s="946"/>
      <c r="BS9" s="946"/>
      <c r="BT9" s="946"/>
      <c r="BU9" s="946"/>
      <c r="BV9" s="946"/>
      <c r="BW9" s="946"/>
      <c r="BX9" s="946"/>
      <c r="BY9" s="946"/>
      <c r="BZ9" s="946"/>
      <c r="CA9" s="946"/>
      <c r="CB9" s="946"/>
      <c r="CC9" s="946"/>
      <c r="CD9" s="946"/>
      <c r="CE9" s="946"/>
      <c r="CF9" s="946"/>
      <c r="CG9" s="946"/>
      <c r="CH9" s="946"/>
      <c r="CI9" s="945"/>
      <c r="CJ9" s="850"/>
    </row>
    <row r="10" spans="1:88" ht="16.5">
      <c r="A10" s="850"/>
      <c r="B10" s="866" t="s">
        <v>6257</v>
      </c>
      <c r="C10" s="867" t="s">
        <v>6258</v>
      </c>
      <c r="D10" s="2155" t="s">
        <v>6259</v>
      </c>
      <c r="E10" s="2155" t="s">
        <v>6256</v>
      </c>
      <c r="F10" s="864">
        <v>0</v>
      </c>
      <c r="G10" s="946">
        <v>10</v>
      </c>
      <c r="H10" s="946">
        <v>9</v>
      </c>
      <c r="I10" s="2165"/>
      <c r="J10" s="946">
        <v>10</v>
      </c>
      <c r="K10" s="946">
        <v>10</v>
      </c>
      <c r="L10" s="946">
        <v>11</v>
      </c>
      <c r="M10" s="946">
        <v>10</v>
      </c>
      <c r="N10" s="946">
        <v>18</v>
      </c>
      <c r="O10" s="946">
        <v>10</v>
      </c>
      <c r="P10" s="946">
        <v>10</v>
      </c>
      <c r="Q10" s="946">
        <v>9</v>
      </c>
      <c r="R10" s="946">
        <v>7</v>
      </c>
      <c r="S10" s="946">
        <v>10</v>
      </c>
      <c r="T10" s="946">
        <v>18</v>
      </c>
      <c r="U10" s="946">
        <v>10</v>
      </c>
      <c r="V10" s="946">
        <v>10</v>
      </c>
      <c r="W10" s="946">
        <v>12</v>
      </c>
      <c r="X10" s="946">
        <v>7</v>
      </c>
      <c r="Y10" s="946">
        <v>8</v>
      </c>
      <c r="Z10" s="946">
        <v>7</v>
      </c>
      <c r="AA10" s="946">
        <v>18</v>
      </c>
      <c r="AB10" s="946">
        <v>5</v>
      </c>
      <c r="AC10" s="946">
        <v>10</v>
      </c>
      <c r="AD10" s="946">
        <v>40</v>
      </c>
      <c r="AE10" s="946">
        <v>12</v>
      </c>
      <c r="AF10" s="946">
        <v>10</v>
      </c>
      <c r="AG10" s="946">
        <v>12</v>
      </c>
      <c r="AH10" s="946">
        <v>10</v>
      </c>
      <c r="AI10" s="946">
        <v>20</v>
      </c>
      <c r="AJ10" s="946">
        <v>13</v>
      </c>
      <c r="AK10" s="2165"/>
      <c r="AL10" s="2165">
        <v>9</v>
      </c>
      <c r="AM10" s="946">
        <v>15</v>
      </c>
      <c r="AN10" s="946">
        <v>10</v>
      </c>
      <c r="AO10" s="2165">
        <v>9</v>
      </c>
      <c r="AP10" s="946">
        <v>22</v>
      </c>
      <c r="AQ10" s="946">
        <v>8</v>
      </c>
      <c r="AR10" s="946">
        <v>12</v>
      </c>
      <c r="AS10" s="946">
        <v>15</v>
      </c>
      <c r="AT10" s="946">
        <v>18</v>
      </c>
      <c r="AU10" s="946">
        <v>10</v>
      </c>
      <c r="AV10" s="946">
        <v>10</v>
      </c>
      <c r="AW10" s="946">
        <v>5</v>
      </c>
      <c r="AX10" s="946">
        <v>17</v>
      </c>
      <c r="AY10" s="946">
        <v>18</v>
      </c>
      <c r="AZ10" s="946">
        <v>6</v>
      </c>
      <c r="BA10" s="946">
        <v>9</v>
      </c>
      <c r="BB10" s="946">
        <v>10</v>
      </c>
      <c r="BC10" s="946">
        <v>11</v>
      </c>
      <c r="BD10" s="946">
        <v>30</v>
      </c>
      <c r="BE10" s="946">
        <v>18</v>
      </c>
      <c r="BF10" s="946">
        <v>20</v>
      </c>
      <c r="BG10" s="946">
        <v>8</v>
      </c>
      <c r="BH10" s="946">
        <v>25</v>
      </c>
      <c r="BI10" s="2165"/>
      <c r="BJ10" s="2165"/>
      <c r="BK10" s="2165"/>
      <c r="BL10" s="946"/>
      <c r="BM10" s="946"/>
      <c r="BN10" s="946"/>
      <c r="BO10" s="946"/>
      <c r="BP10" s="946"/>
      <c r="BQ10" s="946"/>
      <c r="BR10" s="946"/>
      <c r="BS10" s="946"/>
      <c r="BT10" s="946"/>
      <c r="BU10" s="946"/>
      <c r="BV10" s="946"/>
      <c r="BW10" s="946"/>
      <c r="BX10" s="946"/>
      <c r="BY10" s="946"/>
      <c r="BZ10" s="946"/>
      <c r="CA10" s="946"/>
      <c r="CB10" s="946"/>
      <c r="CC10" s="946"/>
      <c r="CD10" s="946"/>
      <c r="CE10" s="946"/>
      <c r="CF10" s="946"/>
      <c r="CG10" s="946"/>
      <c r="CH10" s="946"/>
      <c r="CI10" s="945"/>
      <c r="CJ10" s="850"/>
    </row>
    <row r="11" spans="1:88" ht="15.75">
      <c r="A11" s="850"/>
      <c r="B11" s="866" t="s">
        <v>6260</v>
      </c>
      <c r="C11" s="867" t="s">
        <v>6261</v>
      </c>
      <c r="D11" s="2155" t="s">
        <v>6262</v>
      </c>
      <c r="E11" s="2155" t="s">
        <v>6256</v>
      </c>
      <c r="F11" s="864">
        <v>0</v>
      </c>
      <c r="G11" s="947">
        <v>3</v>
      </c>
      <c r="H11" s="947">
        <v>2</v>
      </c>
      <c r="I11" s="2166"/>
      <c r="J11" s="947">
        <v>5</v>
      </c>
      <c r="K11" s="947">
        <v>2</v>
      </c>
      <c r="L11" s="947">
        <v>2</v>
      </c>
      <c r="M11" s="947">
        <v>1</v>
      </c>
      <c r="N11" s="947">
        <v>2.5</v>
      </c>
      <c r="O11" s="947">
        <v>2.5</v>
      </c>
      <c r="P11" s="947">
        <v>2</v>
      </c>
      <c r="Q11" s="947">
        <v>2</v>
      </c>
      <c r="R11" s="947">
        <v>1.4</v>
      </c>
      <c r="S11" s="947">
        <v>4</v>
      </c>
      <c r="T11" s="947">
        <v>2</v>
      </c>
      <c r="U11" s="947">
        <v>2</v>
      </c>
      <c r="V11" s="947">
        <v>3</v>
      </c>
      <c r="W11" s="947">
        <v>1.3</v>
      </c>
      <c r="X11" s="947">
        <v>2</v>
      </c>
      <c r="Y11" s="947">
        <v>4</v>
      </c>
      <c r="Z11" s="947">
        <v>3</v>
      </c>
      <c r="AA11" s="947">
        <v>2.5</v>
      </c>
      <c r="AB11" s="947">
        <v>1</v>
      </c>
      <c r="AC11" s="947">
        <v>9</v>
      </c>
      <c r="AD11" s="947">
        <v>5</v>
      </c>
      <c r="AE11" s="947">
        <v>2</v>
      </c>
      <c r="AF11" s="947">
        <v>3</v>
      </c>
      <c r="AG11" s="947">
        <v>2.5</v>
      </c>
      <c r="AH11" s="947">
        <v>4</v>
      </c>
      <c r="AI11" s="947">
        <v>6</v>
      </c>
      <c r="AJ11" s="947">
        <v>6</v>
      </c>
      <c r="AK11" s="2166"/>
      <c r="AL11" s="2166">
        <v>3</v>
      </c>
      <c r="AM11" s="947">
        <v>8</v>
      </c>
      <c r="AN11" s="947">
        <v>2</v>
      </c>
      <c r="AO11" s="947">
        <v>5</v>
      </c>
      <c r="AP11" s="947">
        <v>4.5</v>
      </c>
      <c r="AQ11" s="947">
        <v>2</v>
      </c>
      <c r="AR11" s="947">
        <v>2</v>
      </c>
      <c r="AS11" s="947">
        <v>1</v>
      </c>
      <c r="AT11" s="947">
        <v>2.5</v>
      </c>
      <c r="AU11" s="947">
        <v>2</v>
      </c>
      <c r="AV11" s="947">
        <v>3</v>
      </c>
      <c r="AW11" s="947">
        <v>2</v>
      </c>
      <c r="AX11" s="947">
        <v>5</v>
      </c>
      <c r="AY11" s="947">
        <v>2.5</v>
      </c>
      <c r="AZ11" s="947">
        <v>2</v>
      </c>
      <c r="BA11" s="947">
        <v>5</v>
      </c>
      <c r="BB11" s="947">
        <v>3</v>
      </c>
      <c r="BC11" s="947">
        <v>1</v>
      </c>
      <c r="BD11" s="947">
        <v>5</v>
      </c>
      <c r="BE11" s="947">
        <v>15</v>
      </c>
      <c r="BF11" s="947">
        <v>10</v>
      </c>
      <c r="BG11" s="947">
        <v>3</v>
      </c>
      <c r="BH11" s="947">
        <v>3</v>
      </c>
      <c r="BI11" s="2166"/>
      <c r="BJ11" s="2166"/>
      <c r="BK11" s="2166"/>
      <c r="BL11" s="947"/>
      <c r="BM11" s="947"/>
      <c r="BN11" s="947"/>
      <c r="BO11" s="947"/>
      <c r="BP11" s="947"/>
      <c r="BQ11" s="947"/>
      <c r="BR11" s="947"/>
      <c r="BS11" s="947"/>
      <c r="BT11" s="947"/>
      <c r="BU11" s="947"/>
      <c r="BV11" s="947"/>
      <c r="BW11" s="947"/>
      <c r="BX11" s="947"/>
      <c r="BY11" s="947"/>
      <c r="BZ11" s="947"/>
      <c r="CA11" s="947"/>
      <c r="CB11" s="947"/>
      <c r="CC11" s="947"/>
      <c r="CD11" s="947"/>
      <c r="CE11" s="947"/>
      <c r="CF11" s="947"/>
      <c r="CG11" s="947"/>
      <c r="CH11" s="947"/>
      <c r="CI11" s="945"/>
      <c r="CJ11" s="850"/>
    </row>
    <row r="12" spans="1:88" ht="15.75">
      <c r="A12" s="850"/>
      <c r="B12" s="866" t="s">
        <v>6263</v>
      </c>
      <c r="C12" s="867" t="s">
        <v>6264</v>
      </c>
      <c r="D12" s="2155" t="s">
        <v>6265</v>
      </c>
      <c r="E12" s="2155" t="s">
        <v>6256</v>
      </c>
      <c r="F12" s="864">
        <v>0</v>
      </c>
      <c r="G12" s="947">
        <v>2</v>
      </c>
      <c r="H12" s="947">
        <v>2</v>
      </c>
      <c r="I12" s="2166"/>
      <c r="J12" s="947">
        <v>2</v>
      </c>
      <c r="K12" s="947">
        <v>1</v>
      </c>
      <c r="L12" s="947">
        <v>2</v>
      </c>
      <c r="M12" s="947">
        <v>1</v>
      </c>
      <c r="N12" s="947" t="s">
        <v>6266</v>
      </c>
      <c r="O12" s="947" t="s">
        <v>6266</v>
      </c>
      <c r="P12" s="947">
        <v>2</v>
      </c>
      <c r="Q12" s="947">
        <v>2</v>
      </c>
      <c r="R12" s="947">
        <v>1</v>
      </c>
      <c r="S12" s="947">
        <v>2</v>
      </c>
      <c r="T12" s="947">
        <v>2</v>
      </c>
      <c r="U12" s="947" t="s">
        <v>6266</v>
      </c>
      <c r="V12" s="947">
        <v>1</v>
      </c>
      <c r="W12" s="947">
        <v>2</v>
      </c>
      <c r="X12" s="947">
        <v>2</v>
      </c>
      <c r="Y12" s="947">
        <v>2</v>
      </c>
      <c r="Z12" s="947">
        <v>1</v>
      </c>
      <c r="AA12" s="947" t="s">
        <v>6266</v>
      </c>
      <c r="AB12" s="947">
        <v>1</v>
      </c>
      <c r="AC12" s="947">
        <v>2</v>
      </c>
      <c r="AD12" s="947">
        <v>2</v>
      </c>
      <c r="AE12" s="947">
        <v>1</v>
      </c>
      <c r="AF12" s="947">
        <v>2</v>
      </c>
      <c r="AG12" s="947">
        <v>2</v>
      </c>
      <c r="AH12" s="947">
        <v>2</v>
      </c>
      <c r="AI12" s="947">
        <v>2</v>
      </c>
      <c r="AJ12" s="947">
        <v>2</v>
      </c>
      <c r="AK12" s="2166"/>
      <c r="AL12" s="2166">
        <v>1</v>
      </c>
      <c r="AM12" s="947">
        <v>2</v>
      </c>
      <c r="AN12" s="947">
        <v>2</v>
      </c>
      <c r="AO12" s="947">
        <v>1</v>
      </c>
      <c r="AP12" s="947" t="s">
        <v>6266</v>
      </c>
      <c r="AQ12" s="947">
        <v>1</v>
      </c>
      <c r="AR12" s="947">
        <v>2</v>
      </c>
      <c r="AS12" s="947">
        <v>1</v>
      </c>
      <c r="AT12" s="947" t="s">
        <v>6266</v>
      </c>
      <c r="AU12" s="947">
        <v>2</v>
      </c>
      <c r="AV12" s="947">
        <v>1</v>
      </c>
      <c r="AW12" s="947">
        <v>1</v>
      </c>
      <c r="AX12" s="947">
        <v>2</v>
      </c>
      <c r="AY12" s="947" t="s">
        <v>6266</v>
      </c>
      <c r="AZ12" s="947">
        <v>1</v>
      </c>
      <c r="BA12" s="947">
        <v>2</v>
      </c>
      <c r="BB12" s="947">
        <v>1</v>
      </c>
      <c r="BC12" s="947">
        <v>1</v>
      </c>
      <c r="BD12" s="947">
        <v>2</v>
      </c>
      <c r="BE12" s="947">
        <v>1</v>
      </c>
      <c r="BF12" s="947">
        <v>2</v>
      </c>
      <c r="BG12" s="947">
        <v>2</v>
      </c>
      <c r="BH12" s="947">
        <v>2</v>
      </c>
      <c r="BI12" s="2166"/>
      <c r="BJ12" s="2166"/>
      <c r="BK12" s="2166"/>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5"/>
      <c r="CJ12" s="850"/>
    </row>
    <row r="13" spans="1:88" ht="15.75">
      <c r="A13" s="850"/>
      <c r="B13" s="866" t="s">
        <v>6267</v>
      </c>
      <c r="C13" s="867" t="s">
        <v>6268</v>
      </c>
      <c r="D13" s="2155" t="s">
        <v>6269</v>
      </c>
      <c r="E13" s="2155" t="s">
        <v>6270</v>
      </c>
      <c r="F13" s="864">
        <v>0</v>
      </c>
      <c r="G13" s="946" t="s">
        <v>6266</v>
      </c>
      <c r="H13" s="946" t="s">
        <v>6266</v>
      </c>
      <c r="I13" s="2165"/>
      <c r="J13" s="946" t="s">
        <v>6266</v>
      </c>
      <c r="K13" s="946" t="s">
        <v>6266</v>
      </c>
      <c r="L13" s="946" t="s">
        <v>6266</v>
      </c>
      <c r="M13" s="946" t="s">
        <v>6266</v>
      </c>
      <c r="N13" s="946" t="s">
        <v>6266</v>
      </c>
      <c r="O13" s="946" t="s">
        <v>6266</v>
      </c>
      <c r="P13" s="946" t="s">
        <v>6266</v>
      </c>
      <c r="Q13" s="946" t="s">
        <v>6266</v>
      </c>
      <c r="R13" s="946" t="s">
        <v>6266</v>
      </c>
      <c r="S13" s="946" t="s">
        <v>6266</v>
      </c>
      <c r="T13" s="946" t="s">
        <v>6266</v>
      </c>
      <c r="U13" s="946" t="s">
        <v>6266</v>
      </c>
      <c r="V13" s="946" t="s">
        <v>6266</v>
      </c>
      <c r="W13" s="946" t="s">
        <v>6266</v>
      </c>
      <c r="X13" s="946" t="s">
        <v>6266</v>
      </c>
      <c r="Y13" s="946" t="s">
        <v>6266</v>
      </c>
      <c r="Z13" s="946" t="s">
        <v>6266</v>
      </c>
      <c r="AA13" s="946" t="s">
        <v>6266</v>
      </c>
      <c r="AB13" s="946" t="s">
        <v>6266</v>
      </c>
      <c r="AC13" s="946" t="s">
        <v>6266</v>
      </c>
      <c r="AD13" s="946" t="s">
        <v>6266</v>
      </c>
      <c r="AE13" s="946" t="s">
        <v>6266</v>
      </c>
      <c r="AF13" s="946" t="s">
        <v>6266</v>
      </c>
      <c r="AG13" s="946" t="s">
        <v>6266</v>
      </c>
      <c r="AH13" s="946" t="s">
        <v>6266</v>
      </c>
      <c r="AI13" s="946" t="s">
        <v>6266</v>
      </c>
      <c r="AJ13" s="946" t="s">
        <v>6266</v>
      </c>
      <c r="AK13" s="2165"/>
      <c r="AL13" s="2165" t="s">
        <v>6266</v>
      </c>
      <c r="AM13" s="946" t="s">
        <v>6266</v>
      </c>
      <c r="AN13" s="946" t="s">
        <v>6266</v>
      </c>
      <c r="AO13" s="946" t="s">
        <v>6266</v>
      </c>
      <c r="AP13" s="946" t="s">
        <v>6266</v>
      </c>
      <c r="AQ13" s="946" t="s">
        <v>6266</v>
      </c>
      <c r="AR13" s="946" t="s">
        <v>6266</v>
      </c>
      <c r="AS13" s="946" t="s">
        <v>6266</v>
      </c>
      <c r="AT13" s="946" t="s">
        <v>6266</v>
      </c>
      <c r="AU13" s="946" t="s">
        <v>6266</v>
      </c>
      <c r="AV13" s="946" t="s">
        <v>6266</v>
      </c>
      <c r="AW13" s="946" t="s">
        <v>6266</v>
      </c>
      <c r="AX13" s="946" t="s">
        <v>6266</v>
      </c>
      <c r="AY13" s="946" t="s">
        <v>6266</v>
      </c>
      <c r="AZ13" s="946" t="s">
        <v>6266</v>
      </c>
      <c r="BA13" s="946" t="s">
        <v>6266</v>
      </c>
      <c r="BB13" s="946" t="s">
        <v>6266</v>
      </c>
      <c r="BC13" s="946" t="s">
        <v>6266</v>
      </c>
      <c r="BD13" s="946" t="s">
        <v>6266</v>
      </c>
      <c r="BE13" s="946" t="s">
        <v>6266</v>
      </c>
      <c r="BF13" s="946" t="s">
        <v>6266</v>
      </c>
      <c r="BG13" s="946" t="s">
        <v>6266</v>
      </c>
      <c r="BH13" s="946" t="s">
        <v>6266</v>
      </c>
      <c r="BI13" s="2165"/>
      <c r="BJ13" s="2165"/>
      <c r="BK13" s="2165"/>
      <c r="BL13" s="946"/>
      <c r="BM13" s="946"/>
      <c r="BN13" s="946"/>
      <c r="BO13" s="946"/>
      <c r="BP13" s="946"/>
      <c r="BQ13" s="946"/>
      <c r="BR13" s="946"/>
      <c r="BS13" s="946"/>
      <c r="BT13" s="946"/>
      <c r="BU13" s="946"/>
      <c r="BV13" s="946"/>
      <c r="BW13" s="946"/>
      <c r="BX13" s="946"/>
      <c r="BY13" s="946"/>
      <c r="BZ13" s="946"/>
      <c r="CA13" s="946"/>
      <c r="CB13" s="946"/>
      <c r="CC13" s="946"/>
      <c r="CD13" s="946"/>
      <c r="CE13" s="946"/>
      <c r="CF13" s="946"/>
      <c r="CG13" s="946"/>
      <c r="CH13" s="946"/>
      <c r="CI13" s="945"/>
      <c r="CJ13" s="850"/>
    </row>
    <row r="14" spans="1:88" ht="15.75">
      <c r="A14" s="850"/>
      <c r="B14" s="866" t="s">
        <v>6271</v>
      </c>
      <c r="C14" s="867" t="s">
        <v>6272</v>
      </c>
      <c r="D14" s="2155" t="s">
        <v>6273</v>
      </c>
      <c r="E14" s="2155" t="s">
        <v>6274</v>
      </c>
      <c r="F14" s="864">
        <v>0</v>
      </c>
      <c r="G14" s="948">
        <f t="shared" ref="G14:BR14" si="0">+G8*0.06*1000</f>
        <v>2367.9419235177897</v>
      </c>
      <c r="H14" s="948">
        <f t="shared" si="0"/>
        <v>2353.6522521394359</v>
      </c>
      <c r="I14" s="948">
        <f t="shared" si="0"/>
        <v>0</v>
      </c>
      <c r="J14" s="948">
        <f t="shared" si="0"/>
        <v>1615.0113386446087</v>
      </c>
      <c r="K14" s="948">
        <f t="shared" si="0"/>
        <v>7251.1962172774729</v>
      </c>
      <c r="L14" s="948">
        <f t="shared" si="0"/>
        <v>5442.2032589232149</v>
      </c>
      <c r="M14" s="948">
        <f t="shared" si="0"/>
        <v>8143.1089515562826</v>
      </c>
      <c r="N14" s="948">
        <f t="shared" si="0"/>
        <v>225462.93951158636</v>
      </c>
      <c r="O14" s="948">
        <f t="shared" si="0"/>
        <v>24336.653343755312</v>
      </c>
      <c r="P14" s="948">
        <f t="shared" si="0"/>
        <v>2953.2749963061192</v>
      </c>
      <c r="Q14" s="948">
        <f t="shared" si="0"/>
        <v>3593.8224952920605</v>
      </c>
      <c r="R14" s="948">
        <f t="shared" si="0"/>
        <v>5510.3760205468898</v>
      </c>
      <c r="S14" s="948">
        <f t="shared" si="0"/>
        <v>2212.3003800313918</v>
      </c>
      <c r="T14" s="948">
        <f t="shared" si="0"/>
        <v>5249.8973777741057</v>
      </c>
      <c r="U14" s="948">
        <f t="shared" si="0"/>
        <v>2135.5664923650497</v>
      </c>
      <c r="V14" s="948">
        <f t="shared" si="0"/>
        <v>8432.8144187868766</v>
      </c>
      <c r="W14" s="948">
        <f t="shared" si="0"/>
        <v>5685.5581472377417</v>
      </c>
      <c r="X14" s="948">
        <f t="shared" si="0"/>
        <v>2019.5347476658312</v>
      </c>
      <c r="Y14" s="948">
        <f t="shared" si="0"/>
        <v>1917.8839015043243</v>
      </c>
      <c r="Z14" s="948">
        <f t="shared" si="0"/>
        <v>9174.8981286273229</v>
      </c>
      <c r="AA14" s="948">
        <f t="shared" si="0"/>
        <v>117011.96058092342</v>
      </c>
      <c r="AB14" s="948">
        <f t="shared" si="0"/>
        <v>54573.177268328938</v>
      </c>
      <c r="AC14" s="948">
        <f t="shared" si="0"/>
        <v>2577.936532110728</v>
      </c>
      <c r="AD14" s="948">
        <f t="shared" si="0"/>
        <v>1783.2006927128323</v>
      </c>
      <c r="AE14" s="948">
        <f t="shared" si="0"/>
        <v>6779.3740992240419</v>
      </c>
      <c r="AF14" s="948">
        <f t="shared" si="0"/>
        <v>2670.9273965340781</v>
      </c>
      <c r="AG14" s="948">
        <f t="shared" si="0"/>
        <v>2716.4997018061581</v>
      </c>
      <c r="AH14" s="948">
        <f t="shared" si="0"/>
        <v>1843.2110374430174</v>
      </c>
      <c r="AI14" s="948">
        <f t="shared" si="0"/>
        <v>5754.8823639927723</v>
      </c>
      <c r="AJ14" s="948">
        <f t="shared" si="0"/>
        <v>2240.9015652795138</v>
      </c>
      <c r="AK14" s="948">
        <f t="shared" si="0"/>
        <v>0</v>
      </c>
      <c r="AL14" s="948">
        <f t="shared" si="0"/>
        <v>23649.008050026237</v>
      </c>
      <c r="AM14" s="948">
        <f t="shared" si="0"/>
        <v>2221.3470139907781</v>
      </c>
      <c r="AN14" s="948">
        <f t="shared" si="0"/>
        <v>2928.0571291054166</v>
      </c>
      <c r="AO14" s="948">
        <f t="shared" si="0"/>
        <v>11062.308084260343</v>
      </c>
      <c r="AP14" s="948">
        <f t="shared" si="0"/>
        <v>52080.108704981743</v>
      </c>
      <c r="AQ14" s="948">
        <f t="shared" si="0"/>
        <v>10240.889197097258</v>
      </c>
      <c r="AR14" s="948">
        <f t="shared" si="0"/>
        <v>4954.5781211587982</v>
      </c>
      <c r="AS14" s="948">
        <f t="shared" si="0"/>
        <v>30234.258466040723</v>
      </c>
      <c r="AT14" s="948">
        <f t="shared" si="0"/>
        <v>120647.08340600887</v>
      </c>
      <c r="AU14" s="948">
        <f t="shared" si="0"/>
        <v>5319.5512176345655</v>
      </c>
      <c r="AV14" s="948">
        <f t="shared" si="0"/>
        <v>12639.366921662207</v>
      </c>
      <c r="AW14" s="948">
        <f t="shared" si="0"/>
        <v>12601.870355882293</v>
      </c>
      <c r="AX14" s="948">
        <f t="shared" si="0"/>
        <v>4036.4787376354325</v>
      </c>
      <c r="AY14" s="948">
        <f t="shared" si="0"/>
        <v>25403.06579942528</v>
      </c>
      <c r="AZ14" s="948">
        <f t="shared" si="0"/>
        <v>24679.233478585302</v>
      </c>
      <c r="BA14" s="948">
        <f t="shared" si="0"/>
        <v>2189.4228424874045</v>
      </c>
      <c r="BB14" s="948">
        <f t="shared" si="0"/>
        <v>12782.873440666417</v>
      </c>
      <c r="BC14" s="948">
        <f t="shared" si="0"/>
        <v>13391.173471309261</v>
      </c>
      <c r="BD14" s="948">
        <f t="shared" si="0"/>
        <v>1632.5556520668529</v>
      </c>
      <c r="BE14" s="948">
        <f t="shared" si="0"/>
        <v>7199.9999999999991</v>
      </c>
      <c r="BF14" s="948">
        <f t="shared" si="0"/>
        <v>2484</v>
      </c>
      <c r="BG14" s="948">
        <f t="shared" si="0"/>
        <v>2926.5040026917932</v>
      </c>
      <c r="BH14" s="948">
        <f t="shared" si="0"/>
        <v>4782</v>
      </c>
      <c r="BI14" s="948">
        <f t="shared" si="0"/>
        <v>0</v>
      </c>
      <c r="BJ14" s="948">
        <f t="shared" si="0"/>
        <v>0</v>
      </c>
      <c r="BK14" s="948">
        <f t="shared" si="0"/>
        <v>0</v>
      </c>
      <c r="BL14" s="948">
        <f t="shared" si="0"/>
        <v>0</v>
      </c>
      <c r="BM14" s="948">
        <f t="shared" si="0"/>
        <v>0</v>
      </c>
      <c r="BN14" s="948">
        <f t="shared" si="0"/>
        <v>0</v>
      </c>
      <c r="BO14" s="948">
        <f t="shared" si="0"/>
        <v>0</v>
      </c>
      <c r="BP14" s="948">
        <f t="shared" si="0"/>
        <v>0</v>
      </c>
      <c r="BQ14" s="948">
        <f t="shared" si="0"/>
        <v>0</v>
      </c>
      <c r="BR14" s="948">
        <f t="shared" si="0"/>
        <v>0</v>
      </c>
      <c r="BS14" s="948">
        <f t="shared" ref="BS14:CH14" si="1">+BS8*0.06*1000</f>
        <v>0</v>
      </c>
      <c r="BT14" s="948">
        <f t="shared" si="1"/>
        <v>0</v>
      </c>
      <c r="BU14" s="948">
        <f t="shared" si="1"/>
        <v>0</v>
      </c>
      <c r="BV14" s="948">
        <f t="shared" si="1"/>
        <v>0</v>
      </c>
      <c r="BW14" s="948">
        <f t="shared" si="1"/>
        <v>0</v>
      </c>
      <c r="BX14" s="948">
        <f t="shared" si="1"/>
        <v>0</v>
      </c>
      <c r="BY14" s="948">
        <f t="shared" si="1"/>
        <v>0</v>
      </c>
      <c r="BZ14" s="948">
        <f t="shared" si="1"/>
        <v>0</v>
      </c>
      <c r="CA14" s="948">
        <f t="shared" si="1"/>
        <v>0</v>
      </c>
      <c r="CB14" s="948">
        <f t="shared" si="1"/>
        <v>0</v>
      </c>
      <c r="CC14" s="948">
        <f t="shared" si="1"/>
        <v>0</v>
      </c>
      <c r="CD14" s="948">
        <f t="shared" si="1"/>
        <v>0</v>
      </c>
      <c r="CE14" s="948">
        <f t="shared" si="1"/>
        <v>0</v>
      </c>
      <c r="CF14" s="948">
        <f t="shared" si="1"/>
        <v>0</v>
      </c>
      <c r="CG14" s="948">
        <f t="shared" si="1"/>
        <v>0</v>
      </c>
      <c r="CH14" s="948">
        <f t="shared" si="1"/>
        <v>0</v>
      </c>
      <c r="CI14" s="945"/>
      <c r="CJ14" s="850"/>
    </row>
    <row r="15" spans="1:88" ht="16.5" thickBot="1">
      <c r="A15" s="850"/>
      <c r="B15" s="871" t="s">
        <v>6275</v>
      </c>
      <c r="C15" s="949" t="s">
        <v>6276</v>
      </c>
      <c r="D15" s="873" t="s">
        <v>6277</v>
      </c>
      <c r="E15" s="873" t="s">
        <v>6278</v>
      </c>
      <c r="F15" s="874">
        <v>0</v>
      </c>
      <c r="G15" s="950">
        <v>12547.860739726035</v>
      </c>
      <c r="H15" s="950">
        <v>11128.417265193371</v>
      </c>
      <c r="I15" s="2167"/>
      <c r="J15" s="950">
        <v>8610.0403305785148</v>
      </c>
      <c r="K15" s="950">
        <v>30306.828925619826</v>
      </c>
      <c r="L15" s="950">
        <v>18922.718602739733</v>
      </c>
      <c r="M15" s="950">
        <v>27946.923999999981</v>
      </c>
      <c r="N15" s="950">
        <v>1195640.1382840236</v>
      </c>
      <c r="O15" s="950">
        <v>113126.8425786163</v>
      </c>
      <c r="P15" s="950">
        <v>15522.571041095884</v>
      </c>
      <c r="Q15" s="950">
        <v>18682.436538461523</v>
      </c>
      <c r="R15" s="950">
        <v>22035.565780821911</v>
      </c>
      <c r="S15" s="950">
        <v>7416.1707671232944</v>
      </c>
      <c r="T15" s="950">
        <v>19502.726191780832</v>
      </c>
      <c r="U15" s="950">
        <v>9884.7052876712314</v>
      </c>
      <c r="V15" s="950">
        <v>32060.391041095856</v>
      </c>
      <c r="W15" s="950">
        <v>24519.203041095916</v>
      </c>
      <c r="X15" s="950">
        <v>9009.5880991735576</v>
      </c>
      <c r="Y15" s="950">
        <v>11925.579667590029</v>
      </c>
      <c r="Z15" s="950">
        <v>36236.364217478535</v>
      </c>
      <c r="AA15" s="950">
        <v>566372.93138157867</v>
      </c>
      <c r="AB15" s="950">
        <v>226110.53854922284</v>
      </c>
      <c r="AC15" s="950">
        <v>14347.339063360889</v>
      </c>
      <c r="AD15" s="950">
        <v>6557.4045761047837</v>
      </c>
      <c r="AE15" s="950">
        <v>31064.313168044071</v>
      </c>
      <c r="AF15" s="950">
        <v>10103.430931506846</v>
      </c>
      <c r="AG15" s="950">
        <v>11146.004465753418</v>
      </c>
      <c r="AH15" s="950">
        <v>7551.7940384615313</v>
      </c>
      <c r="AI15" s="950">
        <v>26867.079175824172</v>
      </c>
      <c r="AJ15" s="950">
        <v>5788.4849315068541</v>
      </c>
      <c r="AK15" s="2167"/>
      <c r="AL15" s="2167">
        <v>63376.801980248085</v>
      </c>
      <c r="AM15" s="950">
        <v>7986.0469166666671</v>
      </c>
      <c r="AN15" s="950">
        <v>15831.885069252077</v>
      </c>
      <c r="AO15" s="950">
        <v>32252.209361111098</v>
      </c>
      <c r="AP15" s="950">
        <v>214054.88765631872</v>
      </c>
      <c r="AQ15" s="950">
        <v>33003.3771245752</v>
      </c>
      <c r="AR15" s="950">
        <v>18128.911698630134</v>
      </c>
      <c r="AS15" s="950">
        <v>115762.55959107813</v>
      </c>
      <c r="AT15" s="950">
        <v>524222.90241389762</v>
      </c>
      <c r="AU15" s="950">
        <v>28523.40356545959</v>
      </c>
      <c r="AV15" s="950">
        <v>48652.079090909043</v>
      </c>
      <c r="AW15" s="950">
        <v>60498.349917582418</v>
      </c>
      <c r="AX15" s="950">
        <v>14947.358738738743</v>
      </c>
      <c r="AY15" s="950">
        <v>109706.90786260563</v>
      </c>
      <c r="AZ15" s="950">
        <v>95071.149642857097</v>
      </c>
      <c r="BA15" s="950">
        <v>7436.3158082191858</v>
      </c>
      <c r="BB15" s="950">
        <v>71736.796328767159</v>
      </c>
      <c r="BC15" s="950">
        <v>56839.655248618794</v>
      </c>
      <c r="BD15" s="951">
        <v>7822.2730027548214</v>
      </c>
      <c r="BE15" s="951">
        <v>28581.969559228633</v>
      </c>
      <c r="BF15" s="951">
        <v>11029.026935933152</v>
      </c>
      <c r="BG15" s="951">
        <v>12742.016657534246</v>
      </c>
      <c r="BH15" s="951">
        <v>19443.73168975069</v>
      </c>
      <c r="BI15" s="2169"/>
      <c r="BJ15" s="2169"/>
      <c r="BK15" s="2169"/>
      <c r="BL15" s="951"/>
      <c r="BM15" s="951"/>
      <c r="BN15" s="951"/>
      <c r="BO15" s="951"/>
      <c r="BP15" s="951"/>
      <c r="BQ15" s="951"/>
      <c r="BR15" s="951"/>
      <c r="BS15" s="951"/>
      <c r="BT15" s="951"/>
      <c r="BU15" s="951"/>
      <c r="BV15" s="951"/>
      <c r="BW15" s="951"/>
      <c r="BX15" s="951"/>
      <c r="BY15" s="951"/>
      <c r="BZ15" s="951"/>
      <c r="CA15" s="951"/>
      <c r="CB15" s="951"/>
      <c r="CC15" s="951"/>
      <c r="CD15" s="951"/>
      <c r="CE15" s="951"/>
      <c r="CF15" s="951"/>
      <c r="CG15" s="951"/>
      <c r="CH15" s="951"/>
      <c r="CI15" s="952"/>
      <c r="CJ15" s="850"/>
    </row>
    <row r="16" spans="1:88" ht="16.5" thickBot="1">
      <c r="A16" s="850"/>
      <c r="B16" s="953"/>
      <c r="C16" s="937"/>
      <c r="D16" s="954"/>
      <c r="E16" s="954"/>
      <c r="F16" s="954"/>
      <c r="CI16" s="850"/>
      <c r="CJ16" s="850"/>
    </row>
    <row r="17" spans="1:88" ht="16.5" thickBot="1">
      <c r="A17" s="850"/>
      <c r="B17" s="2219" t="s">
        <v>236</v>
      </c>
      <c r="C17" s="904" t="s">
        <v>6279</v>
      </c>
      <c r="D17" s="954"/>
      <c r="E17" s="954"/>
      <c r="F17" s="954"/>
      <c r="CI17" s="850"/>
      <c r="CJ17" s="850"/>
    </row>
    <row r="18" spans="1:88" ht="15.75">
      <c r="A18" s="850"/>
      <c r="B18" s="857" t="s">
        <v>6280</v>
      </c>
      <c r="C18" s="955" t="s">
        <v>6281</v>
      </c>
      <c r="D18" s="859" t="s">
        <v>6282</v>
      </c>
      <c r="E18" s="859" t="s">
        <v>12</v>
      </c>
      <c r="F18" s="860">
        <v>0</v>
      </c>
      <c r="G18" s="956">
        <v>369.51909310546819</v>
      </c>
      <c r="H18" s="956">
        <v>592.63200141240054</v>
      </c>
      <c r="I18" s="2168"/>
      <c r="J18" s="956">
        <v>337.38420238693294</v>
      </c>
      <c r="K18" s="956">
        <v>1807.531541725481</v>
      </c>
      <c r="L18" s="956">
        <v>1077.0860344026687</v>
      </c>
      <c r="M18" s="956">
        <v>804.56268747278159</v>
      </c>
      <c r="N18" s="956">
        <v>21804.319621756498</v>
      </c>
      <c r="O18" s="956">
        <v>2066.5889857376242</v>
      </c>
      <c r="P18" s="956">
        <v>737.54864341207156</v>
      </c>
      <c r="Q18" s="956">
        <v>1383.0934399675682</v>
      </c>
      <c r="R18" s="956">
        <v>801.90728118122968</v>
      </c>
      <c r="S18" s="956">
        <v>532.02642922259747</v>
      </c>
      <c r="T18" s="956">
        <v>855.08319545530821</v>
      </c>
      <c r="U18" s="956">
        <v>243.86061919928693</v>
      </c>
      <c r="V18" s="956">
        <v>1931.7384236396492</v>
      </c>
      <c r="W18" s="956">
        <v>2185.9180710144419</v>
      </c>
      <c r="X18" s="956">
        <v>475.89971266586417</v>
      </c>
      <c r="Y18" s="956">
        <v>1214.396809520508</v>
      </c>
      <c r="Z18" s="956">
        <v>2468.8475036621171</v>
      </c>
      <c r="AA18" s="956">
        <v>15376.771708160577</v>
      </c>
      <c r="AB18" s="956">
        <v>5732.702472276349</v>
      </c>
      <c r="AC18" s="956">
        <v>1166.8753271865135</v>
      </c>
      <c r="AD18" s="956">
        <v>476.54214872636646</v>
      </c>
      <c r="AE18" s="956">
        <v>1233.0784284539709</v>
      </c>
      <c r="AF18" s="956">
        <v>963.35864011390231</v>
      </c>
      <c r="AG18" s="956">
        <v>693.6093334641522</v>
      </c>
      <c r="AH18" s="956">
        <v>408.50883328781447</v>
      </c>
      <c r="AI18" s="956">
        <v>1267.3654341942743</v>
      </c>
      <c r="AJ18" s="956">
        <v>368.19987148494113</v>
      </c>
      <c r="AK18" s="2168"/>
      <c r="AL18" s="2168">
        <v>3136.1159914412779</v>
      </c>
      <c r="AM18" s="956">
        <v>533.43960898269904</v>
      </c>
      <c r="AN18" s="956">
        <v>665.94771665393318</v>
      </c>
      <c r="AO18" s="956">
        <v>1901.1708061153631</v>
      </c>
      <c r="AP18" s="956">
        <v>6016.7268109953957</v>
      </c>
      <c r="AQ18" s="956">
        <v>2401.5674049312629</v>
      </c>
      <c r="AR18" s="956">
        <v>761.20764291129001</v>
      </c>
      <c r="AS18" s="956">
        <v>4720.0187389742623</v>
      </c>
      <c r="AT18" s="956">
        <v>10070.60351708055</v>
      </c>
      <c r="AU18" s="956">
        <v>1955.6893200899442</v>
      </c>
      <c r="AV18" s="956">
        <v>4995.7091185352347</v>
      </c>
      <c r="AW18" s="956">
        <v>2444.203924063424</v>
      </c>
      <c r="AX18" s="956">
        <v>881.63136867526555</v>
      </c>
      <c r="AY18" s="956">
        <v>6089.6879519526447</v>
      </c>
      <c r="AZ18" s="956">
        <v>3342.820672386385</v>
      </c>
      <c r="BA18" s="956">
        <v>324.79746506428586</v>
      </c>
      <c r="BB18" s="956">
        <v>2060.5042469927298</v>
      </c>
      <c r="BC18" s="956">
        <v>3177.45109579064</v>
      </c>
      <c r="BD18" s="956">
        <v>380.33597554981759</v>
      </c>
      <c r="BE18" s="956">
        <v>1109.2869972107505</v>
      </c>
      <c r="BF18" s="956">
        <v>702.11846230269043</v>
      </c>
      <c r="BG18" s="956">
        <v>1179.7975548041909</v>
      </c>
      <c r="BH18" s="956">
        <v>813.93626330293796</v>
      </c>
      <c r="BI18" s="2168"/>
      <c r="BJ18" s="2168"/>
      <c r="BK18" s="2168"/>
      <c r="BL18" s="956"/>
      <c r="BM18" s="956"/>
      <c r="BN18" s="956"/>
      <c r="BO18" s="956"/>
      <c r="BP18" s="956"/>
      <c r="BQ18" s="956"/>
      <c r="BR18" s="956"/>
      <c r="BS18" s="956"/>
      <c r="BT18" s="956"/>
      <c r="BU18" s="956"/>
      <c r="BV18" s="956"/>
      <c r="BW18" s="956"/>
      <c r="BX18" s="956"/>
      <c r="BY18" s="956"/>
      <c r="BZ18" s="956"/>
      <c r="CA18" s="956"/>
      <c r="CB18" s="956"/>
      <c r="CC18" s="956"/>
      <c r="CD18" s="956"/>
      <c r="CE18" s="956"/>
      <c r="CF18" s="956"/>
      <c r="CG18" s="956"/>
      <c r="CH18" s="956"/>
      <c r="CI18" s="957"/>
      <c r="CJ18" s="850"/>
    </row>
    <row r="19" spans="1:88" ht="15.75">
      <c r="A19" s="850"/>
      <c r="B19" s="866" t="s">
        <v>6283</v>
      </c>
      <c r="C19" s="867" t="s">
        <v>6284</v>
      </c>
      <c r="D19" s="2155" t="s">
        <v>6285</v>
      </c>
      <c r="E19" s="2155" t="s">
        <v>12</v>
      </c>
      <c r="F19" s="864">
        <v>0</v>
      </c>
      <c r="G19" s="946">
        <v>58.210105855440254</v>
      </c>
      <c r="H19" s="946">
        <v>88.345087277549453</v>
      </c>
      <c r="I19" s="2165"/>
      <c r="J19" s="946">
        <v>50.294679893937158</v>
      </c>
      <c r="K19" s="946">
        <v>275.6178231569092</v>
      </c>
      <c r="L19" s="946">
        <v>169.06914289169833</v>
      </c>
      <c r="M19" s="946">
        <v>146.06639775598006</v>
      </c>
      <c r="N19" s="946">
        <v>3299.6177366618795</v>
      </c>
      <c r="O19" s="946">
        <v>312.16953354225308</v>
      </c>
      <c r="P19" s="946">
        <v>117.36075195950743</v>
      </c>
      <c r="Q19" s="946">
        <v>215.9894177167123</v>
      </c>
      <c r="R19" s="946">
        <v>119.54225991106887</v>
      </c>
      <c r="S19" s="946">
        <v>79.420347898485417</v>
      </c>
      <c r="T19" s="946">
        <v>136.24983219662005</v>
      </c>
      <c r="U19" s="946">
        <v>36.352892917313625</v>
      </c>
      <c r="V19" s="946">
        <v>295.53599376232319</v>
      </c>
      <c r="W19" s="946">
        <v>328.77714919325729</v>
      </c>
      <c r="X19" s="946">
        <v>72.982622372443274</v>
      </c>
      <c r="Y19" s="946">
        <v>195.60468258294466</v>
      </c>
      <c r="Z19" s="946">
        <v>387.67192472119973</v>
      </c>
      <c r="AA19" s="946">
        <v>2306.3149873844486</v>
      </c>
      <c r="AB19" s="946">
        <v>869.96545704298319</v>
      </c>
      <c r="AC19" s="946">
        <v>178.00276015670102</v>
      </c>
      <c r="AD19" s="946">
        <v>76.581881871390436</v>
      </c>
      <c r="AE19" s="946">
        <v>184.46053674760213</v>
      </c>
      <c r="AF19" s="946">
        <v>148.09660487859063</v>
      </c>
      <c r="AG19" s="946">
        <v>103.39802264368782</v>
      </c>
      <c r="AH19" s="946">
        <v>60.897400822855232</v>
      </c>
      <c r="AI19" s="946">
        <v>196.69801370590645</v>
      </c>
      <c r="AJ19" s="946">
        <v>55.446446294488219</v>
      </c>
      <c r="AK19" s="2165"/>
      <c r="AL19" s="2165">
        <v>471.84486372455262</v>
      </c>
      <c r="AM19" s="946">
        <v>79.781794026786784</v>
      </c>
      <c r="AN19" s="946">
        <v>99.274438453983635</v>
      </c>
      <c r="AO19" s="946">
        <v>289.24578501042691</v>
      </c>
      <c r="AP19" s="946">
        <v>908.41155286987259</v>
      </c>
      <c r="AQ19" s="946">
        <v>365.87553751090127</v>
      </c>
      <c r="AR19" s="946">
        <v>115.71347629588576</v>
      </c>
      <c r="AS19" s="946">
        <v>737.50548110137538</v>
      </c>
      <c r="AT19" s="946">
        <v>1633.2609283256261</v>
      </c>
      <c r="AU19" s="946">
        <v>303.50917188391298</v>
      </c>
      <c r="AV19" s="946">
        <v>759.48617345914238</v>
      </c>
      <c r="AW19" s="946">
        <v>374.72565664561643</v>
      </c>
      <c r="AX19" s="946">
        <v>133.31313265455503</v>
      </c>
      <c r="AY19" s="946">
        <v>926.5436967992855</v>
      </c>
      <c r="AZ19" s="946">
        <v>510.9693609677185</v>
      </c>
      <c r="BA19" s="946">
        <v>48.473874487380115</v>
      </c>
      <c r="BB19" s="946">
        <v>324.68306680573261</v>
      </c>
      <c r="BC19" s="946">
        <v>488.44078780672828</v>
      </c>
      <c r="BD19" s="946">
        <v>56.697604710276899</v>
      </c>
      <c r="BE19" s="946">
        <v>181.34141837955789</v>
      </c>
      <c r="BF19" s="946">
        <v>107.11838908118187</v>
      </c>
      <c r="BG19" s="946">
        <v>180.64190791379698</v>
      </c>
      <c r="BH19" s="946">
        <v>121.46806939943551</v>
      </c>
      <c r="BI19" s="2165"/>
      <c r="BJ19" s="2165"/>
      <c r="BK19" s="2165"/>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58"/>
      <c r="CJ19" s="850"/>
    </row>
    <row r="20" spans="1:88" ht="15.75">
      <c r="A20" s="850"/>
      <c r="B20" s="866" t="s">
        <v>6286</v>
      </c>
      <c r="C20" s="867" t="s">
        <v>6287</v>
      </c>
      <c r="D20" s="2155" t="s">
        <v>6288</v>
      </c>
      <c r="E20" s="2155" t="s">
        <v>12</v>
      </c>
      <c r="F20" s="864">
        <v>0</v>
      </c>
      <c r="G20" s="948">
        <f t="shared" ref="G20:BR20" si="2">G18+G19</f>
        <v>427.72919896090843</v>
      </c>
      <c r="H20" s="948">
        <f t="shared" si="2"/>
        <v>680.97708868995005</v>
      </c>
      <c r="I20" s="948">
        <f t="shared" si="2"/>
        <v>0</v>
      </c>
      <c r="J20" s="948">
        <f t="shared" si="2"/>
        <v>387.67888228087008</v>
      </c>
      <c r="K20" s="948">
        <f t="shared" si="2"/>
        <v>2083.1493648823903</v>
      </c>
      <c r="L20" s="948">
        <f t="shared" si="2"/>
        <v>1246.1551772943671</v>
      </c>
      <c r="M20" s="948">
        <f t="shared" si="2"/>
        <v>950.6290852287616</v>
      </c>
      <c r="N20" s="948">
        <f t="shared" si="2"/>
        <v>25103.937358418378</v>
      </c>
      <c r="O20" s="948">
        <f t="shared" si="2"/>
        <v>2378.7585192798774</v>
      </c>
      <c r="P20" s="948">
        <f t="shared" si="2"/>
        <v>854.90939537157897</v>
      </c>
      <c r="Q20" s="948">
        <f t="shared" si="2"/>
        <v>1599.0828576842805</v>
      </c>
      <c r="R20" s="948">
        <f t="shared" si="2"/>
        <v>921.44954109229855</v>
      </c>
      <c r="S20" s="948">
        <f t="shared" si="2"/>
        <v>611.44677712108285</v>
      </c>
      <c r="T20" s="948">
        <f t="shared" si="2"/>
        <v>991.33302765192821</v>
      </c>
      <c r="U20" s="948">
        <f t="shared" si="2"/>
        <v>280.21351211660055</v>
      </c>
      <c r="V20" s="948">
        <f t="shared" si="2"/>
        <v>2227.2744174019726</v>
      </c>
      <c r="W20" s="948">
        <f t="shared" si="2"/>
        <v>2514.6952202076991</v>
      </c>
      <c r="X20" s="948">
        <f t="shared" si="2"/>
        <v>548.88233503830747</v>
      </c>
      <c r="Y20" s="948">
        <f t="shared" si="2"/>
        <v>1410.0014921034526</v>
      </c>
      <c r="Z20" s="948">
        <f t="shared" si="2"/>
        <v>2856.5194283833171</v>
      </c>
      <c r="AA20" s="948">
        <f t="shared" si="2"/>
        <v>17683.086695545026</v>
      </c>
      <c r="AB20" s="948">
        <f t="shared" si="2"/>
        <v>6602.667929319332</v>
      </c>
      <c r="AC20" s="948">
        <f t="shared" si="2"/>
        <v>1344.8780873432145</v>
      </c>
      <c r="AD20" s="948">
        <f t="shared" si="2"/>
        <v>553.12403059775693</v>
      </c>
      <c r="AE20" s="948">
        <f t="shared" si="2"/>
        <v>1417.5389652015731</v>
      </c>
      <c r="AF20" s="948">
        <f t="shared" si="2"/>
        <v>1111.4552449924929</v>
      </c>
      <c r="AG20" s="948">
        <f t="shared" si="2"/>
        <v>797.00735610784</v>
      </c>
      <c r="AH20" s="948">
        <f t="shared" si="2"/>
        <v>469.40623411066969</v>
      </c>
      <c r="AI20" s="948">
        <f t="shared" si="2"/>
        <v>1464.0634479001808</v>
      </c>
      <c r="AJ20" s="948">
        <f t="shared" si="2"/>
        <v>423.64631777942935</v>
      </c>
      <c r="AK20" s="948">
        <f t="shared" si="2"/>
        <v>0</v>
      </c>
      <c r="AL20" s="948">
        <f t="shared" si="2"/>
        <v>3607.9608551658303</v>
      </c>
      <c r="AM20" s="948">
        <f t="shared" si="2"/>
        <v>613.22140300948581</v>
      </c>
      <c r="AN20" s="948">
        <f t="shared" si="2"/>
        <v>765.22215510791682</v>
      </c>
      <c r="AO20" s="948">
        <f t="shared" si="2"/>
        <v>2190.4165911257901</v>
      </c>
      <c r="AP20" s="948">
        <f t="shared" si="2"/>
        <v>6925.1383638652678</v>
      </c>
      <c r="AQ20" s="948">
        <f t="shared" si="2"/>
        <v>2767.4429424421642</v>
      </c>
      <c r="AR20" s="948">
        <f t="shared" si="2"/>
        <v>876.92111920717571</v>
      </c>
      <c r="AS20" s="948">
        <f t="shared" si="2"/>
        <v>5457.5242200756375</v>
      </c>
      <c r="AT20" s="948">
        <f t="shared" si="2"/>
        <v>11703.864445406176</v>
      </c>
      <c r="AU20" s="948">
        <f t="shared" si="2"/>
        <v>2259.198491973857</v>
      </c>
      <c r="AV20" s="948">
        <f t="shared" si="2"/>
        <v>5755.1952919943769</v>
      </c>
      <c r="AW20" s="948">
        <f t="shared" si="2"/>
        <v>2818.9295807090402</v>
      </c>
      <c r="AX20" s="948">
        <f t="shared" si="2"/>
        <v>1014.9445013298206</v>
      </c>
      <c r="AY20" s="948">
        <f t="shared" si="2"/>
        <v>7016.2316487519302</v>
      </c>
      <c r="AZ20" s="948">
        <f t="shared" si="2"/>
        <v>3853.7900333541033</v>
      </c>
      <c r="BA20" s="948">
        <f t="shared" si="2"/>
        <v>373.27133955166596</v>
      </c>
      <c r="BB20" s="948">
        <f t="shared" si="2"/>
        <v>2385.1873137984626</v>
      </c>
      <c r="BC20" s="948">
        <f t="shared" si="2"/>
        <v>3665.8918835973682</v>
      </c>
      <c r="BD20" s="948">
        <f t="shared" si="2"/>
        <v>437.03358026009448</v>
      </c>
      <c r="BE20" s="948">
        <f t="shared" si="2"/>
        <v>1290.6284155903084</v>
      </c>
      <c r="BF20" s="948">
        <f t="shared" si="2"/>
        <v>809.23685138387236</v>
      </c>
      <c r="BG20" s="948">
        <f t="shared" si="2"/>
        <v>1360.4394627179879</v>
      </c>
      <c r="BH20" s="948">
        <f t="shared" si="2"/>
        <v>935.40433270237349</v>
      </c>
      <c r="BI20" s="948">
        <f t="shared" si="2"/>
        <v>0</v>
      </c>
      <c r="BJ20" s="948">
        <f t="shared" si="2"/>
        <v>0</v>
      </c>
      <c r="BK20" s="948">
        <f t="shared" si="2"/>
        <v>0</v>
      </c>
      <c r="BL20" s="948">
        <f t="shared" si="2"/>
        <v>0</v>
      </c>
      <c r="BM20" s="948">
        <f t="shared" si="2"/>
        <v>0</v>
      </c>
      <c r="BN20" s="948">
        <f t="shared" si="2"/>
        <v>0</v>
      </c>
      <c r="BO20" s="948">
        <f t="shared" si="2"/>
        <v>0</v>
      </c>
      <c r="BP20" s="948">
        <f t="shared" si="2"/>
        <v>0</v>
      </c>
      <c r="BQ20" s="948">
        <f t="shared" si="2"/>
        <v>0</v>
      </c>
      <c r="BR20" s="948">
        <f t="shared" si="2"/>
        <v>0</v>
      </c>
      <c r="BS20" s="948">
        <f t="shared" ref="BS20:CH20" si="3">BS18+BS19</f>
        <v>0</v>
      </c>
      <c r="BT20" s="948">
        <f t="shared" si="3"/>
        <v>0</v>
      </c>
      <c r="BU20" s="948">
        <f t="shared" si="3"/>
        <v>0</v>
      </c>
      <c r="BV20" s="948">
        <f t="shared" si="3"/>
        <v>0</v>
      </c>
      <c r="BW20" s="948">
        <f t="shared" si="3"/>
        <v>0</v>
      </c>
      <c r="BX20" s="948">
        <f t="shared" si="3"/>
        <v>0</v>
      </c>
      <c r="BY20" s="948">
        <f t="shared" si="3"/>
        <v>0</v>
      </c>
      <c r="BZ20" s="948">
        <f t="shared" si="3"/>
        <v>0</v>
      </c>
      <c r="CA20" s="948">
        <f t="shared" si="3"/>
        <v>0</v>
      </c>
      <c r="CB20" s="948">
        <f t="shared" si="3"/>
        <v>0</v>
      </c>
      <c r="CC20" s="948">
        <f t="shared" si="3"/>
        <v>0</v>
      </c>
      <c r="CD20" s="948">
        <f t="shared" si="3"/>
        <v>0</v>
      </c>
      <c r="CE20" s="948">
        <f t="shared" si="3"/>
        <v>0</v>
      </c>
      <c r="CF20" s="948">
        <f t="shared" si="3"/>
        <v>0</v>
      </c>
      <c r="CG20" s="948">
        <f t="shared" si="3"/>
        <v>0</v>
      </c>
      <c r="CH20" s="948">
        <f t="shared" si="3"/>
        <v>0</v>
      </c>
      <c r="CI20" s="945"/>
      <c r="CJ20" s="850"/>
    </row>
    <row r="21" spans="1:88" ht="15.75">
      <c r="A21" s="850"/>
      <c r="B21" s="866" t="s">
        <v>6289</v>
      </c>
      <c r="C21" s="867" t="s">
        <v>6290</v>
      </c>
      <c r="D21" s="2155" t="s">
        <v>6291</v>
      </c>
      <c r="E21" s="2155" t="s">
        <v>12</v>
      </c>
      <c r="F21" s="864">
        <v>0</v>
      </c>
      <c r="G21" s="946">
        <v>7.7918156726039385</v>
      </c>
      <c r="H21" s="946">
        <v>7.7946373257234027</v>
      </c>
      <c r="I21" s="2165"/>
      <c r="J21" s="946">
        <v>5.7435651036214166</v>
      </c>
      <c r="K21" s="946">
        <v>14.533590484275269</v>
      </c>
      <c r="L21" s="946">
        <v>11.063057247303858</v>
      </c>
      <c r="M21" s="946">
        <v>21.479305255053195</v>
      </c>
      <c r="N21" s="946">
        <v>370.85097378469379</v>
      </c>
      <c r="O21" s="946">
        <v>112.40372944499238</v>
      </c>
      <c r="P21" s="946">
        <v>5.909526048151597</v>
      </c>
      <c r="Q21" s="946">
        <v>9.3206478513065179</v>
      </c>
      <c r="R21" s="946">
        <v>20.84555414544409</v>
      </c>
      <c r="S21" s="946">
        <v>9.2295966663059588</v>
      </c>
      <c r="T21" s="946">
        <v>10.509827829537901</v>
      </c>
      <c r="U21" s="946">
        <v>10.923817163156968</v>
      </c>
      <c r="V21" s="946">
        <v>44.70428684531251</v>
      </c>
      <c r="W21" s="946">
        <v>49.518827614249453</v>
      </c>
      <c r="X21" s="946">
        <v>7.9840509662469046</v>
      </c>
      <c r="Y21" s="946">
        <v>3.843594177659575</v>
      </c>
      <c r="Z21" s="946">
        <v>59.032024661934841</v>
      </c>
      <c r="AA21" s="946">
        <v>0</v>
      </c>
      <c r="AB21" s="946">
        <v>112.45620942719417</v>
      </c>
      <c r="AC21" s="946">
        <v>8.4822297195435272</v>
      </c>
      <c r="AD21" s="946">
        <v>4.2185758461402934</v>
      </c>
      <c r="AE21" s="946">
        <v>13.572691939860375</v>
      </c>
      <c r="AF21" s="946">
        <v>15.017988153307847</v>
      </c>
      <c r="AG21" s="946">
        <v>10.429160378960974</v>
      </c>
      <c r="AH21" s="946">
        <v>6.0559174974415422</v>
      </c>
      <c r="AI21" s="946">
        <v>11.51877130117354</v>
      </c>
      <c r="AJ21" s="946">
        <v>7.4476911288133403</v>
      </c>
      <c r="AK21" s="2165"/>
      <c r="AL21" s="2165">
        <v>77.720895569770931</v>
      </c>
      <c r="AM21" s="946">
        <v>7.3285127819328029</v>
      </c>
      <c r="AN21" s="946">
        <v>11.100404425900562</v>
      </c>
      <c r="AO21" s="946">
        <v>22.100666521542554</v>
      </c>
      <c r="AP21" s="946">
        <v>171.22268364101819</v>
      </c>
      <c r="AQ21" s="946">
        <v>27.541036386868356</v>
      </c>
      <c r="AR21" s="946">
        <v>18.856861507774312</v>
      </c>
      <c r="AS21" s="946">
        <v>73.893068298138317</v>
      </c>
      <c r="AT21" s="946">
        <v>241.42575928424208</v>
      </c>
      <c r="AU21" s="946">
        <v>11.468402611200135</v>
      </c>
      <c r="AV21" s="946">
        <v>25.343699108942825</v>
      </c>
      <c r="AW21" s="946">
        <v>25.223586790890963</v>
      </c>
      <c r="AX21" s="946">
        <v>22.342605816866964</v>
      </c>
      <c r="AY21" s="946">
        <v>197.45722910155609</v>
      </c>
      <c r="AZ21" s="946">
        <v>78.054822719315169</v>
      </c>
      <c r="BA21" s="946">
        <v>-0.27440999999999999</v>
      </c>
      <c r="BB21" s="946">
        <v>25.583923745046548</v>
      </c>
      <c r="BC21" s="946">
        <v>26.785046925565165</v>
      </c>
      <c r="BD21" s="946">
        <v>5.3655034505019525</v>
      </c>
      <c r="BE21" s="946">
        <v>14.413478166223408</v>
      </c>
      <c r="BF21" s="946">
        <v>8.6561018695140017</v>
      </c>
      <c r="BG21" s="946">
        <v>5.8614811209308524</v>
      </c>
      <c r="BH21" s="946">
        <v>25.903804154595797</v>
      </c>
      <c r="BI21" s="2165"/>
      <c r="BJ21" s="2165"/>
      <c r="BK21" s="2165"/>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5"/>
      <c r="CJ21" s="850"/>
    </row>
    <row r="22" spans="1:88" ht="16.5" thickBot="1">
      <c r="A22" s="850"/>
      <c r="B22" s="871" t="s">
        <v>6292</v>
      </c>
      <c r="C22" s="949" t="s">
        <v>6293</v>
      </c>
      <c r="D22" s="873" t="s">
        <v>6294</v>
      </c>
      <c r="E22" s="873" t="s">
        <v>12</v>
      </c>
      <c r="F22" s="874">
        <v>0</v>
      </c>
      <c r="G22" s="951">
        <v>0</v>
      </c>
      <c r="H22" s="951">
        <v>0</v>
      </c>
      <c r="I22" s="2169"/>
      <c r="J22" s="951">
        <v>0</v>
      </c>
      <c r="K22" s="951">
        <v>0</v>
      </c>
      <c r="L22" s="951">
        <v>0</v>
      </c>
      <c r="M22" s="951">
        <v>0</v>
      </c>
      <c r="N22" s="951">
        <v>0</v>
      </c>
      <c r="O22" s="951">
        <v>72.845950000000002</v>
      </c>
      <c r="P22" s="951">
        <v>0</v>
      </c>
      <c r="Q22" s="951">
        <v>0</v>
      </c>
      <c r="R22" s="951">
        <v>0</v>
      </c>
      <c r="S22" s="951">
        <v>0</v>
      </c>
      <c r="T22" s="951">
        <v>0</v>
      </c>
      <c r="U22" s="951">
        <v>0</v>
      </c>
      <c r="V22" s="951">
        <v>0</v>
      </c>
      <c r="W22" s="951">
        <v>0</v>
      </c>
      <c r="X22" s="951">
        <v>0</v>
      </c>
      <c r="Y22" s="951">
        <v>0</v>
      </c>
      <c r="Z22" s="951">
        <v>0</v>
      </c>
      <c r="AA22" s="951">
        <v>0</v>
      </c>
      <c r="AB22" s="951">
        <v>0</v>
      </c>
      <c r="AC22" s="951">
        <v>0</v>
      </c>
      <c r="AD22" s="951">
        <v>0</v>
      </c>
      <c r="AE22" s="951">
        <v>0</v>
      </c>
      <c r="AF22" s="951">
        <v>0</v>
      </c>
      <c r="AG22" s="951">
        <v>0</v>
      </c>
      <c r="AH22" s="951">
        <v>0</v>
      </c>
      <c r="AI22" s="951">
        <v>0</v>
      </c>
      <c r="AJ22" s="951">
        <v>0</v>
      </c>
      <c r="AK22" s="2169"/>
      <c r="AL22" s="2169">
        <v>88.956159999999997</v>
      </c>
      <c r="AM22" s="951">
        <v>0</v>
      </c>
      <c r="AN22" s="951">
        <v>0</v>
      </c>
      <c r="AO22" s="951">
        <v>0</v>
      </c>
      <c r="AP22" s="951">
        <v>0</v>
      </c>
      <c r="AQ22" s="951">
        <v>0</v>
      </c>
      <c r="AR22" s="951">
        <v>0</v>
      </c>
      <c r="AS22" s="951">
        <v>188.17599179634485</v>
      </c>
      <c r="AT22" s="951">
        <v>0</v>
      </c>
      <c r="AU22" s="951">
        <v>66.372514467909099</v>
      </c>
      <c r="AV22" s="951">
        <v>353.28075000000007</v>
      </c>
      <c r="AW22" s="951">
        <v>0</v>
      </c>
      <c r="AX22" s="951">
        <v>0</v>
      </c>
      <c r="AY22" s="951">
        <v>0</v>
      </c>
      <c r="AZ22" s="951">
        <v>0</v>
      </c>
      <c r="BA22" s="951">
        <v>0</v>
      </c>
      <c r="BB22" s="951">
        <v>0</v>
      </c>
      <c r="BC22" s="951">
        <v>0</v>
      </c>
      <c r="BD22" s="951">
        <v>0</v>
      </c>
      <c r="BE22" s="951">
        <v>0</v>
      </c>
      <c r="BF22" s="951">
        <v>0</v>
      </c>
      <c r="BG22" s="951">
        <v>0</v>
      </c>
      <c r="BH22" s="951">
        <v>0</v>
      </c>
      <c r="BI22" s="2169"/>
      <c r="BJ22" s="2169"/>
      <c r="BK22" s="2169"/>
      <c r="BL22" s="951"/>
      <c r="BM22" s="951"/>
      <c r="BN22" s="951"/>
      <c r="BO22" s="951"/>
      <c r="BP22" s="951"/>
      <c r="BQ22" s="951"/>
      <c r="BR22" s="951"/>
      <c r="BS22" s="951"/>
      <c r="BT22" s="951"/>
      <c r="BU22" s="951"/>
      <c r="BV22" s="951"/>
      <c r="BW22" s="951"/>
      <c r="BX22" s="951"/>
      <c r="BY22" s="951"/>
      <c r="BZ22" s="951"/>
      <c r="CA22" s="951"/>
      <c r="CB22" s="951"/>
      <c r="CC22" s="951"/>
      <c r="CD22" s="951"/>
      <c r="CE22" s="951"/>
      <c r="CF22" s="951"/>
      <c r="CG22" s="951"/>
      <c r="CH22" s="951"/>
      <c r="CI22" s="952"/>
      <c r="CJ22" s="850"/>
    </row>
    <row r="23" spans="1:88" ht="15.75">
      <c r="A23" s="850"/>
      <c r="B23" s="850"/>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850"/>
      <c r="AW23" s="850"/>
      <c r="AX23" s="850"/>
      <c r="AY23" s="850"/>
      <c r="AZ23" s="850"/>
      <c r="BA23" s="850"/>
      <c r="BB23" s="850"/>
      <c r="BC23" s="850"/>
      <c r="BD23" s="850"/>
      <c r="BE23" s="850"/>
      <c r="BF23" s="850"/>
      <c r="BG23" s="850"/>
      <c r="BH23" s="850"/>
      <c r="BI23" s="850"/>
      <c r="BJ23" s="850"/>
      <c r="BK23" s="850"/>
      <c r="BL23" s="850"/>
      <c r="BM23" s="850"/>
      <c r="BN23" s="850"/>
      <c r="BO23" s="850"/>
      <c r="BP23" s="850"/>
      <c r="BQ23" s="850"/>
      <c r="BR23" s="850"/>
      <c r="BS23" s="850"/>
      <c r="BT23" s="850"/>
      <c r="BU23" s="850"/>
      <c r="BV23" s="850"/>
      <c r="BW23" s="850"/>
      <c r="BX23" s="850"/>
      <c r="BY23" s="850"/>
      <c r="BZ23" s="850"/>
      <c r="CA23" s="850"/>
      <c r="CB23" s="850"/>
      <c r="CC23" s="850"/>
      <c r="CD23" s="850"/>
      <c r="CE23" s="850"/>
      <c r="CF23" s="850"/>
      <c r="CG23" s="850"/>
      <c r="CH23" s="850"/>
      <c r="CI23" s="850"/>
      <c r="CJ23" s="850"/>
    </row>
    <row r="24" spans="1:88" ht="15.75">
      <c r="A24" s="850"/>
      <c r="B24" s="2227" t="s">
        <v>275</v>
      </c>
      <c r="C24" s="2228"/>
      <c r="D24" s="937"/>
    </row>
    <row r="25" spans="1:88" ht="15.75">
      <c r="A25" s="850"/>
    </row>
    <row r="26" spans="1:88" ht="15.75">
      <c r="A26" s="850"/>
      <c r="B26" s="827"/>
      <c r="C26" s="959" t="s">
        <v>249</v>
      </c>
      <c r="D26" s="937"/>
    </row>
    <row r="27" spans="1:88" ht="15.75">
      <c r="A27" s="850"/>
      <c r="B27" s="960"/>
      <c r="C27" s="826"/>
      <c r="D27" s="937"/>
    </row>
    <row r="28" spans="1:88" ht="15.75">
      <c r="A28" s="850"/>
      <c r="B28" s="829"/>
      <c r="C28" s="959" t="s">
        <v>4621</v>
      </c>
      <c r="D28" s="937"/>
      <c r="E28" s="850"/>
      <c r="F28" s="850"/>
      <c r="G28" s="850"/>
      <c r="H28" s="850"/>
      <c r="I28" s="850"/>
      <c r="J28" s="850"/>
      <c r="K28" s="850"/>
      <c r="L28" s="850"/>
      <c r="M28" s="850"/>
      <c r="N28" s="850"/>
      <c r="O28" s="850"/>
      <c r="P28" s="850"/>
      <c r="Q28" s="850"/>
      <c r="R28" s="850"/>
      <c r="S28" s="850"/>
      <c r="T28" s="850"/>
      <c r="U28" s="850"/>
      <c r="V28" s="850"/>
      <c r="W28" s="850"/>
      <c r="X28" s="850"/>
      <c r="Y28" s="850"/>
      <c r="Z28" s="850"/>
      <c r="AA28" s="850"/>
      <c r="AB28" s="850"/>
      <c r="AC28" s="850"/>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c r="BB28" s="850"/>
      <c r="BC28" s="850"/>
      <c r="BD28" s="850"/>
      <c r="BE28" s="850"/>
      <c r="BF28" s="850"/>
      <c r="BG28" s="850"/>
      <c r="BH28" s="850"/>
      <c r="BI28" s="850"/>
      <c r="BJ28" s="850"/>
      <c r="BK28" s="850"/>
      <c r="BL28" s="850"/>
      <c r="BM28" s="850"/>
      <c r="BN28" s="850"/>
      <c r="BO28" s="850"/>
      <c r="BP28" s="850"/>
      <c r="BQ28" s="850"/>
      <c r="BR28" s="850"/>
      <c r="BS28" s="850"/>
      <c r="BT28" s="850"/>
      <c r="BU28" s="850"/>
      <c r="BV28" s="850"/>
      <c r="BW28" s="850"/>
      <c r="BX28" s="850"/>
      <c r="BY28" s="850"/>
      <c r="BZ28" s="850"/>
      <c r="CA28" s="850"/>
      <c r="CB28" s="850"/>
      <c r="CC28" s="850"/>
      <c r="CD28" s="850"/>
      <c r="CE28" s="850"/>
      <c r="CF28" s="850"/>
      <c r="CG28" s="850"/>
      <c r="CH28" s="850"/>
      <c r="CI28" s="850"/>
      <c r="CJ28" s="850"/>
    </row>
    <row r="29" spans="1:88" ht="15.75">
      <c r="A29" s="850"/>
      <c r="B29" s="850"/>
      <c r="C29" s="850"/>
      <c r="D29" s="850"/>
      <c r="E29" s="850"/>
      <c r="F29" s="850"/>
      <c r="G29" s="850"/>
      <c r="H29" s="850"/>
      <c r="I29" s="850"/>
      <c r="J29" s="850"/>
      <c r="K29" s="850"/>
      <c r="L29" s="850"/>
      <c r="M29" s="850"/>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c r="AL29" s="850"/>
      <c r="AM29" s="850"/>
      <c r="AN29" s="850"/>
      <c r="AO29" s="850"/>
      <c r="AP29" s="850"/>
      <c r="AQ29" s="850"/>
      <c r="AR29" s="850"/>
      <c r="AS29" s="850"/>
      <c r="AT29" s="850"/>
      <c r="AU29" s="850"/>
      <c r="AV29" s="850"/>
      <c r="AW29" s="850"/>
      <c r="AX29" s="850"/>
      <c r="AY29" s="850"/>
      <c r="AZ29" s="850"/>
      <c r="BA29" s="850"/>
      <c r="BB29" s="850"/>
      <c r="BC29" s="850"/>
      <c r="BD29" s="850"/>
      <c r="BE29" s="850"/>
      <c r="BF29" s="850"/>
      <c r="BG29" s="850"/>
      <c r="BH29" s="850"/>
      <c r="BI29" s="850"/>
      <c r="BJ29" s="850"/>
      <c r="BK29" s="850"/>
      <c r="BL29" s="850"/>
      <c r="BM29" s="850"/>
      <c r="BN29" s="850"/>
      <c r="BO29" s="850"/>
      <c r="BP29" s="850"/>
      <c r="BQ29" s="850"/>
      <c r="BR29" s="850"/>
      <c r="BS29" s="850"/>
      <c r="BT29" s="850"/>
      <c r="BU29" s="850"/>
      <c r="BV29" s="850"/>
      <c r="BW29" s="850"/>
      <c r="BX29" s="850"/>
      <c r="BY29" s="850"/>
      <c r="BZ29" s="850"/>
      <c r="CA29" s="850"/>
      <c r="CB29" s="850"/>
      <c r="CC29" s="850"/>
      <c r="CD29" s="850"/>
      <c r="CE29" s="850"/>
      <c r="CF29" s="850"/>
      <c r="CG29" s="850"/>
      <c r="CH29" s="850"/>
      <c r="CI29" s="850"/>
      <c r="CJ29" s="850"/>
    </row>
    <row r="30" spans="1:88" ht="16.5" thickBot="1">
      <c r="A30" s="850"/>
      <c r="B30" s="850"/>
      <c r="C30" s="850"/>
      <c r="D30" s="850"/>
      <c r="E30" s="850"/>
      <c r="F30" s="850"/>
      <c r="G30" s="850"/>
      <c r="H30" s="850"/>
      <c r="I30" s="850"/>
      <c r="J30" s="850"/>
      <c r="K30" s="850"/>
      <c r="L30" s="850"/>
      <c r="M30" s="850"/>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c r="AL30" s="850"/>
      <c r="AM30" s="850"/>
      <c r="AN30" s="850"/>
      <c r="AO30" s="850"/>
      <c r="AP30" s="850"/>
      <c r="AQ30" s="850"/>
      <c r="AR30" s="850"/>
      <c r="AS30" s="850"/>
      <c r="AT30" s="850"/>
      <c r="AU30" s="850"/>
      <c r="AV30" s="850"/>
      <c r="AW30" s="850"/>
      <c r="AX30" s="850"/>
      <c r="AY30" s="850"/>
      <c r="AZ30" s="850"/>
      <c r="BA30" s="850"/>
      <c r="BB30" s="850"/>
      <c r="BC30" s="850"/>
      <c r="BD30" s="850"/>
      <c r="BE30" s="850"/>
      <c r="BF30" s="850"/>
      <c r="BG30" s="850"/>
      <c r="BH30" s="850"/>
      <c r="BI30" s="850"/>
      <c r="BJ30" s="850"/>
      <c r="BK30" s="850"/>
      <c r="BL30" s="850"/>
      <c r="BM30" s="850"/>
      <c r="BN30" s="850"/>
      <c r="BO30" s="850"/>
      <c r="BP30" s="850"/>
      <c r="BQ30" s="850"/>
      <c r="BR30" s="850"/>
      <c r="BS30" s="850"/>
      <c r="BT30" s="850"/>
      <c r="BU30" s="850"/>
      <c r="BV30" s="850"/>
      <c r="BW30" s="850"/>
      <c r="BX30" s="850"/>
      <c r="BY30" s="850"/>
      <c r="BZ30" s="850"/>
      <c r="CA30" s="850"/>
      <c r="CB30" s="850"/>
      <c r="CC30" s="850"/>
      <c r="CD30" s="850"/>
      <c r="CE30" s="850"/>
      <c r="CF30" s="850"/>
      <c r="CG30" s="850"/>
      <c r="CH30" s="850"/>
      <c r="CI30" s="850"/>
      <c r="CJ30" s="850"/>
    </row>
    <row r="31" spans="1:88" ht="16.5" thickBot="1">
      <c r="A31" s="850"/>
      <c r="B31" s="1166" t="s">
        <v>251</v>
      </c>
      <c r="C31" s="830"/>
      <c r="D31" s="831"/>
      <c r="E31" s="831"/>
      <c r="F31" s="831"/>
      <c r="G31" s="831"/>
      <c r="H31" s="831"/>
      <c r="I31" s="831"/>
      <c r="J31" s="832"/>
      <c r="K31" s="850"/>
      <c r="L31" s="850"/>
      <c r="M31" s="850"/>
      <c r="N31" s="850"/>
      <c r="O31" s="850"/>
      <c r="P31" s="850"/>
      <c r="Q31" s="850"/>
      <c r="R31" s="850"/>
      <c r="S31" s="850"/>
      <c r="T31" s="850"/>
      <c r="U31" s="850"/>
      <c r="V31" s="850"/>
      <c r="W31" s="850"/>
      <c r="X31" s="850"/>
      <c r="Y31" s="850"/>
      <c r="Z31" s="850"/>
      <c r="AA31" s="850"/>
      <c r="AB31" s="850"/>
      <c r="AC31" s="850"/>
      <c r="AD31" s="850"/>
      <c r="AE31" s="850"/>
      <c r="AF31" s="850"/>
      <c r="AG31" s="850"/>
      <c r="AH31" s="850"/>
      <c r="AI31" s="850"/>
      <c r="AJ31" s="850"/>
      <c r="AK31" s="850"/>
      <c r="AL31" s="850"/>
      <c r="AM31" s="850"/>
      <c r="AN31" s="850"/>
      <c r="AO31" s="850"/>
      <c r="AP31" s="850"/>
      <c r="AQ31" s="850"/>
      <c r="AR31" s="850"/>
      <c r="AS31" s="850"/>
      <c r="AT31" s="850"/>
      <c r="AU31" s="850"/>
      <c r="AV31" s="850"/>
      <c r="AW31" s="850"/>
      <c r="AX31" s="850"/>
      <c r="AY31" s="850"/>
      <c r="AZ31" s="850"/>
      <c r="BA31" s="850"/>
      <c r="BB31" s="850"/>
      <c r="BC31" s="850"/>
      <c r="BD31" s="850"/>
      <c r="BE31" s="850"/>
      <c r="BF31" s="850"/>
      <c r="BG31" s="850"/>
      <c r="BH31" s="850"/>
      <c r="BI31" s="850"/>
      <c r="BJ31" s="850"/>
      <c r="BK31" s="850"/>
      <c r="BL31" s="850"/>
      <c r="BM31" s="850"/>
      <c r="BN31" s="850"/>
      <c r="BO31" s="850"/>
      <c r="BP31" s="850"/>
      <c r="BQ31" s="850"/>
      <c r="BR31" s="850"/>
      <c r="BS31" s="850"/>
      <c r="BT31" s="850"/>
      <c r="BU31" s="850"/>
      <c r="BV31" s="850"/>
      <c r="BW31" s="850"/>
      <c r="BX31" s="850"/>
      <c r="BY31" s="850"/>
      <c r="BZ31" s="850"/>
      <c r="CA31" s="850"/>
      <c r="CB31" s="850"/>
      <c r="CC31" s="850"/>
      <c r="CD31" s="850"/>
      <c r="CE31" s="850"/>
      <c r="CF31" s="850"/>
      <c r="CG31" s="850"/>
      <c r="CH31" s="850"/>
      <c r="CI31" s="850"/>
      <c r="CJ31" s="850"/>
    </row>
    <row r="32" spans="1:88" ht="16.5" thickBot="1">
      <c r="A32" s="850"/>
      <c r="B32" s="850"/>
      <c r="C32" s="850"/>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c r="AD32" s="850"/>
      <c r="AE32" s="850"/>
      <c r="AF32" s="850"/>
      <c r="AG32" s="850"/>
      <c r="AH32" s="850"/>
      <c r="AI32" s="850"/>
      <c r="AJ32" s="850"/>
      <c r="AK32" s="850"/>
      <c r="AL32" s="850"/>
      <c r="AM32" s="850"/>
      <c r="AN32" s="850"/>
      <c r="AO32" s="850"/>
      <c r="AP32" s="850"/>
      <c r="AQ32" s="850"/>
      <c r="AR32" s="850"/>
      <c r="AS32" s="850"/>
      <c r="AT32" s="850"/>
      <c r="AU32" s="850"/>
      <c r="AV32" s="850"/>
      <c r="AW32" s="850"/>
      <c r="AX32" s="850"/>
      <c r="AY32" s="850"/>
      <c r="AZ32" s="850"/>
      <c r="BA32" s="850"/>
      <c r="BB32" s="850"/>
      <c r="BC32" s="850"/>
      <c r="BD32" s="850"/>
      <c r="BE32" s="850"/>
      <c r="BF32" s="850"/>
      <c r="BG32" s="850"/>
      <c r="BH32" s="850"/>
      <c r="BI32" s="850"/>
      <c r="BJ32" s="850"/>
      <c r="BK32" s="850"/>
      <c r="BL32" s="850"/>
      <c r="BM32" s="850"/>
      <c r="BN32" s="850"/>
      <c r="BO32" s="850"/>
      <c r="BP32" s="850"/>
      <c r="BQ32" s="850"/>
      <c r="BR32" s="850"/>
      <c r="BS32" s="850"/>
      <c r="BT32" s="850"/>
      <c r="BU32" s="850"/>
      <c r="BV32" s="850"/>
      <c r="BW32" s="850"/>
      <c r="BX32" s="850"/>
      <c r="BY32" s="850"/>
      <c r="BZ32" s="850"/>
      <c r="CA32" s="850"/>
      <c r="CB32" s="850"/>
      <c r="CC32" s="850"/>
      <c r="CD32" s="850"/>
      <c r="CE32" s="850"/>
      <c r="CF32" s="850"/>
      <c r="CG32" s="850"/>
      <c r="CH32" s="850"/>
      <c r="CI32" s="850"/>
      <c r="CJ32" s="850"/>
    </row>
    <row r="33" spans="1:88" ht="82.5" customHeight="1" thickBot="1">
      <c r="A33" s="850"/>
      <c r="B33" s="2442" t="s">
        <v>6295</v>
      </c>
      <c r="C33" s="2443"/>
      <c r="D33" s="2443"/>
      <c r="E33" s="2443"/>
      <c r="F33" s="2443"/>
      <c r="G33" s="2443"/>
      <c r="H33" s="2443"/>
      <c r="I33" s="2443"/>
      <c r="J33" s="2444"/>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850"/>
      <c r="AM33" s="850"/>
      <c r="AN33" s="850"/>
      <c r="AO33" s="850"/>
      <c r="AP33" s="850"/>
      <c r="AQ33" s="850"/>
      <c r="AR33" s="850"/>
      <c r="AS33" s="850"/>
      <c r="AT33" s="850"/>
      <c r="AU33" s="850"/>
      <c r="AV33" s="850"/>
      <c r="AW33" s="850"/>
      <c r="AX33" s="850"/>
      <c r="AY33" s="850"/>
      <c r="AZ33" s="850"/>
      <c r="BA33" s="850"/>
      <c r="BB33" s="850"/>
      <c r="BC33" s="850"/>
      <c r="BD33" s="850"/>
      <c r="BE33" s="850"/>
      <c r="BF33" s="850"/>
      <c r="BG33" s="850"/>
      <c r="BH33" s="850"/>
      <c r="BI33" s="850"/>
      <c r="BJ33" s="850"/>
      <c r="BK33" s="850"/>
      <c r="BL33" s="850"/>
      <c r="BM33" s="850"/>
      <c r="BN33" s="850"/>
      <c r="BO33" s="850"/>
      <c r="BP33" s="850"/>
      <c r="BQ33" s="850"/>
      <c r="BR33" s="850"/>
      <c r="BS33" s="850"/>
      <c r="BT33" s="850"/>
      <c r="BU33" s="850"/>
      <c r="BV33" s="850"/>
      <c r="BW33" s="850"/>
      <c r="BX33" s="850"/>
      <c r="BY33" s="850"/>
      <c r="BZ33" s="850"/>
      <c r="CA33" s="850"/>
      <c r="CB33" s="850"/>
      <c r="CC33" s="850"/>
      <c r="CD33" s="850"/>
      <c r="CE33" s="850"/>
      <c r="CF33" s="850"/>
      <c r="CG33" s="850"/>
      <c r="CH33" s="850"/>
      <c r="CI33" s="850"/>
      <c r="CJ33" s="850"/>
    </row>
    <row r="34" spans="1:88" ht="15.75">
      <c r="A34" s="850"/>
      <c r="B34" s="850"/>
      <c r="C34" s="850"/>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0"/>
      <c r="AB34" s="850"/>
      <c r="AC34" s="850"/>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c r="BB34" s="850"/>
      <c r="BC34" s="850"/>
      <c r="BD34" s="850"/>
      <c r="BE34" s="850"/>
      <c r="BF34" s="850"/>
      <c r="BG34" s="850"/>
      <c r="BH34" s="850"/>
      <c r="BI34" s="850"/>
      <c r="BJ34" s="850"/>
      <c r="BK34" s="850"/>
      <c r="BL34" s="850"/>
      <c r="BM34" s="850"/>
      <c r="BN34" s="850"/>
      <c r="BO34" s="850"/>
      <c r="BP34" s="850"/>
      <c r="BQ34" s="850"/>
      <c r="BR34" s="850"/>
      <c r="BS34" s="850"/>
      <c r="BT34" s="850"/>
      <c r="BU34" s="850"/>
      <c r="BV34" s="850"/>
      <c r="BW34" s="850"/>
      <c r="BX34" s="850"/>
      <c r="BY34" s="850"/>
      <c r="BZ34" s="850"/>
      <c r="CA34" s="850"/>
      <c r="CB34" s="850"/>
      <c r="CC34" s="850"/>
      <c r="CD34" s="850"/>
      <c r="CE34" s="850"/>
      <c r="CF34" s="850"/>
      <c r="CG34" s="850"/>
      <c r="CH34" s="850"/>
      <c r="CI34" s="850"/>
      <c r="CJ34" s="850"/>
    </row>
    <row r="35" spans="1:88" ht="15.75">
      <c r="A35" s="850"/>
      <c r="B35" s="937"/>
      <c r="C35" s="937"/>
      <c r="D35" s="937"/>
      <c r="E35" s="937"/>
      <c r="F35" s="937"/>
      <c r="G35" s="937"/>
      <c r="H35" s="937"/>
      <c r="I35" s="850"/>
      <c r="J35" s="850"/>
      <c r="K35" s="850"/>
      <c r="L35" s="850"/>
      <c r="M35" s="850"/>
      <c r="N35" s="850"/>
      <c r="O35" s="850"/>
      <c r="P35" s="850"/>
      <c r="Q35" s="850"/>
      <c r="R35" s="850"/>
      <c r="S35" s="850"/>
      <c r="T35" s="850"/>
      <c r="U35" s="850"/>
      <c r="V35" s="850"/>
      <c r="W35" s="850"/>
      <c r="X35" s="850"/>
      <c r="Y35" s="850"/>
      <c r="Z35" s="850"/>
      <c r="AA35" s="850"/>
      <c r="AB35" s="850"/>
      <c r="AC35" s="850"/>
      <c r="AD35" s="850"/>
      <c r="AE35" s="850"/>
      <c r="AF35" s="850"/>
      <c r="AG35" s="850"/>
      <c r="AH35" s="850"/>
      <c r="AI35" s="850"/>
      <c r="AJ35" s="850"/>
      <c r="AK35" s="850"/>
      <c r="AL35" s="850"/>
      <c r="AM35" s="850"/>
      <c r="AN35" s="850"/>
      <c r="AO35" s="850"/>
      <c r="AP35" s="850"/>
      <c r="AQ35" s="850"/>
      <c r="AR35" s="850"/>
      <c r="AS35" s="850"/>
      <c r="AT35" s="850"/>
      <c r="AU35" s="850"/>
      <c r="AV35" s="850"/>
      <c r="AW35" s="850"/>
      <c r="AX35" s="850"/>
      <c r="AY35" s="850"/>
      <c r="AZ35" s="850"/>
      <c r="BA35" s="850"/>
      <c r="BB35" s="850"/>
      <c r="BC35" s="850"/>
      <c r="BD35" s="850"/>
      <c r="BE35" s="850"/>
      <c r="BF35" s="850"/>
      <c r="BG35" s="850"/>
      <c r="BH35" s="850"/>
      <c r="BI35" s="850"/>
      <c r="BJ35" s="850"/>
      <c r="BK35" s="850"/>
      <c r="BL35" s="850"/>
      <c r="BM35" s="850"/>
      <c r="BN35" s="850"/>
      <c r="BO35" s="850"/>
      <c r="BP35" s="850"/>
      <c r="BQ35" s="850"/>
      <c r="BR35" s="850"/>
      <c r="BS35" s="850"/>
      <c r="BT35" s="850"/>
      <c r="BU35" s="850"/>
      <c r="BV35" s="850"/>
      <c r="BW35" s="850"/>
      <c r="BX35" s="850"/>
      <c r="BY35" s="850"/>
      <c r="BZ35" s="850"/>
      <c r="CA35" s="850"/>
      <c r="CB35" s="850"/>
      <c r="CC35" s="850"/>
      <c r="CD35" s="850"/>
      <c r="CE35" s="850"/>
      <c r="CF35" s="850"/>
      <c r="CG35" s="850"/>
      <c r="CH35" s="850"/>
      <c r="CI35" s="850"/>
      <c r="CJ35" s="850"/>
    </row>
    <row r="36" spans="1:88" ht="15.75">
      <c r="A36" s="850"/>
      <c r="B36" s="2137" t="s">
        <v>4622</v>
      </c>
      <c r="C36" s="2138"/>
      <c r="D36" s="2138"/>
      <c r="E36" s="2138"/>
      <c r="F36" s="2139"/>
      <c r="G36" s="2139"/>
      <c r="H36" s="2139"/>
      <c r="I36" s="2140"/>
      <c r="J36" s="2140"/>
      <c r="K36" s="850"/>
      <c r="L36" s="850"/>
      <c r="M36" s="850"/>
      <c r="N36" s="850"/>
      <c r="O36" s="850"/>
      <c r="P36" s="850"/>
      <c r="Q36" s="850"/>
      <c r="R36" s="850"/>
      <c r="S36" s="850"/>
      <c r="T36" s="850"/>
      <c r="U36" s="850"/>
      <c r="V36" s="850"/>
      <c r="W36" s="850"/>
      <c r="X36" s="850"/>
      <c r="Y36" s="850"/>
      <c r="Z36" s="850"/>
      <c r="AA36" s="850"/>
      <c r="AB36" s="850"/>
      <c r="AC36" s="850"/>
      <c r="AD36" s="850"/>
      <c r="AE36" s="850"/>
      <c r="AF36" s="850"/>
      <c r="AG36" s="850"/>
      <c r="AH36" s="850"/>
      <c r="AI36" s="850"/>
      <c r="AJ36" s="850"/>
      <c r="AK36" s="850"/>
      <c r="AL36" s="850"/>
      <c r="AM36" s="850"/>
      <c r="AN36" s="850"/>
      <c r="AO36" s="850"/>
      <c r="AP36" s="850"/>
      <c r="AQ36" s="850"/>
      <c r="AR36" s="850"/>
      <c r="AS36" s="850"/>
      <c r="AT36" s="850"/>
      <c r="AU36" s="850"/>
      <c r="AV36" s="850"/>
      <c r="AW36" s="850"/>
      <c r="AX36" s="850"/>
      <c r="AY36" s="850"/>
      <c r="AZ36" s="850"/>
      <c r="BA36" s="850"/>
      <c r="BB36" s="850"/>
      <c r="BC36" s="850"/>
      <c r="BD36" s="850"/>
      <c r="BE36" s="850"/>
      <c r="BF36" s="850"/>
      <c r="BG36" s="850"/>
      <c r="BH36" s="850"/>
      <c r="BI36" s="850"/>
      <c r="BJ36" s="850"/>
      <c r="BK36" s="850"/>
      <c r="BL36" s="850"/>
      <c r="BM36" s="850"/>
      <c r="BN36" s="850"/>
      <c r="BO36" s="850"/>
      <c r="BP36" s="850"/>
      <c r="BQ36" s="850"/>
      <c r="BR36" s="850"/>
      <c r="BS36" s="850"/>
      <c r="BT36" s="850"/>
      <c r="BU36" s="850"/>
      <c r="BV36" s="850"/>
      <c r="BW36" s="850"/>
      <c r="BX36" s="850"/>
      <c r="BY36" s="850"/>
      <c r="BZ36" s="850"/>
      <c r="CA36" s="850"/>
      <c r="CB36" s="850"/>
      <c r="CC36" s="850"/>
      <c r="CD36" s="850"/>
      <c r="CE36" s="850"/>
      <c r="CF36" s="850"/>
      <c r="CG36" s="850"/>
      <c r="CH36" s="850"/>
      <c r="CI36" s="850"/>
      <c r="CJ36" s="850"/>
    </row>
    <row r="37" spans="1:88" ht="16.5" thickBot="1">
      <c r="A37" s="850"/>
      <c r="B37" s="2138"/>
      <c r="C37" s="2138"/>
      <c r="D37" s="2138"/>
      <c r="E37" s="2138"/>
      <c r="F37" s="2139"/>
      <c r="G37" s="2139"/>
      <c r="H37" s="2139"/>
      <c r="I37" s="2140"/>
      <c r="J37" s="214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50"/>
      <c r="AJ37" s="850"/>
      <c r="AK37" s="850"/>
      <c r="AL37" s="850"/>
      <c r="AM37" s="850"/>
      <c r="AN37" s="850"/>
      <c r="AO37" s="850"/>
      <c r="AP37" s="850"/>
      <c r="AQ37" s="850"/>
      <c r="AR37" s="850"/>
      <c r="AS37" s="850"/>
      <c r="AT37" s="850"/>
      <c r="AU37" s="850"/>
      <c r="AV37" s="850"/>
      <c r="AW37" s="850"/>
      <c r="AX37" s="850"/>
      <c r="AY37" s="850"/>
      <c r="AZ37" s="850"/>
      <c r="BA37" s="850"/>
      <c r="BB37" s="850"/>
      <c r="BC37" s="850"/>
      <c r="BD37" s="850"/>
      <c r="BE37" s="850"/>
      <c r="BF37" s="850"/>
      <c r="BG37" s="850"/>
      <c r="BH37" s="850"/>
      <c r="BI37" s="850"/>
      <c r="BJ37" s="850"/>
      <c r="BK37" s="850"/>
      <c r="BL37" s="850"/>
      <c r="BM37" s="850"/>
      <c r="BN37" s="850"/>
      <c r="BO37" s="850"/>
      <c r="BP37" s="850"/>
      <c r="BQ37" s="850"/>
      <c r="BR37" s="850"/>
      <c r="BS37" s="850"/>
      <c r="BT37" s="850"/>
      <c r="BU37" s="850"/>
      <c r="BV37" s="850"/>
      <c r="BW37" s="850"/>
      <c r="BX37" s="850"/>
      <c r="BY37" s="850"/>
      <c r="BZ37" s="850"/>
      <c r="CA37" s="850"/>
      <c r="CB37" s="850"/>
      <c r="CC37" s="850"/>
      <c r="CD37" s="850"/>
      <c r="CE37" s="850"/>
      <c r="CF37" s="850"/>
      <c r="CG37" s="850"/>
      <c r="CH37" s="850"/>
      <c r="CI37" s="850"/>
      <c r="CJ37" s="850"/>
    </row>
    <row r="38" spans="1:88" ht="18" customHeight="1" thickBot="1">
      <c r="A38" s="850"/>
      <c r="B38" s="2461" t="s">
        <v>6296</v>
      </c>
      <c r="C38" s="2462"/>
      <c r="D38" s="2462"/>
      <c r="E38" s="2462"/>
      <c r="F38" s="2462"/>
      <c r="G38" s="2462"/>
      <c r="H38" s="2462"/>
      <c r="I38" s="2462"/>
      <c r="J38" s="2463"/>
      <c r="K38" s="961"/>
      <c r="L38" s="850"/>
      <c r="M38" s="850"/>
      <c r="N38" s="850"/>
      <c r="O38" s="850"/>
      <c r="P38" s="850"/>
      <c r="Q38" s="850"/>
      <c r="R38" s="850"/>
      <c r="S38" s="850"/>
      <c r="T38" s="850"/>
      <c r="U38" s="850"/>
      <c r="V38" s="850"/>
      <c r="W38" s="850"/>
      <c r="X38" s="850"/>
      <c r="Y38" s="850"/>
      <c r="Z38" s="850"/>
      <c r="AA38" s="850"/>
      <c r="AB38" s="850"/>
      <c r="AC38" s="850"/>
      <c r="AD38" s="850"/>
      <c r="AE38" s="850"/>
      <c r="AF38" s="850"/>
      <c r="AG38" s="850"/>
      <c r="AH38" s="850"/>
      <c r="AI38" s="850"/>
      <c r="AJ38" s="850"/>
      <c r="AK38" s="850"/>
      <c r="AL38" s="850"/>
      <c r="AM38" s="850"/>
      <c r="AN38" s="850"/>
      <c r="AO38" s="850"/>
      <c r="AP38" s="850"/>
      <c r="AQ38" s="850"/>
      <c r="AR38" s="850"/>
      <c r="AS38" s="850"/>
      <c r="AT38" s="850"/>
      <c r="AU38" s="850"/>
      <c r="AV38" s="850"/>
      <c r="AW38" s="850"/>
      <c r="AX38" s="850"/>
      <c r="AY38" s="850"/>
      <c r="AZ38" s="850"/>
      <c r="BA38" s="850"/>
      <c r="BB38" s="850"/>
      <c r="BC38" s="850"/>
      <c r="BD38" s="850"/>
      <c r="BE38" s="850"/>
      <c r="BF38" s="850"/>
      <c r="BG38" s="850"/>
      <c r="BH38" s="850"/>
      <c r="BI38" s="850"/>
      <c r="BJ38" s="850"/>
      <c r="BK38" s="850"/>
      <c r="BL38" s="850"/>
      <c r="BM38" s="850"/>
      <c r="BN38" s="850"/>
      <c r="BO38" s="850"/>
      <c r="BP38" s="850"/>
      <c r="BQ38" s="850"/>
      <c r="BR38" s="850"/>
      <c r="BS38" s="850"/>
      <c r="BT38" s="850"/>
      <c r="BU38" s="850"/>
      <c r="BV38" s="850"/>
      <c r="BW38" s="850"/>
      <c r="BX38" s="850"/>
      <c r="BY38" s="850"/>
      <c r="BZ38" s="850"/>
      <c r="CA38" s="850"/>
      <c r="CB38" s="850"/>
      <c r="CC38" s="850"/>
      <c r="CD38" s="850"/>
      <c r="CE38" s="850"/>
      <c r="CF38" s="850"/>
      <c r="CG38" s="850"/>
      <c r="CH38" s="850"/>
      <c r="CI38" s="850"/>
      <c r="CJ38" s="850"/>
    </row>
    <row r="39" spans="1:88" ht="16.5" thickBot="1">
      <c r="A39" s="850"/>
      <c r="B39" s="2138"/>
      <c r="C39" s="2138"/>
      <c r="D39" s="2138"/>
      <c r="E39" s="2138"/>
      <c r="F39" s="2139"/>
      <c r="G39" s="2139"/>
      <c r="H39" s="2139"/>
      <c r="I39" s="2140"/>
      <c r="J39" s="2140"/>
      <c r="K39" s="850"/>
      <c r="L39" s="850"/>
      <c r="M39" s="850"/>
      <c r="N39" s="850"/>
      <c r="O39" s="850"/>
      <c r="P39" s="850"/>
      <c r="Q39" s="850"/>
      <c r="R39" s="850"/>
      <c r="S39" s="850"/>
      <c r="T39" s="850"/>
      <c r="U39" s="850"/>
      <c r="V39" s="850"/>
      <c r="W39" s="850"/>
      <c r="X39" s="850"/>
      <c r="Y39" s="850"/>
      <c r="Z39" s="850"/>
      <c r="AA39" s="850"/>
      <c r="AB39" s="850"/>
      <c r="AC39" s="850"/>
      <c r="AD39" s="850"/>
      <c r="AE39" s="850"/>
      <c r="AF39" s="850"/>
      <c r="AG39" s="850"/>
      <c r="AH39" s="850"/>
      <c r="AI39" s="850"/>
      <c r="AJ39" s="850"/>
      <c r="AK39" s="850"/>
      <c r="AL39" s="850"/>
      <c r="AM39" s="850"/>
      <c r="AN39" s="850"/>
      <c r="AO39" s="850"/>
      <c r="AP39" s="850"/>
      <c r="AQ39" s="850"/>
      <c r="AR39" s="850"/>
      <c r="AS39" s="850"/>
      <c r="AT39" s="850"/>
      <c r="AU39" s="850"/>
      <c r="AV39" s="850"/>
      <c r="AW39" s="850"/>
      <c r="AX39" s="850"/>
      <c r="AY39" s="850"/>
      <c r="AZ39" s="850"/>
      <c r="BA39" s="850"/>
      <c r="BB39" s="850"/>
      <c r="BC39" s="850"/>
      <c r="BD39" s="850"/>
      <c r="BE39" s="850"/>
      <c r="BF39" s="850"/>
      <c r="BG39" s="850"/>
      <c r="BH39" s="850"/>
      <c r="BI39" s="850"/>
      <c r="BJ39" s="850"/>
      <c r="BK39" s="850"/>
      <c r="BL39" s="850"/>
      <c r="BM39" s="850"/>
      <c r="BN39" s="850"/>
      <c r="BO39" s="850"/>
      <c r="BP39" s="850"/>
      <c r="BQ39" s="850"/>
      <c r="BR39" s="850"/>
      <c r="BS39" s="850"/>
      <c r="BT39" s="850"/>
      <c r="BU39" s="850"/>
      <c r="BV39" s="850"/>
      <c r="BW39" s="850"/>
      <c r="BX39" s="850"/>
      <c r="BY39" s="850"/>
      <c r="BZ39" s="850"/>
      <c r="CA39" s="850"/>
      <c r="CB39" s="850"/>
      <c r="CC39" s="850"/>
      <c r="CD39" s="850"/>
      <c r="CE39" s="850"/>
      <c r="CF39" s="850"/>
      <c r="CG39" s="850"/>
      <c r="CH39" s="850"/>
      <c r="CI39" s="850"/>
      <c r="CJ39" s="850"/>
    </row>
    <row r="40" spans="1:88" ht="22.5" customHeight="1" thickBot="1">
      <c r="A40" s="850"/>
      <c r="B40" s="2438" t="s">
        <v>6297</v>
      </c>
      <c r="C40" s="2439"/>
      <c r="D40" s="2439"/>
      <c r="E40" s="2439"/>
      <c r="F40" s="2439"/>
      <c r="G40" s="2439"/>
      <c r="H40" s="2439"/>
      <c r="I40" s="2439"/>
      <c r="J40" s="2445"/>
      <c r="K40" s="850"/>
      <c r="L40" s="850"/>
      <c r="M40" s="850"/>
      <c r="N40" s="850"/>
      <c r="O40" s="850"/>
      <c r="P40" s="850"/>
      <c r="Q40" s="850"/>
      <c r="R40" s="850"/>
      <c r="S40" s="850"/>
      <c r="T40" s="850"/>
      <c r="U40" s="850"/>
      <c r="V40" s="850"/>
      <c r="W40" s="850"/>
      <c r="X40" s="850"/>
      <c r="Y40" s="850"/>
      <c r="Z40" s="850"/>
      <c r="AA40" s="850"/>
      <c r="AB40" s="850"/>
      <c r="AC40" s="850"/>
      <c r="AD40" s="850"/>
      <c r="AE40" s="850"/>
      <c r="AF40" s="850"/>
      <c r="AG40" s="850"/>
      <c r="AH40" s="850"/>
      <c r="AI40" s="850"/>
      <c r="AJ40" s="850"/>
      <c r="AK40" s="850"/>
      <c r="AL40" s="850"/>
      <c r="AM40" s="850"/>
      <c r="AN40" s="850"/>
      <c r="AO40" s="850"/>
      <c r="AP40" s="850"/>
      <c r="AQ40" s="850"/>
      <c r="AR40" s="850"/>
      <c r="AS40" s="850"/>
      <c r="AT40" s="850"/>
      <c r="AU40" s="850"/>
      <c r="AV40" s="850"/>
      <c r="AW40" s="850"/>
      <c r="AX40" s="850"/>
      <c r="AY40" s="850"/>
      <c r="AZ40" s="850"/>
      <c r="BA40" s="850"/>
      <c r="BB40" s="850"/>
      <c r="BC40" s="850"/>
      <c r="BD40" s="850"/>
      <c r="BE40" s="850"/>
      <c r="BF40" s="850"/>
      <c r="BG40" s="850"/>
      <c r="BH40" s="850"/>
      <c r="BI40" s="850"/>
      <c r="BJ40" s="850"/>
      <c r="BK40" s="850"/>
      <c r="BL40" s="850"/>
      <c r="BM40" s="850"/>
      <c r="BN40" s="850"/>
      <c r="BO40" s="850"/>
      <c r="BP40" s="850"/>
      <c r="BQ40" s="850"/>
      <c r="BR40" s="850"/>
      <c r="BS40" s="850"/>
      <c r="BT40" s="850"/>
      <c r="BU40" s="850"/>
      <c r="BV40" s="850"/>
      <c r="BW40" s="850"/>
      <c r="BX40" s="850"/>
      <c r="BY40" s="850"/>
      <c r="BZ40" s="850"/>
      <c r="CA40" s="850"/>
      <c r="CB40" s="850"/>
      <c r="CC40" s="850"/>
      <c r="CD40" s="850"/>
      <c r="CE40" s="850"/>
      <c r="CF40" s="850"/>
      <c r="CG40" s="850"/>
      <c r="CH40" s="850"/>
      <c r="CI40" s="850"/>
      <c r="CJ40" s="850"/>
    </row>
    <row r="41" spans="1:88" ht="16.5" thickBot="1">
      <c r="A41" s="850"/>
      <c r="B41" s="2141"/>
      <c r="C41" s="2141"/>
      <c r="D41" s="2141"/>
      <c r="E41" s="2141"/>
      <c r="F41" s="2141"/>
      <c r="G41" s="2141"/>
      <c r="H41" s="2141"/>
      <c r="I41" s="2140"/>
      <c r="J41" s="2140"/>
      <c r="K41" s="850"/>
      <c r="L41" s="850"/>
      <c r="M41" s="850"/>
      <c r="N41" s="850"/>
      <c r="O41" s="850"/>
      <c r="P41" s="850"/>
      <c r="Q41" s="850"/>
      <c r="R41" s="850"/>
      <c r="S41" s="850"/>
      <c r="T41" s="850"/>
      <c r="U41" s="850"/>
      <c r="V41" s="850"/>
      <c r="W41" s="850"/>
      <c r="X41" s="850"/>
      <c r="Y41" s="850"/>
      <c r="Z41" s="850"/>
      <c r="AA41" s="850"/>
      <c r="AB41" s="850"/>
      <c r="AC41" s="850"/>
      <c r="AD41" s="850"/>
      <c r="AE41" s="850"/>
      <c r="AF41" s="850"/>
      <c r="AG41" s="850"/>
      <c r="AH41" s="850"/>
      <c r="AI41" s="850"/>
      <c r="AJ41" s="850"/>
      <c r="AK41" s="850"/>
      <c r="AL41" s="850"/>
      <c r="AM41" s="850"/>
      <c r="AN41" s="850"/>
      <c r="AO41" s="850"/>
      <c r="AP41" s="850"/>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50"/>
      <c r="BN41" s="850"/>
      <c r="BO41" s="850"/>
      <c r="BP41" s="850"/>
      <c r="BQ41" s="850"/>
      <c r="BR41" s="850"/>
      <c r="BS41" s="850"/>
      <c r="BT41" s="850"/>
      <c r="BU41" s="850"/>
      <c r="BV41" s="850"/>
      <c r="BW41" s="850"/>
      <c r="BX41" s="850"/>
      <c r="BY41" s="850"/>
      <c r="BZ41" s="850"/>
      <c r="CA41" s="850"/>
      <c r="CB41" s="850"/>
      <c r="CC41" s="850"/>
      <c r="CD41" s="850"/>
      <c r="CE41" s="850"/>
      <c r="CF41" s="850"/>
      <c r="CG41" s="850"/>
      <c r="CH41" s="850"/>
      <c r="CI41" s="850"/>
      <c r="CJ41" s="850"/>
    </row>
    <row r="42" spans="1:88" ht="90.75" customHeight="1" thickBot="1">
      <c r="A42" s="850"/>
      <c r="B42" s="2438" t="s">
        <v>6298</v>
      </c>
      <c r="C42" s="2439"/>
      <c r="D42" s="2439"/>
      <c r="E42" s="2439"/>
      <c r="F42" s="2439"/>
      <c r="G42" s="2439"/>
      <c r="H42" s="2439"/>
      <c r="I42" s="2583"/>
      <c r="J42" s="2584"/>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50"/>
      <c r="AJ42" s="850"/>
      <c r="AK42" s="850"/>
      <c r="AL42" s="850"/>
      <c r="AM42" s="850"/>
      <c r="AN42" s="850"/>
      <c r="AO42" s="850"/>
      <c r="AP42" s="850"/>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50"/>
      <c r="BN42" s="850"/>
      <c r="BO42" s="850"/>
      <c r="BP42" s="850"/>
      <c r="BQ42" s="850"/>
      <c r="BR42" s="850"/>
      <c r="BS42" s="850"/>
      <c r="BT42" s="850"/>
      <c r="BU42" s="850"/>
      <c r="BV42" s="850"/>
      <c r="BW42" s="850"/>
      <c r="BX42" s="850"/>
      <c r="BY42" s="850"/>
      <c r="BZ42" s="850"/>
      <c r="CA42" s="850"/>
      <c r="CB42" s="850"/>
      <c r="CC42" s="850"/>
      <c r="CD42" s="850"/>
      <c r="CE42" s="850"/>
      <c r="CF42" s="850"/>
      <c r="CG42" s="850"/>
      <c r="CH42" s="850"/>
      <c r="CI42" s="850"/>
      <c r="CJ42" s="850"/>
    </row>
    <row r="43" spans="1:88" ht="16.5" thickBot="1">
      <c r="A43" s="850"/>
      <c r="B43" s="2141"/>
      <c r="C43" s="2141"/>
      <c r="D43" s="2141"/>
      <c r="E43" s="2141"/>
      <c r="F43" s="2141"/>
      <c r="G43" s="2141"/>
      <c r="H43" s="2141"/>
      <c r="I43" s="2140"/>
      <c r="J43" s="2140"/>
      <c r="K43" s="850"/>
      <c r="L43" s="850"/>
      <c r="M43" s="850"/>
      <c r="N43" s="850"/>
      <c r="O43" s="850"/>
      <c r="P43" s="850"/>
      <c r="Q43" s="850"/>
      <c r="R43" s="850"/>
      <c r="S43" s="850"/>
      <c r="T43" s="850"/>
      <c r="U43" s="850"/>
      <c r="V43" s="850"/>
      <c r="W43" s="850"/>
      <c r="X43" s="850"/>
      <c r="Y43" s="850"/>
      <c r="Z43" s="850"/>
      <c r="AA43" s="850"/>
      <c r="AB43" s="850"/>
      <c r="AC43" s="850"/>
      <c r="AD43" s="850"/>
      <c r="AE43" s="850"/>
      <c r="AF43" s="850"/>
      <c r="AG43" s="850"/>
      <c r="AH43" s="850"/>
      <c r="AI43" s="850"/>
      <c r="AJ43" s="850"/>
      <c r="AK43" s="850"/>
      <c r="AL43" s="850"/>
      <c r="AM43" s="850"/>
      <c r="AN43" s="850"/>
      <c r="AO43" s="850"/>
      <c r="AP43" s="850"/>
      <c r="AQ43" s="850"/>
      <c r="AR43" s="850"/>
      <c r="AS43" s="850"/>
      <c r="AT43" s="850"/>
      <c r="AU43" s="850"/>
      <c r="AV43" s="850"/>
      <c r="AW43" s="850"/>
      <c r="AX43" s="850"/>
      <c r="AY43" s="850"/>
      <c r="AZ43" s="850"/>
      <c r="BA43" s="850"/>
      <c r="BB43" s="850"/>
      <c r="BC43" s="850"/>
      <c r="BD43" s="850"/>
      <c r="BE43" s="850"/>
      <c r="BF43" s="850"/>
      <c r="BG43" s="850"/>
      <c r="BH43" s="850"/>
      <c r="BI43" s="850"/>
      <c r="BJ43" s="850"/>
      <c r="BK43" s="850"/>
      <c r="BL43" s="850"/>
      <c r="BM43" s="850"/>
      <c r="BN43" s="850"/>
      <c r="BO43" s="850"/>
      <c r="BP43" s="850"/>
      <c r="BQ43" s="850"/>
      <c r="BR43" s="850"/>
      <c r="BS43" s="850"/>
      <c r="BT43" s="850"/>
      <c r="BU43" s="850"/>
      <c r="BV43" s="850"/>
      <c r="BW43" s="850"/>
      <c r="BX43" s="850"/>
      <c r="BY43" s="850"/>
      <c r="BZ43" s="850"/>
      <c r="CA43" s="850"/>
      <c r="CB43" s="850"/>
      <c r="CC43" s="850"/>
      <c r="CD43" s="850"/>
      <c r="CE43" s="850"/>
      <c r="CF43" s="850"/>
      <c r="CG43" s="850"/>
      <c r="CH43" s="850"/>
      <c r="CI43" s="850"/>
      <c r="CJ43" s="850"/>
    </row>
    <row r="44" spans="1:88" ht="39" thickBot="1">
      <c r="A44" s="850"/>
      <c r="B44" s="2008" t="s">
        <v>6299</v>
      </c>
      <c r="C44" s="2464" t="s">
        <v>6300</v>
      </c>
      <c r="D44" s="2465"/>
      <c r="E44" s="2465"/>
      <c r="F44" s="2465"/>
      <c r="G44" s="2465"/>
      <c r="H44" s="2465"/>
      <c r="I44" s="2465"/>
      <c r="J44" s="2466"/>
      <c r="K44" s="850"/>
      <c r="L44" s="850"/>
      <c r="M44" s="850"/>
      <c r="N44" s="850"/>
      <c r="O44" s="850"/>
      <c r="P44" s="850"/>
      <c r="Q44" s="850"/>
      <c r="R44" s="850"/>
      <c r="S44" s="850"/>
      <c r="T44" s="850"/>
      <c r="U44" s="850"/>
      <c r="V44" s="850"/>
      <c r="W44" s="850"/>
      <c r="X44" s="850"/>
      <c r="Y44" s="850"/>
      <c r="Z44" s="850"/>
      <c r="AA44" s="850"/>
      <c r="AB44" s="850"/>
      <c r="AC44" s="850"/>
      <c r="AD44" s="850"/>
      <c r="AE44" s="850"/>
      <c r="AF44" s="850"/>
      <c r="AG44" s="850"/>
      <c r="AH44" s="850"/>
      <c r="AI44" s="850"/>
      <c r="AJ44" s="850"/>
      <c r="AK44" s="850"/>
      <c r="AL44" s="850"/>
      <c r="AM44" s="850"/>
      <c r="AN44" s="850"/>
      <c r="AO44" s="850"/>
      <c r="AP44" s="850"/>
      <c r="AQ44" s="850"/>
      <c r="AR44" s="850"/>
      <c r="AS44" s="850"/>
      <c r="AT44" s="850"/>
      <c r="AU44" s="850"/>
      <c r="AV44" s="850"/>
      <c r="AW44" s="850"/>
      <c r="AX44" s="850"/>
      <c r="AY44" s="850"/>
      <c r="AZ44" s="850"/>
      <c r="BA44" s="850"/>
      <c r="BB44" s="850"/>
      <c r="BC44" s="850"/>
      <c r="BD44" s="850"/>
      <c r="BE44" s="850"/>
      <c r="BF44" s="850"/>
      <c r="BG44" s="850"/>
      <c r="BH44" s="850"/>
      <c r="BI44" s="850"/>
      <c r="BJ44" s="850"/>
      <c r="BK44" s="850"/>
      <c r="BL44" s="850"/>
      <c r="BM44" s="850"/>
      <c r="BN44" s="850"/>
      <c r="BO44" s="850"/>
      <c r="BP44" s="850"/>
      <c r="BQ44" s="850"/>
      <c r="BR44" s="850"/>
      <c r="BS44" s="850"/>
      <c r="BT44" s="850"/>
      <c r="BU44" s="850"/>
      <c r="BV44" s="850"/>
      <c r="BW44" s="850"/>
      <c r="BX44" s="850"/>
      <c r="BY44" s="850"/>
      <c r="BZ44" s="850"/>
      <c r="CA44" s="850"/>
      <c r="CB44" s="850"/>
      <c r="CC44" s="850"/>
      <c r="CD44" s="850"/>
      <c r="CE44" s="850"/>
      <c r="CF44" s="850"/>
      <c r="CG44" s="850"/>
      <c r="CH44" s="850"/>
      <c r="CI44" s="850"/>
      <c r="CJ44" s="850"/>
    </row>
    <row r="45" spans="1:88" ht="25.5">
      <c r="A45" s="850"/>
      <c r="B45" s="2009" t="s">
        <v>6301</v>
      </c>
      <c r="C45" s="2452" t="s">
        <v>6302</v>
      </c>
      <c r="D45" s="2453"/>
      <c r="E45" s="2453"/>
      <c r="F45" s="2453"/>
      <c r="G45" s="2453"/>
      <c r="H45" s="2453"/>
      <c r="I45" s="2453"/>
      <c r="J45" s="2454"/>
      <c r="K45" s="850"/>
      <c r="L45" s="850"/>
      <c r="M45" s="850"/>
      <c r="N45" s="850"/>
      <c r="O45" s="850"/>
      <c r="P45" s="850"/>
      <c r="Q45" s="850"/>
      <c r="R45" s="850"/>
      <c r="S45" s="850"/>
      <c r="T45" s="850"/>
      <c r="U45" s="850"/>
      <c r="V45" s="850"/>
      <c r="W45" s="850"/>
      <c r="X45" s="850"/>
      <c r="Y45" s="850"/>
      <c r="Z45" s="850"/>
      <c r="AA45" s="850"/>
      <c r="AB45" s="850"/>
      <c r="AC45" s="850"/>
      <c r="AD45" s="850"/>
      <c r="AE45" s="850"/>
      <c r="AF45" s="850"/>
      <c r="AG45" s="850"/>
      <c r="AH45" s="850"/>
      <c r="AI45" s="850"/>
      <c r="AJ45" s="850"/>
      <c r="AK45" s="850"/>
      <c r="AL45" s="850"/>
      <c r="AM45" s="850"/>
      <c r="AN45" s="850"/>
      <c r="AO45" s="850"/>
      <c r="AP45" s="850"/>
      <c r="AQ45" s="850"/>
      <c r="AR45" s="850"/>
      <c r="AS45" s="850"/>
      <c r="AT45" s="850"/>
      <c r="AU45" s="850"/>
      <c r="AV45" s="850"/>
      <c r="AW45" s="850"/>
      <c r="AX45" s="850"/>
      <c r="AY45" s="850"/>
      <c r="AZ45" s="850"/>
      <c r="BA45" s="850"/>
      <c r="BB45" s="850"/>
      <c r="BC45" s="850"/>
      <c r="BD45" s="850"/>
      <c r="BE45" s="850"/>
      <c r="BF45" s="850"/>
      <c r="BG45" s="850"/>
      <c r="BH45" s="850"/>
      <c r="BI45" s="850"/>
      <c r="BJ45" s="850"/>
      <c r="BK45" s="850"/>
      <c r="BL45" s="850"/>
      <c r="BM45" s="850"/>
      <c r="BN45" s="850"/>
      <c r="BO45" s="850"/>
      <c r="BP45" s="850"/>
      <c r="BQ45" s="850"/>
      <c r="BR45" s="850"/>
      <c r="BS45" s="850"/>
      <c r="BT45" s="850"/>
      <c r="BU45" s="850"/>
      <c r="BV45" s="850"/>
      <c r="BW45" s="850"/>
      <c r="BX45" s="850"/>
      <c r="BY45" s="850"/>
      <c r="BZ45" s="850"/>
      <c r="CA45" s="850"/>
      <c r="CB45" s="850"/>
      <c r="CC45" s="850"/>
      <c r="CD45" s="850"/>
      <c r="CE45" s="850"/>
      <c r="CF45" s="850"/>
      <c r="CG45" s="850"/>
      <c r="CH45" s="850"/>
      <c r="CI45" s="850"/>
      <c r="CJ45" s="850"/>
    </row>
    <row r="46" spans="1:88" ht="25.5">
      <c r="A46" s="850"/>
      <c r="B46" s="2010" t="s">
        <v>6303</v>
      </c>
      <c r="C46" s="2455"/>
      <c r="D46" s="2456"/>
      <c r="E46" s="2456"/>
      <c r="F46" s="2456"/>
      <c r="G46" s="2456"/>
      <c r="H46" s="2456"/>
      <c r="I46" s="2456"/>
      <c r="J46" s="2457"/>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0"/>
      <c r="BF46" s="850"/>
      <c r="BG46" s="850"/>
      <c r="BH46" s="850"/>
      <c r="BI46" s="850"/>
      <c r="BJ46" s="850"/>
      <c r="BK46" s="850"/>
      <c r="BL46" s="850"/>
      <c r="BM46" s="850"/>
      <c r="BN46" s="850"/>
      <c r="BO46" s="850"/>
      <c r="BP46" s="850"/>
      <c r="BQ46" s="850"/>
      <c r="BR46" s="850"/>
      <c r="BS46" s="850"/>
      <c r="BT46" s="850"/>
      <c r="BU46" s="850"/>
      <c r="BV46" s="850"/>
      <c r="BW46" s="850"/>
      <c r="BX46" s="850"/>
      <c r="BY46" s="850"/>
      <c r="BZ46" s="850"/>
      <c r="CA46" s="850"/>
      <c r="CB46" s="850"/>
      <c r="CC46" s="850"/>
      <c r="CD46" s="850"/>
      <c r="CE46" s="850"/>
      <c r="CF46" s="850"/>
      <c r="CG46" s="850"/>
      <c r="CH46" s="850"/>
      <c r="CI46" s="850"/>
      <c r="CJ46" s="850"/>
    </row>
    <row r="47" spans="1:88" ht="25.5">
      <c r="A47" s="850"/>
      <c r="B47" s="2010" t="s">
        <v>6304</v>
      </c>
      <c r="C47" s="2455"/>
      <c r="D47" s="2456"/>
      <c r="E47" s="2456"/>
      <c r="F47" s="2456"/>
      <c r="G47" s="2456"/>
      <c r="H47" s="2456"/>
      <c r="I47" s="2456"/>
      <c r="J47" s="2457"/>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0"/>
      <c r="AJ47" s="850"/>
      <c r="AK47" s="850"/>
      <c r="AL47" s="850"/>
      <c r="AM47" s="850"/>
      <c r="AN47" s="850"/>
      <c r="AO47" s="850"/>
      <c r="AP47" s="850"/>
      <c r="AQ47" s="850"/>
      <c r="AR47" s="850"/>
      <c r="AS47" s="850"/>
      <c r="AT47" s="850"/>
      <c r="AU47" s="850"/>
      <c r="AV47" s="850"/>
      <c r="AW47" s="850"/>
      <c r="AX47" s="850"/>
      <c r="AY47" s="850"/>
      <c r="AZ47" s="850"/>
      <c r="BA47" s="850"/>
      <c r="BB47" s="850"/>
      <c r="BC47" s="850"/>
      <c r="BD47" s="850"/>
      <c r="BE47" s="850"/>
      <c r="BF47" s="850"/>
      <c r="BG47" s="850"/>
      <c r="BH47" s="850"/>
      <c r="BI47" s="850"/>
      <c r="BJ47" s="850"/>
      <c r="BK47" s="850"/>
      <c r="BL47" s="850"/>
      <c r="BM47" s="850"/>
      <c r="BN47" s="850"/>
      <c r="BO47" s="850"/>
      <c r="BP47" s="850"/>
      <c r="BQ47" s="850"/>
      <c r="BR47" s="850"/>
      <c r="BS47" s="850"/>
      <c r="BT47" s="850"/>
      <c r="BU47" s="850"/>
      <c r="BV47" s="850"/>
      <c r="BW47" s="850"/>
      <c r="BX47" s="850"/>
      <c r="BY47" s="850"/>
      <c r="BZ47" s="850"/>
      <c r="CA47" s="850"/>
      <c r="CB47" s="850"/>
      <c r="CC47" s="850"/>
      <c r="CD47" s="850"/>
      <c r="CE47" s="850"/>
      <c r="CF47" s="850"/>
      <c r="CG47" s="850"/>
      <c r="CH47" s="850"/>
      <c r="CI47" s="850"/>
      <c r="CJ47" s="850"/>
    </row>
    <row r="48" spans="1:88" ht="25.5">
      <c r="A48" s="850"/>
      <c r="B48" s="2010" t="s">
        <v>6305</v>
      </c>
      <c r="C48" s="2455"/>
      <c r="D48" s="2456"/>
      <c r="E48" s="2456"/>
      <c r="F48" s="2456"/>
      <c r="G48" s="2456"/>
      <c r="H48" s="2456"/>
      <c r="I48" s="2456"/>
      <c r="J48" s="2457"/>
      <c r="K48" s="850"/>
      <c r="L48" s="850"/>
      <c r="M48" s="850"/>
      <c r="N48" s="850"/>
      <c r="O48" s="850"/>
      <c r="P48" s="850"/>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c r="AO48" s="850"/>
      <c r="AP48" s="850"/>
      <c r="AQ48" s="850"/>
      <c r="AR48" s="850"/>
      <c r="AS48" s="850"/>
      <c r="AT48" s="850"/>
      <c r="AU48" s="850"/>
      <c r="AV48" s="850"/>
      <c r="AW48" s="850"/>
      <c r="AX48" s="850"/>
      <c r="AY48" s="850"/>
      <c r="AZ48" s="850"/>
      <c r="BA48" s="850"/>
      <c r="BB48" s="850"/>
      <c r="BC48" s="850"/>
      <c r="BD48" s="850"/>
      <c r="BE48" s="850"/>
      <c r="BF48" s="850"/>
      <c r="BG48" s="850"/>
      <c r="BH48" s="850"/>
      <c r="BI48" s="850"/>
      <c r="BJ48" s="850"/>
      <c r="BK48" s="850"/>
      <c r="BL48" s="850"/>
      <c r="BM48" s="850"/>
      <c r="BN48" s="850"/>
      <c r="BO48" s="850"/>
      <c r="BP48" s="850"/>
      <c r="BQ48" s="850"/>
      <c r="BR48" s="850"/>
      <c r="BS48" s="850"/>
      <c r="BT48" s="850"/>
      <c r="BU48" s="850"/>
      <c r="BV48" s="850"/>
      <c r="BW48" s="850"/>
      <c r="BX48" s="850"/>
      <c r="BY48" s="850"/>
      <c r="BZ48" s="850"/>
      <c r="CA48" s="850"/>
      <c r="CB48" s="850"/>
      <c r="CC48" s="850"/>
      <c r="CD48" s="850"/>
      <c r="CE48" s="850"/>
      <c r="CF48" s="850"/>
      <c r="CG48" s="850"/>
      <c r="CH48" s="850"/>
      <c r="CI48" s="850"/>
      <c r="CJ48" s="850"/>
    </row>
    <row r="49" spans="1:88" ht="38.25">
      <c r="A49" s="850"/>
      <c r="B49" s="2010" t="s">
        <v>6306</v>
      </c>
      <c r="C49" s="2455"/>
      <c r="D49" s="2456"/>
      <c r="E49" s="2456"/>
      <c r="F49" s="2456"/>
      <c r="G49" s="2456"/>
      <c r="H49" s="2456"/>
      <c r="I49" s="2456"/>
      <c r="J49" s="2457"/>
      <c r="K49" s="850"/>
      <c r="L49" s="850"/>
      <c r="M49" s="850"/>
      <c r="N49" s="850"/>
      <c r="O49" s="850"/>
      <c r="P49" s="850"/>
      <c r="Q49" s="850"/>
      <c r="R49" s="850"/>
      <c r="S49" s="850"/>
      <c r="T49" s="850"/>
      <c r="U49" s="850"/>
      <c r="V49" s="850"/>
      <c r="W49" s="850"/>
      <c r="X49" s="850"/>
      <c r="Y49" s="850"/>
      <c r="Z49" s="850"/>
      <c r="AA49" s="850"/>
      <c r="AB49" s="850"/>
      <c r="AC49" s="850"/>
      <c r="AD49" s="850"/>
      <c r="AE49" s="850"/>
      <c r="AF49" s="850"/>
      <c r="AG49" s="850"/>
      <c r="AH49" s="850"/>
      <c r="AI49" s="850"/>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0"/>
      <c r="BF49" s="850"/>
      <c r="BG49" s="850"/>
      <c r="BH49" s="850"/>
      <c r="BI49" s="850"/>
      <c r="BJ49" s="850"/>
      <c r="BK49" s="850"/>
      <c r="BL49" s="850"/>
      <c r="BM49" s="850"/>
      <c r="BN49" s="850"/>
      <c r="BO49" s="850"/>
      <c r="BP49" s="850"/>
      <c r="BQ49" s="850"/>
      <c r="BR49" s="850"/>
      <c r="BS49" s="850"/>
      <c r="BT49" s="850"/>
      <c r="BU49" s="850"/>
      <c r="BV49" s="850"/>
      <c r="BW49" s="850"/>
      <c r="BX49" s="850"/>
      <c r="BY49" s="850"/>
      <c r="BZ49" s="850"/>
      <c r="CA49" s="850"/>
      <c r="CB49" s="850"/>
      <c r="CC49" s="850"/>
      <c r="CD49" s="850"/>
      <c r="CE49" s="850"/>
      <c r="CF49" s="850"/>
      <c r="CG49" s="850"/>
      <c r="CH49" s="850"/>
      <c r="CI49" s="850"/>
      <c r="CJ49" s="850"/>
    </row>
    <row r="50" spans="1:88" ht="25.5">
      <c r="A50" s="850"/>
      <c r="B50" s="2010" t="s">
        <v>6307</v>
      </c>
      <c r="C50" s="2455"/>
      <c r="D50" s="2456"/>
      <c r="E50" s="2456"/>
      <c r="F50" s="2456"/>
      <c r="G50" s="2456"/>
      <c r="H50" s="2456"/>
      <c r="I50" s="2456"/>
      <c r="J50" s="2457"/>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850"/>
      <c r="AM50" s="850"/>
      <c r="AN50" s="850"/>
      <c r="AO50" s="850"/>
      <c r="AP50" s="850"/>
      <c r="AQ50" s="850"/>
      <c r="AR50" s="850"/>
      <c r="AS50" s="850"/>
      <c r="AT50" s="850"/>
      <c r="AU50" s="850"/>
      <c r="AV50" s="850"/>
      <c r="AW50" s="850"/>
      <c r="AX50" s="850"/>
      <c r="AY50" s="850"/>
      <c r="AZ50" s="850"/>
      <c r="BA50" s="850"/>
      <c r="BB50" s="850"/>
      <c r="BC50" s="850"/>
      <c r="BD50" s="850"/>
      <c r="BE50" s="850"/>
      <c r="BF50" s="850"/>
      <c r="BG50" s="850"/>
      <c r="BH50" s="850"/>
      <c r="BI50" s="850"/>
      <c r="BJ50" s="850"/>
      <c r="BK50" s="850"/>
      <c r="BL50" s="850"/>
      <c r="BM50" s="850"/>
      <c r="BN50" s="850"/>
      <c r="BO50" s="850"/>
      <c r="BP50" s="850"/>
      <c r="BQ50" s="850"/>
      <c r="BR50" s="850"/>
      <c r="BS50" s="850"/>
      <c r="BT50" s="850"/>
      <c r="BU50" s="850"/>
      <c r="BV50" s="850"/>
      <c r="BW50" s="850"/>
      <c r="BX50" s="850"/>
      <c r="BY50" s="850"/>
      <c r="BZ50" s="850"/>
      <c r="CA50" s="850"/>
      <c r="CB50" s="850"/>
      <c r="CC50" s="850"/>
      <c r="CD50" s="850"/>
      <c r="CE50" s="850"/>
      <c r="CF50" s="850"/>
      <c r="CG50" s="850"/>
      <c r="CH50" s="850"/>
      <c r="CI50" s="850"/>
      <c r="CJ50" s="850"/>
    </row>
    <row r="51" spans="1:88" ht="38.25">
      <c r="A51" s="850"/>
      <c r="B51" s="2010" t="s">
        <v>6308</v>
      </c>
      <c r="C51" s="2455"/>
      <c r="D51" s="2456"/>
      <c r="E51" s="2456"/>
      <c r="F51" s="2456"/>
      <c r="G51" s="2456"/>
      <c r="H51" s="2456"/>
      <c r="I51" s="2456"/>
      <c r="J51" s="2457"/>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c r="AH51" s="850"/>
      <c r="AI51" s="850"/>
      <c r="AJ51" s="850"/>
      <c r="AK51" s="850"/>
      <c r="AL51" s="850"/>
      <c r="AM51" s="850"/>
      <c r="AN51" s="850"/>
      <c r="AO51" s="850"/>
      <c r="AP51" s="850"/>
      <c r="AQ51" s="850"/>
      <c r="AR51" s="850"/>
      <c r="AS51" s="850"/>
      <c r="AT51" s="850"/>
      <c r="AU51" s="850"/>
      <c r="AV51" s="850"/>
      <c r="AW51" s="850"/>
      <c r="AX51" s="850"/>
      <c r="AY51" s="850"/>
      <c r="AZ51" s="850"/>
      <c r="BA51" s="850"/>
      <c r="BB51" s="850"/>
      <c r="BC51" s="850"/>
      <c r="BD51" s="850"/>
      <c r="BE51" s="850"/>
      <c r="BF51" s="850"/>
      <c r="BG51" s="850"/>
      <c r="BH51" s="850"/>
      <c r="BI51" s="850"/>
      <c r="BJ51" s="850"/>
      <c r="BK51" s="850"/>
      <c r="BL51" s="850"/>
      <c r="BM51" s="850"/>
      <c r="BN51" s="850"/>
      <c r="BO51" s="850"/>
      <c r="BP51" s="850"/>
      <c r="BQ51" s="850"/>
      <c r="BR51" s="850"/>
      <c r="BS51" s="850"/>
      <c r="BT51" s="850"/>
      <c r="BU51" s="850"/>
      <c r="BV51" s="850"/>
      <c r="BW51" s="850"/>
      <c r="BX51" s="850"/>
      <c r="BY51" s="850"/>
      <c r="BZ51" s="850"/>
      <c r="CA51" s="850"/>
      <c r="CB51" s="850"/>
      <c r="CC51" s="850"/>
      <c r="CD51" s="850"/>
      <c r="CE51" s="850"/>
      <c r="CF51" s="850"/>
      <c r="CG51" s="850"/>
      <c r="CH51" s="850"/>
      <c r="CI51" s="850"/>
      <c r="CJ51" s="850"/>
    </row>
    <row r="52" spans="1:88" ht="25.5">
      <c r="A52" s="850"/>
      <c r="B52" s="2010" t="s">
        <v>6309</v>
      </c>
      <c r="C52" s="2455"/>
      <c r="D52" s="2456"/>
      <c r="E52" s="2456"/>
      <c r="F52" s="2456"/>
      <c r="G52" s="2456"/>
      <c r="H52" s="2456"/>
      <c r="I52" s="2456"/>
      <c r="J52" s="2457"/>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c r="AL52" s="850"/>
      <c r="AM52" s="850"/>
      <c r="AN52" s="850"/>
      <c r="AO52" s="850"/>
      <c r="AP52" s="850"/>
      <c r="AQ52" s="850"/>
      <c r="AR52" s="850"/>
      <c r="AS52" s="850"/>
      <c r="AT52" s="850"/>
      <c r="AU52" s="850"/>
      <c r="AV52" s="850"/>
      <c r="AW52" s="850"/>
      <c r="AX52" s="850"/>
      <c r="AY52" s="850"/>
      <c r="AZ52" s="850"/>
      <c r="BA52" s="850"/>
      <c r="BB52" s="850"/>
      <c r="BC52" s="850"/>
      <c r="BD52" s="850"/>
      <c r="BE52" s="850"/>
      <c r="BF52" s="850"/>
      <c r="BG52" s="850"/>
      <c r="BH52" s="850"/>
      <c r="BI52" s="850"/>
      <c r="BJ52" s="850"/>
      <c r="BK52" s="850"/>
      <c r="BL52" s="850"/>
      <c r="BM52" s="850"/>
      <c r="BN52" s="850"/>
      <c r="BO52" s="850"/>
      <c r="BP52" s="850"/>
      <c r="BQ52" s="850"/>
      <c r="BR52" s="850"/>
      <c r="BS52" s="850"/>
      <c r="BT52" s="850"/>
      <c r="BU52" s="850"/>
      <c r="BV52" s="850"/>
      <c r="BW52" s="850"/>
      <c r="BX52" s="850"/>
      <c r="BY52" s="850"/>
      <c r="BZ52" s="850"/>
      <c r="CA52" s="850"/>
      <c r="CB52" s="850"/>
      <c r="CC52" s="850"/>
      <c r="CD52" s="850"/>
      <c r="CE52" s="850"/>
      <c r="CF52" s="850"/>
      <c r="CG52" s="850"/>
      <c r="CH52" s="850"/>
      <c r="CI52" s="850"/>
      <c r="CJ52" s="850"/>
    </row>
    <row r="53" spans="1:88" ht="39" thickBot="1">
      <c r="A53" s="850"/>
      <c r="B53" s="2011" t="s">
        <v>6310</v>
      </c>
      <c r="C53" s="2458"/>
      <c r="D53" s="2459"/>
      <c r="E53" s="2459"/>
      <c r="F53" s="2459"/>
      <c r="G53" s="2459"/>
      <c r="H53" s="2459"/>
      <c r="I53" s="2459"/>
      <c r="J53" s="2460"/>
      <c r="K53" s="850"/>
      <c r="L53" s="850"/>
      <c r="M53" s="850"/>
      <c r="N53" s="850"/>
      <c r="O53" s="850"/>
      <c r="P53" s="850"/>
      <c r="Q53" s="850"/>
      <c r="R53" s="850"/>
      <c r="S53" s="850"/>
      <c r="T53" s="850"/>
      <c r="U53" s="850"/>
      <c r="V53" s="850"/>
      <c r="W53" s="850"/>
      <c r="X53" s="850"/>
      <c r="Y53" s="850"/>
      <c r="Z53" s="850"/>
      <c r="AA53" s="850"/>
      <c r="AB53" s="850"/>
      <c r="AC53" s="850"/>
      <c r="AD53" s="850"/>
      <c r="AE53" s="850"/>
      <c r="AF53" s="850"/>
      <c r="AG53" s="850"/>
      <c r="AH53" s="850"/>
      <c r="AI53" s="850"/>
      <c r="AJ53" s="850"/>
      <c r="AK53" s="850"/>
      <c r="AL53" s="850"/>
      <c r="AM53" s="850"/>
      <c r="AN53" s="850"/>
      <c r="AO53" s="850"/>
      <c r="AP53" s="850"/>
      <c r="AQ53" s="850"/>
      <c r="AR53" s="850"/>
      <c r="AS53" s="850"/>
      <c r="AT53" s="850"/>
      <c r="AU53" s="850"/>
      <c r="AV53" s="850"/>
      <c r="AW53" s="850"/>
      <c r="AX53" s="850"/>
      <c r="AY53" s="850"/>
      <c r="AZ53" s="850"/>
      <c r="BA53" s="850"/>
      <c r="BB53" s="850"/>
      <c r="BC53" s="850"/>
      <c r="BD53" s="850"/>
      <c r="BE53" s="850"/>
      <c r="BF53" s="850"/>
      <c r="BG53" s="850"/>
      <c r="BH53" s="850"/>
      <c r="BI53" s="850"/>
      <c r="BJ53" s="850"/>
      <c r="BK53" s="850"/>
      <c r="BL53" s="850"/>
      <c r="BM53" s="850"/>
      <c r="BN53" s="850"/>
      <c r="BO53" s="850"/>
      <c r="BP53" s="850"/>
      <c r="BQ53" s="850"/>
      <c r="BR53" s="850"/>
      <c r="BS53" s="850"/>
      <c r="BT53" s="850"/>
      <c r="BU53" s="850"/>
      <c r="BV53" s="850"/>
      <c r="BW53" s="850"/>
      <c r="BX53" s="850"/>
      <c r="BY53" s="850"/>
      <c r="BZ53" s="850"/>
      <c r="CA53" s="850"/>
      <c r="CB53" s="850"/>
      <c r="CC53" s="850"/>
      <c r="CD53" s="850"/>
      <c r="CE53" s="850"/>
      <c r="CF53" s="850"/>
      <c r="CG53" s="850"/>
      <c r="CH53" s="850"/>
      <c r="CI53" s="850"/>
      <c r="CJ53" s="850"/>
    </row>
    <row r="54" spans="1:88" ht="66" customHeight="1" thickBot="1">
      <c r="A54" s="850"/>
      <c r="B54" s="2012" t="s">
        <v>6311</v>
      </c>
      <c r="C54" s="2446" t="s">
        <v>6312</v>
      </c>
      <c r="D54" s="2447"/>
      <c r="E54" s="2447"/>
      <c r="F54" s="2447"/>
      <c r="G54" s="2447"/>
      <c r="H54" s="2447"/>
      <c r="I54" s="2447"/>
      <c r="J54" s="2448"/>
      <c r="K54" s="850"/>
      <c r="L54" s="850"/>
      <c r="M54" s="850"/>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0"/>
      <c r="BF54" s="850"/>
      <c r="BG54" s="850"/>
      <c r="BH54" s="850"/>
      <c r="BI54" s="850"/>
      <c r="BJ54" s="850"/>
      <c r="BK54" s="850"/>
      <c r="BL54" s="850"/>
      <c r="BM54" s="850"/>
      <c r="BN54" s="850"/>
      <c r="BO54" s="850"/>
      <c r="BP54" s="850"/>
      <c r="BQ54" s="850"/>
      <c r="BR54" s="850"/>
      <c r="BS54" s="850"/>
      <c r="BT54" s="850"/>
      <c r="BU54" s="850"/>
      <c r="BV54" s="850"/>
      <c r="BW54" s="850"/>
      <c r="BX54" s="850"/>
      <c r="BY54" s="850"/>
      <c r="BZ54" s="850"/>
      <c r="CA54" s="850"/>
      <c r="CB54" s="850"/>
      <c r="CC54" s="850"/>
      <c r="CD54" s="850"/>
      <c r="CE54" s="850"/>
      <c r="CF54" s="850"/>
      <c r="CG54" s="850"/>
      <c r="CH54" s="850"/>
      <c r="CI54" s="850"/>
      <c r="CJ54" s="850"/>
    </row>
    <row r="55" spans="1:88" ht="26.25" thickBot="1">
      <c r="A55" s="850"/>
      <c r="B55" s="2012" t="s">
        <v>6313</v>
      </c>
      <c r="C55" s="2446" t="s">
        <v>6314</v>
      </c>
      <c r="D55" s="2447"/>
      <c r="E55" s="2447"/>
      <c r="F55" s="2447"/>
      <c r="G55" s="2447"/>
      <c r="H55" s="2447"/>
      <c r="I55" s="2447"/>
      <c r="J55" s="2448"/>
      <c r="K55" s="850"/>
      <c r="L55" s="850"/>
      <c r="M55" s="850"/>
      <c r="N55" s="850"/>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0"/>
      <c r="AX55" s="850"/>
      <c r="AY55" s="850"/>
      <c r="AZ55" s="850"/>
      <c r="BA55" s="850"/>
      <c r="BB55" s="850"/>
      <c r="BC55" s="850"/>
      <c r="BD55" s="850"/>
      <c r="BE55" s="850"/>
      <c r="BF55" s="850"/>
      <c r="BG55" s="850"/>
      <c r="BH55" s="850"/>
      <c r="BI55" s="850"/>
      <c r="BJ55" s="850"/>
      <c r="BK55" s="850"/>
      <c r="BL55" s="850"/>
      <c r="BM55" s="850"/>
      <c r="BN55" s="850"/>
      <c r="BO55" s="850"/>
      <c r="BP55" s="850"/>
      <c r="BQ55" s="850"/>
      <c r="BR55" s="850"/>
      <c r="BS55" s="850"/>
      <c r="BT55" s="850"/>
      <c r="BU55" s="850"/>
      <c r="BV55" s="850"/>
      <c r="BW55" s="850"/>
      <c r="BX55" s="850"/>
      <c r="BY55" s="850"/>
      <c r="BZ55" s="850"/>
      <c r="CA55" s="850"/>
      <c r="CB55" s="850"/>
      <c r="CC55" s="850"/>
      <c r="CD55" s="850"/>
      <c r="CE55" s="850"/>
      <c r="CF55" s="850"/>
      <c r="CG55" s="850"/>
      <c r="CH55" s="850"/>
      <c r="CI55" s="850"/>
      <c r="CJ55" s="850"/>
    </row>
    <row r="56" spans="1:88" ht="27" customHeight="1" thickBot="1">
      <c r="A56" s="850"/>
      <c r="B56" s="2012" t="s">
        <v>6315</v>
      </c>
      <c r="C56" s="2446" t="s">
        <v>6316</v>
      </c>
      <c r="D56" s="2447"/>
      <c r="E56" s="2447"/>
      <c r="F56" s="2447"/>
      <c r="G56" s="2447"/>
      <c r="H56" s="2447"/>
      <c r="I56" s="2447"/>
      <c r="J56" s="2448"/>
      <c r="K56" s="850"/>
      <c r="L56" s="850"/>
      <c r="M56" s="850"/>
      <c r="N56" s="850"/>
      <c r="O56" s="850"/>
      <c r="P56" s="850"/>
      <c r="Q56" s="850"/>
      <c r="R56" s="850"/>
      <c r="S56" s="850"/>
      <c r="T56" s="850"/>
      <c r="U56" s="850"/>
      <c r="V56" s="850"/>
      <c r="W56" s="850"/>
      <c r="X56" s="850"/>
      <c r="Y56" s="850"/>
      <c r="Z56" s="850"/>
      <c r="AA56" s="850"/>
      <c r="AB56" s="850"/>
      <c r="AC56" s="850"/>
      <c r="AD56" s="850"/>
      <c r="AE56" s="850"/>
      <c r="AF56" s="850"/>
      <c r="AG56" s="850"/>
      <c r="AH56" s="850"/>
      <c r="AI56" s="850"/>
      <c r="AJ56" s="850"/>
      <c r="AK56" s="850"/>
      <c r="AL56" s="850"/>
      <c r="AM56" s="850"/>
      <c r="AN56" s="850"/>
      <c r="AO56" s="850"/>
      <c r="AP56" s="850"/>
      <c r="AQ56" s="850"/>
      <c r="AR56" s="850"/>
      <c r="AS56" s="850"/>
      <c r="AT56" s="850"/>
      <c r="AU56" s="850"/>
      <c r="AV56" s="850"/>
      <c r="AW56" s="850"/>
      <c r="AX56" s="850"/>
      <c r="AY56" s="850"/>
      <c r="AZ56" s="850"/>
      <c r="BA56" s="850"/>
      <c r="BB56" s="850"/>
      <c r="BC56" s="850"/>
      <c r="BD56" s="850"/>
      <c r="BE56" s="850"/>
      <c r="BF56" s="850"/>
      <c r="BG56" s="850"/>
      <c r="BH56" s="850"/>
      <c r="BI56" s="850"/>
      <c r="BJ56" s="850"/>
      <c r="BK56" s="850"/>
      <c r="BL56" s="850"/>
      <c r="BM56" s="850"/>
      <c r="BN56" s="850"/>
      <c r="BO56" s="850"/>
      <c r="BP56" s="850"/>
      <c r="BQ56" s="850"/>
      <c r="BR56" s="850"/>
      <c r="BS56" s="850"/>
      <c r="BT56" s="850"/>
      <c r="BU56" s="850"/>
      <c r="BV56" s="850"/>
      <c r="BW56" s="850"/>
      <c r="BX56" s="850"/>
      <c r="BY56" s="850"/>
      <c r="BZ56" s="850"/>
      <c r="CA56" s="850"/>
      <c r="CB56" s="850"/>
      <c r="CC56" s="850"/>
      <c r="CD56" s="850"/>
      <c r="CE56" s="850"/>
      <c r="CF56" s="850"/>
      <c r="CG56" s="850"/>
      <c r="CH56" s="850"/>
      <c r="CI56" s="850"/>
      <c r="CJ56" s="850"/>
    </row>
    <row r="57" spans="1:88" ht="51.75" thickBot="1">
      <c r="A57" s="850"/>
      <c r="B57" s="2012" t="s">
        <v>6317</v>
      </c>
      <c r="C57" s="2446" t="s">
        <v>6318</v>
      </c>
      <c r="D57" s="2447"/>
      <c r="E57" s="2447"/>
      <c r="F57" s="2447"/>
      <c r="G57" s="2447"/>
      <c r="H57" s="2447"/>
      <c r="I57" s="2447"/>
      <c r="J57" s="2448"/>
      <c r="K57" s="850"/>
      <c r="L57" s="850"/>
      <c r="M57" s="850"/>
      <c r="N57" s="850"/>
      <c r="O57" s="850"/>
      <c r="P57" s="850"/>
      <c r="Q57" s="850"/>
      <c r="R57" s="850"/>
      <c r="S57" s="850"/>
      <c r="T57" s="850"/>
      <c r="U57" s="850"/>
      <c r="V57" s="850"/>
      <c r="W57" s="850"/>
      <c r="X57" s="850"/>
      <c r="Y57" s="850"/>
      <c r="Z57" s="850"/>
      <c r="AA57" s="850"/>
      <c r="AB57" s="850"/>
      <c r="AC57" s="850"/>
      <c r="AD57" s="850"/>
      <c r="AE57" s="850"/>
      <c r="AF57" s="850"/>
      <c r="AG57" s="850"/>
      <c r="AH57" s="850"/>
      <c r="AI57" s="850"/>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0"/>
      <c r="BF57" s="850"/>
      <c r="BG57" s="850"/>
      <c r="BH57" s="850"/>
      <c r="BI57" s="850"/>
      <c r="BJ57" s="850"/>
      <c r="BK57" s="850"/>
      <c r="BL57" s="850"/>
      <c r="BM57" s="850"/>
      <c r="BN57" s="850"/>
      <c r="BO57" s="850"/>
      <c r="BP57" s="850"/>
      <c r="BQ57" s="850"/>
      <c r="BR57" s="850"/>
      <c r="BS57" s="850"/>
      <c r="BT57" s="850"/>
      <c r="BU57" s="850"/>
      <c r="BV57" s="850"/>
      <c r="BW57" s="850"/>
      <c r="BX57" s="850"/>
      <c r="BY57" s="850"/>
      <c r="BZ57" s="850"/>
      <c r="CA57" s="850"/>
      <c r="CB57" s="850"/>
      <c r="CC57" s="850"/>
      <c r="CD57" s="850"/>
      <c r="CE57" s="850"/>
      <c r="CF57" s="850"/>
      <c r="CG57" s="850"/>
      <c r="CH57" s="850"/>
      <c r="CI57" s="850"/>
      <c r="CJ57" s="850"/>
    </row>
    <row r="58" spans="1:88" ht="39" thickBot="1">
      <c r="A58" s="850"/>
      <c r="B58" s="2012" t="s">
        <v>6319</v>
      </c>
      <c r="C58" s="2446" t="s">
        <v>6320</v>
      </c>
      <c r="D58" s="2447"/>
      <c r="E58" s="2447"/>
      <c r="F58" s="2447"/>
      <c r="G58" s="2447"/>
      <c r="H58" s="2447"/>
      <c r="I58" s="2447"/>
      <c r="J58" s="2448"/>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50"/>
      <c r="BN58" s="850"/>
      <c r="BO58" s="850"/>
      <c r="BP58" s="850"/>
      <c r="BQ58" s="850"/>
      <c r="BR58" s="850"/>
      <c r="BS58" s="850"/>
      <c r="BT58" s="850"/>
      <c r="BU58" s="850"/>
      <c r="BV58" s="850"/>
      <c r="BW58" s="850"/>
      <c r="BX58" s="850"/>
      <c r="BY58" s="850"/>
      <c r="BZ58" s="850"/>
      <c r="CA58" s="850"/>
      <c r="CB58" s="850"/>
      <c r="CC58" s="850"/>
      <c r="CD58" s="850"/>
      <c r="CE58" s="850"/>
      <c r="CF58" s="850"/>
      <c r="CG58" s="850"/>
      <c r="CH58" s="850"/>
      <c r="CI58" s="850"/>
      <c r="CJ58" s="850"/>
    </row>
    <row r="59" spans="1:88" ht="26.25" thickBot="1">
      <c r="A59" s="850"/>
      <c r="B59" s="2011" t="s">
        <v>6321</v>
      </c>
      <c r="C59" s="2449" t="s">
        <v>6322</v>
      </c>
      <c r="D59" s="2450"/>
      <c r="E59" s="2450"/>
      <c r="F59" s="2450"/>
      <c r="G59" s="2450"/>
      <c r="H59" s="2450"/>
      <c r="I59" s="2450"/>
      <c r="J59" s="2451"/>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c r="AL59" s="850"/>
      <c r="AM59" s="850"/>
      <c r="AN59" s="850"/>
      <c r="AO59" s="850"/>
      <c r="AP59" s="850"/>
      <c r="AQ59" s="850"/>
      <c r="AR59" s="850"/>
      <c r="AS59" s="850"/>
      <c r="AT59" s="850"/>
      <c r="AU59" s="850"/>
      <c r="AV59" s="850"/>
      <c r="AW59" s="850"/>
      <c r="AX59" s="850"/>
      <c r="AY59" s="850"/>
      <c r="AZ59" s="850"/>
      <c r="BA59" s="850"/>
      <c r="BB59" s="850"/>
      <c r="BC59" s="850"/>
      <c r="BD59" s="850"/>
      <c r="BE59" s="850"/>
      <c r="BF59" s="850"/>
      <c r="BG59" s="850"/>
      <c r="BH59" s="850"/>
      <c r="BI59" s="850"/>
      <c r="BJ59" s="850"/>
      <c r="BK59" s="850"/>
      <c r="BL59" s="850"/>
      <c r="BM59" s="850"/>
      <c r="BN59" s="850"/>
      <c r="BO59" s="850"/>
      <c r="BP59" s="850"/>
      <c r="BQ59" s="850"/>
      <c r="BR59" s="850"/>
      <c r="BS59" s="850"/>
      <c r="BT59" s="850"/>
      <c r="BU59" s="850"/>
      <c r="BV59" s="850"/>
      <c r="BW59" s="850"/>
      <c r="BX59" s="850"/>
      <c r="BY59" s="850"/>
      <c r="BZ59" s="850"/>
      <c r="CA59" s="850"/>
      <c r="CB59" s="850"/>
      <c r="CC59" s="850"/>
      <c r="CD59" s="850"/>
      <c r="CE59" s="850"/>
      <c r="CF59" s="850"/>
      <c r="CG59" s="850"/>
      <c r="CH59" s="850"/>
      <c r="CI59" s="850"/>
      <c r="CJ59" s="850"/>
    </row>
    <row r="60" spans="1:88" ht="40.35" customHeight="1" thickBot="1">
      <c r="A60" s="850"/>
      <c r="B60" s="2141"/>
      <c r="C60" s="2141"/>
      <c r="D60" s="2141"/>
      <c r="E60" s="2141"/>
      <c r="F60" s="2141"/>
      <c r="G60" s="2141"/>
      <c r="H60" s="2141"/>
      <c r="I60" s="2140"/>
      <c r="J60" s="2140"/>
      <c r="K60" s="850"/>
      <c r="L60" s="850"/>
      <c r="M60" s="850"/>
      <c r="N60" s="850"/>
      <c r="O60" s="850"/>
      <c r="P60" s="850"/>
      <c r="Q60" s="850"/>
      <c r="R60" s="850"/>
      <c r="S60" s="850"/>
      <c r="T60" s="850"/>
      <c r="U60" s="850"/>
      <c r="V60" s="850"/>
      <c r="W60" s="850"/>
      <c r="X60" s="850"/>
      <c r="Y60" s="850"/>
      <c r="Z60" s="850"/>
      <c r="AA60" s="850"/>
      <c r="AB60" s="850"/>
      <c r="AC60" s="850"/>
      <c r="AD60" s="850"/>
      <c r="AE60" s="850"/>
      <c r="AF60" s="850"/>
      <c r="AG60" s="850"/>
      <c r="AH60" s="850"/>
      <c r="AI60" s="850"/>
      <c r="AJ60" s="850"/>
      <c r="AK60" s="850"/>
      <c r="AL60" s="850"/>
      <c r="AM60" s="850"/>
      <c r="AN60" s="850"/>
      <c r="AO60" s="850"/>
      <c r="AP60" s="850"/>
      <c r="AQ60" s="850"/>
      <c r="AR60" s="850"/>
      <c r="AS60" s="850"/>
      <c r="AT60" s="850"/>
      <c r="AU60" s="850"/>
      <c r="AV60" s="850"/>
      <c r="AW60" s="850"/>
      <c r="AX60" s="850"/>
      <c r="AY60" s="850"/>
      <c r="AZ60" s="850"/>
      <c r="BA60" s="850"/>
      <c r="BB60" s="850"/>
      <c r="BC60" s="850"/>
      <c r="BD60" s="850"/>
      <c r="BE60" s="850"/>
      <c r="BF60" s="850"/>
      <c r="BG60" s="850"/>
      <c r="BH60" s="850"/>
      <c r="BI60" s="850"/>
      <c r="BJ60" s="850"/>
      <c r="BK60" s="850"/>
      <c r="BL60" s="850"/>
      <c r="BM60" s="850"/>
      <c r="BN60" s="850"/>
      <c r="BO60" s="850"/>
      <c r="BP60" s="850"/>
      <c r="BQ60" s="850"/>
      <c r="BR60" s="850"/>
      <c r="BS60" s="850"/>
      <c r="BT60" s="850"/>
      <c r="BU60" s="850"/>
      <c r="BV60" s="850"/>
      <c r="BW60" s="850"/>
      <c r="BX60" s="850"/>
      <c r="BY60" s="850"/>
      <c r="BZ60" s="850"/>
      <c r="CA60" s="850"/>
      <c r="CB60" s="850"/>
      <c r="CC60" s="850"/>
      <c r="CD60" s="850"/>
      <c r="CE60" s="850"/>
      <c r="CF60" s="850"/>
      <c r="CG60" s="850"/>
      <c r="CH60" s="850"/>
      <c r="CI60" s="850"/>
      <c r="CJ60" s="850"/>
    </row>
    <row r="61" spans="1:88" ht="16.5" thickBot="1">
      <c r="A61" s="850"/>
      <c r="B61" s="2438" t="s">
        <v>6323</v>
      </c>
      <c r="C61" s="2439"/>
      <c r="D61" s="2439"/>
      <c r="E61" s="2439"/>
      <c r="F61" s="2439"/>
      <c r="G61" s="2439"/>
      <c r="H61" s="2439"/>
      <c r="I61" s="2583"/>
      <c r="J61" s="2584"/>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c r="AI61" s="850"/>
      <c r="AJ61" s="850"/>
      <c r="AK61" s="850"/>
      <c r="AL61" s="850"/>
      <c r="AM61" s="850"/>
      <c r="AN61" s="850"/>
      <c r="AO61" s="850"/>
      <c r="AP61" s="850"/>
      <c r="AQ61" s="850"/>
      <c r="AR61" s="850"/>
      <c r="AS61" s="850"/>
      <c r="AT61" s="850"/>
      <c r="AU61" s="850"/>
      <c r="AV61" s="850"/>
      <c r="AW61" s="850"/>
      <c r="AX61" s="850"/>
      <c r="AY61" s="850"/>
      <c r="AZ61" s="850"/>
      <c r="BA61" s="850"/>
      <c r="BB61" s="850"/>
      <c r="BC61" s="850"/>
      <c r="BD61" s="850"/>
      <c r="BE61" s="850"/>
      <c r="BF61" s="850"/>
      <c r="BG61" s="850"/>
      <c r="BH61" s="850"/>
      <c r="BI61" s="850"/>
      <c r="BJ61" s="850"/>
      <c r="BK61" s="850"/>
      <c r="BL61" s="850"/>
      <c r="BM61" s="850"/>
      <c r="BN61" s="850"/>
      <c r="BO61" s="850"/>
      <c r="BP61" s="850"/>
      <c r="BQ61" s="850"/>
      <c r="BR61" s="850"/>
      <c r="BS61" s="850"/>
      <c r="BT61" s="850"/>
      <c r="BU61" s="850"/>
      <c r="BV61" s="850"/>
      <c r="BW61" s="850"/>
      <c r="BX61" s="850"/>
      <c r="BY61" s="850"/>
      <c r="BZ61" s="850"/>
      <c r="CA61" s="850"/>
      <c r="CB61" s="850"/>
      <c r="CC61" s="850"/>
      <c r="CD61" s="850"/>
      <c r="CE61" s="850"/>
      <c r="CF61" s="850"/>
      <c r="CG61" s="850"/>
      <c r="CH61" s="850"/>
      <c r="CI61" s="850"/>
      <c r="CJ61" s="850"/>
    </row>
    <row r="62" spans="1:88"/>
    <row r="63" spans="1:88"/>
    <row r="64" spans="1:88"/>
    <row r="65"/>
  </sheetData>
  <sheetProtection password="C460" sheet="1" objects="1" scenarios="1"/>
  <mergeCells count="14">
    <mergeCell ref="B61:J61"/>
    <mergeCell ref="B3:C3"/>
    <mergeCell ref="B33:J33"/>
    <mergeCell ref="B40:J40"/>
    <mergeCell ref="C57:J57"/>
    <mergeCell ref="C58:J58"/>
    <mergeCell ref="C59:J59"/>
    <mergeCell ref="C45:J53"/>
    <mergeCell ref="B38:J38"/>
    <mergeCell ref="B42:J42"/>
    <mergeCell ref="C44:J44"/>
    <mergeCell ref="C56:J56"/>
    <mergeCell ref="C54:J54"/>
    <mergeCell ref="C55:J5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4" id="{C2EBAA21-34A7-438A-B3E7-D3FADA53DB81}">
            <xm:f>'H:\Users\ahawkins\Documentum\Viewed\[16.07.2018 Final for Ofwat - 2017-18 APR excel tables TTT PSV_4_5.xlsx]Validation'!#REF!=1</xm:f>
            <x14:dxf>
              <fill>
                <patternFill>
                  <bgColor theme="2"/>
                </patternFill>
              </fill>
            </x14:dxf>
          </x14:cfRule>
          <xm:sqref>G18:AK19</xm:sqref>
        </x14:conditionalFormatting>
        <x14:conditionalFormatting xmlns:xm="http://schemas.microsoft.com/office/excel/2006/main">
          <x14:cfRule type="expression" priority="23" id="{5E6A1137-D63C-47DD-8E74-20373CD77C5B}">
            <xm:f>'H:\Users\ahawkins\Documentum\Viewed\[16.07.2018 Final for Ofwat - 2017-18 APR excel tables TTT PSV_4_5.xlsx]Validation'!#REF!=1</xm:f>
            <x14:dxf>
              <fill>
                <patternFill>
                  <bgColor theme="2"/>
                </patternFill>
              </fill>
            </x14:dxf>
          </x14:cfRule>
          <xm:sqref>G21:AK22</xm:sqref>
        </x14:conditionalFormatting>
        <x14:conditionalFormatting xmlns:xm="http://schemas.microsoft.com/office/excel/2006/main">
          <x14:cfRule type="expression" priority="9" id="{6F04AC61-423A-4D4F-8A8E-922D3F722DD2}">
            <xm:f>'C:\Users\tmaddock\OneDrive - Thames Water Utilities Limited\Desktop\DCTM_FSS\ECM\Program Files\Microsoft Office\Office14\Documentum\Viewed\[2017-18-APR-excel-tables_TMS_18.xlsx]Validation'!#REF!=1</xm:f>
            <x14:dxf>
              <fill>
                <patternFill>
                  <bgColor theme="2"/>
                </patternFill>
              </fill>
            </x14:dxf>
          </x14:cfRule>
          <xm:sqref>G7:BK7</xm:sqref>
        </x14:conditionalFormatting>
        <x14:conditionalFormatting xmlns:xm="http://schemas.microsoft.com/office/excel/2006/main">
          <x14:cfRule type="expression" priority="8" id="{49854D5A-594F-48D2-A3FA-94DC60D19C83}">
            <xm:f>'C:\Users\tmaddock\OneDrive - Thames Water Utilities Limited\Desktop\DCTM_FSS\ECM\Program Files\Microsoft Office\Office14\Documentum\Viewed\[2017-18-APR-excel-tables_TMS_18.xlsx]Validation'!#REF!=1</xm:f>
            <x14:dxf>
              <fill>
                <patternFill>
                  <bgColor theme="2"/>
                </patternFill>
              </fill>
            </x14:dxf>
          </x14:cfRule>
          <xm:sqref>G8:BK8</xm:sqref>
        </x14:conditionalFormatting>
        <x14:conditionalFormatting xmlns:xm="http://schemas.microsoft.com/office/excel/2006/main">
          <x14:cfRule type="expression" priority="7" id="{2AD78232-0CA0-45F2-A449-EF2014C6B689}">
            <xm:f>'C:\Users\tmaddock\OneDrive - Thames Water Utilities Limited\Desktop\DCTM_FSS\ECM\Program Files\Microsoft Office\Office14\Documentum\Viewed\[2017-18-APR-excel-tables_TMS_18.xlsx]Validation'!#REF!=1</xm:f>
            <x14:dxf>
              <fill>
                <patternFill>
                  <bgColor theme="2"/>
                </patternFill>
              </fill>
            </x14:dxf>
          </x14:cfRule>
          <xm:sqref>G9:BK9</xm:sqref>
        </x14:conditionalFormatting>
        <x14:conditionalFormatting xmlns:xm="http://schemas.microsoft.com/office/excel/2006/main">
          <x14:cfRule type="expression" priority="6" id="{B7AB3E6F-B2B7-4180-B0EC-A95054BDF762}">
            <xm:f>'C:\Users\tmaddock\OneDrive - Thames Water Utilities Limited\Desktop\DCTM_FSS\ECM\Program Files\Microsoft Office\Office14\Documentum\Viewed\[2017-18-APR-excel-tables_TMS_18.xlsx]Validation'!#REF!=1</xm:f>
            <x14:dxf>
              <fill>
                <patternFill>
                  <bgColor theme="2"/>
                </patternFill>
              </fill>
            </x14:dxf>
          </x14:cfRule>
          <xm:sqref>G10:BK10</xm:sqref>
        </x14:conditionalFormatting>
        <x14:conditionalFormatting xmlns:xm="http://schemas.microsoft.com/office/excel/2006/main">
          <x14:cfRule type="expression" priority="3" id="{E906876E-44EB-48AB-A9FD-A7B4246668A9}">
            <xm:f>'C:\Users\tmaddock\OneDrive - Thames Water Utilities Limited\Desktop\DCTM_FSS\ECM\Program Files\Microsoft Office\Office14\Documentum\Viewed\[2017-18-APR-excel-tables_TMS_18.xlsx]Validation'!#REF!=1</xm:f>
            <x14:dxf>
              <fill>
                <patternFill>
                  <bgColor theme="2"/>
                </patternFill>
              </fill>
            </x14:dxf>
          </x14:cfRule>
          <xm:sqref>G11:BK13</xm:sqref>
        </x14:conditionalFormatting>
        <x14:conditionalFormatting xmlns:xm="http://schemas.microsoft.com/office/excel/2006/main">
          <x14:cfRule type="expression" priority="10" id="{895274C2-86A2-45C6-A6F1-5E6265A60D2D}">
            <xm:f>Validation!$H$3=1</xm:f>
            <x14:dxf>
              <fill>
                <patternFill>
                  <bgColor theme="2"/>
                </patternFill>
              </fill>
            </x14:dxf>
          </x14:cfRule>
          <xm:sqref>G14:BK15 G20:BK20</xm:sqref>
        </x14:conditionalFormatting>
        <x14:conditionalFormatting xmlns:xm="http://schemas.microsoft.com/office/excel/2006/main">
          <x14:cfRule type="expression" priority="32" id="{D8CF702D-BD3B-4A5E-8ACA-4F08841973EB}">
            <xm:f>Validation!$H$3=1</xm:f>
            <x14:dxf>
              <fill>
                <patternFill>
                  <bgColor theme="2"/>
                </patternFill>
              </fill>
            </x14:dxf>
          </x14:cfRule>
          <xm:sqref>G6:CI6 BL7:CI15 BL18:CI22</xm:sqref>
        </x14:conditionalFormatting>
        <x14:conditionalFormatting xmlns:xm="http://schemas.microsoft.com/office/excel/2006/main">
          <x14:cfRule type="expression" priority="22" id="{C97468EE-6C53-40BD-80CA-CAFE4337F31C}">
            <xm:f>'H:\Users\ahawkins\Documentum\Viewed\[16.07.2018 Final for Ofwat - 2017-18 APR excel tables TTT PSV_4_3.xlsx]Validation'!#REF!=1</xm:f>
            <x14:dxf>
              <fill>
                <patternFill>
                  <bgColor theme="2"/>
                </patternFill>
              </fill>
            </x14:dxf>
          </x14:cfRule>
          <xm:sqref>AL18:AL19</xm:sqref>
        </x14:conditionalFormatting>
        <x14:conditionalFormatting xmlns:xm="http://schemas.microsoft.com/office/excel/2006/main">
          <x14:cfRule type="expression" priority="21" id="{1035033F-6D2F-4D98-826C-B6FCD9F4D05F}">
            <xm:f>'H:\Users\ahawkins\Documentum\Viewed\[16.07.2018 Final for Ofwat - 2017-18 APR excel tables TTT PSV_4_3.xlsx]Validation'!#REF!=1</xm:f>
            <x14:dxf>
              <fill>
                <patternFill>
                  <bgColor theme="2"/>
                </patternFill>
              </fill>
            </x14:dxf>
          </x14:cfRule>
          <xm:sqref>AL21:AL22</xm:sqref>
        </x14:conditionalFormatting>
        <x14:conditionalFormatting xmlns:xm="http://schemas.microsoft.com/office/excel/2006/main">
          <x14:cfRule type="expression" priority="2" id="{022F77C5-B47D-4FC1-B967-80BAAC115258}">
            <xm:f>'H:\Users\ahawkins\Documentum\Viewed\[16.07.2018 Final for Ofwat - 2017-18 APR excel tables TTT PSV_4_5.xlsx]Validation'!#REF!=1</xm:f>
            <x14:dxf>
              <fill>
                <patternFill>
                  <bgColor theme="2"/>
                </patternFill>
              </fill>
            </x14:dxf>
          </x14:cfRule>
          <xm:sqref>AM18:BK19</xm:sqref>
        </x14:conditionalFormatting>
        <x14:conditionalFormatting xmlns:xm="http://schemas.microsoft.com/office/excel/2006/main">
          <x14:cfRule type="expression" priority="1" id="{49FB92C9-452F-4F6F-8EFB-B5B540D604A3}">
            <xm:f>'H:\Users\ahawkins\Documentum\Viewed\[16.07.2018 Final for Ofwat - 2017-18 APR excel tables TTT PSV_4_5.xlsx]Validation'!#REF!=1</xm:f>
            <x14:dxf>
              <fill>
                <patternFill>
                  <bgColor theme="2"/>
                </patternFill>
              </fill>
            </x14:dxf>
          </x14:cfRule>
          <xm:sqref>AM21:BK22</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V158"/>
  <sheetViews>
    <sheetView showGridLines="0" topLeftCell="A69" zoomScale="70" zoomScaleNormal="70" workbookViewId="0">
      <selection activeCell="G112" sqref="G112:G119"/>
    </sheetView>
  </sheetViews>
  <sheetFormatPr defaultColWidth="0" defaultRowHeight="14.25" zeroHeight="1"/>
  <cols>
    <col min="1" max="1" width="0.625" customWidth="1"/>
    <col min="2" max="2" width="8.625" customWidth="1"/>
    <col min="3" max="3" width="73.125" customWidth="1"/>
    <col min="4" max="4" width="14.625" hidden="1" customWidth="1"/>
    <col min="5" max="5" width="8.125" customWidth="1"/>
    <col min="6" max="6" width="8.625" customWidth="1"/>
    <col min="7" max="7" width="12.125" customWidth="1"/>
    <col min="8" max="8" width="30.125" customWidth="1"/>
    <col min="9" max="9" width="2.625" customWidth="1"/>
    <col min="10" max="10" width="23.5" customWidth="1"/>
    <col min="11" max="11" width="1.125" customWidth="1"/>
    <col min="12" max="12" width="1.125" style="1313" hidden="1" customWidth="1"/>
    <col min="13" max="13" width="19.625" hidden="1" customWidth="1"/>
    <col min="14" max="14" width="0.625" style="1313" hidden="1" customWidth="1"/>
    <col min="15" max="15" width="13.625" hidden="1" customWidth="1"/>
    <col min="16" max="16" width="0.5" style="1313" hidden="1" customWidth="1"/>
    <col min="17" max="18" width="8.625" hidden="1" customWidth="1"/>
    <col min="19" max="19" width="26.125" hidden="1" customWidth="1"/>
    <col min="20" max="20" width="1.625" style="1313" hidden="1" customWidth="1"/>
    <col min="21" max="22" width="0" hidden="1" customWidth="1"/>
    <col min="23" max="16384" width="8.625" hidden="1"/>
  </cols>
  <sheetData>
    <row r="1" spans="1:20" s="753" customFormat="1" ht="20.25">
      <c r="B1" s="61" t="s">
        <v>6324</v>
      </c>
      <c r="C1" s="61"/>
      <c r="D1" s="61"/>
      <c r="E1" s="61"/>
      <c r="F1" s="61"/>
      <c r="G1" s="61"/>
      <c r="H1" s="63" t="str">
        <f>Validation!B3</f>
        <v>Thames Water</v>
      </c>
      <c r="I1" s="61"/>
      <c r="J1" s="64" t="s">
        <v>94</v>
      </c>
      <c r="K1" s="65"/>
      <c r="L1" s="66"/>
      <c r="N1" s="66"/>
      <c r="P1" s="1708"/>
      <c r="T1" s="1708"/>
    </row>
    <row r="2" spans="1:20" s="753" customFormat="1" ht="15" thickBot="1">
      <c r="B2" s="68" t="s">
        <v>80</v>
      </c>
      <c r="C2" s="851"/>
      <c r="D2" s="851"/>
      <c r="I2" s="65"/>
      <c r="J2" s="65"/>
      <c r="K2" s="65"/>
      <c r="L2" s="66"/>
      <c r="N2" s="66"/>
      <c r="P2" s="1708"/>
      <c r="T2" s="1708"/>
    </row>
    <row r="3" spans="1:20" s="65" customFormat="1" ht="15" thickBot="1">
      <c r="A3" s="753"/>
      <c r="B3" s="853" t="s">
        <v>4255</v>
      </c>
      <c r="C3" s="853" t="s">
        <v>96</v>
      </c>
      <c r="D3" s="854" t="s">
        <v>2690</v>
      </c>
      <c r="E3" s="855" t="s">
        <v>98</v>
      </c>
      <c r="F3" s="855" t="s">
        <v>99</v>
      </c>
      <c r="G3" s="2222" t="s">
        <v>217</v>
      </c>
      <c r="H3" s="162" t="s">
        <v>3938</v>
      </c>
      <c r="J3" s="162" t="s">
        <v>103</v>
      </c>
      <c r="L3" s="66"/>
      <c r="M3" s="71" t="s">
        <v>107</v>
      </c>
      <c r="N3" s="66"/>
      <c r="O3" s="2194" t="s">
        <v>86</v>
      </c>
      <c r="P3" s="66"/>
      <c r="Q3" s="71" t="s">
        <v>742</v>
      </c>
      <c r="R3" s="72"/>
      <c r="S3" s="72"/>
      <c r="T3" s="66"/>
    </row>
    <row r="4" spans="1:20" s="65" customFormat="1" ht="15.75" thickBot="1">
      <c r="A4" s="753"/>
      <c r="B4" s="753"/>
      <c r="C4" s="753"/>
      <c r="D4" s="753"/>
      <c r="E4" s="753"/>
      <c r="F4" s="753"/>
      <c r="G4" s="753"/>
      <c r="H4" s="753"/>
      <c r="J4" s="931"/>
      <c r="L4" s="66"/>
      <c r="M4" s="78" t="s">
        <v>108</v>
      </c>
      <c r="N4" s="66"/>
      <c r="P4" s="66"/>
      <c r="R4" s="211"/>
      <c r="S4" s="211"/>
      <c r="T4" s="66"/>
    </row>
    <row r="5" spans="1:20" s="65" customFormat="1" ht="15.75" thickBot="1">
      <c r="A5" s="753"/>
      <c r="B5" s="2219" t="s">
        <v>214</v>
      </c>
      <c r="C5" s="904" t="s">
        <v>745</v>
      </c>
      <c r="D5" s="753"/>
      <c r="E5" s="753"/>
      <c r="F5" s="753"/>
      <c r="G5" s="753"/>
      <c r="H5" s="753"/>
      <c r="J5" s="931"/>
      <c r="L5" s="66"/>
      <c r="M5" s="78"/>
      <c r="N5" s="66"/>
      <c r="P5" s="66"/>
      <c r="T5" s="66"/>
    </row>
    <row r="6" spans="1:20" s="65" customFormat="1" ht="25.5">
      <c r="A6" s="753"/>
      <c r="B6" s="857" t="s">
        <v>6325</v>
      </c>
      <c r="C6" s="962" t="s">
        <v>6326</v>
      </c>
      <c r="D6" s="1547" t="s">
        <v>6327</v>
      </c>
      <c r="E6" s="859" t="s">
        <v>6328</v>
      </c>
      <c r="F6" s="860">
        <v>3</v>
      </c>
      <c r="G6" s="862">
        <v>3.6400000000000002E-2</v>
      </c>
      <c r="H6" s="2023" t="s">
        <v>6329</v>
      </c>
      <c r="J6" s="25">
        <f t="shared" ref="J6:J27" si="0" xml:space="preserve"> IF( SUM( L6:N6 ) = 0, 0, $M$4 )</f>
        <v>0</v>
      </c>
      <c r="L6" s="66"/>
      <c r="M6" s="86">
        <f t="shared" ref="M6:M22" si="1" xml:space="preserve"> IF( ISNUMBER( G6 ), 0, 1 )</f>
        <v>0</v>
      </c>
      <c r="N6" s="66"/>
      <c r="P6" s="66"/>
      <c r="T6" s="66"/>
    </row>
    <row r="7" spans="1:20" s="65" customFormat="1" ht="38.25">
      <c r="A7" s="753"/>
      <c r="B7" s="866" t="s">
        <v>6330</v>
      </c>
      <c r="C7" s="867" t="s">
        <v>6331</v>
      </c>
      <c r="D7" s="1548" t="s">
        <v>6332</v>
      </c>
      <c r="E7" s="2155" t="s">
        <v>6328</v>
      </c>
      <c r="F7" s="864">
        <v>3</v>
      </c>
      <c r="G7" s="869">
        <v>0.71740000000000004</v>
      </c>
      <c r="H7" s="2024" t="s">
        <v>6333</v>
      </c>
      <c r="J7" s="25">
        <f t="shared" si="0"/>
        <v>0</v>
      </c>
      <c r="L7" s="66"/>
      <c r="M7" s="86">
        <f t="shared" si="1"/>
        <v>0</v>
      </c>
      <c r="N7" s="66"/>
      <c r="P7" s="66"/>
      <c r="T7" s="66"/>
    </row>
    <row r="8" spans="1:20" s="65" customFormat="1" ht="25.5">
      <c r="A8" s="753"/>
      <c r="B8" s="866" t="s">
        <v>6334</v>
      </c>
      <c r="C8" s="867" t="s">
        <v>6335</v>
      </c>
      <c r="D8" s="1548" t="s">
        <v>6336</v>
      </c>
      <c r="E8" s="2155" t="s">
        <v>6328</v>
      </c>
      <c r="F8" s="864">
        <v>3</v>
      </c>
      <c r="G8" s="869">
        <v>1.9400000000000001E-2</v>
      </c>
      <c r="H8" s="2024" t="s">
        <v>6337</v>
      </c>
      <c r="J8" s="25">
        <f t="shared" si="0"/>
        <v>0</v>
      </c>
      <c r="L8" s="66"/>
      <c r="M8" s="86">
        <f t="shared" si="1"/>
        <v>0</v>
      </c>
      <c r="N8" s="66"/>
      <c r="P8" s="66"/>
      <c r="T8" s="66"/>
    </row>
    <row r="9" spans="1:20" s="65" customFormat="1" ht="51">
      <c r="A9" s="753"/>
      <c r="B9" s="866" t="s">
        <v>6338</v>
      </c>
      <c r="C9" s="867" t="s">
        <v>6339</v>
      </c>
      <c r="D9" s="1548" t="s">
        <v>6340</v>
      </c>
      <c r="E9" s="2155" t="s">
        <v>6328</v>
      </c>
      <c r="F9" s="864">
        <v>3</v>
      </c>
      <c r="G9" s="869">
        <v>0.22289999999999999</v>
      </c>
      <c r="H9" s="2024" t="s">
        <v>6341</v>
      </c>
      <c r="J9" s="25">
        <f t="shared" si="0"/>
        <v>0</v>
      </c>
      <c r="L9" s="66"/>
      <c r="M9" s="86">
        <f t="shared" si="1"/>
        <v>0</v>
      </c>
      <c r="N9" s="66"/>
      <c r="P9" s="66"/>
      <c r="T9" s="66"/>
    </row>
    <row r="10" spans="1:20" s="65" customFormat="1" ht="38.25">
      <c r="A10" s="753"/>
      <c r="B10" s="866" t="s">
        <v>6342</v>
      </c>
      <c r="C10" s="867" t="s">
        <v>6343</v>
      </c>
      <c r="D10" s="1548" t="s">
        <v>6344</v>
      </c>
      <c r="E10" s="2155" t="s">
        <v>6328</v>
      </c>
      <c r="F10" s="864">
        <v>3</v>
      </c>
      <c r="G10" s="869">
        <v>4.0000000000000001E-3</v>
      </c>
      <c r="H10" s="2024" t="s">
        <v>6345</v>
      </c>
      <c r="J10" s="25">
        <f t="shared" si="0"/>
        <v>0</v>
      </c>
      <c r="L10" s="66"/>
      <c r="M10" s="86">
        <f t="shared" si="1"/>
        <v>0</v>
      </c>
      <c r="N10" s="66"/>
      <c r="P10" s="66"/>
      <c r="T10" s="66"/>
    </row>
    <row r="11" spans="1:20" s="65" customFormat="1" ht="25.5">
      <c r="A11" s="753"/>
      <c r="B11" s="866" t="s">
        <v>6346</v>
      </c>
      <c r="C11" s="867" t="s">
        <v>6347</v>
      </c>
      <c r="D11" s="1548" t="s">
        <v>6348</v>
      </c>
      <c r="E11" s="2155" t="s">
        <v>6328</v>
      </c>
      <c r="F11" s="864">
        <v>3</v>
      </c>
      <c r="G11" s="869">
        <v>0</v>
      </c>
      <c r="H11" s="2024" t="s">
        <v>6349</v>
      </c>
      <c r="J11" s="25" t="str">
        <f xml:space="preserve"> IF( SUM( L11:N11 ) &lt;&gt; 0, $M$4, IF(SUM(N11:P11) =  0, 0, $S$11))</f>
        <v>Total of lines 4P.1 to 4P.6 do not equal 1.</v>
      </c>
      <c r="L11" s="66"/>
      <c r="M11" s="86">
        <f t="shared" si="1"/>
        <v>0</v>
      </c>
      <c r="N11" s="66"/>
      <c r="O11" s="86">
        <f xml:space="preserve"> IF( (Q11 - R11) = 0, 0, 1 )</f>
        <v>1</v>
      </c>
      <c r="P11" s="111"/>
      <c r="Q11" s="105">
        <f>SUM(G6:G11)</f>
        <v>1.0001</v>
      </c>
      <c r="R11" s="105">
        <v>1</v>
      </c>
      <c r="S11" s="24" t="s">
        <v>6350</v>
      </c>
      <c r="T11" s="111"/>
    </row>
    <row r="12" spans="1:20" s="65" customFormat="1">
      <c r="A12" s="753"/>
      <c r="B12" s="866" t="s">
        <v>6351</v>
      </c>
      <c r="C12" s="867" t="s">
        <v>6352</v>
      </c>
      <c r="D12" s="1548" t="s">
        <v>6353</v>
      </c>
      <c r="E12" s="2155" t="s">
        <v>11</v>
      </c>
      <c r="F12" s="864">
        <v>0</v>
      </c>
      <c r="G12" s="964">
        <v>1</v>
      </c>
      <c r="H12" s="2024"/>
      <c r="J12" s="25">
        <f t="shared" si="0"/>
        <v>0</v>
      </c>
      <c r="L12" s="66"/>
      <c r="M12" s="86">
        <f t="shared" si="1"/>
        <v>0</v>
      </c>
      <c r="N12" s="66"/>
      <c r="P12" s="66"/>
      <c r="T12" s="66"/>
    </row>
    <row r="13" spans="1:20" s="65" customFormat="1">
      <c r="A13" s="753"/>
      <c r="B13" s="866" t="s">
        <v>6354</v>
      </c>
      <c r="C13" s="867" t="s">
        <v>6355</v>
      </c>
      <c r="D13" s="1548" t="s">
        <v>6356</v>
      </c>
      <c r="E13" s="2155" t="s">
        <v>11</v>
      </c>
      <c r="F13" s="864">
        <v>0</v>
      </c>
      <c r="G13" s="964">
        <v>25</v>
      </c>
      <c r="H13" s="2024"/>
      <c r="J13" s="25">
        <f t="shared" si="0"/>
        <v>0</v>
      </c>
      <c r="L13" s="66"/>
      <c r="M13" s="86">
        <f t="shared" si="1"/>
        <v>0</v>
      </c>
      <c r="N13" s="66"/>
      <c r="P13" s="66"/>
      <c r="T13" s="66"/>
    </row>
    <row r="14" spans="1:20" s="65" customFormat="1" ht="51">
      <c r="A14" s="753"/>
      <c r="B14" s="866" t="s">
        <v>6357</v>
      </c>
      <c r="C14" s="867" t="s">
        <v>6358</v>
      </c>
      <c r="D14" s="1548" t="s">
        <v>6359</v>
      </c>
      <c r="E14" s="2155" t="s">
        <v>11</v>
      </c>
      <c r="F14" s="864">
        <v>0</v>
      </c>
      <c r="G14" s="964">
        <v>15</v>
      </c>
      <c r="H14" s="2024" t="s">
        <v>6360</v>
      </c>
      <c r="J14" s="25">
        <f t="shared" si="0"/>
        <v>0</v>
      </c>
      <c r="L14" s="66"/>
      <c r="M14" s="86">
        <f t="shared" si="1"/>
        <v>0</v>
      </c>
      <c r="N14" s="66"/>
      <c r="P14" s="66"/>
      <c r="T14" s="66"/>
    </row>
    <row r="15" spans="1:20" s="65" customFormat="1" ht="38.25">
      <c r="A15" s="753"/>
      <c r="B15" s="866" t="s">
        <v>6361</v>
      </c>
      <c r="C15" s="867" t="s">
        <v>6362</v>
      </c>
      <c r="D15" s="1548" t="s">
        <v>6363</v>
      </c>
      <c r="E15" s="2155" t="s">
        <v>11</v>
      </c>
      <c r="F15" s="864">
        <v>0</v>
      </c>
      <c r="G15" s="964">
        <v>111</v>
      </c>
      <c r="H15" s="2024" t="s">
        <v>6364</v>
      </c>
      <c r="J15" s="25">
        <f t="shared" si="0"/>
        <v>0</v>
      </c>
      <c r="L15" s="66"/>
      <c r="M15" s="86">
        <f t="shared" si="1"/>
        <v>0</v>
      </c>
      <c r="N15" s="66"/>
      <c r="P15" s="66"/>
      <c r="T15" s="66"/>
    </row>
    <row r="16" spans="1:20" s="65" customFormat="1" ht="25.5">
      <c r="A16" s="753"/>
      <c r="B16" s="866" t="s">
        <v>6365</v>
      </c>
      <c r="C16" s="867" t="s">
        <v>6366</v>
      </c>
      <c r="D16" s="1548" t="s">
        <v>6367</v>
      </c>
      <c r="E16" s="2155" t="s">
        <v>11</v>
      </c>
      <c r="F16" s="864">
        <v>0</v>
      </c>
      <c r="G16" s="964">
        <v>8</v>
      </c>
      <c r="H16" s="2024" t="s">
        <v>6368</v>
      </c>
      <c r="J16" s="25">
        <f t="shared" si="0"/>
        <v>0</v>
      </c>
      <c r="L16" s="66"/>
      <c r="M16" s="86">
        <f t="shared" si="1"/>
        <v>0</v>
      </c>
      <c r="N16" s="66"/>
      <c r="P16" s="66"/>
      <c r="T16" s="66"/>
    </row>
    <row r="17" spans="1:20" s="65" customFormat="1">
      <c r="A17" s="753"/>
      <c r="B17" s="866" t="s">
        <v>6369</v>
      </c>
      <c r="C17" s="867" t="s">
        <v>6370</v>
      </c>
      <c r="D17" s="1548" t="s">
        <v>6371</v>
      </c>
      <c r="E17" s="2155" t="s">
        <v>11</v>
      </c>
      <c r="F17" s="864">
        <v>0</v>
      </c>
      <c r="G17" s="964">
        <v>0</v>
      </c>
      <c r="H17" s="2024"/>
      <c r="J17" s="25">
        <f t="shared" si="0"/>
        <v>0</v>
      </c>
      <c r="L17" s="66"/>
      <c r="M17" s="86">
        <f t="shared" si="1"/>
        <v>0</v>
      </c>
      <c r="N17" s="66"/>
      <c r="P17" s="66"/>
      <c r="T17" s="66"/>
    </row>
    <row r="18" spans="1:20" s="65" customFormat="1">
      <c r="A18" s="753"/>
      <c r="B18" s="866" t="s">
        <v>6372</v>
      </c>
      <c r="C18" s="867" t="s">
        <v>6373</v>
      </c>
      <c r="D18" s="1548" t="s">
        <v>6374</v>
      </c>
      <c r="E18" s="2155" t="s">
        <v>11</v>
      </c>
      <c r="F18" s="864">
        <v>0</v>
      </c>
      <c r="G18" s="964">
        <f>SUM(G12:G17)</f>
        <v>160</v>
      </c>
      <c r="H18" s="2024"/>
      <c r="J18" s="25">
        <f t="shared" si="0"/>
        <v>0</v>
      </c>
      <c r="L18" s="66"/>
      <c r="M18" s="86">
        <f t="shared" si="1"/>
        <v>0</v>
      </c>
      <c r="N18" s="66"/>
      <c r="P18" s="66"/>
      <c r="T18" s="66"/>
    </row>
    <row r="19" spans="1:20" s="65" customFormat="1">
      <c r="A19" s="753"/>
      <c r="B19" s="866" t="s">
        <v>6375</v>
      </c>
      <c r="C19" s="867" t="s">
        <v>6376</v>
      </c>
      <c r="D19" s="1548" t="s">
        <v>6377</v>
      </c>
      <c r="E19" s="2155" t="s">
        <v>11</v>
      </c>
      <c r="F19" s="864">
        <v>0</v>
      </c>
      <c r="G19" s="964">
        <v>26</v>
      </c>
      <c r="H19" s="2024"/>
      <c r="J19" s="25">
        <f t="shared" si="0"/>
        <v>0</v>
      </c>
      <c r="L19" s="66"/>
      <c r="M19" s="86">
        <f t="shared" si="1"/>
        <v>0</v>
      </c>
      <c r="N19" s="66"/>
      <c r="P19" s="66"/>
      <c r="T19" s="66"/>
    </row>
    <row r="20" spans="1:20" s="65" customFormat="1">
      <c r="A20" s="753"/>
      <c r="B20" s="866" t="s">
        <v>6378</v>
      </c>
      <c r="C20" s="867" t="s">
        <v>6379</v>
      </c>
      <c r="D20" s="1548" t="s">
        <v>6380</v>
      </c>
      <c r="E20" s="2155" t="s">
        <v>16</v>
      </c>
      <c r="F20" s="864">
        <v>0</v>
      </c>
      <c r="G20" s="964">
        <v>220361</v>
      </c>
      <c r="H20" s="2024"/>
      <c r="J20" s="25">
        <f t="shared" si="0"/>
        <v>0</v>
      </c>
      <c r="L20" s="66"/>
      <c r="M20" s="86">
        <f t="shared" si="1"/>
        <v>0</v>
      </c>
      <c r="N20" s="66"/>
      <c r="P20" s="66"/>
      <c r="T20" s="66"/>
    </row>
    <row r="21" spans="1:20" s="65" customFormat="1">
      <c r="A21" s="753"/>
      <c r="B21" s="866" t="s">
        <v>6381</v>
      </c>
      <c r="C21" s="867" t="s">
        <v>6382</v>
      </c>
      <c r="D21" s="1548" t="s">
        <v>6383</v>
      </c>
      <c r="E21" s="2155" t="s">
        <v>11</v>
      </c>
      <c r="F21" s="864">
        <v>0</v>
      </c>
      <c r="G21" s="964">
        <v>174</v>
      </c>
      <c r="H21" s="2024"/>
      <c r="J21" s="25">
        <f t="shared" si="0"/>
        <v>0</v>
      </c>
      <c r="L21" s="66"/>
      <c r="M21" s="86">
        <f t="shared" si="1"/>
        <v>0</v>
      </c>
      <c r="N21" s="66"/>
      <c r="P21" s="66"/>
      <c r="T21" s="66"/>
    </row>
    <row r="22" spans="1:20" s="65" customFormat="1">
      <c r="A22" s="753"/>
      <c r="B22" s="866" t="s">
        <v>6384</v>
      </c>
      <c r="C22" s="867" t="s">
        <v>6385</v>
      </c>
      <c r="D22" s="1549" t="s">
        <v>6386</v>
      </c>
      <c r="E22" s="2155" t="s">
        <v>11</v>
      </c>
      <c r="F22" s="864">
        <v>0</v>
      </c>
      <c r="G22" s="964">
        <v>11</v>
      </c>
      <c r="H22" s="2024" t="s">
        <v>6387</v>
      </c>
      <c r="J22" s="25">
        <f t="shared" si="0"/>
        <v>0</v>
      </c>
      <c r="L22" s="66"/>
      <c r="M22" s="86">
        <f t="shared" si="1"/>
        <v>0</v>
      </c>
      <c r="N22" s="66"/>
      <c r="P22" s="66"/>
      <c r="T22" s="66"/>
    </row>
    <row r="23" spans="1:20" s="65" customFormat="1" ht="76.5">
      <c r="A23" s="753"/>
      <c r="B23" s="866" t="s">
        <v>6388</v>
      </c>
      <c r="C23" s="867" t="s">
        <v>6389</v>
      </c>
      <c r="D23" s="1548" t="s">
        <v>6390</v>
      </c>
      <c r="E23" s="2155" t="s">
        <v>6391</v>
      </c>
      <c r="F23" s="864">
        <v>0</v>
      </c>
      <c r="G23" s="964">
        <v>43151</v>
      </c>
      <c r="H23" s="2024" t="s">
        <v>6392</v>
      </c>
      <c r="J23" s="25">
        <f t="shared" si="0"/>
        <v>0</v>
      </c>
      <c r="L23" s="66"/>
      <c r="M23" s="86">
        <f xml:space="preserve"> IF( ISNUMBER( G23 ), 0, 1 )</f>
        <v>0</v>
      </c>
      <c r="N23" s="66"/>
      <c r="P23" s="66"/>
      <c r="T23" s="66"/>
    </row>
    <row r="24" spans="1:20" s="65" customFormat="1">
      <c r="A24" s="753"/>
      <c r="B24" s="866" t="s">
        <v>6393</v>
      </c>
      <c r="C24" s="867" t="s">
        <v>6394</v>
      </c>
      <c r="D24" s="1549" t="s">
        <v>6395</v>
      </c>
      <c r="E24" s="2155" t="s">
        <v>6391</v>
      </c>
      <c r="F24" s="864">
        <v>0</v>
      </c>
      <c r="G24" s="964">
        <v>11913</v>
      </c>
      <c r="H24" s="2024" t="s">
        <v>6387</v>
      </c>
      <c r="J24" s="25">
        <f t="shared" si="0"/>
        <v>0</v>
      </c>
      <c r="L24" s="66"/>
      <c r="M24" s="86">
        <f t="shared" ref="M24" si="2" xml:space="preserve"> IF( ISNUMBER( G24 ), 0, 1 )</f>
        <v>0</v>
      </c>
      <c r="N24" s="66"/>
      <c r="P24" s="66"/>
      <c r="T24" s="66"/>
    </row>
    <row r="25" spans="1:20" s="65" customFormat="1">
      <c r="A25" s="753"/>
      <c r="B25" s="866" t="s">
        <v>6396</v>
      </c>
      <c r="C25" s="867" t="s">
        <v>6397</v>
      </c>
      <c r="D25" s="1548" t="s">
        <v>6398</v>
      </c>
      <c r="E25" s="2155" t="s">
        <v>6399</v>
      </c>
      <c r="F25" s="864">
        <v>2</v>
      </c>
      <c r="G25" s="965">
        <v>260.57</v>
      </c>
      <c r="H25" s="2024"/>
      <c r="J25" s="25">
        <f t="shared" si="0"/>
        <v>0</v>
      </c>
      <c r="L25" s="66"/>
      <c r="M25" s="86">
        <f xml:space="preserve"> IF( ISNUMBER( G25 ), 0, 1 )</f>
        <v>0</v>
      </c>
      <c r="N25" s="66"/>
      <c r="P25" s="66"/>
      <c r="T25" s="66"/>
    </row>
    <row r="26" spans="1:20" s="65" customFormat="1">
      <c r="A26" s="753"/>
      <c r="B26" s="866" t="s">
        <v>6400</v>
      </c>
      <c r="C26" s="966" t="s">
        <v>6401</v>
      </c>
      <c r="D26" s="1550" t="s">
        <v>6402</v>
      </c>
      <c r="E26" s="968" t="s">
        <v>6403</v>
      </c>
      <c r="F26" s="969">
        <v>2</v>
      </c>
      <c r="G26" s="2189">
        <v>26.35</v>
      </c>
      <c r="H26" s="2191" t="s">
        <v>6404</v>
      </c>
      <c r="J26" s="25">
        <f t="shared" si="0"/>
        <v>0</v>
      </c>
      <c r="L26" s="66"/>
      <c r="M26" s="86">
        <f xml:space="preserve"> IF( ISNUMBER( G26 ), 0, 1 )</f>
        <v>0</v>
      </c>
      <c r="N26" s="66"/>
      <c r="P26" s="66"/>
      <c r="T26" s="66"/>
    </row>
    <row r="27" spans="1:20" s="65" customFormat="1" ht="90" thickBot="1">
      <c r="A27" s="753"/>
      <c r="B27" s="871" t="s">
        <v>6405</v>
      </c>
      <c r="C27" s="949" t="s">
        <v>6406</v>
      </c>
      <c r="D27" s="1551" t="s">
        <v>6407</v>
      </c>
      <c r="E27" s="873" t="s">
        <v>6403</v>
      </c>
      <c r="F27" s="874">
        <v>2</v>
      </c>
      <c r="G27" s="2190">
        <v>16.41</v>
      </c>
      <c r="H27" s="2025" t="s">
        <v>6408</v>
      </c>
      <c r="J27" s="25">
        <f t="shared" si="0"/>
        <v>0</v>
      </c>
      <c r="L27" s="66"/>
      <c r="M27" s="86">
        <f xml:space="preserve"> IF( ISNUMBER( G27 ), 0, 1 )</f>
        <v>0</v>
      </c>
      <c r="N27" s="66"/>
      <c r="P27" s="66"/>
      <c r="T27" s="66"/>
    </row>
    <row r="28" spans="1:20" ht="15" thickBot="1">
      <c r="D28" s="482"/>
    </row>
    <row r="29" spans="1:20" s="753" customFormat="1" ht="15.75" thickBot="1">
      <c r="B29" s="2219" t="s">
        <v>236</v>
      </c>
      <c r="C29" s="904" t="s">
        <v>2822</v>
      </c>
      <c r="D29" s="883"/>
      <c r="I29" s="65"/>
      <c r="J29" s="931"/>
      <c r="K29" s="65"/>
      <c r="L29" s="66"/>
      <c r="N29" s="1708"/>
      <c r="P29" s="1708"/>
      <c r="T29" s="1708"/>
    </row>
    <row r="30" spans="1:20" s="65" customFormat="1" ht="15" customHeight="1">
      <c r="A30" s="753"/>
      <c r="B30" s="857" t="s">
        <v>6409</v>
      </c>
      <c r="C30" s="971" t="s">
        <v>6410</v>
      </c>
      <c r="D30" s="1552" t="s">
        <v>6411</v>
      </c>
      <c r="E30" s="972" t="s">
        <v>15</v>
      </c>
      <c r="F30" s="860">
        <v>2</v>
      </c>
      <c r="G30" s="973">
        <v>0</v>
      </c>
      <c r="H30" s="2023"/>
      <c r="J30" s="25">
        <f t="shared" ref="J30:J61" si="3" xml:space="preserve"> IF( SUM( L30:N30 ) = 0, 0, $M$4 )</f>
        <v>0</v>
      </c>
      <c r="L30" s="66"/>
      <c r="M30" s="86">
        <f t="shared" ref="M30:M61" si="4" xml:space="preserve"> IF( ISNUMBER( G30 ), 0, 1 )</f>
        <v>0</v>
      </c>
      <c r="N30" s="66"/>
      <c r="P30" s="66"/>
      <c r="T30" s="66"/>
    </row>
    <row r="31" spans="1:20" s="65" customFormat="1" ht="15" customHeight="1">
      <c r="A31" s="753"/>
      <c r="B31" s="866" t="s">
        <v>6412</v>
      </c>
      <c r="C31" s="974" t="s">
        <v>6413</v>
      </c>
      <c r="D31" s="1553" t="s">
        <v>6414</v>
      </c>
      <c r="E31" s="975" t="s">
        <v>15</v>
      </c>
      <c r="F31" s="864">
        <v>2</v>
      </c>
      <c r="G31" s="965">
        <v>0</v>
      </c>
      <c r="H31" s="2024"/>
      <c r="J31" s="25">
        <f t="shared" si="3"/>
        <v>0</v>
      </c>
      <c r="L31" s="66"/>
      <c r="M31" s="86">
        <f t="shared" si="4"/>
        <v>0</v>
      </c>
      <c r="N31" s="66"/>
      <c r="P31" s="66"/>
      <c r="T31" s="66"/>
    </row>
    <row r="32" spans="1:20" s="65" customFormat="1" ht="15" customHeight="1">
      <c r="A32" s="753"/>
      <c r="B32" s="866" t="s">
        <v>6415</v>
      </c>
      <c r="C32" s="974" t="s">
        <v>6416</v>
      </c>
      <c r="D32" s="1553" t="s">
        <v>6417</v>
      </c>
      <c r="E32" s="975" t="s">
        <v>15</v>
      </c>
      <c r="F32" s="864">
        <v>2</v>
      </c>
      <c r="G32" s="965">
        <v>0</v>
      </c>
      <c r="H32" s="2024"/>
      <c r="J32" s="25">
        <f t="shared" si="3"/>
        <v>0</v>
      </c>
      <c r="L32" s="66"/>
      <c r="M32" s="86">
        <f t="shared" si="4"/>
        <v>0</v>
      </c>
      <c r="N32" s="66"/>
      <c r="P32" s="66"/>
      <c r="T32" s="66"/>
    </row>
    <row r="33" spans="1:20" s="65" customFormat="1" ht="15" customHeight="1">
      <c r="A33" s="753"/>
      <c r="B33" s="866" t="s">
        <v>6418</v>
      </c>
      <c r="C33" s="974" t="s">
        <v>6419</v>
      </c>
      <c r="D33" s="1553" t="s">
        <v>6420</v>
      </c>
      <c r="E33" s="975" t="s">
        <v>15</v>
      </c>
      <c r="F33" s="864">
        <v>2</v>
      </c>
      <c r="G33" s="965">
        <v>0</v>
      </c>
      <c r="H33" s="2024"/>
      <c r="J33" s="25">
        <f t="shared" si="3"/>
        <v>0</v>
      </c>
      <c r="L33" s="66"/>
      <c r="M33" s="86">
        <f t="shared" si="4"/>
        <v>0</v>
      </c>
      <c r="N33" s="66"/>
      <c r="P33" s="66"/>
      <c r="T33" s="66"/>
    </row>
    <row r="34" spans="1:20" s="65" customFormat="1" ht="15" customHeight="1">
      <c r="A34" s="753"/>
      <c r="B34" s="866" t="s">
        <v>6421</v>
      </c>
      <c r="C34" s="974" t="s">
        <v>6422</v>
      </c>
      <c r="D34" s="1553" t="s">
        <v>6423</v>
      </c>
      <c r="E34" s="975" t="s">
        <v>15</v>
      </c>
      <c r="F34" s="864">
        <v>2</v>
      </c>
      <c r="G34" s="965">
        <v>15.56</v>
      </c>
      <c r="H34" s="2024"/>
      <c r="J34" s="25">
        <f t="shared" si="3"/>
        <v>0</v>
      </c>
      <c r="L34" s="66"/>
      <c r="M34" s="86">
        <f t="shared" si="4"/>
        <v>0</v>
      </c>
      <c r="N34" s="66"/>
      <c r="P34" s="66"/>
      <c r="T34" s="66"/>
    </row>
    <row r="35" spans="1:20" s="65" customFormat="1" ht="15" customHeight="1">
      <c r="A35" s="753"/>
      <c r="B35" s="866" t="s">
        <v>6424</v>
      </c>
      <c r="C35" s="974" t="s">
        <v>6425</v>
      </c>
      <c r="D35" s="1553" t="s">
        <v>6426</v>
      </c>
      <c r="E35" s="975" t="s">
        <v>15</v>
      </c>
      <c r="F35" s="864">
        <v>2</v>
      </c>
      <c r="G35" s="965">
        <v>2089.9</v>
      </c>
      <c r="H35" s="2024"/>
      <c r="J35" s="25">
        <f t="shared" si="3"/>
        <v>0</v>
      </c>
      <c r="L35" s="66"/>
      <c r="M35" s="86">
        <f t="shared" si="4"/>
        <v>0</v>
      </c>
      <c r="N35" s="66"/>
      <c r="P35" s="66"/>
      <c r="T35" s="66"/>
    </row>
    <row r="36" spans="1:20" s="65" customFormat="1" ht="15" customHeight="1">
      <c r="A36" s="753"/>
      <c r="B36" s="866" t="s">
        <v>6427</v>
      </c>
      <c r="C36" s="974" t="s">
        <v>6428</v>
      </c>
      <c r="D36" s="1553" t="s">
        <v>6429</v>
      </c>
      <c r="E36" s="975" t="s">
        <v>15</v>
      </c>
      <c r="F36" s="864">
        <v>2</v>
      </c>
      <c r="G36" s="965">
        <v>2.2999999999999998</v>
      </c>
      <c r="H36" s="2024"/>
      <c r="J36" s="25">
        <f t="shared" si="3"/>
        <v>0</v>
      </c>
      <c r="L36" s="66"/>
      <c r="M36" s="86">
        <f t="shared" si="4"/>
        <v>0</v>
      </c>
      <c r="N36" s="66"/>
      <c r="P36" s="66"/>
      <c r="T36" s="66"/>
    </row>
    <row r="37" spans="1:20" s="65" customFormat="1" ht="15" customHeight="1">
      <c r="A37" s="753"/>
      <c r="B37" s="866" t="s">
        <v>6430</v>
      </c>
      <c r="C37" s="974" t="s">
        <v>6431</v>
      </c>
      <c r="D37" s="1553" t="s">
        <v>6432</v>
      </c>
      <c r="E37" s="975" t="s">
        <v>15</v>
      </c>
      <c r="F37" s="864">
        <v>2</v>
      </c>
      <c r="G37" s="965">
        <v>0</v>
      </c>
      <c r="H37" s="2024"/>
      <c r="J37" s="25">
        <f t="shared" si="3"/>
        <v>0</v>
      </c>
      <c r="L37" s="66"/>
      <c r="M37" s="86">
        <f t="shared" si="4"/>
        <v>0</v>
      </c>
      <c r="N37" s="66"/>
      <c r="P37" s="66"/>
      <c r="T37" s="66"/>
    </row>
    <row r="38" spans="1:20" s="65" customFormat="1" ht="15" customHeight="1">
      <c r="A38" s="753"/>
      <c r="B38" s="866" t="s">
        <v>6433</v>
      </c>
      <c r="C38" s="974" t="s">
        <v>6434</v>
      </c>
      <c r="D38" s="1553" t="s">
        <v>6435</v>
      </c>
      <c r="E38" s="975" t="s">
        <v>15</v>
      </c>
      <c r="F38" s="864">
        <v>2</v>
      </c>
      <c r="G38" s="965">
        <v>0</v>
      </c>
      <c r="H38" s="2024"/>
      <c r="J38" s="25">
        <f t="shared" si="3"/>
        <v>0</v>
      </c>
      <c r="L38" s="66"/>
      <c r="M38" s="86">
        <f t="shared" si="4"/>
        <v>0</v>
      </c>
      <c r="N38" s="66"/>
      <c r="P38" s="66"/>
      <c r="T38" s="66"/>
    </row>
    <row r="39" spans="1:20" s="65" customFormat="1" ht="15" customHeight="1">
      <c r="A39" s="753"/>
      <c r="B39" s="866" t="s">
        <v>6436</v>
      </c>
      <c r="C39" s="974" t="s">
        <v>6437</v>
      </c>
      <c r="D39" s="1553" t="s">
        <v>6438</v>
      </c>
      <c r="E39" s="975" t="s">
        <v>15</v>
      </c>
      <c r="F39" s="864">
        <v>2</v>
      </c>
      <c r="G39" s="965">
        <v>270.52999999999997</v>
      </c>
      <c r="H39" s="2024"/>
      <c r="J39" s="25">
        <f t="shared" si="3"/>
        <v>0</v>
      </c>
      <c r="L39" s="66"/>
      <c r="M39" s="86">
        <f t="shared" si="4"/>
        <v>0</v>
      </c>
      <c r="N39" s="66"/>
      <c r="P39" s="66"/>
      <c r="T39" s="66"/>
    </row>
    <row r="40" spans="1:20" s="65" customFormat="1" ht="15" customHeight="1">
      <c r="A40" s="753"/>
      <c r="B40" s="866" t="s">
        <v>6439</v>
      </c>
      <c r="C40" s="974" t="s">
        <v>6440</v>
      </c>
      <c r="D40" s="1553" t="s">
        <v>6441</v>
      </c>
      <c r="E40" s="975" t="s">
        <v>15</v>
      </c>
      <c r="F40" s="864">
        <v>2</v>
      </c>
      <c r="G40" s="965">
        <v>53.49</v>
      </c>
      <c r="H40" s="2024"/>
      <c r="J40" s="25">
        <f t="shared" si="3"/>
        <v>0</v>
      </c>
      <c r="L40" s="66"/>
      <c r="M40" s="86">
        <f t="shared" si="4"/>
        <v>0</v>
      </c>
      <c r="N40" s="66"/>
      <c r="P40" s="66"/>
      <c r="T40" s="66"/>
    </row>
    <row r="41" spans="1:20" s="65" customFormat="1" ht="15" customHeight="1">
      <c r="A41" s="753"/>
      <c r="B41" s="866" t="s">
        <v>6442</v>
      </c>
      <c r="C41" s="974" t="s">
        <v>6443</v>
      </c>
      <c r="D41" s="1553" t="s">
        <v>6444</v>
      </c>
      <c r="E41" s="975" t="s">
        <v>15</v>
      </c>
      <c r="F41" s="864">
        <v>2</v>
      </c>
      <c r="G41" s="965">
        <v>226.98</v>
      </c>
      <c r="H41" s="2024"/>
      <c r="J41" s="25">
        <f t="shared" si="3"/>
        <v>0</v>
      </c>
      <c r="L41" s="66"/>
      <c r="M41" s="86">
        <f t="shared" si="4"/>
        <v>0</v>
      </c>
      <c r="N41" s="66"/>
      <c r="P41" s="66"/>
      <c r="T41" s="66"/>
    </row>
    <row r="42" spans="1:20" s="65" customFormat="1" ht="15" customHeight="1">
      <c r="A42" s="753"/>
      <c r="B42" s="866" t="s">
        <v>6445</v>
      </c>
      <c r="C42" s="974" t="s">
        <v>6446</v>
      </c>
      <c r="D42" s="1553" t="s">
        <v>6447</v>
      </c>
      <c r="E42" s="975" t="s">
        <v>15</v>
      </c>
      <c r="F42" s="864">
        <v>2</v>
      </c>
      <c r="G42" s="965">
        <v>67.849999999999994</v>
      </c>
      <c r="H42" s="2024"/>
      <c r="J42" s="25">
        <f t="shared" si="3"/>
        <v>0</v>
      </c>
      <c r="L42" s="66"/>
      <c r="M42" s="86">
        <f t="shared" si="4"/>
        <v>0</v>
      </c>
      <c r="N42" s="66"/>
      <c r="P42" s="66"/>
      <c r="T42" s="66"/>
    </row>
    <row r="43" spans="1:20" s="65" customFormat="1" ht="15" customHeight="1">
      <c r="A43" s="753"/>
      <c r="B43" s="866" t="s">
        <v>6448</v>
      </c>
      <c r="C43" s="974" t="s">
        <v>6449</v>
      </c>
      <c r="D43" s="1553" t="s">
        <v>6450</v>
      </c>
      <c r="E43" s="975" t="s">
        <v>15</v>
      </c>
      <c r="F43" s="864">
        <v>2</v>
      </c>
      <c r="G43" s="965">
        <v>0</v>
      </c>
      <c r="H43" s="2024"/>
      <c r="J43" s="25">
        <f t="shared" si="3"/>
        <v>0</v>
      </c>
      <c r="L43" s="66"/>
      <c r="M43" s="86">
        <f t="shared" si="4"/>
        <v>0</v>
      </c>
      <c r="N43" s="66"/>
      <c r="P43" s="66"/>
      <c r="T43" s="66"/>
    </row>
    <row r="44" spans="1:20" s="65" customFormat="1" ht="15" customHeight="1">
      <c r="A44" s="753"/>
      <c r="B44" s="866" t="s">
        <v>6451</v>
      </c>
      <c r="C44" s="974" t="s">
        <v>6452</v>
      </c>
      <c r="D44" s="1553" t="s">
        <v>6453</v>
      </c>
      <c r="E44" s="975" t="s">
        <v>15</v>
      </c>
      <c r="F44" s="864">
        <v>2</v>
      </c>
      <c r="G44" s="965">
        <v>0</v>
      </c>
      <c r="H44" s="2024"/>
      <c r="J44" s="25">
        <f t="shared" si="3"/>
        <v>0</v>
      </c>
      <c r="L44" s="66"/>
      <c r="M44" s="86">
        <f t="shared" si="4"/>
        <v>0</v>
      </c>
      <c r="N44" s="66"/>
      <c r="P44" s="66"/>
      <c r="T44" s="66"/>
    </row>
    <row r="45" spans="1:20" s="65" customFormat="1" ht="15" customHeight="1">
      <c r="A45" s="753"/>
      <c r="B45" s="866" t="s">
        <v>6454</v>
      </c>
      <c r="C45" s="974" t="s">
        <v>6455</v>
      </c>
      <c r="D45" s="1553" t="s">
        <v>6456</v>
      </c>
      <c r="E45" s="975" t="s">
        <v>11</v>
      </c>
      <c r="F45" s="864">
        <v>0</v>
      </c>
      <c r="G45" s="964">
        <v>0</v>
      </c>
      <c r="H45" s="2024"/>
      <c r="J45" s="25">
        <f t="shared" si="3"/>
        <v>0</v>
      </c>
      <c r="L45" s="66"/>
      <c r="M45" s="86">
        <f t="shared" si="4"/>
        <v>0</v>
      </c>
      <c r="N45" s="66"/>
      <c r="P45" s="66"/>
      <c r="T45" s="66"/>
    </row>
    <row r="46" spans="1:20" s="65" customFormat="1" ht="15" customHeight="1">
      <c r="A46" s="753"/>
      <c r="B46" s="866" t="s">
        <v>6457</v>
      </c>
      <c r="C46" s="974" t="s">
        <v>6458</v>
      </c>
      <c r="D46" s="1553" t="s">
        <v>6459</v>
      </c>
      <c r="E46" s="975" t="s">
        <v>11</v>
      </c>
      <c r="F46" s="864">
        <v>0</v>
      </c>
      <c r="G46" s="964">
        <v>0</v>
      </c>
      <c r="H46" s="2024"/>
      <c r="J46" s="25">
        <f t="shared" si="3"/>
        <v>0</v>
      </c>
      <c r="L46" s="66"/>
      <c r="M46" s="86">
        <f t="shared" si="4"/>
        <v>0</v>
      </c>
      <c r="N46" s="66"/>
      <c r="P46" s="66"/>
      <c r="T46" s="66"/>
    </row>
    <row r="47" spans="1:20" s="65" customFormat="1" ht="15" customHeight="1">
      <c r="A47" s="753"/>
      <c r="B47" s="866" t="s">
        <v>6460</v>
      </c>
      <c r="C47" s="974" t="s">
        <v>6461</v>
      </c>
      <c r="D47" s="1553" t="s">
        <v>6462</v>
      </c>
      <c r="E47" s="975" t="s">
        <v>11</v>
      </c>
      <c r="F47" s="864">
        <v>0</v>
      </c>
      <c r="G47" s="964">
        <v>0</v>
      </c>
      <c r="H47" s="2024"/>
      <c r="J47" s="25">
        <f t="shared" si="3"/>
        <v>0</v>
      </c>
      <c r="L47" s="66"/>
      <c r="M47" s="86">
        <f t="shared" si="4"/>
        <v>0</v>
      </c>
      <c r="N47" s="66"/>
      <c r="P47" s="66"/>
      <c r="T47" s="66"/>
    </row>
    <row r="48" spans="1:20" s="65" customFormat="1" ht="15" customHeight="1">
      <c r="A48" s="753"/>
      <c r="B48" s="866" t="s">
        <v>6463</v>
      </c>
      <c r="C48" s="974" t="s">
        <v>6464</v>
      </c>
      <c r="D48" s="1553" t="s">
        <v>6465</v>
      </c>
      <c r="E48" s="975" t="s">
        <v>11</v>
      </c>
      <c r="F48" s="864">
        <v>0</v>
      </c>
      <c r="G48" s="964">
        <v>0</v>
      </c>
      <c r="H48" s="2024"/>
      <c r="J48" s="25">
        <f t="shared" si="3"/>
        <v>0</v>
      </c>
      <c r="L48" s="66"/>
      <c r="M48" s="86">
        <f t="shared" si="4"/>
        <v>0</v>
      </c>
      <c r="N48" s="66"/>
      <c r="P48" s="66"/>
      <c r="T48" s="66"/>
    </row>
    <row r="49" spans="1:20" s="65" customFormat="1" ht="15" customHeight="1">
      <c r="A49" s="753"/>
      <c r="B49" s="866" t="s">
        <v>6466</v>
      </c>
      <c r="C49" s="974" t="s">
        <v>6467</v>
      </c>
      <c r="D49" s="1553" t="s">
        <v>6468</v>
      </c>
      <c r="E49" s="975" t="s">
        <v>11</v>
      </c>
      <c r="F49" s="864">
        <v>0</v>
      </c>
      <c r="G49" s="964">
        <v>1</v>
      </c>
      <c r="H49" s="2024"/>
      <c r="J49" s="25">
        <f t="shared" si="3"/>
        <v>0</v>
      </c>
      <c r="L49" s="66"/>
      <c r="M49" s="86">
        <f t="shared" si="4"/>
        <v>0</v>
      </c>
      <c r="N49" s="66"/>
      <c r="P49" s="66"/>
      <c r="T49" s="66"/>
    </row>
    <row r="50" spans="1:20" s="65" customFormat="1" ht="51">
      <c r="A50" s="753"/>
      <c r="B50" s="866" t="s">
        <v>6469</v>
      </c>
      <c r="C50" s="974" t="s">
        <v>6470</v>
      </c>
      <c r="D50" s="1553" t="s">
        <v>6471</v>
      </c>
      <c r="E50" s="975" t="s">
        <v>11</v>
      </c>
      <c r="F50" s="864">
        <v>0</v>
      </c>
      <c r="G50" s="964">
        <v>10</v>
      </c>
      <c r="H50" s="2024" t="s">
        <v>6472</v>
      </c>
      <c r="J50" s="25">
        <f t="shared" si="3"/>
        <v>0</v>
      </c>
      <c r="L50" s="66"/>
      <c r="M50" s="86">
        <f t="shared" si="4"/>
        <v>0</v>
      </c>
      <c r="N50" s="66"/>
      <c r="P50" s="66"/>
      <c r="T50" s="66"/>
    </row>
    <row r="51" spans="1:20" s="65" customFormat="1" ht="15" customHeight="1">
      <c r="A51" s="753"/>
      <c r="B51" s="866" t="s">
        <v>6473</v>
      </c>
      <c r="C51" s="974" t="s">
        <v>6474</v>
      </c>
      <c r="D51" s="1553" t="s">
        <v>6475</v>
      </c>
      <c r="E51" s="975" t="s">
        <v>11</v>
      </c>
      <c r="F51" s="864">
        <v>0</v>
      </c>
      <c r="G51" s="964">
        <v>1</v>
      </c>
      <c r="H51" s="2024"/>
      <c r="J51" s="25">
        <f t="shared" si="3"/>
        <v>0</v>
      </c>
      <c r="L51" s="66"/>
      <c r="M51" s="86">
        <f t="shared" si="4"/>
        <v>0</v>
      </c>
      <c r="N51" s="66"/>
      <c r="P51" s="66"/>
      <c r="T51" s="66"/>
    </row>
    <row r="52" spans="1:20" s="65" customFormat="1" ht="15" customHeight="1">
      <c r="A52" s="753"/>
      <c r="B52" s="866" t="s">
        <v>6476</v>
      </c>
      <c r="C52" s="974" t="s">
        <v>6477</v>
      </c>
      <c r="D52" s="1553" t="s">
        <v>6478</v>
      </c>
      <c r="E52" s="975" t="s">
        <v>11</v>
      </c>
      <c r="F52" s="864">
        <v>0</v>
      </c>
      <c r="G52" s="964">
        <v>0</v>
      </c>
      <c r="H52" s="2024"/>
      <c r="J52" s="25">
        <f t="shared" si="3"/>
        <v>0</v>
      </c>
      <c r="L52" s="66"/>
      <c r="M52" s="86">
        <f t="shared" si="4"/>
        <v>0</v>
      </c>
      <c r="N52" s="66"/>
      <c r="P52" s="66"/>
      <c r="T52" s="66"/>
    </row>
    <row r="53" spans="1:20" s="65" customFormat="1" ht="15" customHeight="1">
      <c r="A53" s="753"/>
      <c r="B53" s="866" t="s">
        <v>6479</v>
      </c>
      <c r="C53" s="974" t="s">
        <v>6480</v>
      </c>
      <c r="D53" s="1553" t="s">
        <v>6481</v>
      </c>
      <c r="E53" s="975" t="s">
        <v>11</v>
      </c>
      <c r="F53" s="864">
        <v>0</v>
      </c>
      <c r="G53" s="964">
        <v>0</v>
      </c>
      <c r="H53" s="2024"/>
      <c r="J53" s="25">
        <f t="shared" si="3"/>
        <v>0</v>
      </c>
      <c r="L53" s="66"/>
      <c r="M53" s="86">
        <f t="shared" si="4"/>
        <v>0</v>
      </c>
      <c r="N53" s="66"/>
      <c r="P53" s="66"/>
      <c r="T53" s="66"/>
    </row>
    <row r="54" spans="1:20" s="65" customFormat="1" ht="15" customHeight="1">
      <c r="A54" s="753"/>
      <c r="B54" s="866" t="s">
        <v>6482</v>
      </c>
      <c r="C54" s="974" t="s">
        <v>6483</v>
      </c>
      <c r="D54" s="1553" t="s">
        <v>6484</v>
      </c>
      <c r="E54" s="975" t="s">
        <v>11</v>
      </c>
      <c r="F54" s="864">
        <v>0</v>
      </c>
      <c r="G54" s="964">
        <v>48</v>
      </c>
      <c r="H54" s="2024" t="s">
        <v>6485</v>
      </c>
      <c r="J54" s="25">
        <f t="shared" si="3"/>
        <v>0</v>
      </c>
      <c r="L54" s="66"/>
      <c r="M54" s="86">
        <f t="shared" si="4"/>
        <v>0</v>
      </c>
      <c r="N54" s="66"/>
      <c r="P54" s="66"/>
      <c r="T54" s="66"/>
    </row>
    <row r="55" spans="1:20" s="65" customFormat="1" ht="15" customHeight="1">
      <c r="A55" s="753"/>
      <c r="B55" s="866" t="s">
        <v>6486</v>
      </c>
      <c r="C55" s="974" t="s">
        <v>6487</v>
      </c>
      <c r="D55" s="1553" t="s">
        <v>6488</v>
      </c>
      <c r="E55" s="975" t="s">
        <v>11</v>
      </c>
      <c r="F55" s="864">
        <v>0</v>
      </c>
      <c r="G55" s="964">
        <v>10</v>
      </c>
      <c r="H55" s="2024" t="s">
        <v>6489</v>
      </c>
      <c r="J55" s="25">
        <f t="shared" si="3"/>
        <v>0</v>
      </c>
      <c r="L55" s="66"/>
      <c r="M55" s="86">
        <f t="shared" si="4"/>
        <v>0</v>
      </c>
      <c r="N55" s="66"/>
      <c r="P55" s="66"/>
      <c r="T55" s="66"/>
    </row>
    <row r="56" spans="1:20" s="65" customFormat="1" ht="15" customHeight="1">
      <c r="A56" s="753"/>
      <c r="B56" s="866" t="s">
        <v>6490</v>
      </c>
      <c r="C56" s="974" t="s">
        <v>6491</v>
      </c>
      <c r="D56" s="1553" t="s">
        <v>6492</v>
      </c>
      <c r="E56" s="975" t="s">
        <v>11</v>
      </c>
      <c r="F56" s="864">
        <v>0</v>
      </c>
      <c r="G56" s="964">
        <v>23</v>
      </c>
      <c r="H56" s="2024" t="s">
        <v>6493</v>
      </c>
      <c r="J56" s="25">
        <f t="shared" si="3"/>
        <v>0</v>
      </c>
      <c r="L56" s="66"/>
      <c r="M56" s="86">
        <f t="shared" si="4"/>
        <v>0</v>
      </c>
      <c r="N56" s="66"/>
      <c r="P56" s="66"/>
      <c r="T56" s="66"/>
    </row>
    <row r="57" spans="1:20" s="65" customFormat="1" ht="15" customHeight="1">
      <c r="A57" s="753"/>
      <c r="B57" s="866" t="s">
        <v>6494</v>
      </c>
      <c r="C57" s="974" t="s">
        <v>6495</v>
      </c>
      <c r="D57" s="1553" t="s">
        <v>6496</v>
      </c>
      <c r="E57" s="975" t="s">
        <v>11</v>
      </c>
      <c r="F57" s="864">
        <v>0</v>
      </c>
      <c r="G57" s="964">
        <v>4</v>
      </c>
      <c r="H57" s="2024" t="s">
        <v>6489</v>
      </c>
      <c r="J57" s="25">
        <f t="shared" si="3"/>
        <v>0</v>
      </c>
      <c r="L57" s="66"/>
      <c r="M57" s="86">
        <f t="shared" si="4"/>
        <v>0</v>
      </c>
      <c r="N57" s="66"/>
      <c r="P57" s="66"/>
      <c r="T57" s="66"/>
    </row>
    <row r="58" spans="1:20" s="65" customFormat="1" ht="15" customHeight="1">
      <c r="A58" s="753"/>
      <c r="B58" s="866" t="s">
        <v>6497</v>
      </c>
      <c r="C58" s="974" t="s">
        <v>6498</v>
      </c>
      <c r="D58" s="1553" t="s">
        <v>6499</v>
      </c>
      <c r="E58" s="975" t="s">
        <v>11</v>
      </c>
      <c r="F58" s="864">
        <v>0</v>
      </c>
      <c r="G58" s="964">
        <v>0</v>
      </c>
      <c r="H58" s="2024"/>
      <c r="J58" s="25">
        <f t="shared" si="3"/>
        <v>0</v>
      </c>
      <c r="L58" s="66"/>
      <c r="M58" s="86">
        <f t="shared" si="4"/>
        <v>0</v>
      </c>
      <c r="N58" s="66"/>
      <c r="P58" s="66"/>
      <c r="T58" s="66"/>
    </row>
    <row r="59" spans="1:20" s="65" customFormat="1" ht="51">
      <c r="A59" s="753"/>
      <c r="B59" s="866" t="s">
        <v>6500</v>
      </c>
      <c r="C59" s="974" t="s">
        <v>6501</v>
      </c>
      <c r="D59" s="1553" t="s">
        <v>6502</v>
      </c>
      <c r="E59" s="975" t="s">
        <v>11</v>
      </c>
      <c r="F59" s="864">
        <v>0</v>
      </c>
      <c r="G59" s="964">
        <v>0</v>
      </c>
      <c r="H59" s="2024" t="s">
        <v>6503</v>
      </c>
      <c r="J59" s="25">
        <f t="shared" si="3"/>
        <v>0</v>
      </c>
      <c r="L59" s="66"/>
      <c r="M59" s="86">
        <f t="shared" si="4"/>
        <v>0</v>
      </c>
      <c r="N59" s="66"/>
      <c r="P59" s="66"/>
      <c r="T59" s="66"/>
    </row>
    <row r="60" spans="1:20" s="65" customFormat="1" ht="25.5">
      <c r="A60" s="753"/>
      <c r="B60" s="866" t="s">
        <v>6504</v>
      </c>
      <c r="C60" s="974" t="s">
        <v>6505</v>
      </c>
      <c r="D60" s="1553" t="s">
        <v>6506</v>
      </c>
      <c r="E60" s="975" t="s">
        <v>6252</v>
      </c>
      <c r="F60" s="864">
        <v>3</v>
      </c>
      <c r="G60" s="869">
        <v>9366.9359999999997</v>
      </c>
      <c r="H60" s="2024" t="s">
        <v>6507</v>
      </c>
      <c r="J60" s="25">
        <f t="shared" si="3"/>
        <v>0</v>
      </c>
      <c r="L60" s="66"/>
      <c r="M60" s="86">
        <f t="shared" si="4"/>
        <v>0</v>
      </c>
      <c r="N60" s="66"/>
      <c r="P60" s="66"/>
      <c r="T60" s="66"/>
    </row>
    <row r="61" spans="1:20" s="65" customFormat="1" ht="15" customHeight="1" thickBot="1">
      <c r="A61" s="753"/>
      <c r="B61" s="871" t="s">
        <v>6508</v>
      </c>
      <c r="C61" s="976" t="s">
        <v>6509</v>
      </c>
      <c r="D61" s="1554" t="s">
        <v>6510</v>
      </c>
      <c r="E61" s="977" t="s">
        <v>6403</v>
      </c>
      <c r="F61" s="874">
        <v>2</v>
      </c>
      <c r="G61" s="970">
        <v>15.01</v>
      </c>
      <c r="H61" s="2025"/>
      <c r="J61" s="25">
        <f t="shared" si="3"/>
        <v>0</v>
      </c>
      <c r="L61" s="66"/>
      <c r="M61" s="86">
        <f t="shared" si="4"/>
        <v>0</v>
      </c>
      <c r="N61" s="66"/>
      <c r="P61" s="66"/>
      <c r="T61" s="66"/>
    </row>
    <row r="62" spans="1:20" ht="15" thickBot="1">
      <c r="D62" s="482"/>
    </row>
    <row r="63" spans="1:20" s="753" customFormat="1" ht="15.75" thickBot="1">
      <c r="B63" s="2219" t="s">
        <v>362</v>
      </c>
      <c r="C63" s="904" t="s">
        <v>6511</v>
      </c>
      <c r="D63" s="883"/>
      <c r="I63" s="65"/>
      <c r="J63" s="931"/>
      <c r="K63" s="65"/>
      <c r="L63" s="66"/>
      <c r="N63" s="1708"/>
      <c r="P63" s="1708"/>
      <c r="T63" s="1708"/>
    </row>
    <row r="64" spans="1:20" s="65" customFormat="1" ht="15" customHeight="1">
      <c r="A64" s="753"/>
      <c r="B64" s="857" t="s">
        <v>6512</v>
      </c>
      <c r="C64" s="971" t="s">
        <v>6513</v>
      </c>
      <c r="D64" s="1543" t="s">
        <v>6514</v>
      </c>
      <c r="E64" s="978" t="s">
        <v>6399</v>
      </c>
      <c r="F64" s="860">
        <v>1</v>
      </c>
      <c r="G64" s="979">
        <v>31460.6</v>
      </c>
      <c r="H64" s="2023"/>
      <c r="J64" s="25">
        <f t="shared" ref="J64:J99" si="5" xml:space="preserve"> IF( SUM( L64:N64 ) = 0, 0, $M$4 )</f>
        <v>0</v>
      </c>
      <c r="L64" s="66"/>
      <c r="M64" s="86">
        <f t="shared" ref="M64:M99" si="6" xml:space="preserve"> IF( ISNUMBER( G64 ), 0, 1 )</f>
        <v>0</v>
      </c>
      <c r="N64" s="66"/>
      <c r="P64" s="66"/>
      <c r="T64" s="66"/>
    </row>
    <row r="65" spans="1:20" s="65" customFormat="1" ht="15" customHeight="1">
      <c r="A65" s="753"/>
      <c r="B65" s="866" t="s">
        <v>6515</v>
      </c>
      <c r="C65" s="974" t="s">
        <v>6516</v>
      </c>
      <c r="D65" s="1544" t="s">
        <v>6517</v>
      </c>
      <c r="E65" s="2156" t="s">
        <v>6399</v>
      </c>
      <c r="F65" s="864">
        <v>1</v>
      </c>
      <c r="G65" s="980">
        <v>0.3</v>
      </c>
      <c r="H65" s="2024"/>
      <c r="J65" s="25">
        <f t="shared" si="5"/>
        <v>0</v>
      </c>
      <c r="L65" s="66"/>
      <c r="M65" s="86">
        <f t="shared" si="6"/>
        <v>0</v>
      </c>
      <c r="N65" s="66"/>
      <c r="P65" s="66"/>
      <c r="T65" s="66"/>
    </row>
    <row r="66" spans="1:20" s="65" customFormat="1" ht="15" customHeight="1">
      <c r="A66" s="753"/>
      <c r="B66" s="866" t="s">
        <v>6518</v>
      </c>
      <c r="C66" s="974" t="s">
        <v>6519</v>
      </c>
      <c r="D66" s="1544" t="s">
        <v>6520</v>
      </c>
      <c r="E66" s="2156" t="s">
        <v>6399</v>
      </c>
      <c r="F66" s="864">
        <v>1</v>
      </c>
      <c r="G66" s="980">
        <v>126.19</v>
      </c>
      <c r="H66" s="2024"/>
      <c r="J66" s="25">
        <f t="shared" si="5"/>
        <v>0</v>
      </c>
      <c r="L66" s="66"/>
      <c r="M66" s="86">
        <f t="shared" si="6"/>
        <v>0</v>
      </c>
      <c r="N66" s="66"/>
      <c r="P66" s="66"/>
      <c r="T66" s="66"/>
    </row>
    <row r="67" spans="1:20" s="65" customFormat="1" ht="15" customHeight="1">
      <c r="A67" s="753"/>
      <c r="B67" s="866" t="s">
        <v>6521</v>
      </c>
      <c r="C67" s="974" t="s">
        <v>6522</v>
      </c>
      <c r="D67" s="1544" t="s">
        <v>6523</v>
      </c>
      <c r="E67" s="2156" t="s">
        <v>6399</v>
      </c>
      <c r="F67" s="864">
        <v>1</v>
      </c>
      <c r="G67" s="980">
        <v>122.8</v>
      </c>
      <c r="H67" s="2024"/>
      <c r="J67" s="25">
        <f t="shared" si="5"/>
        <v>0</v>
      </c>
      <c r="L67" s="66"/>
      <c r="M67" s="86">
        <f t="shared" si="6"/>
        <v>0</v>
      </c>
      <c r="N67" s="66"/>
      <c r="P67" s="66"/>
      <c r="T67" s="66"/>
    </row>
    <row r="68" spans="1:20" s="65" customFormat="1" ht="15" customHeight="1">
      <c r="A68" s="753"/>
      <c r="B68" s="866" t="s">
        <v>6524</v>
      </c>
      <c r="C68" s="974" t="s">
        <v>6525</v>
      </c>
      <c r="D68" s="1544" t="s">
        <v>6526</v>
      </c>
      <c r="E68" s="2156" t="s">
        <v>6399</v>
      </c>
      <c r="F68" s="864">
        <v>1</v>
      </c>
      <c r="G68" s="980">
        <v>28422.7</v>
      </c>
      <c r="H68" s="2024"/>
      <c r="J68" s="25">
        <f t="shared" si="5"/>
        <v>0</v>
      </c>
      <c r="L68" s="66"/>
      <c r="M68" s="86">
        <f t="shared" si="6"/>
        <v>0</v>
      </c>
      <c r="N68" s="66"/>
      <c r="P68" s="66"/>
      <c r="T68" s="66"/>
    </row>
    <row r="69" spans="1:20" s="65" customFormat="1" ht="15" customHeight="1">
      <c r="A69" s="753"/>
      <c r="B69" s="866" t="s">
        <v>6527</v>
      </c>
      <c r="C69" s="974" t="s">
        <v>6528</v>
      </c>
      <c r="D69" s="1544" t="s">
        <v>6529</v>
      </c>
      <c r="E69" s="2156" t="s">
        <v>6399</v>
      </c>
      <c r="F69" s="864">
        <v>1</v>
      </c>
      <c r="G69" s="980">
        <v>927.9</v>
      </c>
      <c r="H69" s="2024"/>
      <c r="J69" s="25">
        <f t="shared" si="5"/>
        <v>0</v>
      </c>
      <c r="L69" s="66"/>
      <c r="M69" s="86">
        <f t="shared" si="6"/>
        <v>0</v>
      </c>
      <c r="N69" s="66"/>
      <c r="P69" s="66"/>
      <c r="T69" s="66"/>
    </row>
    <row r="70" spans="1:20" s="65" customFormat="1" ht="15" customHeight="1">
      <c r="A70" s="753"/>
      <c r="B70" s="866" t="s">
        <v>6530</v>
      </c>
      <c r="C70" s="974" t="s">
        <v>6531</v>
      </c>
      <c r="D70" s="1544" t="s">
        <v>6532</v>
      </c>
      <c r="E70" s="2156" t="s">
        <v>6399</v>
      </c>
      <c r="F70" s="864">
        <v>1</v>
      </c>
      <c r="G70" s="980">
        <v>1046.5</v>
      </c>
      <c r="H70" s="2024"/>
      <c r="J70" s="25">
        <f t="shared" si="5"/>
        <v>0</v>
      </c>
      <c r="L70" s="66"/>
      <c r="M70" s="86">
        <f t="shared" si="6"/>
        <v>0</v>
      </c>
      <c r="N70" s="66"/>
      <c r="P70" s="66"/>
      <c r="T70" s="66"/>
    </row>
    <row r="71" spans="1:20" s="65" customFormat="1" ht="15" customHeight="1">
      <c r="A71" s="753"/>
      <c r="B71" s="866" t="s">
        <v>6533</v>
      </c>
      <c r="C71" s="974" t="s">
        <v>6534</v>
      </c>
      <c r="D71" s="1544" t="s">
        <v>6535</v>
      </c>
      <c r="E71" s="2156" t="s">
        <v>6399</v>
      </c>
      <c r="F71" s="864">
        <v>1</v>
      </c>
      <c r="G71" s="980">
        <v>1063.4000000000001</v>
      </c>
      <c r="H71" s="2024"/>
      <c r="J71" s="25">
        <f t="shared" si="5"/>
        <v>0</v>
      </c>
      <c r="L71" s="66"/>
      <c r="M71" s="86">
        <f t="shared" si="6"/>
        <v>0</v>
      </c>
      <c r="N71" s="66"/>
      <c r="P71" s="66"/>
      <c r="T71" s="66"/>
    </row>
    <row r="72" spans="1:20" s="65" customFormat="1" ht="15" customHeight="1">
      <c r="A72" s="753"/>
      <c r="B72" s="866" t="s">
        <v>6536</v>
      </c>
      <c r="C72" s="974" t="s">
        <v>6537</v>
      </c>
      <c r="D72" s="1544" t="s">
        <v>6538</v>
      </c>
      <c r="E72" s="2156" t="s">
        <v>6399</v>
      </c>
      <c r="F72" s="864">
        <v>1</v>
      </c>
      <c r="G72" s="980">
        <v>3.9</v>
      </c>
      <c r="H72" s="2024"/>
      <c r="J72" s="25">
        <f t="shared" si="5"/>
        <v>0</v>
      </c>
      <c r="L72" s="66"/>
      <c r="M72" s="86">
        <f t="shared" si="6"/>
        <v>0</v>
      </c>
      <c r="N72" s="66"/>
      <c r="P72" s="66"/>
      <c r="T72" s="66"/>
    </row>
    <row r="73" spans="1:20" s="65" customFormat="1" ht="127.5">
      <c r="A73" s="753"/>
      <c r="B73" s="866" t="s">
        <v>6539</v>
      </c>
      <c r="C73" s="974" t="s">
        <v>6540</v>
      </c>
      <c r="D73" s="1544" t="s">
        <v>6541</v>
      </c>
      <c r="E73" s="2156" t="s">
        <v>6399</v>
      </c>
      <c r="F73" s="864">
        <v>1</v>
      </c>
      <c r="G73" s="980">
        <v>0</v>
      </c>
      <c r="H73" s="2024" t="s">
        <v>6542</v>
      </c>
      <c r="J73" s="25">
        <f t="shared" si="5"/>
        <v>0</v>
      </c>
      <c r="L73" s="66"/>
      <c r="M73" s="86">
        <f t="shared" si="6"/>
        <v>0</v>
      </c>
      <c r="N73" s="66"/>
      <c r="P73" s="66"/>
      <c r="T73" s="66"/>
    </row>
    <row r="74" spans="1:20" s="65" customFormat="1" ht="15" customHeight="1">
      <c r="A74" s="753"/>
      <c r="B74" s="866" t="s">
        <v>6543</v>
      </c>
      <c r="C74" s="974" t="s">
        <v>6544</v>
      </c>
      <c r="D74" s="1544" t="s">
        <v>6545</v>
      </c>
      <c r="E74" s="2155" t="s">
        <v>6391</v>
      </c>
      <c r="F74" s="864">
        <v>0</v>
      </c>
      <c r="G74" s="981">
        <v>114349</v>
      </c>
      <c r="H74" s="2024"/>
      <c r="J74" s="25">
        <f t="shared" si="5"/>
        <v>0</v>
      </c>
      <c r="L74" s="66"/>
      <c r="M74" s="86">
        <f t="shared" si="6"/>
        <v>0</v>
      </c>
      <c r="N74" s="66"/>
      <c r="P74" s="66"/>
      <c r="T74" s="66"/>
    </row>
    <row r="75" spans="1:20" s="65" customFormat="1" ht="15" customHeight="1">
      <c r="A75" s="753"/>
      <c r="B75" s="866" t="s">
        <v>6546</v>
      </c>
      <c r="C75" s="974" t="s">
        <v>6547</v>
      </c>
      <c r="D75" s="1544" t="s">
        <v>6548</v>
      </c>
      <c r="E75" s="2156" t="s">
        <v>16</v>
      </c>
      <c r="F75" s="864">
        <v>0</v>
      </c>
      <c r="G75" s="981">
        <v>3259</v>
      </c>
      <c r="H75" s="2024"/>
      <c r="J75" s="25">
        <f t="shared" si="5"/>
        <v>0</v>
      </c>
      <c r="L75" s="66"/>
      <c r="M75" s="86">
        <f t="shared" si="6"/>
        <v>0</v>
      </c>
      <c r="N75" s="66"/>
      <c r="P75" s="66"/>
      <c r="T75" s="66"/>
    </row>
    <row r="76" spans="1:20" s="65" customFormat="1" ht="15" customHeight="1">
      <c r="A76" s="753"/>
      <c r="B76" s="866" t="s">
        <v>6549</v>
      </c>
      <c r="C76" s="974" t="s">
        <v>6550</v>
      </c>
      <c r="D76" s="1544" t="s">
        <v>6551</v>
      </c>
      <c r="E76" s="2156" t="s">
        <v>16</v>
      </c>
      <c r="F76" s="864">
        <v>0</v>
      </c>
      <c r="G76" s="981">
        <v>18</v>
      </c>
      <c r="H76" s="2024"/>
      <c r="J76" s="25">
        <f t="shared" si="5"/>
        <v>0</v>
      </c>
      <c r="L76" s="66"/>
      <c r="M76" s="86">
        <f t="shared" si="6"/>
        <v>0</v>
      </c>
      <c r="N76" s="66"/>
      <c r="P76" s="66"/>
      <c r="T76" s="66"/>
    </row>
    <row r="77" spans="1:20" s="65" customFormat="1" ht="15" customHeight="1">
      <c r="A77" s="753"/>
      <c r="B77" s="866" t="s">
        <v>6552</v>
      </c>
      <c r="C77" s="974" t="s">
        <v>2709</v>
      </c>
      <c r="D77" s="1544" t="s">
        <v>2710</v>
      </c>
      <c r="E77" s="2156" t="s">
        <v>15</v>
      </c>
      <c r="F77" s="864">
        <v>2</v>
      </c>
      <c r="G77" s="982">
        <v>2680.88</v>
      </c>
      <c r="H77" s="2024"/>
      <c r="J77" s="25">
        <f t="shared" si="5"/>
        <v>0</v>
      </c>
      <c r="L77" s="66"/>
      <c r="M77" s="86">
        <f t="shared" si="6"/>
        <v>0</v>
      </c>
      <c r="N77" s="66"/>
      <c r="P77" s="66"/>
      <c r="T77" s="66"/>
    </row>
    <row r="78" spans="1:20" s="65" customFormat="1" ht="15" customHeight="1">
      <c r="A78" s="753"/>
      <c r="B78" s="866" t="s">
        <v>6553</v>
      </c>
      <c r="C78" s="974" t="s">
        <v>6554</v>
      </c>
      <c r="D78" s="1544" t="s">
        <v>6555</v>
      </c>
      <c r="E78" s="2156" t="s">
        <v>15</v>
      </c>
      <c r="F78" s="864">
        <v>2</v>
      </c>
      <c r="G78" s="982">
        <v>0</v>
      </c>
      <c r="H78" s="2024"/>
      <c r="J78" s="25">
        <f t="shared" si="5"/>
        <v>0</v>
      </c>
      <c r="L78" s="66"/>
      <c r="M78" s="86">
        <f t="shared" si="6"/>
        <v>0</v>
      </c>
      <c r="N78" s="66"/>
      <c r="P78" s="66"/>
      <c r="T78" s="66"/>
    </row>
    <row r="79" spans="1:20" s="65" customFormat="1" ht="15" customHeight="1">
      <c r="A79" s="753"/>
      <c r="B79" s="866" t="s">
        <v>6556</v>
      </c>
      <c r="C79" s="974" t="s">
        <v>6557</v>
      </c>
      <c r="D79" s="1544" t="s">
        <v>6558</v>
      </c>
      <c r="E79" s="2156" t="s">
        <v>15</v>
      </c>
      <c r="F79" s="864">
        <v>2</v>
      </c>
      <c r="G79" s="982">
        <v>2168.81</v>
      </c>
      <c r="H79" s="2024"/>
      <c r="J79" s="25">
        <f t="shared" si="5"/>
        <v>0</v>
      </c>
      <c r="L79" s="66"/>
      <c r="M79" s="86">
        <f t="shared" si="6"/>
        <v>0</v>
      </c>
      <c r="N79" s="66"/>
      <c r="P79" s="66"/>
      <c r="T79" s="66"/>
    </row>
    <row r="80" spans="1:20" s="65" customFormat="1" ht="15" customHeight="1">
      <c r="A80" s="753"/>
      <c r="B80" s="866" t="s">
        <v>6559</v>
      </c>
      <c r="C80" s="974" t="s">
        <v>6560</v>
      </c>
      <c r="D80" s="1544" t="s">
        <v>6561</v>
      </c>
      <c r="E80" s="2156" t="s">
        <v>15</v>
      </c>
      <c r="F80" s="864">
        <v>2</v>
      </c>
      <c r="G80" s="982">
        <v>493.12</v>
      </c>
      <c r="H80" s="2024"/>
      <c r="J80" s="25">
        <f t="shared" si="5"/>
        <v>0</v>
      </c>
      <c r="L80" s="66"/>
      <c r="M80" s="86">
        <f t="shared" si="6"/>
        <v>0</v>
      </c>
      <c r="N80" s="66"/>
      <c r="P80" s="66"/>
      <c r="T80" s="66"/>
    </row>
    <row r="81" spans="1:20" s="65" customFormat="1" ht="15" customHeight="1">
      <c r="A81" s="753"/>
      <c r="B81" s="866" t="s">
        <v>6562</v>
      </c>
      <c r="C81" s="974" t="s">
        <v>6563</v>
      </c>
      <c r="D81" s="1544" t="s">
        <v>6564</v>
      </c>
      <c r="E81" s="2156" t="s">
        <v>15</v>
      </c>
      <c r="F81" s="864">
        <v>2</v>
      </c>
      <c r="G81" s="982">
        <v>481.82</v>
      </c>
      <c r="H81" s="2024"/>
      <c r="J81" s="25">
        <f t="shared" si="5"/>
        <v>0</v>
      </c>
      <c r="L81" s="66"/>
      <c r="M81" s="86">
        <f t="shared" si="6"/>
        <v>0</v>
      </c>
      <c r="N81" s="66"/>
      <c r="P81" s="66"/>
      <c r="T81" s="66"/>
    </row>
    <row r="82" spans="1:20" s="65" customFormat="1" ht="15" customHeight="1">
      <c r="A82" s="753"/>
      <c r="B82" s="866" t="s">
        <v>6565</v>
      </c>
      <c r="C82" s="974" t="s">
        <v>6566</v>
      </c>
      <c r="D82" s="1544" t="s">
        <v>6567</v>
      </c>
      <c r="E82" s="2156" t="s">
        <v>15</v>
      </c>
      <c r="F82" s="864">
        <v>2</v>
      </c>
      <c r="G82" s="982">
        <v>694.65</v>
      </c>
      <c r="H82" s="2024"/>
      <c r="J82" s="25">
        <f t="shared" si="5"/>
        <v>0</v>
      </c>
      <c r="L82" s="66"/>
      <c r="M82" s="86">
        <f t="shared" si="6"/>
        <v>0</v>
      </c>
      <c r="N82" s="66"/>
      <c r="P82" s="66"/>
      <c r="T82" s="66"/>
    </row>
    <row r="83" spans="1:20" s="65" customFormat="1" ht="15" customHeight="1">
      <c r="A83" s="753"/>
      <c r="B83" s="866" t="s">
        <v>6568</v>
      </c>
      <c r="C83" s="974" t="s">
        <v>6569</v>
      </c>
      <c r="D83" s="1544" t="s">
        <v>6570</v>
      </c>
      <c r="E83" s="2156" t="s">
        <v>15</v>
      </c>
      <c r="F83" s="864">
        <v>2</v>
      </c>
      <c r="G83" s="982">
        <v>494.08</v>
      </c>
      <c r="H83" s="2024"/>
      <c r="J83" s="25">
        <f t="shared" si="5"/>
        <v>0</v>
      </c>
      <c r="L83" s="66"/>
      <c r="M83" s="86">
        <f t="shared" si="6"/>
        <v>0</v>
      </c>
      <c r="N83" s="66"/>
      <c r="P83" s="66"/>
      <c r="T83" s="66"/>
    </row>
    <row r="84" spans="1:20" s="65" customFormat="1" ht="15" customHeight="1">
      <c r="A84" s="753"/>
      <c r="B84" s="866" t="s">
        <v>6571</v>
      </c>
      <c r="C84" s="974" t="s">
        <v>6572</v>
      </c>
      <c r="D84" s="1544" t="s">
        <v>6573</v>
      </c>
      <c r="E84" s="2156" t="s">
        <v>15</v>
      </c>
      <c r="F84" s="864">
        <v>2</v>
      </c>
      <c r="G84" s="982">
        <v>60.53</v>
      </c>
      <c r="H84" s="2024"/>
      <c r="J84" s="25">
        <f t="shared" si="5"/>
        <v>0</v>
      </c>
      <c r="L84" s="66"/>
      <c r="M84" s="86">
        <f t="shared" si="6"/>
        <v>0</v>
      </c>
      <c r="N84" s="66"/>
      <c r="P84" s="66"/>
      <c r="T84" s="66"/>
    </row>
    <row r="85" spans="1:20" s="65" customFormat="1" ht="15" customHeight="1">
      <c r="A85" s="753"/>
      <c r="B85" s="866" t="s">
        <v>6574</v>
      </c>
      <c r="C85" s="974" t="s">
        <v>6575</v>
      </c>
      <c r="D85" s="1544" t="s">
        <v>6576</v>
      </c>
      <c r="E85" s="2156" t="s">
        <v>11</v>
      </c>
      <c r="F85" s="969">
        <v>0</v>
      </c>
      <c r="G85" s="981">
        <v>1231603.94</v>
      </c>
      <c r="H85" s="2024"/>
      <c r="J85" s="25">
        <f t="shared" si="5"/>
        <v>0</v>
      </c>
      <c r="L85" s="66"/>
      <c r="M85" s="86">
        <f t="shared" si="6"/>
        <v>0</v>
      </c>
      <c r="N85" s="66"/>
      <c r="P85" s="66"/>
      <c r="T85" s="66"/>
    </row>
    <row r="86" spans="1:20" s="65" customFormat="1" ht="15" customHeight="1">
      <c r="A86" s="753"/>
      <c r="B86" s="866" t="s">
        <v>6577</v>
      </c>
      <c r="C86" s="974" t="s">
        <v>6578</v>
      </c>
      <c r="D86" s="1544" t="s">
        <v>6579</v>
      </c>
      <c r="E86" s="2156" t="s">
        <v>11</v>
      </c>
      <c r="F86" s="969">
        <v>0</v>
      </c>
      <c r="G86" s="981">
        <v>270382.84999999998</v>
      </c>
      <c r="H86" s="2024"/>
      <c r="J86" s="25">
        <f t="shared" si="5"/>
        <v>0</v>
      </c>
      <c r="L86" s="66"/>
      <c r="M86" s="86">
        <f t="shared" si="6"/>
        <v>0</v>
      </c>
      <c r="N86" s="66"/>
      <c r="P86" s="66"/>
      <c r="T86" s="66"/>
    </row>
    <row r="87" spans="1:20" s="65" customFormat="1" ht="15" customHeight="1">
      <c r="A87" s="753"/>
      <c r="B87" s="866" t="s">
        <v>6580</v>
      </c>
      <c r="C87" s="974" t="s">
        <v>6581</v>
      </c>
      <c r="D87" s="1544" t="s">
        <v>6582</v>
      </c>
      <c r="E87" s="2156" t="s">
        <v>11</v>
      </c>
      <c r="F87" s="969">
        <v>0</v>
      </c>
      <c r="G87" s="981">
        <v>1057768.21</v>
      </c>
      <c r="H87" s="2024"/>
      <c r="J87" s="25">
        <f t="shared" si="5"/>
        <v>0</v>
      </c>
      <c r="L87" s="66"/>
      <c r="M87" s="86">
        <f t="shared" si="6"/>
        <v>0</v>
      </c>
      <c r="N87" s="66"/>
      <c r="P87" s="66"/>
      <c r="T87" s="66"/>
    </row>
    <row r="88" spans="1:20" s="65" customFormat="1" ht="15" customHeight="1">
      <c r="A88" s="753"/>
      <c r="B88" s="866" t="s">
        <v>6583</v>
      </c>
      <c r="C88" s="974" t="s">
        <v>6584</v>
      </c>
      <c r="D88" s="1544" t="s">
        <v>6585</v>
      </c>
      <c r="E88" s="2156" t="s">
        <v>11</v>
      </c>
      <c r="F88" s="969">
        <v>0</v>
      </c>
      <c r="G88" s="981">
        <v>315</v>
      </c>
      <c r="H88" s="2024"/>
      <c r="J88" s="25">
        <f t="shared" si="5"/>
        <v>0</v>
      </c>
      <c r="L88" s="66"/>
      <c r="M88" s="86">
        <f t="shared" si="6"/>
        <v>0</v>
      </c>
      <c r="N88" s="66"/>
      <c r="P88" s="66"/>
      <c r="T88" s="66"/>
    </row>
    <row r="89" spans="1:20" s="65" customFormat="1" ht="15" customHeight="1">
      <c r="A89" s="753"/>
      <c r="B89" s="866" t="s">
        <v>6586</v>
      </c>
      <c r="C89" s="974" t="s">
        <v>6587</v>
      </c>
      <c r="D89" s="1544" t="s">
        <v>6588</v>
      </c>
      <c r="E89" s="2156" t="s">
        <v>11</v>
      </c>
      <c r="F89" s="969">
        <v>0</v>
      </c>
      <c r="G89" s="981">
        <v>243</v>
      </c>
      <c r="H89" s="2024"/>
      <c r="J89" s="25">
        <f t="shared" si="5"/>
        <v>0</v>
      </c>
      <c r="L89" s="66"/>
      <c r="M89" s="86">
        <f t="shared" si="6"/>
        <v>0</v>
      </c>
      <c r="N89" s="66"/>
      <c r="P89" s="66"/>
      <c r="T89" s="66"/>
    </row>
    <row r="90" spans="1:20" s="65" customFormat="1" ht="15" customHeight="1">
      <c r="A90" s="753"/>
      <c r="B90" s="866" t="s">
        <v>6589</v>
      </c>
      <c r="C90" s="974" t="s">
        <v>6590</v>
      </c>
      <c r="D90" s="1544" t="s">
        <v>6591</v>
      </c>
      <c r="E90" s="2156" t="s">
        <v>11</v>
      </c>
      <c r="F90" s="969">
        <v>0</v>
      </c>
      <c r="G90" s="981">
        <v>29</v>
      </c>
      <c r="H90" s="2024"/>
      <c r="J90" s="25">
        <f t="shared" si="5"/>
        <v>0</v>
      </c>
      <c r="L90" s="66"/>
      <c r="M90" s="86">
        <f t="shared" si="6"/>
        <v>0</v>
      </c>
      <c r="N90" s="66"/>
      <c r="P90" s="66"/>
      <c r="T90" s="66"/>
    </row>
    <row r="91" spans="1:20" s="65" customFormat="1" ht="15" customHeight="1">
      <c r="A91" s="753"/>
      <c r="B91" s="866" t="s">
        <v>6592</v>
      </c>
      <c r="C91" s="974" t="s">
        <v>6593</v>
      </c>
      <c r="D91" s="1544" t="s">
        <v>6594</v>
      </c>
      <c r="E91" s="2156" t="s">
        <v>6399</v>
      </c>
      <c r="F91" s="969">
        <v>1</v>
      </c>
      <c r="G91" s="980">
        <v>4761.7</v>
      </c>
      <c r="H91" s="2024"/>
      <c r="J91" s="25">
        <f t="shared" si="5"/>
        <v>0</v>
      </c>
      <c r="L91" s="66"/>
      <c r="M91" s="86">
        <f t="shared" si="6"/>
        <v>0</v>
      </c>
      <c r="N91" s="66"/>
      <c r="P91" s="66"/>
      <c r="T91" s="66"/>
    </row>
    <row r="92" spans="1:20" s="65" customFormat="1" ht="15" customHeight="1">
      <c r="A92" s="753"/>
      <c r="B92" s="866" t="s">
        <v>6595</v>
      </c>
      <c r="C92" s="974" t="s">
        <v>6596</v>
      </c>
      <c r="D92" s="1544" t="s">
        <v>6597</v>
      </c>
      <c r="E92" s="2156" t="s">
        <v>6399</v>
      </c>
      <c r="F92" s="969">
        <v>1</v>
      </c>
      <c r="G92" s="980">
        <v>3169.7</v>
      </c>
      <c r="H92" s="2024"/>
      <c r="J92" s="25">
        <f t="shared" si="5"/>
        <v>0</v>
      </c>
      <c r="L92" s="66"/>
      <c r="M92" s="86">
        <f t="shared" si="6"/>
        <v>0</v>
      </c>
      <c r="N92" s="66"/>
      <c r="P92" s="66"/>
      <c r="T92" s="66"/>
    </row>
    <row r="93" spans="1:20" s="65" customFormat="1" ht="15" customHeight="1">
      <c r="A93" s="753"/>
      <c r="B93" s="866" t="s">
        <v>6598</v>
      </c>
      <c r="C93" s="974" t="s">
        <v>6599</v>
      </c>
      <c r="D93" s="1544" t="s">
        <v>6600</v>
      </c>
      <c r="E93" s="2156" t="s">
        <v>6399</v>
      </c>
      <c r="F93" s="969">
        <v>1</v>
      </c>
      <c r="G93" s="980">
        <v>3926.7</v>
      </c>
      <c r="H93" s="2024"/>
      <c r="J93" s="25">
        <f t="shared" si="5"/>
        <v>0</v>
      </c>
      <c r="L93" s="66"/>
      <c r="M93" s="86">
        <f t="shared" si="6"/>
        <v>0</v>
      </c>
      <c r="N93" s="66"/>
      <c r="P93" s="66"/>
      <c r="T93" s="66"/>
    </row>
    <row r="94" spans="1:20" s="65" customFormat="1" ht="15" customHeight="1">
      <c r="A94" s="753"/>
      <c r="B94" s="866" t="s">
        <v>6601</v>
      </c>
      <c r="C94" s="974" t="s">
        <v>6602</v>
      </c>
      <c r="D94" s="1544" t="s">
        <v>6603</v>
      </c>
      <c r="E94" s="2156" t="s">
        <v>6399</v>
      </c>
      <c r="F94" s="969">
        <v>1</v>
      </c>
      <c r="G94" s="980">
        <v>5287.2</v>
      </c>
      <c r="H94" s="2024"/>
      <c r="J94" s="25">
        <f t="shared" si="5"/>
        <v>0</v>
      </c>
      <c r="L94" s="66"/>
      <c r="M94" s="86">
        <f t="shared" si="6"/>
        <v>0</v>
      </c>
      <c r="N94" s="66"/>
      <c r="P94" s="66"/>
      <c r="T94" s="66"/>
    </row>
    <row r="95" spans="1:20" s="65" customFormat="1" ht="15" customHeight="1">
      <c r="A95" s="753"/>
      <c r="B95" s="866" t="s">
        <v>6604</v>
      </c>
      <c r="C95" s="974" t="s">
        <v>6605</v>
      </c>
      <c r="D95" s="1544" t="s">
        <v>6606</v>
      </c>
      <c r="E95" s="2156" t="s">
        <v>6399</v>
      </c>
      <c r="F95" s="969">
        <v>1</v>
      </c>
      <c r="G95" s="980">
        <v>2870.8</v>
      </c>
      <c r="H95" s="2024"/>
      <c r="J95" s="25">
        <f t="shared" si="5"/>
        <v>0</v>
      </c>
      <c r="L95" s="66"/>
      <c r="M95" s="86">
        <f t="shared" si="6"/>
        <v>0</v>
      </c>
      <c r="N95" s="66"/>
      <c r="P95" s="66"/>
      <c r="T95" s="66"/>
    </row>
    <row r="96" spans="1:20" s="65" customFormat="1" ht="15" customHeight="1">
      <c r="A96" s="753"/>
      <c r="B96" s="866" t="s">
        <v>6607</v>
      </c>
      <c r="C96" s="974" t="s">
        <v>6608</v>
      </c>
      <c r="D96" s="1544" t="s">
        <v>6609</v>
      </c>
      <c r="E96" s="2156" t="s">
        <v>6399</v>
      </c>
      <c r="F96" s="969">
        <v>1</v>
      </c>
      <c r="G96" s="980">
        <v>4525.3999999999996</v>
      </c>
      <c r="H96" s="2024"/>
      <c r="J96" s="25">
        <f t="shared" si="5"/>
        <v>0</v>
      </c>
      <c r="L96" s="66"/>
      <c r="M96" s="86">
        <f t="shared" si="6"/>
        <v>0</v>
      </c>
      <c r="N96" s="66"/>
      <c r="P96" s="66"/>
      <c r="T96" s="66"/>
    </row>
    <row r="97" spans="1:20" s="65" customFormat="1" ht="15" customHeight="1">
      <c r="A97" s="753"/>
      <c r="B97" s="866" t="s">
        <v>6610</v>
      </c>
      <c r="C97" s="974" t="s">
        <v>6611</v>
      </c>
      <c r="D97" s="1544" t="s">
        <v>6612</v>
      </c>
      <c r="E97" s="2156" t="s">
        <v>6399</v>
      </c>
      <c r="F97" s="969">
        <v>1</v>
      </c>
      <c r="G97" s="980">
        <v>2889.2</v>
      </c>
      <c r="H97" s="2024"/>
      <c r="J97" s="25">
        <f t="shared" si="5"/>
        <v>0</v>
      </c>
      <c r="L97" s="66"/>
      <c r="M97" s="86">
        <f t="shared" si="6"/>
        <v>0</v>
      </c>
      <c r="N97" s="66"/>
      <c r="P97" s="66"/>
      <c r="T97" s="66"/>
    </row>
    <row r="98" spans="1:20" s="65" customFormat="1" ht="15" customHeight="1">
      <c r="A98" s="753"/>
      <c r="B98" s="866" t="s">
        <v>6613</v>
      </c>
      <c r="C98" s="974" t="s">
        <v>6614</v>
      </c>
      <c r="D98" s="1544" t="s">
        <v>6615</v>
      </c>
      <c r="E98" s="2156" t="s">
        <v>6399</v>
      </c>
      <c r="F98" s="864">
        <v>1</v>
      </c>
      <c r="G98" s="980">
        <v>4163.2</v>
      </c>
      <c r="H98" s="2024"/>
      <c r="J98" s="25">
        <f t="shared" si="5"/>
        <v>0</v>
      </c>
      <c r="L98" s="66"/>
      <c r="M98" s="86">
        <f t="shared" si="6"/>
        <v>0</v>
      </c>
      <c r="N98" s="66"/>
      <c r="P98" s="66"/>
      <c r="T98" s="66"/>
    </row>
    <row r="99" spans="1:20" s="65" customFormat="1" ht="15" customHeight="1" thickBot="1">
      <c r="A99" s="753"/>
      <c r="B99" s="871" t="s">
        <v>6616</v>
      </c>
      <c r="C99" s="976" t="s">
        <v>6617</v>
      </c>
      <c r="D99" s="1545" t="s">
        <v>6618</v>
      </c>
      <c r="E99" s="983" t="s">
        <v>6403</v>
      </c>
      <c r="F99" s="874">
        <v>2</v>
      </c>
      <c r="G99" s="984">
        <v>76.58</v>
      </c>
      <c r="H99" s="2025"/>
      <c r="J99" s="25">
        <f t="shared" si="5"/>
        <v>0</v>
      </c>
      <c r="L99" s="66"/>
      <c r="M99" s="86">
        <f t="shared" si="6"/>
        <v>0</v>
      </c>
      <c r="N99" s="66"/>
      <c r="P99" s="66"/>
      <c r="T99" s="66"/>
    </row>
    <row r="100" spans="1:20" s="65" customFormat="1" ht="15" thickBot="1">
      <c r="A100" s="753"/>
      <c r="B100" s="881"/>
      <c r="C100" s="882"/>
      <c r="D100" s="1555"/>
      <c r="E100" s="883"/>
      <c r="F100" s="884"/>
      <c r="G100" s="2028"/>
      <c r="H100" s="2029"/>
      <c r="J100" s="25"/>
      <c r="L100" s="66"/>
      <c r="M100" s="176"/>
      <c r="N100" s="114"/>
      <c r="P100" s="66"/>
      <c r="T100" s="66"/>
    </row>
    <row r="101" spans="1:20" s="65" customFormat="1" ht="15" thickBot="1">
      <c r="A101" s="753"/>
      <c r="B101" s="2219" t="s">
        <v>419</v>
      </c>
      <c r="C101" s="904" t="s">
        <v>6619</v>
      </c>
      <c r="D101" s="1555"/>
      <c r="E101" s="883"/>
      <c r="F101" s="884"/>
      <c r="G101" s="2028"/>
      <c r="H101" s="2029"/>
      <c r="J101" s="25">
        <f t="shared" ref="J101:J119" si="7" xml:space="preserve"> IF( SUM( L101:N101 ) = 0, 0, $M$4 )</f>
        <v>0</v>
      </c>
      <c r="L101" s="66"/>
      <c r="M101" s="176"/>
      <c r="N101" s="114"/>
      <c r="P101" s="66"/>
      <c r="T101" s="66"/>
    </row>
    <row r="102" spans="1:20" s="65" customFormat="1">
      <c r="A102" s="753"/>
      <c r="B102" s="1735" t="s">
        <v>6620</v>
      </c>
      <c r="C102" s="992" t="s">
        <v>6621</v>
      </c>
      <c r="D102" s="1556" t="s">
        <v>6622</v>
      </c>
      <c r="E102" s="84" t="s">
        <v>6623</v>
      </c>
      <c r="F102" s="985">
        <v>0</v>
      </c>
      <c r="G102" s="986">
        <v>20</v>
      </c>
      <c r="H102" s="2023"/>
      <c r="J102" s="25">
        <f t="shared" si="7"/>
        <v>0</v>
      </c>
      <c r="L102" s="66"/>
      <c r="M102" s="86">
        <f t="shared" ref="M102:M109" si="8" xml:space="preserve"> IF( ISNUMBER( G102 ), 0, 1 )</f>
        <v>0</v>
      </c>
      <c r="N102" s="66"/>
      <c r="P102" s="66"/>
      <c r="T102" s="66"/>
    </row>
    <row r="103" spans="1:20" s="65" customFormat="1">
      <c r="A103" s="753"/>
      <c r="B103" s="1736" t="s">
        <v>6624</v>
      </c>
      <c r="C103" s="1265" t="s">
        <v>6625</v>
      </c>
      <c r="D103" s="1557" t="s">
        <v>6626</v>
      </c>
      <c r="E103" s="1266" t="s">
        <v>6623</v>
      </c>
      <c r="F103" s="987">
        <v>0</v>
      </c>
      <c r="G103" s="981">
        <v>11</v>
      </c>
      <c r="H103" s="2024"/>
      <c r="J103" s="25">
        <f t="shared" si="7"/>
        <v>0</v>
      </c>
      <c r="L103" s="66"/>
      <c r="M103" s="86">
        <f t="shared" si="8"/>
        <v>0</v>
      </c>
      <c r="N103" s="66"/>
      <c r="P103" s="66"/>
      <c r="T103" s="66"/>
    </row>
    <row r="104" spans="1:20" s="65" customFormat="1">
      <c r="A104" s="753"/>
      <c r="B104" s="1736" t="s">
        <v>6627</v>
      </c>
      <c r="C104" s="994" t="s">
        <v>6628</v>
      </c>
      <c r="D104" s="1558" t="s">
        <v>6629</v>
      </c>
      <c r="E104" s="91" t="s">
        <v>6623</v>
      </c>
      <c r="F104" s="987">
        <v>0</v>
      </c>
      <c r="G104" s="981">
        <v>16</v>
      </c>
      <c r="H104" s="2024"/>
      <c r="J104" s="25">
        <f t="shared" si="7"/>
        <v>0</v>
      </c>
      <c r="L104" s="66"/>
      <c r="M104" s="86">
        <f t="shared" si="8"/>
        <v>0</v>
      </c>
      <c r="N104" s="66"/>
      <c r="P104" s="66"/>
      <c r="T104" s="66"/>
    </row>
    <row r="105" spans="1:20" s="65" customFormat="1">
      <c r="A105" s="753"/>
      <c r="B105" s="1736" t="s">
        <v>6630</v>
      </c>
      <c r="C105" s="994" t="s">
        <v>6631</v>
      </c>
      <c r="D105" s="1558" t="s">
        <v>6632</v>
      </c>
      <c r="E105" s="91" t="s">
        <v>6623</v>
      </c>
      <c r="F105" s="987">
        <v>0</v>
      </c>
      <c r="G105" s="981">
        <v>14</v>
      </c>
      <c r="H105" s="2024"/>
      <c r="J105" s="25">
        <f t="shared" si="7"/>
        <v>0</v>
      </c>
      <c r="L105" s="66"/>
      <c r="M105" s="86">
        <f t="shared" si="8"/>
        <v>0</v>
      </c>
      <c r="N105" s="66"/>
      <c r="P105" s="66"/>
      <c r="T105" s="66"/>
    </row>
    <row r="106" spans="1:20" s="65" customFormat="1">
      <c r="A106" s="753"/>
      <c r="B106" s="1736" t="s">
        <v>6633</v>
      </c>
      <c r="C106" s="994" t="s">
        <v>6634</v>
      </c>
      <c r="D106" s="1558" t="s">
        <v>6635</v>
      </c>
      <c r="E106" s="91" t="s">
        <v>6623</v>
      </c>
      <c r="F106" s="987">
        <v>0</v>
      </c>
      <c r="G106" s="981">
        <v>9</v>
      </c>
      <c r="H106" s="2024"/>
      <c r="J106" s="25">
        <f t="shared" si="7"/>
        <v>0</v>
      </c>
      <c r="L106" s="66"/>
      <c r="M106" s="86">
        <f t="shared" si="8"/>
        <v>0</v>
      </c>
      <c r="N106" s="66"/>
      <c r="P106" s="66"/>
      <c r="T106" s="66"/>
    </row>
    <row r="107" spans="1:20" s="65" customFormat="1">
      <c r="A107" s="753"/>
      <c r="B107" s="1736" t="s">
        <v>6636</v>
      </c>
      <c r="C107" s="994" t="s">
        <v>6637</v>
      </c>
      <c r="D107" s="1558" t="s">
        <v>6638</v>
      </c>
      <c r="E107" s="91" t="s">
        <v>6623</v>
      </c>
      <c r="F107" s="988">
        <v>0</v>
      </c>
      <c r="G107" s="981">
        <v>5</v>
      </c>
      <c r="H107" s="2024"/>
      <c r="J107" s="25">
        <f t="shared" si="7"/>
        <v>0</v>
      </c>
      <c r="L107" s="66"/>
      <c r="M107" s="86">
        <f t="shared" si="8"/>
        <v>0</v>
      </c>
      <c r="N107" s="66"/>
      <c r="P107" s="66"/>
      <c r="T107" s="66"/>
    </row>
    <row r="108" spans="1:20" s="65" customFormat="1">
      <c r="A108" s="753"/>
      <c r="B108" s="1736" t="s">
        <v>6639</v>
      </c>
      <c r="C108" s="1263" t="s">
        <v>6640</v>
      </c>
      <c r="D108" s="1559" t="s">
        <v>6641</v>
      </c>
      <c r="E108" s="1264" t="s">
        <v>6623</v>
      </c>
      <c r="F108" s="987">
        <v>0</v>
      </c>
      <c r="G108" s="981">
        <v>2</v>
      </c>
      <c r="H108" s="2024"/>
      <c r="J108" s="25">
        <f t="shared" si="7"/>
        <v>0</v>
      </c>
      <c r="L108" s="66"/>
      <c r="M108" s="86">
        <f t="shared" si="8"/>
        <v>0</v>
      </c>
      <c r="N108" s="66"/>
      <c r="P108" s="66"/>
      <c r="T108" s="66"/>
    </row>
    <row r="109" spans="1:20" s="65" customFormat="1" ht="15" thickBot="1">
      <c r="A109" s="753"/>
      <c r="B109" s="1737" t="s">
        <v>6642</v>
      </c>
      <c r="C109" s="989" t="s">
        <v>6643</v>
      </c>
      <c r="D109" s="1560" t="s">
        <v>6644</v>
      </c>
      <c r="E109" s="1262" t="s">
        <v>6623</v>
      </c>
      <c r="F109" s="990">
        <v>0</v>
      </c>
      <c r="G109" s="991">
        <v>4</v>
      </c>
      <c r="H109" s="2025"/>
      <c r="J109" s="25">
        <f t="shared" si="7"/>
        <v>0</v>
      </c>
      <c r="L109" s="66"/>
      <c r="M109" s="86">
        <f t="shared" si="8"/>
        <v>0</v>
      </c>
      <c r="N109" s="66"/>
      <c r="P109" s="66"/>
      <c r="T109" s="66"/>
    </row>
    <row r="110" spans="1:20" s="65" customFormat="1" ht="15" thickBot="1">
      <c r="A110" s="753"/>
      <c r="B110" s="881"/>
      <c r="C110" s="68"/>
      <c r="D110" s="1555"/>
      <c r="E110" s="108"/>
      <c r="F110" s="884"/>
      <c r="G110" s="2026"/>
      <c r="H110" s="2027"/>
      <c r="J110" s="25">
        <f t="shared" si="7"/>
        <v>0</v>
      </c>
      <c r="L110" s="66"/>
      <c r="N110" s="66"/>
      <c r="P110" s="66"/>
      <c r="T110" s="66"/>
    </row>
    <row r="111" spans="1:20" s="65" customFormat="1" ht="15" thickBot="1">
      <c r="A111" s="753"/>
      <c r="B111" s="2219" t="s">
        <v>493</v>
      </c>
      <c r="C111" s="904" t="s">
        <v>6645</v>
      </c>
      <c r="D111" s="1555"/>
      <c r="E111" s="108"/>
      <c r="F111" s="884"/>
      <c r="G111" s="2026"/>
      <c r="H111" s="2027"/>
      <c r="J111" s="25">
        <f t="shared" si="7"/>
        <v>0</v>
      </c>
      <c r="L111" s="66"/>
      <c r="N111" s="66"/>
      <c r="P111" s="66"/>
      <c r="T111" s="66"/>
    </row>
    <row r="112" spans="1:20" s="65" customFormat="1">
      <c r="A112" s="753"/>
      <c r="B112" s="1735" t="s">
        <v>6646</v>
      </c>
      <c r="C112" s="992" t="s">
        <v>6647</v>
      </c>
      <c r="D112" s="1561" t="s">
        <v>6648</v>
      </c>
      <c r="E112" s="84" t="s">
        <v>10</v>
      </c>
      <c r="F112" s="985">
        <v>1</v>
      </c>
      <c r="G112" s="993">
        <v>7.0000000000000001E-3</v>
      </c>
      <c r="H112" s="2023"/>
      <c r="J112" s="25">
        <f t="shared" si="7"/>
        <v>0</v>
      </c>
      <c r="L112" s="66"/>
      <c r="M112" s="86">
        <f t="shared" ref="M112:M119" si="9" xml:space="preserve"> IF( ISNUMBER( G112 ), 0, 1 )</f>
        <v>0</v>
      </c>
      <c r="N112" s="66"/>
      <c r="P112" s="66"/>
      <c r="T112" s="66"/>
    </row>
    <row r="113" spans="1:20" s="65" customFormat="1">
      <c r="A113" s="753"/>
      <c r="B113" s="1736" t="s">
        <v>6649</v>
      </c>
      <c r="C113" s="994" t="s">
        <v>6650</v>
      </c>
      <c r="D113" s="1562" t="s">
        <v>6651</v>
      </c>
      <c r="E113" s="91" t="s">
        <v>10</v>
      </c>
      <c r="F113" s="987">
        <v>1</v>
      </c>
      <c r="G113" s="995">
        <v>1.0999999999999999E-2</v>
      </c>
      <c r="H113" s="2024"/>
      <c r="J113" s="25">
        <f t="shared" si="7"/>
        <v>0</v>
      </c>
      <c r="L113" s="66"/>
      <c r="M113" s="86">
        <f t="shared" si="9"/>
        <v>0</v>
      </c>
      <c r="N113" s="66"/>
      <c r="P113" s="66"/>
      <c r="T113" s="66"/>
    </row>
    <row r="114" spans="1:20" s="65" customFormat="1">
      <c r="A114" s="753"/>
      <c r="B114" s="1736" t="s">
        <v>6652</v>
      </c>
      <c r="C114" s="994" t="s">
        <v>6653</v>
      </c>
      <c r="D114" s="1562" t="s">
        <v>6654</v>
      </c>
      <c r="E114" s="91" t="s">
        <v>10</v>
      </c>
      <c r="F114" s="987">
        <v>1</v>
      </c>
      <c r="G114" s="995">
        <v>3.3000000000000002E-2</v>
      </c>
      <c r="H114" s="2024"/>
      <c r="J114" s="25">
        <f t="shared" si="7"/>
        <v>0</v>
      </c>
      <c r="L114" s="66"/>
      <c r="M114" s="86">
        <f t="shared" si="9"/>
        <v>0</v>
      </c>
      <c r="N114" s="66"/>
      <c r="P114" s="66"/>
      <c r="T114" s="66"/>
    </row>
    <row r="115" spans="1:20" s="65" customFormat="1">
      <c r="A115" s="753"/>
      <c r="B115" s="1736" t="s">
        <v>6655</v>
      </c>
      <c r="C115" s="994" t="s">
        <v>6656</v>
      </c>
      <c r="D115" s="1562" t="s">
        <v>6657</v>
      </c>
      <c r="E115" s="91" t="s">
        <v>10</v>
      </c>
      <c r="F115" s="987">
        <v>1</v>
      </c>
      <c r="G115" s="995">
        <v>5.5E-2</v>
      </c>
      <c r="H115" s="2024"/>
      <c r="J115" s="25">
        <f t="shared" si="7"/>
        <v>0</v>
      </c>
      <c r="L115" s="66"/>
      <c r="M115" s="86">
        <f t="shared" si="9"/>
        <v>0</v>
      </c>
      <c r="N115" s="66"/>
      <c r="P115" s="66"/>
      <c r="T115" s="66"/>
    </row>
    <row r="116" spans="1:20" s="65" customFormat="1">
      <c r="A116" s="753"/>
      <c r="B116" s="1736" t="s">
        <v>6658</v>
      </c>
      <c r="C116" s="994" t="s">
        <v>6659</v>
      </c>
      <c r="D116" s="1562" t="s">
        <v>6660</v>
      </c>
      <c r="E116" s="91" t="s">
        <v>10</v>
      </c>
      <c r="F116" s="987">
        <v>1</v>
      </c>
      <c r="G116" s="995">
        <v>6.5000000000000002E-2</v>
      </c>
      <c r="H116" s="2024"/>
      <c r="J116" s="25">
        <f t="shared" si="7"/>
        <v>0</v>
      </c>
      <c r="L116" s="66"/>
      <c r="M116" s="86">
        <f t="shared" si="9"/>
        <v>0</v>
      </c>
      <c r="N116" s="66"/>
      <c r="P116" s="66"/>
      <c r="T116" s="66"/>
    </row>
    <row r="117" spans="1:20" s="65" customFormat="1">
      <c r="A117" s="753"/>
      <c r="B117" s="1736" t="s">
        <v>6661</v>
      </c>
      <c r="C117" s="994" t="s">
        <v>6662</v>
      </c>
      <c r="D117" s="1562" t="s">
        <v>6663</v>
      </c>
      <c r="E117" s="91" t="s">
        <v>10</v>
      </c>
      <c r="F117" s="988">
        <v>1</v>
      </c>
      <c r="G117" s="995">
        <v>8.5000000000000006E-2</v>
      </c>
      <c r="H117" s="2024"/>
      <c r="J117" s="25">
        <f t="shared" si="7"/>
        <v>0</v>
      </c>
      <c r="L117" s="66"/>
      <c r="M117" s="86">
        <f t="shared" si="9"/>
        <v>0</v>
      </c>
      <c r="N117" s="66"/>
      <c r="P117" s="66"/>
      <c r="T117" s="66"/>
    </row>
    <row r="118" spans="1:20" s="65" customFormat="1">
      <c r="A118" s="753"/>
      <c r="B118" s="1736" t="s">
        <v>6664</v>
      </c>
      <c r="C118" s="994" t="s">
        <v>6665</v>
      </c>
      <c r="D118" s="1562" t="s">
        <v>6666</v>
      </c>
      <c r="E118" s="91" t="s">
        <v>10</v>
      </c>
      <c r="F118" s="987">
        <v>1</v>
      </c>
      <c r="G118" s="995">
        <v>5.7000000000000002E-2</v>
      </c>
      <c r="H118" s="2024"/>
      <c r="J118" s="25">
        <f t="shared" si="7"/>
        <v>0</v>
      </c>
      <c r="L118" s="66"/>
      <c r="M118" s="86">
        <f t="shared" si="9"/>
        <v>0</v>
      </c>
      <c r="N118" s="66"/>
      <c r="P118" s="66"/>
      <c r="T118" s="66"/>
    </row>
    <row r="119" spans="1:20" s="65" customFormat="1" ht="15" thickBot="1">
      <c r="A119" s="753"/>
      <c r="B119" s="1737" t="s">
        <v>6667</v>
      </c>
      <c r="C119" s="996" t="s">
        <v>6668</v>
      </c>
      <c r="D119" s="1563" t="s">
        <v>6669</v>
      </c>
      <c r="E119" s="92" t="s">
        <v>10</v>
      </c>
      <c r="F119" s="990">
        <v>1</v>
      </c>
      <c r="G119" s="997">
        <v>0.68700000000000006</v>
      </c>
      <c r="H119" s="2025"/>
      <c r="J119" s="25">
        <f t="shared" si="7"/>
        <v>0</v>
      </c>
      <c r="L119" s="66"/>
      <c r="M119" s="86">
        <f t="shared" si="9"/>
        <v>0</v>
      </c>
      <c r="N119" s="66"/>
      <c r="P119" s="66"/>
      <c r="T119" s="66"/>
    </row>
    <row r="120" spans="1:20"/>
    <row r="121" spans="1:20">
      <c r="B121" s="2349" t="s">
        <v>275</v>
      </c>
      <c r="C121" s="2349"/>
      <c r="D121" s="882"/>
      <c r="E121" s="883"/>
      <c r="F121" s="884"/>
      <c r="G121" s="884"/>
      <c r="H121" s="884"/>
      <c r="I121" s="884"/>
      <c r="J121" s="2028"/>
      <c r="K121" s="885"/>
      <c r="L121" s="1712"/>
    </row>
    <row r="122" spans="1:20">
      <c r="B122" s="881"/>
      <c r="C122" s="887"/>
      <c r="D122" s="882"/>
      <c r="E122" s="883"/>
      <c r="F122" s="884"/>
      <c r="G122" s="884"/>
      <c r="H122" s="884"/>
      <c r="I122" s="884"/>
      <c r="J122" s="2027"/>
      <c r="K122" s="888"/>
      <c r="L122" s="1713"/>
    </row>
    <row r="123" spans="1:20">
      <c r="B123" s="827"/>
      <c r="C123" s="828" t="s">
        <v>249</v>
      </c>
      <c r="D123" s="828"/>
      <c r="E123" s="142"/>
      <c r="F123" s="142"/>
      <c r="G123" s="142"/>
      <c r="H123" s="142"/>
      <c r="I123" s="142"/>
      <c r="J123" s="142"/>
      <c r="K123" s="142"/>
      <c r="L123" s="1709"/>
    </row>
    <row r="124" spans="1:20">
      <c r="B124" s="281"/>
      <c r="C124" s="826"/>
      <c r="D124" s="826"/>
      <c r="E124" s="142"/>
      <c r="F124" s="142"/>
      <c r="G124" s="142"/>
      <c r="H124" s="142"/>
      <c r="I124" s="142"/>
      <c r="J124" s="142"/>
      <c r="K124" s="142"/>
      <c r="L124" s="1709"/>
    </row>
    <row r="125" spans="1:20">
      <c r="B125" s="829"/>
      <c r="C125" s="828" t="s">
        <v>250</v>
      </c>
      <c r="D125" s="828"/>
      <c r="E125" s="142"/>
      <c r="F125" s="142"/>
      <c r="G125" s="142"/>
      <c r="H125" s="142"/>
      <c r="I125" s="142"/>
      <c r="J125" s="142"/>
      <c r="K125" s="142"/>
      <c r="L125" s="1709"/>
    </row>
    <row r="126" spans="1:20">
      <c r="B126" s="103"/>
      <c r="C126" s="138"/>
      <c r="D126" s="138"/>
      <c r="E126" s="103"/>
      <c r="F126" s="103"/>
      <c r="G126" s="103"/>
      <c r="H126" s="103"/>
      <c r="I126" s="103"/>
      <c r="J126" s="103"/>
      <c r="K126" s="103"/>
      <c r="L126" s="1710"/>
    </row>
    <row r="127" spans="1:20" ht="15" thickBot="1">
      <c r="B127" s="103"/>
      <c r="C127" s="138"/>
      <c r="D127" s="138"/>
      <c r="E127" s="103"/>
      <c r="F127" s="103"/>
      <c r="G127" s="103"/>
      <c r="H127" s="103"/>
      <c r="I127" s="103"/>
      <c r="J127" s="103"/>
      <c r="K127" s="103"/>
      <c r="L127" s="1710"/>
    </row>
    <row r="128" spans="1:20" ht="16.5" thickBot="1">
      <c r="B128" s="2467" t="s">
        <v>251</v>
      </c>
      <c r="C128" s="2468"/>
      <c r="D128" s="2468"/>
      <c r="E128" s="2468"/>
      <c r="F128" s="2468"/>
      <c r="G128" s="2468"/>
      <c r="H128" s="2468"/>
      <c r="I128" s="2468"/>
      <c r="J128" s="2469"/>
      <c r="K128" s="103"/>
      <c r="L128" s="1710"/>
    </row>
    <row r="129" spans="2:22" ht="15" thickBot="1">
      <c r="B129" s="103"/>
      <c r="C129" s="138"/>
      <c r="D129" s="138"/>
      <c r="E129" s="103"/>
      <c r="F129" s="103"/>
      <c r="G129" s="103"/>
      <c r="H129" s="103"/>
      <c r="I129" s="103"/>
      <c r="J129" s="103"/>
      <c r="K129" s="103"/>
      <c r="L129" s="1710"/>
    </row>
    <row r="130" spans="2:22" ht="16.5" thickBot="1">
      <c r="B130" s="2224" t="s">
        <v>6670</v>
      </c>
      <c r="C130" s="2225"/>
      <c r="D130" s="2225"/>
      <c r="E130" s="2225"/>
      <c r="F130" s="2225"/>
      <c r="G130" s="2225"/>
      <c r="H130" s="2225"/>
      <c r="I130" s="2225"/>
      <c r="J130" s="2226"/>
      <c r="K130" s="103"/>
      <c r="L130" s="1710"/>
      <c r="M130" s="753"/>
    </row>
    <row r="131" spans="2:22">
      <c r="B131" s="999"/>
      <c r="C131" s="1000"/>
      <c r="D131" s="1000"/>
      <c r="E131" s="1000"/>
      <c r="F131" s="1000"/>
      <c r="G131" s="1000"/>
      <c r="H131" s="1000"/>
      <c r="I131" s="1000"/>
      <c r="J131" s="2128"/>
      <c r="K131" s="103"/>
      <c r="L131" s="1710"/>
      <c r="M131" s="753"/>
    </row>
    <row r="132" spans="2:22">
      <c r="B132" s="1001" t="s">
        <v>6671</v>
      </c>
      <c r="C132" s="1002"/>
      <c r="D132" s="1002"/>
      <c r="E132" s="1002"/>
      <c r="F132" s="1002"/>
      <c r="G132" s="1002"/>
      <c r="H132" s="1002"/>
      <c r="I132" s="1002"/>
      <c r="J132" s="2129"/>
      <c r="K132" s="103"/>
      <c r="L132" s="1710"/>
      <c r="M132" s="1002"/>
    </row>
    <row r="133" spans="2:22">
      <c r="B133" s="1003"/>
      <c r="C133" s="753"/>
      <c r="D133" s="753"/>
      <c r="E133" s="753"/>
      <c r="F133" s="753"/>
      <c r="G133" s="753"/>
      <c r="H133" s="753"/>
      <c r="I133" s="753"/>
      <c r="J133" s="2130"/>
      <c r="K133" s="103"/>
      <c r="L133" s="1710"/>
      <c r="M133" s="753"/>
    </row>
    <row r="134" spans="2:22" ht="63" customHeight="1">
      <c r="B134" s="2470" t="s">
        <v>6672</v>
      </c>
      <c r="C134" s="2471"/>
      <c r="D134" s="2471"/>
      <c r="E134" s="2471"/>
      <c r="F134" s="2471"/>
      <c r="G134" s="2471"/>
      <c r="H134" s="2471"/>
      <c r="I134" s="2471"/>
      <c r="J134" s="2472"/>
      <c r="K134" s="103"/>
      <c r="L134" s="1710"/>
      <c r="M134" s="22"/>
    </row>
    <row r="135" spans="2:22">
      <c r="B135" s="1003"/>
      <c r="C135" s="753"/>
      <c r="D135" s="753"/>
      <c r="E135" s="753"/>
      <c r="F135" s="753"/>
      <c r="G135" s="753"/>
      <c r="H135" s="753"/>
      <c r="I135" s="753"/>
      <c r="J135" s="2130"/>
      <c r="K135" s="103"/>
      <c r="L135" s="1710"/>
      <c r="M135" s="753"/>
    </row>
    <row r="136" spans="2:22">
      <c r="B136" s="1001" t="s">
        <v>6673</v>
      </c>
      <c r="C136" s="753"/>
      <c r="D136" s="753"/>
      <c r="E136" s="753"/>
      <c r="F136" s="753"/>
      <c r="G136" s="753"/>
      <c r="H136" s="753"/>
      <c r="I136" s="753"/>
      <c r="J136" s="2130"/>
      <c r="K136" s="103"/>
      <c r="L136" s="1710"/>
      <c r="M136" s="753"/>
    </row>
    <row r="137" spans="2:22">
      <c r="B137" s="1003"/>
      <c r="C137" s="753"/>
      <c r="D137" s="753"/>
      <c r="E137" s="753"/>
      <c r="F137" s="753"/>
      <c r="G137" s="753"/>
      <c r="H137" s="753"/>
      <c r="I137" s="753"/>
      <c r="J137" s="2130"/>
      <c r="K137" s="103"/>
      <c r="L137" s="1710"/>
      <c r="M137" s="753"/>
    </row>
    <row r="138" spans="2:22" ht="15" thickBot="1">
      <c r="B138" s="1004" t="s">
        <v>6674</v>
      </c>
      <c r="C138" s="1005"/>
      <c r="D138" s="1005"/>
      <c r="E138" s="1005"/>
      <c r="F138" s="1005"/>
      <c r="G138" s="1005"/>
      <c r="H138" s="1005"/>
      <c r="I138" s="1005"/>
      <c r="J138" s="2131"/>
      <c r="K138" s="103"/>
      <c r="L138" s="1710"/>
      <c r="M138" s="753"/>
    </row>
    <row r="139" spans="2:22" s="753" customFormat="1" ht="15" thickBot="1">
      <c r="B139" s="881"/>
      <c r="C139" s="1006"/>
      <c r="D139" s="998"/>
      <c r="E139" s="998"/>
      <c r="F139" s="998"/>
      <c r="G139" s="998"/>
      <c r="H139" s="998"/>
      <c r="I139" s="998"/>
      <c r="J139" s="998"/>
      <c r="K139" s="103"/>
      <c r="L139" s="1710"/>
      <c r="M139" s="998"/>
      <c r="N139" s="1711"/>
      <c r="O139" s="998"/>
      <c r="P139" s="1711"/>
      <c r="Q139" s="998"/>
      <c r="R139" s="118"/>
      <c r="S139" s="65"/>
      <c r="T139" s="66"/>
      <c r="U139" s="66"/>
      <c r="V139" s="176"/>
    </row>
    <row r="140" spans="2:22" ht="15" thickBot="1">
      <c r="B140" s="2473" t="s">
        <v>6675</v>
      </c>
      <c r="C140" s="2474"/>
      <c r="D140" s="2473" t="s">
        <v>6676</v>
      </c>
      <c r="E140" s="2475"/>
      <c r="F140" s="2475"/>
      <c r="G140" s="2475"/>
      <c r="H140" s="2475"/>
      <c r="I140" s="2475"/>
      <c r="J140" s="2474"/>
      <c r="K140" s="103"/>
      <c r="L140" s="1710"/>
      <c r="M140" s="753"/>
    </row>
    <row r="141" spans="2:22" ht="27" customHeight="1" thickBot="1">
      <c r="B141" s="2476" t="s">
        <v>6677</v>
      </c>
      <c r="C141" s="2477"/>
      <c r="D141" s="2478" t="s">
        <v>6678</v>
      </c>
      <c r="E141" s="2479"/>
      <c r="F141" s="2479"/>
      <c r="G141" s="2479"/>
      <c r="H141" s="2479"/>
      <c r="I141" s="2479"/>
      <c r="J141" s="2480"/>
      <c r="K141" s="103"/>
      <c r="L141" s="1710"/>
      <c r="M141" s="753"/>
    </row>
    <row r="142" spans="2:22" ht="42.75" customHeight="1" thickBot="1">
      <c r="B142" s="2476" t="s">
        <v>6679</v>
      </c>
      <c r="C142" s="2477"/>
      <c r="D142" s="2478" t="s">
        <v>6680</v>
      </c>
      <c r="E142" s="2479"/>
      <c r="F142" s="2479"/>
      <c r="G142" s="2479"/>
      <c r="H142" s="2479"/>
      <c r="I142" s="2479"/>
      <c r="J142" s="2480"/>
      <c r="K142" s="103"/>
      <c r="L142" s="1710"/>
      <c r="M142" s="753"/>
    </row>
    <row r="143" spans="2:22" ht="84" customHeight="1" thickBot="1">
      <c r="B143" s="2476" t="s">
        <v>6681</v>
      </c>
      <c r="C143" s="2477"/>
      <c r="D143" s="2478" t="s">
        <v>6682</v>
      </c>
      <c r="E143" s="2479"/>
      <c r="F143" s="2479"/>
      <c r="G143" s="2479"/>
      <c r="H143" s="2479"/>
      <c r="I143" s="2479"/>
      <c r="J143" s="2480"/>
      <c r="K143" s="1007"/>
      <c r="L143" s="1708"/>
      <c r="M143" s="753"/>
    </row>
    <row r="144" spans="2:22" ht="72.75" customHeight="1" thickBot="1">
      <c r="B144" s="2476" t="s">
        <v>6683</v>
      </c>
      <c r="C144" s="2477"/>
      <c r="D144" s="2478" t="s">
        <v>6684</v>
      </c>
      <c r="E144" s="2479"/>
      <c r="F144" s="2479"/>
      <c r="G144" s="2479"/>
      <c r="H144" s="2479"/>
      <c r="I144" s="2479"/>
      <c r="J144" s="2480"/>
      <c r="K144" s="1007"/>
      <c r="L144" s="1708"/>
      <c r="M144" s="753"/>
    </row>
    <row r="145" spans="2:13" ht="28.5" customHeight="1" thickBot="1">
      <c r="B145" s="2476" t="s">
        <v>6685</v>
      </c>
      <c r="C145" s="2477"/>
      <c r="D145" s="2478" t="s">
        <v>6686</v>
      </c>
      <c r="E145" s="2479"/>
      <c r="F145" s="2479"/>
      <c r="G145" s="2479"/>
      <c r="H145" s="2479"/>
      <c r="I145" s="2479"/>
      <c r="J145" s="2480"/>
      <c r="K145" s="1007"/>
      <c r="L145" s="1708"/>
      <c r="M145" s="753"/>
    </row>
    <row r="146" spans="2:13" ht="15" thickBot="1">
      <c r="B146" s="753"/>
      <c r="C146" s="753"/>
      <c r="D146" s="753"/>
      <c r="E146" s="753"/>
      <c r="F146" s="753"/>
      <c r="G146" s="753"/>
      <c r="H146" s="753"/>
      <c r="I146" s="753"/>
      <c r="J146" s="753"/>
      <c r="K146" s="753"/>
      <c r="L146" s="1708"/>
      <c r="M146" s="753"/>
    </row>
    <row r="147" spans="2:13" ht="16.5" thickBot="1">
      <c r="B147" s="2481" t="s">
        <v>6687</v>
      </c>
      <c r="C147" s="2482"/>
      <c r="D147" s="2482"/>
      <c r="E147" s="2482"/>
      <c r="F147" s="2482"/>
      <c r="G147" s="2482"/>
      <c r="H147" s="2482"/>
      <c r="I147" s="2482"/>
      <c r="J147" s="2483"/>
      <c r="K147" s="1008"/>
      <c r="L147" s="1714"/>
      <c r="M147" s="1008"/>
    </row>
    <row r="148" spans="2:13" ht="15" thickBot="1">
      <c r="B148" s="753"/>
      <c r="C148" s="753"/>
      <c r="D148" s="753"/>
      <c r="E148" s="753"/>
      <c r="F148" s="753"/>
      <c r="G148" s="753"/>
      <c r="H148" s="753"/>
      <c r="I148" s="753"/>
      <c r="J148" s="753"/>
      <c r="K148" s="753"/>
      <c r="L148" s="1708"/>
      <c r="M148" s="753"/>
    </row>
    <row r="149" spans="2:13" ht="14.85" customHeight="1" thickBot="1">
      <c r="B149" s="2484" t="s">
        <v>6688</v>
      </c>
      <c r="C149" s="2485"/>
      <c r="D149" s="2013"/>
      <c r="E149" s="2484" t="s">
        <v>6689</v>
      </c>
      <c r="F149" s="2486"/>
      <c r="G149" s="2486"/>
      <c r="H149" s="2486"/>
      <c r="I149" s="2486"/>
      <c r="J149" s="2485"/>
      <c r="K149" s="753"/>
      <c r="L149" s="1708"/>
      <c r="M149" s="753"/>
    </row>
    <row r="150" spans="2:13" ht="15">
      <c r="B150" s="2487" t="s">
        <v>6690</v>
      </c>
      <c r="C150" s="2488"/>
      <c r="D150" s="2014"/>
      <c r="E150" s="2489" t="s">
        <v>6691</v>
      </c>
      <c r="F150" s="2490"/>
      <c r="G150" s="2490"/>
      <c r="H150" s="2490"/>
      <c r="I150" s="2490"/>
      <c r="J150" s="2491"/>
      <c r="K150" s="753"/>
      <c r="L150" s="1708"/>
      <c r="M150" s="753"/>
    </row>
    <row r="151" spans="2:13" ht="15">
      <c r="B151" s="2487" t="s">
        <v>6692</v>
      </c>
      <c r="C151" s="2488"/>
      <c r="D151" s="2014"/>
      <c r="E151" s="2492" t="s">
        <v>6693</v>
      </c>
      <c r="F151" s="2493"/>
      <c r="G151" s="2493"/>
      <c r="H151" s="2493"/>
      <c r="I151" s="2493"/>
      <c r="J151" s="2494"/>
      <c r="K151" s="753"/>
      <c r="L151" s="1708"/>
      <c r="M151" s="753"/>
    </row>
    <row r="152" spans="2:13" ht="15">
      <c r="B152" s="2487" t="s">
        <v>6694</v>
      </c>
      <c r="C152" s="2488"/>
      <c r="D152" s="2014"/>
      <c r="E152" s="2492" t="s">
        <v>6695</v>
      </c>
      <c r="F152" s="2493"/>
      <c r="G152" s="2493"/>
      <c r="H152" s="2493"/>
      <c r="I152" s="2493"/>
      <c r="J152" s="2494"/>
      <c r="K152" s="753"/>
      <c r="L152" s="1708"/>
      <c r="M152" s="753"/>
    </row>
    <row r="153" spans="2:13" ht="15">
      <c r="B153" s="2487" t="s">
        <v>6696</v>
      </c>
      <c r="C153" s="2488"/>
      <c r="D153" s="2014"/>
      <c r="E153" s="2492" t="s">
        <v>6697</v>
      </c>
      <c r="F153" s="2493"/>
      <c r="G153" s="2493"/>
      <c r="H153" s="2493"/>
      <c r="I153" s="2493"/>
      <c r="J153" s="2494"/>
      <c r="K153" s="753"/>
      <c r="L153" s="1708"/>
      <c r="M153" s="753"/>
    </row>
    <row r="154" spans="2:13" ht="14.85" customHeight="1">
      <c r="B154" s="2487" t="s">
        <v>6698</v>
      </c>
      <c r="C154" s="2488"/>
      <c r="D154" s="2014"/>
      <c r="E154" s="2492" t="s">
        <v>6699</v>
      </c>
      <c r="F154" s="2493"/>
      <c r="G154" s="2493"/>
      <c r="H154" s="2493"/>
      <c r="I154" s="2493"/>
      <c r="J154" s="2494"/>
      <c r="K154" s="753"/>
      <c r="L154" s="1708"/>
      <c r="M154" s="753"/>
    </row>
    <row r="155" spans="2:13" ht="14.85" customHeight="1">
      <c r="B155" s="2487" t="s">
        <v>6700</v>
      </c>
      <c r="C155" s="2488"/>
      <c r="D155" s="2014"/>
      <c r="E155" s="2492" t="s">
        <v>6701</v>
      </c>
      <c r="F155" s="2493"/>
      <c r="G155" s="2493"/>
      <c r="H155" s="2493"/>
      <c r="I155" s="2493"/>
      <c r="J155" s="2494"/>
      <c r="K155" s="753"/>
      <c r="L155" s="1708"/>
      <c r="M155" s="753"/>
    </row>
    <row r="156" spans="2:13" ht="14.85" customHeight="1">
      <c r="B156" s="2487" t="s">
        <v>6702</v>
      </c>
      <c r="C156" s="2488"/>
      <c r="D156" s="2014"/>
      <c r="E156" s="2492" t="s">
        <v>6703</v>
      </c>
      <c r="F156" s="2493"/>
      <c r="G156" s="2493"/>
      <c r="H156" s="2493"/>
      <c r="I156" s="2493"/>
      <c r="J156" s="2494"/>
      <c r="K156" s="753"/>
      <c r="L156" s="1708"/>
      <c r="M156" s="753"/>
    </row>
    <row r="157" spans="2:13" ht="15.75" thickBot="1">
      <c r="B157" s="2495" t="s">
        <v>6704</v>
      </c>
      <c r="C157" s="2496"/>
      <c r="D157" s="2015"/>
      <c r="E157" s="2497" t="s">
        <v>6705</v>
      </c>
      <c r="F157" s="2498"/>
      <c r="G157" s="2498"/>
      <c r="H157" s="2498"/>
      <c r="I157" s="2498"/>
      <c r="J157" s="2499"/>
      <c r="K157" s="753"/>
      <c r="L157" s="1708"/>
      <c r="M157" s="753"/>
    </row>
    <row r="158" spans="2:13"/>
  </sheetData>
  <sheetProtection password="C460" sheet="1" objects="1" scenarios="1"/>
  <mergeCells count="34">
    <mergeCell ref="B152:C152"/>
    <mergeCell ref="E152:J152"/>
    <mergeCell ref="B153:C153"/>
    <mergeCell ref="E153:J153"/>
    <mergeCell ref="B154:C154"/>
    <mergeCell ref="E154:J154"/>
    <mergeCell ref="B155:C155"/>
    <mergeCell ref="E155:J155"/>
    <mergeCell ref="B156:C156"/>
    <mergeCell ref="E156:J156"/>
    <mergeCell ref="B157:C157"/>
    <mergeCell ref="E157:J157"/>
    <mergeCell ref="B149:C149"/>
    <mergeCell ref="E149:J149"/>
    <mergeCell ref="B150:C150"/>
    <mergeCell ref="E150:J150"/>
    <mergeCell ref="B151:C151"/>
    <mergeCell ref="E151:J151"/>
    <mergeCell ref="B141:C141"/>
    <mergeCell ref="D141:J141"/>
    <mergeCell ref="B142:C142"/>
    <mergeCell ref="D142:J142"/>
    <mergeCell ref="B147:J147"/>
    <mergeCell ref="B143:C143"/>
    <mergeCell ref="D143:J143"/>
    <mergeCell ref="B144:C144"/>
    <mergeCell ref="D144:J144"/>
    <mergeCell ref="B145:C145"/>
    <mergeCell ref="D145:J145"/>
    <mergeCell ref="B121:C121"/>
    <mergeCell ref="B128:J128"/>
    <mergeCell ref="B134:J134"/>
    <mergeCell ref="B140:C140"/>
    <mergeCell ref="D140:J140"/>
  </mergeCells>
  <conditionalFormatting sqref="J6:J27">
    <cfRule type="cellIs" dxfId="47" priority="1" operator="equal">
      <formula>0</formula>
    </cfRule>
  </conditionalFormatting>
  <conditionalFormatting sqref="J30:J61">
    <cfRule type="cellIs" dxfId="46" priority="10" operator="equal">
      <formula>0</formula>
    </cfRule>
  </conditionalFormatting>
  <conditionalFormatting sqref="J64:J119">
    <cfRule type="cellIs" dxfId="4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8"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pageSetUpPr fitToPage="1"/>
  </sheetPr>
  <dimension ref="A1:O51"/>
  <sheetViews>
    <sheetView showGridLines="0" zoomScale="80" zoomScaleNormal="80" workbookViewId="0">
      <selection activeCell="G9" sqref="G9"/>
    </sheetView>
  </sheetViews>
  <sheetFormatPr defaultColWidth="0" defaultRowHeight="14.25" zeroHeight="1"/>
  <cols>
    <col min="1" max="1" width="0.625" style="753" customWidth="1"/>
    <col min="2" max="2" width="4.625" style="753" customWidth="1"/>
    <col min="3" max="3" width="53.125" style="753" customWidth="1"/>
    <col min="4" max="4" width="4.125" style="753" hidden="1" customWidth="1"/>
    <col min="5" max="6" width="5.625" style="753" customWidth="1"/>
    <col min="7" max="7" width="15.625" style="753" customWidth="1"/>
    <col min="8" max="8" width="26.125" style="753" bestFit="1" customWidth="1"/>
    <col min="9" max="9" width="2.625" style="65" customWidth="1"/>
    <col min="10" max="10" width="20.625" style="65" customWidth="1"/>
    <col min="11" max="11" width="1.625" style="65" customWidth="1"/>
    <col min="12" max="12" width="1.625" style="66" hidden="1" customWidth="1"/>
    <col min="13" max="13" width="19.625" style="65" hidden="1" customWidth="1"/>
    <col min="14" max="14" width="1.625" style="1708" hidden="1" customWidth="1"/>
    <col min="15" max="15" width="8.625" style="753" hidden="1" customWidth="1"/>
    <col min="16" max="16384" width="8" style="753" hidden="1"/>
  </cols>
  <sheetData>
    <row r="1" spans="1:14" ht="20.25">
      <c r="B1" s="61" t="s">
        <v>6706</v>
      </c>
      <c r="C1" s="61"/>
      <c r="D1" s="61"/>
      <c r="E1" s="61"/>
      <c r="F1" s="61"/>
      <c r="G1" s="61"/>
      <c r="H1" s="63" t="str">
        <f>Validation!B3</f>
        <v>Thames Water</v>
      </c>
      <c r="I1" s="61"/>
      <c r="J1" s="64" t="s">
        <v>94</v>
      </c>
    </row>
    <row r="2" spans="1:14" ht="15" thickBot="1">
      <c r="B2" s="68" t="s">
        <v>80</v>
      </c>
      <c r="C2" s="851"/>
      <c r="D2" s="851"/>
    </row>
    <row r="3" spans="1:14" s="65" customFormat="1" ht="27.75" thickBot="1">
      <c r="A3" s="753"/>
      <c r="B3" s="853" t="s">
        <v>96</v>
      </c>
      <c r="C3" s="2223"/>
      <c r="D3" s="2223" t="s">
        <v>2690</v>
      </c>
      <c r="E3" s="855" t="s">
        <v>98</v>
      </c>
      <c r="F3" s="855" t="s">
        <v>99</v>
      </c>
      <c r="G3" s="2222" t="s">
        <v>217</v>
      </c>
      <c r="H3" s="162" t="s">
        <v>3938</v>
      </c>
      <c r="J3" s="162" t="s">
        <v>103</v>
      </c>
      <c r="L3" s="66"/>
      <c r="M3" s="71" t="s">
        <v>107</v>
      </c>
      <c r="N3" s="66"/>
    </row>
    <row r="4" spans="1:14" s="65" customFormat="1" ht="15.75" thickBot="1">
      <c r="A4" s="753"/>
      <c r="B4" s="753"/>
      <c r="C4" s="753"/>
      <c r="D4" s="753"/>
      <c r="E4" s="753"/>
      <c r="F4" s="753"/>
      <c r="G4" s="753"/>
      <c r="H4" s="753"/>
      <c r="J4" s="931"/>
      <c r="L4" s="66"/>
      <c r="M4" s="78" t="s">
        <v>108</v>
      </c>
      <c r="N4" s="66"/>
    </row>
    <row r="5" spans="1:14" s="65" customFormat="1" ht="15.75" thickBot="1">
      <c r="A5" s="753"/>
      <c r="B5" s="2219" t="s">
        <v>214</v>
      </c>
      <c r="C5" s="904" t="s">
        <v>6707</v>
      </c>
      <c r="D5" s="753"/>
      <c r="E5" s="753"/>
      <c r="F5" s="753"/>
      <c r="G5" s="753"/>
      <c r="H5" s="753"/>
      <c r="J5" s="931"/>
      <c r="L5" s="66"/>
      <c r="M5" s="78"/>
      <c r="N5" s="66"/>
    </row>
    <row r="6" spans="1:14" s="65" customFormat="1" ht="20.100000000000001" customHeight="1">
      <c r="A6" s="753"/>
      <c r="B6" s="857" t="s">
        <v>6708</v>
      </c>
      <c r="C6" s="971" t="s">
        <v>6709</v>
      </c>
      <c r="D6" s="1543" t="s">
        <v>6710</v>
      </c>
      <c r="E6" s="978" t="s">
        <v>6252</v>
      </c>
      <c r="F6" s="860">
        <v>3</v>
      </c>
      <c r="G6" s="861">
        <v>1081.56918</v>
      </c>
      <c r="H6" s="1867"/>
      <c r="J6" s="25">
        <f t="shared" ref="J6:J12" si="0" xml:space="preserve"> IF( SUM( L6:N6 ) = 0, 0, $M$4 )</f>
        <v>0</v>
      </c>
      <c r="L6" s="66"/>
      <c r="M6" s="86">
        <f t="shared" ref="M6:M12" si="1" xml:space="preserve"> IF( ISNUMBER( G6 ), 0, 1 )</f>
        <v>0</v>
      </c>
      <c r="N6" s="66"/>
    </row>
    <row r="7" spans="1:14" s="65" customFormat="1" ht="20.100000000000001" customHeight="1">
      <c r="A7" s="753"/>
      <c r="B7" s="866" t="s">
        <v>6711</v>
      </c>
      <c r="C7" s="974" t="s">
        <v>6712</v>
      </c>
      <c r="D7" s="1544" t="s">
        <v>6713</v>
      </c>
      <c r="E7" s="2156" t="s">
        <v>6252</v>
      </c>
      <c r="F7" s="864">
        <v>3</v>
      </c>
      <c r="G7" s="2161">
        <v>267.02082000000001</v>
      </c>
      <c r="H7" s="2162" t="s">
        <v>6714</v>
      </c>
      <c r="J7" s="25">
        <f t="shared" si="0"/>
        <v>0</v>
      </c>
      <c r="L7" s="66"/>
      <c r="M7" s="86">
        <f t="shared" si="1"/>
        <v>0</v>
      </c>
      <c r="N7" s="66"/>
    </row>
    <row r="8" spans="1:14" s="65" customFormat="1" ht="20.100000000000001" customHeight="1">
      <c r="A8" s="753"/>
      <c r="B8" s="866" t="s">
        <v>6715</v>
      </c>
      <c r="C8" s="974" t="s">
        <v>6716</v>
      </c>
      <c r="D8" s="1544" t="s">
        <v>6717</v>
      </c>
      <c r="E8" s="2156" t="s">
        <v>6252</v>
      </c>
      <c r="F8" s="864">
        <v>3</v>
      </c>
      <c r="G8" s="868">
        <v>163.37899999999999</v>
      </c>
      <c r="H8" s="1869"/>
      <c r="J8" s="25">
        <f t="shared" si="0"/>
        <v>0</v>
      </c>
      <c r="L8" s="66"/>
      <c r="M8" s="86">
        <f t="shared" si="1"/>
        <v>0</v>
      </c>
      <c r="N8" s="66"/>
    </row>
    <row r="9" spans="1:14" s="65" customFormat="1" ht="20.100000000000001" customHeight="1">
      <c r="A9" s="753"/>
      <c r="B9" s="866" t="s">
        <v>6718</v>
      </c>
      <c r="C9" s="974" t="s">
        <v>6719</v>
      </c>
      <c r="D9" s="1544" t="s">
        <v>6720</v>
      </c>
      <c r="E9" s="2156" t="s">
        <v>6252</v>
      </c>
      <c r="F9" s="864">
        <v>3</v>
      </c>
      <c r="G9" s="868">
        <v>2117.4765000000002</v>
      </c>
      <c r="H9" s="1869"/>
      <c r="J9" s="25">
        <f t="shared" si="0"/>
        <v>0</v>
      </c>
      <c r="L9" s="66"/>
      <c r="M9" s="86">
        <f t="shared" si="1"/>
        <v>0</v>
      </c>
      <c r="N9" s="66"/>
    </row>
    <row r="10" spans="1:14" s="65" customFormat="1" ht="20.100000000000001" customHeight="1">
      <c r="A10" s="753"/>
      <c r="B10" s="866" t="s">
        <v>6721</v>
      </c>
      <c r="C10" s="974" t="s">
        <v>6722</v>
      </c>
      <c r="D10" s="1544" t="s">
        <v>6723</v>
      </c>
      <c r="E10" s="2156" t="s">
        <v>6252</v>
      </c>
      <c r="F10" s="864">
        <v>3</v>
      </c>
      <c r="G10" s="868">
        <v>35.801000000000002</v>
      </c>
      <c r="H10" s="1869"/>
      <c r="J10" s="25">
        <f t="shared" si="0"/>
        <v>0</v>
      </c>
      <c r="L10" s="66"/>
      <c r="M10" s="86">
        <f t="shared" si="1"/>
        <v>0</v>
      </c>
      <c r="N10" s="66"/>
    </row>
    <row r="11" spans="1:14" s="65" customFormat="1" ht="20.100000000000001" customHeight="1">
      <c r="A11" s="753"/>
      <c r="B11" s="866" t="s">
        <v>6724</v>
      </c>
      <c r="C11" s="974" t="s">
        <v>6725</v>
      </c>
      <c r="D11" s="1544" t="s">
        <v>6726</v>
      </c>
      <c r="E11" s="2156" t="s">
        <v>13</v>
      </c>
      <c r="F11" s="864">
        <v>3</v>
      </c>
      <c r="G11" s="868">
        <v>218.953</v>
      </c>
      <c r="H11" s="1869"/>
      <c r="J11" s="25">
        <f t="shared" si="0"/>
        <v>0</v>
      </c>
      <c r="L11" s="66"/>
      <c r="M11" s="86">
        <f t="shared" si="1"/>
        <v>0</v>
      </c>
      <c r="N11" s="66"/>
    </row>
    <row r="12" spans="1:14" s="65" customFormat="1" ht="20.100000000000001" customHeight="1">
      <c r="A12" s="753"/>
      <c r="B12" s="866" t="s">
        <v>6727</v>
      </c>
      <c r="C12" s="974" t="s">
        <v>6728</v>
      </c>
      <c r="D12" s="1544" t="s">
        <v>6729</v>
      </c>
      <c r="E12" s="2156" t="s">
        <v>13</v>
      </c>
      <c r="F12" s="864">
        <v>3</v>
      </c>
      <c r="G12" s="868">
        <v>3607.4690000000001</v>
      </c>
      <c r="H12" s="1869"/>
      <c r="J12" s="25">
        <f t="shared" si="0"/>
        <v>0</v>
      </c>
      <c r="L12" s="66"/>
      <c r="M12" s="86">
        <f t="shared" si="1"/>
        <v>0</v>
      </c>
      <c r="N12" s="66"/>
    </row>
    <row r="13" spans="1:14" s="65" customFormat="1" ht="20.100000000000001" customHeight="1">
      <c r="A13" s="753"/>
      <c r="B13" s="866" t="s">
        <v>6730</v>
      </c>
      <c r="C13" s="974" t="s">
        <v>6731</v>
      </c>
      <c r="D13" s="1544" t="s">
        <v>6732</v>
      </c>
      <c r="E13" s="2156" t="s">
        <v>6252</v>
      </c>
      <c r="F13" s="864">
        <v>3</v>
      </c>
      <c r="G13" s="868">
        <f>G12+G11</f>
        <v>3826.422</v>
      </c>
      <c r="H13" s="1869"/>
      <c r="J13" s="25">
        <f t="shared" ref="J13" si="2" xml:space="preserve"> IF( SUM( L13:N13 ) = 0, 0, $M$4 )</f>
        <v>0</v>
      </c>
      <c r="L13" s="66"/>
      <c r="M13" s="86">
        <f t="shared" ref="M13" si="3" xml:space="preserve"> IF( ISNUMBER( G13 ), 0, 1 )</f>
        <v>0</v>
      </c>
      <c r="N13" s="66"/>
    </row>
    <row r="14" spans="1:14" s="65" customFormat="1" ht="102">
      <c r="A14" s="753"/>
      <c r="B14" s="866" t="s">
        <v>6733</v>
      </c>
      <c r="C14" s="974" t="s">
        <v>6734</v>
      </c>
      <c r="D14" s="1544" t="s">
        <v>6735</v>
      </c>
      <c r="E14" s="2156" t="s">
        <v>6252</v>
      </c>
      <c r="F14" s="864">
        <v>3</v>
      </c>
      <c r="G14" s="868">
        <v>19.11</v>
      </c>
      <c r="H14" s="1869" t="s">
        <v>6736</v>
      </c>
      <c r="J14" s="25">
        <f t="shared" ref="J14:J23" si="4" xml:space="preserve"> IF( SUM( L14:N14 ) = 0, 0, $M$4 )</f>
        <v>0</v>
      </c>
      <c r="L14" s="66"/>
      <c r="M14" s="86">
        <f t="shared" ref="M14:M23" si="5" xml:space="preserve"> IF( ISNUMBER( G14 ), 0, 1 )</f>
        <v>0</v>
      </c>
      <c r="N14" s="66"/>
    </row>
    <row r="15" spans="1:14" s="65" customFormat="1" ht="76.5">
      <c r="A15" s="753"/>
      <c r="B15" s="866" t="s">
        <v>6737</v>
      </c>
      <c r="C15" s="974" t="s">
        <v>6738</v>
      </c>
      <c r="D15" s="1544" t="s">
        <v>6739</v>
      </c>
      <c r="E15" s="2156" t="s">
        <v>13</v>
      </c>
      <c r="F15" s="864">
        <v>3</v>
      </c>
      <c r="G15" s="868">
        <v>0.55300000000000005</v>
      </c>
      <c r="H15" s="1869" t="s">
        <v>6740</v>
      </c>
      <c r="J15" s="25">
        <f t="shared" si="4"/>
        <v>0</v>
      </c>
      <c r="L15" s="66"/>
      <c r="M15" s="86">
        <f t="shared" si="5"/>
        <v>0</v>
      </c>
      <c r="N15" s="66"/>
    </row>
    <row r="16" spans="1:14" s="65" customFormat="1" ht="140.25">
      <c r="A16" s="753"/>
      <c r="B16" s="866" t="s">
        <v>6741</v>
      </c>
      <c r="C16" s="974" t="s">
        <v>6742</v>
      </c>
      <c r="D16" s="1544" t="s">
        <v>6743</v>
      </c>
      <c r="E16" s="2156" t="s">
        <v>6252</v>
      </c>
      <c r="F16" s="864">
        <v>3</v>
      </c>
      <c r="G16" s="868">
        <v>16.559000000000001</v>
      </c>
      <c r="H16" s="1869" t="s">
        <v>6744</v>
      </c>
      <c r="J16" s="25">
        <f t="shared" si="4"/>
        <v>0</v>
      </c>
      <c r="L16" s="66"/>
      <c r="M16" s="86">
        <f t="shared" si="5"/>
        <v>0</v>
      </c>
      <c r="N16" s="66"/>
    </row>
    <row r="17" spans="1:14" s="65" customFormat="1" ht="127.5">
      <c r="A17" s="753"/>
      <c r="B17" s="866" t="s">
        <v>6745</v>
      </c>
      <c r="C17" s="974" t="s">
        <v>6746</v>
      </c>
      <c r="D17" s="1544" t="s">
        <v>6747</v>
      </c>
      <c r="E17" s="2156" t="s">
        <v>6252</v>
      </c>
      <c r="F17" s="864">
        <v>3</v>
      </c>
      <c r="G17" s="868">
        <v>98.052999999999997</v>
      </c>
      <c r="H17" s="1869" t="s">
        <v>6748</v>
      </c>
      <c r="J17" s="25">
        <f t="shared" si="4"/>
        <v>0</v>
      </c>
      <c r="L17" s="66"/>
      <c r="M17" s="86">
        <f t="shared" si="5"/>
        <v>0</v>
      </c>
      <c r="N17" s="66"/>
    </row>
    <row r="18" spans="1:14" s="65" customFormat="1" ht="20.100000000000001" customHeight="1">
      <c r="A18" s="753"/>
      <c r="B18" s="866" t="s">
        <v>6749</v>
      </c>
      <c r="C18" s="974" t="s">
        <v>6750</v>
      </c>
      <c r="D18" s="1544" t="s">
        <v>6751</v>
      </c>
      <c r="E18" s="2156" t="s">
        <v>6252</v>
      </c>
      <c r="F18" s="864">
        <v>3</v>
      </c>
      <c r="G18" s="868">
        <v>2.883</v>
      </c>
      <c r="H18" s="1869"/>
      <c r="J18" s="25">
        <f t="shared" si="4"/>
        <v>0</v>
      </c>
      <c r="L18" s="66"/>
      <c r="M18" s="86">
        <f t="shared" si="5"/>
        <v>0</v>
      </c>
      <c r="N18" s="66"/>
    </row>
    <row r="19" spans="1:14" s="65" customFormat="1" ht="20.100000000000001" customHeight="1">
      <c r="A19" s="753"/>
      <c r="B19" s="866" t="s">
        <v>6752</v>
      </c>
      <c r="C19" s="974" t="s">
        <v>6753</v>
      </c>
      <c r="D19" s="1544" t="s">
        <v>6754</v>
      </c>
      <c r="E19" s="2156" t="s">
        <v>6252</v>
      </c>
      <c r="F19" s="864">
        <v>3</v>
      </c>
      <c r="G19" s="868">
        <v>36.027999999999999</v>
      </c>
      <c r="H19" s="1869"/>
      <c r="J19" s="25">
        <f t="shared" si="4"/>
        <v>0</v>
      </c>
      <c r="L19" s="66"/>
      <c r="M19" s="86">
        <f t="shared" si="5"/>
        <v>0</v>
      </c>
      <c r="N19" s="66"/>
    </row>
    <row r="20" spans="1:14" s="65" customFormat="1" ht="20.100000000000001" customHeight="1">
      <c r="A20" s="753"/>
      <c r="B20" s="866" t="s">
        <v>6755</v>
      </c>
      <c r="C20" s="974" t="s">
        <v>6756</v>
      </c>
      <c r="D20" s="1544" t="s">
        <v>6757</v>
      </c>
      <c r="E20" s="2156" t="s">
        <v>6252</v>
      </c>
      <c r="F20" s="864">
        <v>3</v>
      </c>
      <c r="G20" s="868">
        <v>10012.826999999999</v>
      </c>
      <c r="H20" s="1869"/>
      <c r="J20" s="25">
        <f t="shared" si="4"/>
        <v>0</v>
      </c>
      <c r="L20" s="66"/>
      <c r="M20" s="86">
        <f t="shared" si="5"/>
        <v>0</v>
      </c>
      <c r="N20" s="66"/>
    </row>
    <row r="21" spans="1:14" s="65" customFormat="1" ht="20.100000000000001" customHeight="1">
      <c r="A21" s="753"/>
      <c r="B21" s="866" t="s">
        <v>6758</v>
      </c>
      <c r="C21" s="974" t="s">
        <v>6759</v>
      </c>
      <c r="D21" s="1544" t="s">
        <v>6760</v>
      </c>
      <c r="E21" s="2156" t="s">
        <v>6252</v>
      </c>
      <c r="F21" s="864">
        <v>3</v>
      </c>
      <c r="G21" s="868">
        <v>198.78399999999999</v>
      </c>
      <c r="H21" s="1869" t="s">
        <v>6761</v>
      </c>
      <c r="J21" s="25">
        <f t="shared" si="4"/>
        <v>0</v>
      </c>
      <c r="L21" s="66"/>
      <c r="M21" s="86">
        <f t="shared" si="5"/>
        <v>0</v>
      </c>
      <c r="N21" s="66"/>
    </row>
    <row r="22" spans="1:14" s="65" customFormat="1" ht="20.100000000000001" customHeight="1">
      <c r="A22" s="753"/>
      <c r="B22" s="866" t="s">
        <v>6762</v>
      </c>
      <c r="C22" s="974" t="s">
        <v>6763</v>
      </c>
      <c r="D22" s="1544" t="s">
        <v>6764</v>
      </c>
      <c r="E22" s="2156" t="s">
        <v>6252</v>
      </c>
      <c r="F22" s="864">
        <v>3</v>
      </c>
      <c r="G22" s="868">
        <v>1486.3520000000001</v>
      </c>
      <c r="H22" s="1869" t="s">
        <v>6765</v>
      </c>
      <c r="J22" s="25">
        <f t="shared" si="4"/>
        <v>0</v>
      </c>
      <c r="L22" s="66"/>
      <c r="M22" s="86">
        <f t="shared" si="5"/>
        <v>0</v>
      </c>
      <c r="N22" s="66"/>
    </row>
    <row r="23" spans="1:14" s="65" customFormat="1" ht="20.100000000000001" customHeight="1" thickBot="1">
      <c r="A23" s="753"/>
      <c r="B23" s="871" t="s">
        <v>6766</v>
      </c>
      <c r="C23" s="976" t="s">
        <v>6767</v>
      </c>
      <c r="D23" s="1545" t="s">
        <v>6768</v>
      </c>
      <c r="E23" s="983" t="s">
        <v>6769</v>
      </c>
      <c r="F23" s="874">
        <v>0</v>
      </c>
      <c r="G23" s="991">
        <v>8008</v>
      </c>
      <c r="H23" s="1870"/>
      <c r="J23" s="25">
        <f t="shared" si="4"/>
        <v>0</v>
      </c>
      <c r="L23" s="66"/>
      <c r="M23" s="86">
        <f t="shared" si="5"/>
        <v>0</v>
      </c>
      <c r="N23" s="66"/>
    </row>
    <row r="24" spans="1:14" s="65" customFormat="1" ht="15" thickBot="1">
      <c r="A24" s="753"/>
      <c r="B24" s="881"/>
      <c r="C24" s="882"/>
      <c r="D24" s="1546"/>
      <c r="E24" s="883"/>
      <c r="F24" s="884"/>
      <c r="G24" s="1009"/>
      <c r="H24" s="2029"/>
      <c r="J24" s="116"/>
      <c r="L24" s="66"/>
      <c r="N24" s="66"/>
    </row>
    <row r="25" spans="1:14" s="65" customFormat="1" ht="15" thickBot="1">
      <c r="A25" s="753"/>
      <c r="B25" s="2219" t="s">
        <v>236</v>
      </c>
      <c r="C25" s="904" t="s">
        <v>91</v>
      </c>
      <c r="D25" s="1546"/>
      <c r="E25" s="883"/>
      <c r="F25" s="884"/>
      <c r="G25" s="1009"/>
      <c r="H25" s="2029"/>
      <c r="J25" s="116"/>
      <c r="L25" s="66"/>
      <c r="N25" s="66"/>
    </row>
    <row r="26" spans="1:14" s="65" customFormat="1" ht="76.5">
      <c r="A26" s="753"/>
      <c r="B26" s="857" t="s">
        <v>6770</v>
      </c>
      <c r="C26" s="971" t="s">
        <v>6771</v>
      </c>
      <c r="D26" s="1543" t="s">
        <v>6772</v>
      </c>
      <c r="E26" s="978" t="s">
        <v>11</v>
      </c>
      <c r="F26" s="860">
        <v>0</v>
      </c>
      <c r="G26" s="986">
        <v>7591</v>
      </c>
      <c r="H26" s="1867" t="s">
        <v>6773</v>
      </c>
      <c r="J26" s="25">
        <f t="shared" ref="J26:J36" si="6" xml:space="preserve"> IF( SUM( L26:N26 ) = 0, 0, $M$4 )</f>
        <v>0</v>
      </c>
      <c r="L26" s="66"/>
      <c r="M26" s="86">
        <f t="shared" ref="M26:M36" si="7" xml:space="preserve"> IF( ISNUMBER( G26 ), 0, 1 )</f>
        <v>0</v>
      </c>
      <c r="N26" s="66"/>
    </row>
    <row r="27" spans="1:14" s="65" customFormat="1" ht="38.25">
      <c r="A27" s="753"/>
      <c r="B27" s="866" t="s">
        <v>6774</v>
      </c>
      <c r="C27" s="974" t="s">
        <v>6775</v>
      </c>
      <c r="D27" s="1544" t="s">
        <v>6776</v>
      </c>
      <c r="E27" s="2156" t="s">
        <v>15</v>
      </c>
      <c r="F27" s="864">
        <v>2</v>
      </c>
      <c r="G27" s="982">
        <v>0</v>
      </c>
      <c r="H27" s="1869" t="s">
        <v>6777</v>
      </c>
      <c r="J27" s="25">
        <f t="shared" si="6"/>
        <v>0</v>
      </c>
      <c r="L27" s="66"/>
      <c r="M27" s="86">
        <f t="shared" si="7"/>
        <v>0</v>
      </c>
      <c r="N27" s="66"/>
    </row>
    <row r="28" spans="1:14" s="65" customFormat="1" ht="38.25">
      <c r="A28" s="753"/>
      <c r="B28" s="866" t="s">
        <v>6778</v>
      </c>
      <c r="C28" s="974" t="s">
        <v>6779</v>
      </c>
      <c r="D28" s="1544" t="s">
        <v>6780</v>
      </c>
      <c r="E28" s="2156" t="s">
        <v>15</v>
      </c>
      <c r="F28" s="864">
        <v>2</v>
      </c>
      <c r="G28" s="982">
        <v>0</v>
      </c>
      <c r="H28" s="1869" t="s">
        <v>6777</v>
      </c>
      <c r="J28" s="25">
        <f t="shared" si="6"/>
        <v>0</v>
      </c>
      <c r="L28" s="66"/>
      <c r="M28" s="86">
        <f t="shared" si="7"/>
        <v>0</v>
      </c>
      <c r="N28" s="66"/>
    </row>
    <row r="29" spans="1:14" s="65" customFormat="1" ht="357">
      <c r="A29" s="753"/>
      <c r="B29" s="866" t="s">
        <v>6781</v>
      </c>
      <c r="C29" s="974" t="s">
        <v>6782</v>
      </c>
      <c r="D29" s="1544" t="s">
        <v>6783</v>
      </c>
      <c r="E29" s="2156" t="s">
        <v>15</v>
      </c>
      <c r="F29" s="864">
        <v>2</v>
      </c>
      <c r="G29" s="982">
        <v>8.7100000000000009</v>
      </c>
      <c r="H29" s="1869" t="s">
        <v>6784</v>
      </c>
      <c r="J29" s="25">
        <f t="shared" si="6"/>
        <v>0</v>
      </c>
      <c r="L29" s="66"/>
      <c r="M29" s="86">
        <f t="shared" si="7"/>
        <v>0</v>
      </c>
      <c r="N29" s="66"/>
    </row>
    <row r="30" spans="1:14" s="65" customFormat="1" ht="38.25">
      <c r="A30" s="753"/>
      <c r="B30" s="866" t="s">
        <v>6785</v>
      </c>
      <c r="C30" s="974" t="s">
        <v>6786</v>
      </c>
      <c r="D30" s="1544" t="s">
        <v>6787</v>
      </c>
      <c r="E30" s="2156" t="s">
        <v>15</v>
      </c>
      <c r="F30" s="864">
        <v>2</v>
      </c>
      <c r="G30" s="982">
        <v>4.25</v>
      </c>
      <c r="H30" s="1869" t="s">
        <v>6788</v>
      </c>
      <c r="J30" s="25">
        <f t="shared" si="6"/>
        <v>0</v>
      </c>
      <c r="L30" s="66"/>
      <c r="M30" s="86">
        <f t="shared" si="7"/>
        <v>0</v>
      </c>
      <c r="N30" s="66"/>
    </row>
    <row r="31" spans="1:14" s="65" customFormat="1" ht="20.100000000000001" customHeight="1">
      <c r="A31" s="753"/>
      <c r="B31" s="866" t="s">
        <v>6789</v>
      </c>
      <c r="C31" s="974" t="s">
        <v>6790</v>
      </c>
      <c r="D31" s="1544" t="s">
        <v>6791</v>
      </c>
      <c r="E31" s="2156" t="s">
        <v>6792</v>
      </c>
      <c r="F31" s="864">
        <v>0</v>
      </c>
      <c r="G31" s="981">
        <v>418037.13799999998</v>
      </c>
      <c r="H31" s="1869"/>
      <c r="J31" s="25">
        <f t="shared" si="6"/>
        <v>0</v>
      </c>
      <c r="L31" s="66"/>
      <c r="M31" s="86">
        <f t="shared" si="7"/>
        <v>0</v>
      </c>
      <c r="N31" s="66"/>
    </row>
    <row r="32" spans="1:14" s="65" customFormat="1" ht="20.100000000000001" customHeight="1">
      <c r="A32" s="753"/>
      <c r="B32" s="866" t="s">
        <v>6793</v>
      </c>
      <c r="C32" s="974" t="s">
        <v>6794</v>
      </c>
      <c r="D32" s="1544" t="s">
        <v>6795</v>
      </c>
      <c r="E32" s="2156" t="s">
        <v>6792</v>
      </c>
      <c r="F32" s="864">
        <v>0</v>
      </c>
      <c r="G32" s="981">
        <v>140141.027</v>
      </c>
      <c r="H32" s="1869"/>
      <c r="J32" s="25">
        <f t="shared" si="6"/>
        <v>0</v>
      </c>
      <c r="L32" s="66"/>
      <c r="M32" s="86">
        <f t="shared" si="7"/>
        <v>0</v>
      </c>
      <c r="N32" s="66"/>
    </row>
    <row r="33" spans="1:15" s="65" customFormat="1" ht="20.100000000000001" customHeight="1">
      <c r="A33" s="753"/>
      <c r="B33" s="866" t="s">
        <v>6796</v>
      </c>
      <c r="C33" s="974" t="s">
        <v>6797</v>
      </c>
      <c r="D33" s="1544" t="s">
        <v>6798</v>
      </c>
      <c r="E33" s="2156" t="s">
        <v>6792</v>
      </c>
      <c r="F33" s="864">
        <v>0</v>
      </c>
      <c r="G33" s="2022">
        <f>+G31+G32</f>
        <v>558178.16500000004</v>
      </c>
      <c r="H33" s="1869"/>
      <c r="J33" s="25">
        <f t="shared" si="6"/>
        <v>0</v>
      </c>
      <c r="L33" s="66"/>
      <c r="M33" s="177"/>
      <c r="N33" s="66"/>
    </row>
    <row r="34" spans="1:15" s="65" customFormat="1" ht="20.100000000000001" customHeight="1">
      <c r="A34" s="753"/>
      <c r="B34" s="866" t="s">
        <v>6799</v>
      </c>
      <c r="C34" s="974" t="s">
        <v>6800</v>
      </c>
      <c r="D34" s="1544" t="s">
        <v>6801</v>
      </c>
      <c r="E34" s="2156" t="s">
        <v>10</v>
      </c>
      <c r="F34" s="864">
        <v>2</v>
      </c>
      <c r="G34" s="1010">
        <v>1.1245000000000001</v>
      </c>
      <c r="H34" s="1869"/>
      <c r="J34" s="25">
        <f t="shared" si="6"/>
        <v>0</v>
      </c>
      <c r="L34" s="66"/>
      <c r="M34" s="86">
        <f t="shared" si="7"/>
        <v>0</v>
      </c>
      <c r="N34" s="66"/>
    </row>
    <row r="35" spans="1:15" s="65" customFormat="1" ht="20.100000000000001" customHeight="1">
      <c r="A35" s="753"/>
      <c r="B35" s="866" t="s">
        <v>6802</v>
      </c>
      <c r="C35" s="974" t="s">
        <v>6803</v>
      </c>
      <c r="D35" s="1544" t="s">
        <v>6804</v>
      </c>
      <c r="E35" s="2156" t="s">
        <v>10</v>
      </c>
      <c r="F35" s="864">
        <v>2</v>
      </c>
      <c r="G35" s="1010">
        <v>0.99960000000000004</v>
      </c>
      <c r="H35" s="1869"/>
      <c r="J35" s="25">
        <f t="shared" si="6"/>
        <v>0</v>
      </c>
      <c r="L35" s="66"/>
      <c r="M35" s="86">
        <f t="shared" si="7"/>
        <v>0</v>
      </c>
      <c r="N35" s="66"/>
    </row>
    <row r="36" spans="1:15" s="65" customFormat="1" ht="20.100000000000001" customHeight="1" thickBot="1">
      <c r="A36" s="753"/>
      <c r="B36" s="871" t="s">
        <v>6805</v>
      </c>
      <c r="C36" s="976" t="s">
        <v>6806</v>
      </c>
      <c r="D36" s="1545" t="s">
        <v>6807</v>
      </c>
      <c r="E36" s="983" t="s">
        <v>16</v>
      </c>
      <c r="F36" s="874">
        <v>3</v>
      </c>
      <c r="G36" s="875">
        <v>74.75</v>
      </c>
      <c r="H36" s="1870" t="s">
        <v>6808</v>
      </c>
      <c r="J36" s="25">
        <f t="shared" si="6"/>
        <v>0</v>
      </c>
      <c r="L36" s="66"/>
      <c r="M36" s="86">
        <f t="shared" si="7"/>
        <v>0</v>
      </c>
      <c r="N36" s="66"/>
    </row>
    <row r="37" spans="1:15" s="103" customFormat="1">
      <c r="A37" s="753"/>
      <c r="B37"/>
      <c r="C37"/>
      <c r="D37" s="882"/>
      <c r="E37" s="883"/>
      <c r="F37" s="884"/>
      <c r="G37" s="884"/>
      <c r="H37" s="2029"/>
      <c r="I37" s="65"/>
      <c r="J37" s="116"/>
      <c r="K37" s="65"/>
      <c r="L37" s="66"/>
      <c r="M37" s="65"/>
      <c r="N37" s="66"/>
      <c r="O37" s="65"/>
    </row>
    <row r="38" spans="1:15" s="103" customFormat="1">
      <c r="A38" s="753"/>
      <c r="B38" s="2349" t="s">
        <v>275</v>
      </c>
      <c r="C38" s="2349"/>
      <c r="D38" s="882"/>
      <c r="E38" s="883"/>
      <c r="F38" s="884"/>
      <c r="G38" s="884"/>
      <c r="H38" s="2029"/>
      <c r="I38" s="65"/>
      <c r="J38" s="116"/>
      <c r="K38" s="65"/>
      <c r="L38" s="66"/>
      <c r="M38" s="65"/>
      <c r="N38" s="66"/>
      <c r="O38" s="65"/>
    </row>
    <row r="39" spans="1:15" s="103" customFormat="1">
      <c r="A39" s="753"/>
      <c r="B39" s="2215"/>
      <c r="C39" s="2215"/>
      <c r="D39" s="882"/>
      <c r="E39" s="883"/>
      <c r="F39" s="884"/>
      <c r="G39" s="884"/>
      <c r="H39" s="2029"/>
      <c r="I39" s="65"/>
      <c r="J39" s="116"/>
      <c r="K39" s="65"/>
      <c r="L39" s="66"/>
      <c r="M39" s="65"/>
      <c r="N39" s="66"/>
      <c r="O39" s="65"/>
    </row>
    <row r="40" spans="1:15" s="103" customFormat="1">
      <c r="A40" s="142"/>
      <c r="B40" s="827"/>
      <c r="C40" s="828" t="s">
        <v>249</v>
      </c>
      <c r="D40" s="828"/>
      <c r="E40" s="142"/>
      <c r="F40" s="142"/>
      <c r="G40" s="142"/>
      <c r="H40" s="142"/>
      <c r="I40" s="116"/>
      <c r="J40" s="116"/>
      <c r="K40" s="116"/>
      <c r="L40" s="111"/>
      <c r="M40" s="177"/>
      <c r="N40" s="1709"/>
      <c r="O40" s="142"/>
    </row>
    <row r="41" spans="1:15" s="103" customFormat="1">
      <c r="A41" s="142"/>
      <c r="B41" s="281"/>
      <c r="C41" s="826"/>
      <c r="D41" s="826"/>
      <c r="E41" s="142"/>
      <c r="F41" s="142"/>
      <c r="G41" s="142"/>
      <c r="H41" s="142"/>
      <c r="I41" s="116"/>
      <c r="J41" s="116"/>
      <c r="K41" s="116"/>
      <c r="L41" s="111"/>
      <c r="M41" s="177"/>
      <c r="N41" s="1709"/>
      <c r="O41" s="142"/>
    </row>
    <row r="42" spans="1:15" s="103" customFormat="1">
      <c r="A42" s="142"/>
      <c r="B42" s="829"/>
      <c r="C42" s="828" t="s">
        <v>250</v>
      </c>
      <c r="D42" s="828"/>
      <c r="E42" s="142"/>
      <c r="F42" s="142"/>
      <c r="G42" s="142"/>
      <c r="H42" s="142"/>
      <c r="I42" s="116"/>
      <c r="J42" s="116"/>
      <c r="K42" s="116"/>
      <c r="L42" s="111"/>
      <c r="M42" s="177"/>
      <c r="N42" s="1709"/>
      <c r="O42" s="142"/>
    </row>
    <row r="43" spans="1:15" s="103" customFormat="1" ht="14.25" customHeight="1">
      <c r="C43" s="138"/>
      <c r="D43" s="138"/>
      <c r="I43" s="116"/>
      <c r="J43" s="116"/>
      <c r="K43" s="116"/>
      <c r="L43" s="111"/>
      <c r="M43" s="177"/>
      <c r="N43" s="1710"/>
    </row>
    <row r="44" spans="1:15" s="103" customFormat="1" ht="14.25" customHeight="1" thickBot="1">
      <c r="C44" s="138"/>
      <c r="D44" s="138"/>
      <c r="I44" s="116"/>
      <c r="J44" s="116"/>
      <c r="K44" s="116"/>
      <c r="L44" s="111"/>
      <c r="M44" s="177"/>
      <c r="N44" s="1710"/>
    </row>
    <row r="45" spans="1:15" s="103" customFormat="1" ht="14.25" customHeight="1" thickBot="1">
      <c r="B45" s="1166" t="s">
        <v>251</v>
      </c>
      <c r="C45" s="830"/>
      <c r="D45" s="830"/>
      <c r="E45" s="831"/>
      <c r="F45" s="831"/>
      <c r="G45" s="831"/>
      <c r="H45" s="831"/>
      <c r="I45" s="831"/>
      <c r="J45" s="832"/>
      <c r="K45" s="116"/>
      <c r="L45" s="111"/>
      <c r="M45" s="177"/>
      <c r="N45" s="1710"/>
    </row>
    <row r="46" spans="1:15" s="103" customFormat="1" ht="14.25" customHeight="1" thickBot="1">
      <c r="C46" s="138"/>
      <c r="D46" s="138"/>
      <c r="I46" s="116"/>
      <c r="J46" s="116"/>
      <c r="K46" s="116"/>
      <c r="L46" s="111"/>
      <c r="M46" s="177"/>
      <c r="N46" s="1710"/>
    </row>
    <row r="47" spans="1:15" ht="15" thickBot="1">
      <c r="B47" s="2500" t="s">
        <v>6809</v>
      </c>
      <c r="C47" s="2501"/>
      <c r="D47" s="2501"/>
      <c r="E47" s="2501"/>
      <c r="F47" s="2501"/>
      <c r="G47" s="2501"/>
      <c r="H47" s="2501"/>
      <c r="I47" s="2501"/>
      <c r="J47" s="2502"/>
      <c r="K47" s="116"/>
      <c r="L47" s="111"/>
      <c r="M47" s="177"/>
      <c r="N47" s="1710"/>
    </row>
    <row r="48" spans="1:15" ht="29.45" customHeight="1">
      <c r="B48" s="2503" t="s">
        <v>6810</v>
      </c>
      <c r="C48" s="2504"/>
      <c r="D48" s="2504"/>
      <c r="E48" s="2504"/>
      <c r="F48" s="2504"/>
      <c r="G48" s="2504"/>
      <c r="H48" s="2504"/>
      <c r="I48" s="2504"/>
      <c r="J48" s="2505"/>
      <c r="K48" s="116"/>
      <c r="L48" s="111"/>
      <c r="M48" s="177"/>
      <c r="N48" s="1710"/>
    </row>
    <row r="49" spans="2:14" ht="65.099999999999994" customHeight="1">
      <c r="B49" s="2506" t="s">
        <v>6811</v>
      </c>
      <c r="C49" s="2507"/>
      <c r="D49" s="2507"/>
      <c r="E49" s="2507"/>
      <c r="F49" s="2507"/>
      <c r="G49" s="2507"/>
      <c r="H49" s="2507"/>
      <c r="I49" s="2507"/>
      <c r="J49" s="2508"/>
      <c r="K49" s="116"/>
      <c r="L49" s="111"/>
      <c r="M49" s="177"/>
      <c r="N49" s="1710"/>
    </row>
    <row r="50" spans="2:14" ht="78.599999999999994" customHeight="1" thickBot="1">
      <c r="B50" s="2509" t="s">
        <v>6812</v>
      </c>
      <c r="C50" s="2510"/>
      <c r="D50" s="2510"/>
      <c r="E50" s="2510"/>
      <c r="F50" s="2510"/>
      <c r="G50" s="2510"/>
      <c r="H50" s="2510"/>
      <c r="I50" s="2510"/>
      <c r="J50" s="2511"/>
      <c r="K50" s="116"/>
      <c r="L50" s="111"/>
      <c r="M50" s="177"/>
      <c r="N50" s="1710"/>
    </row>
    <row r="51" spans="2:14">
      <c r="K51" s="116"/>
      <c r="L51" s="111"/>
      <c r="M51" s="177"/>
      <c r="N51" s="1710"/>
    </row>
  </sheetData>
  <sheetProtection password="C460" sheet="1" objects="1" scenarios="1"/>
  <mergeCells count="5">
    <mergeCell ref="B38:C38"/>
    <mergeCell ref="B47:J47"/>
    <mergeCell ref="B48:J48"/>
    <mergeCell ref="B49:J49"/>
    <mergeCell ref="B50:J50"/>
  </mergeCells>
  <conditionalFormatting sqref="J6:J23">
    <cfRule type="cellIs" dxfId="44" priority="1" operator="equal">
      <formula>0</formula>
    </cfRule>
  </conditionalFormatting>
  <conditionalFormatting sqref="J26:J36">
    <cfRule type="cellIs" dxfId="4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pageSetUpPr fitToPage="1"/>
  </sheetPr>
  <dimension ref="A1:N74"/>
  <sheetViews>
    <sheetView showGridLines="0" topLeftCell="A43" zoomScale="70" zoomScaleNormal="70" workbookViewId="0"/>
  </sheetViews>
  <sheetFormatPr defaultColWidth="0" defaultRowHeight="14.25" zeroHeight="1"/>
  <cols>
    <col min="1" max="1" width="0.625" customWidth="1"/>
    <col min="2" max="2" width="8.625" customWidth="1"/>
    <col min="3" max="3" width="84.125" customWidth="1"/>
    <col min="4" max="4" width="0.125" hidden="1" customWidth="1"/>
    <col min="5" max="6" width="8.625" customWidth="1"/>
    <col min="7" max="7" width="11.625" customWidth="1"/>
    <col min="8" max="8" width="37.125" customWidth="1"/>
    <col min="9" max="9" width="8.625" customWidth="1"/>
    <col min="10" max="10" width="20.125" customWidth="1"/>
    <col min="11" max="11" width="1.125" customWidth="1"/>
    <col min="12" max="12" width="2.125" style="1313" hidden="1" customWidth="1"/>
    <col min="13" max="13" width="19.625" hidden="1" customWidth="1"/>
    <col min="14" max="14" width="2.125" style="1313" hidden="1" customWidth="1"/>
    <col min="15" max="16384" width="8.625" hidden="1"/>
  </cols>
  <sheetData>
    <row r="1" spans="1:14" ht="20.25">
      <c r="A1" s="1012"/>
      <c r="B1" s="1013" t="s">
        <v>6813</v>
      </c>
      <c r="C1" s="1013"/>
      <c r="D1" s="1013"/>
      <c r="E1" s="1014"/>
      <c r="F1" s="1015"/>
      <c r="G1" s="61"/>
      <c r="H1" s="63" t="str">
        <f>Validation!B3</f>
        <v>Thames Water</v>
      </c>
      <c r="I1" s="61"/>
      <c r="J1" s="64" t="s">
        <v>94</v>
      </c>
      <c r="K1" s="65"/>
      <c r="L1" s="66"/>
      <c r="M1" s="65"/>
      <c r="N1" s="1708"/>
    </row>
    <row r="2" spans="1:14" ht="15.75" thickBot="1">
      <c r="A2" s="1016"/>
      <c r="B2" s="68" t="s">
        <v>80</v>
      </c>
      <c r="C2" s="1016"/>
      <c r="D2" s="1016"/>
      <c r="E2" s="1017"/>
      <c r="F2" s="1016"/>
      <c r="G2" s="1018"/>
      <c r="H2" s="1016"/>
      <c r="I2" s="1016"/>
      <c r="J2" s="65"/>
      <c r="K2" s="65"/>
      <c r="L2" s="66"/>
      <c r="M2" s="65"/>
      <c r="N2" s="1708"/>
    </row>
    <row r="3" spans="1:14" ht="15.75" thickBot="1">
      <c r="A3" s="1016"/>
      <c r="B3" s="1019" t="s">
        <v>4255</v>
      </c>
      <c r="C3" s="1020" t="s">
        <v>2</v>
      </c>
      <c r="D3" s="158" t="s">
        <v>2690</v>
      </c>
      <c r="E3" s="158" t="s">
        <v>3</v>
      </c>
      <c r="F3" s="159" t="s">
        <v>99</v>
      </c>
      <c r="G3" s="2222" t="s">
        <v>217</v>
      </c>
      <c r="H3" s="162" t="s">
        <v>3938</v>
      </c>
      <c r="I3" s="914"/>
      <c r="J3" s="162" t="s">
        <v>103</v>
      </c>
      <c r="K3" s="65"/>
      <c r="L3" s="66"/>
      <c r="M3" s="71" t="s">
        <v>107</v>
      </c>
      <c r="N3" s="66"/>
    </row>
    <row r="4" spans="1:14" ht="15.75" thickBot="1">
      <c r="A4" s="1016"/>
      <c r="B4" s="1021"/>
      <c r="C4" s="1021"/>
      <c r="D4" s="1034"/>
      <c r="E4" s="1016"/>
      <c r="F4" s="1016"/>
      <c r="G4" s="1016"/>
      <c r="H4" s="1016"/>
      <c r="I4" s="1016"/>
      <c r="J4" s="931"/>
      <c r="K4" s="65"/>
      <c r="L4" s="66"/>
      <c r="M4" s="78" t="s">
        <v>108</v>
      </c>
      <c r="N4" s="66"/>
    </row>
    <row r="5" spans="1:14" ht="15.75" thickBot="1">
      <c r="A5" s="1016"/>
      <c r="B5" s="2219" t="s">
        <v>214</v>
      </c>
      <c r="C5" s="904" t="s">
        <v>6814</v>
      </c>
      <c r="D5" s="1034"/>
      <c r="E5" s="1016"/>
      <c r="F5" s="1016"/>
      <c r="G5" s="1016"/>
      <c r="H5" s="1016"/>
      <c r="I5" s="1016"/>
      <c r="J5" s="931"/>
      <c r="K5" s="65"/>
      <c r="L5" s="66"/>
      <c r="M5" s="78"/>
      <c r="N5" s="66"/>
    </row>
    <row r="6" spans="1:14" ht="15">
      <c r="A6" s="1022"/>
      <c r="B6" s="857" t="s">
        <v>6815</v>
      </c>
      <c r="C6" s="941" t="s">
        <v>6816</v>
      </c>
      <c r="D6" s="859" t="s">
        <v>6817</v>
      </c>
      <c r="E6" s="1023" t="s">
        <v>11</v>
      </c>
      <c r="F6" s="1024">
        <v>0</v>
      </c>
      <c r="G6" s="1025">
        <v>0</v>
      </c>
      <c r="H6" s="957"/>
      <c r="I6" s="1016"/>
      <c r="J6" s="25">
        <f xml:space="preserve"> IF( SUM( L6:N6 ) = 0, 0, $M$4 )</f>
        <v>0</v>
      </c>
      <c r="K6" s="65"/>
      <c r="L6" s="66"/>
      <c r="M6" s="86">
        <f>IF(Validation!$H$3=1,0,IF(ISNUMBER(G6),0,1))</f>
        <v>0</v>
      </c>
      <c r="N6" s="66"/>
    </row>
    <row r="7" spans="1:14" ht="15">
      <c r="A7" s="1022"/>
      <c r="B7" s="866" t="s">
        <v>6818</v>
      </c>
      <c r="C7" s="955" t="s">
        <v>6819</v>
      </c>
      <c r="D7" s="1026" t="s">
        <v>6820</v>
      </c>
      <c r="E7" s="2155" t="s">
        <v>6623</v>
      </c>
      <c r="F7" s="864">
        <v>0</v>
      </c>
      <c r="G7" s="1027">
        <v>0</v>
      </c>
      <c r="H7" s="1028"/>
      <c r="I7" s="1016"/>
      <c r="J7" s="25">
        <f t="shared" ref="J7:J27" si="0" xml:space="preserve"> IF( SUM( L7:N7 ) = 0, 0, $M$4 )</f>
        <v>0</v>
      </c>
      <c r="K7" s="65"/>
      <c r="L7" s="66"/>
      <c r="M7" s="86">
        <f>IF(Validation!$H$3=1,0,IF(ISNUMBER(G7),0,1))</f>
        <v>0</v>
      </c>
      <c r="N7" s="66"/>
    </row>
    <row r="8" spans="1:14" ht="25.5">
      <c r="A8" s="1016"/>
      <c r="B8" s="866" t="s">
        <v>6821</v>
      </c>
      <c r="C8" s="867" t="s">
        <v>6822</v>
      </c>
      <c r="D8" s="2155" t="s">
        <v>6823</v>
      </c>
      <c r="E8" s="2155" t="s">
        <v>6391</v>
      </c>
      <c r="F8" s="864">
        <v>0</v>
      </c>
      <c r="G8" s="1029">
        <v>144319</v>
      </c>
      <c r="H8" s="958" t="s">
        <v>6824</v>
      </c>
      <c r="I8" s="1016"/>
      <c r="J8" s="25">
        <f t="shared" si="0"/>
        <v>0</v>
      </c>
      <c r="K8" s="65"/>
      <c r="L8" s="66"/>
      <c r="M8" s="86">
        <f>IF(Validation!$H$3=1,0,IF(ISNUMBER(G8),0,1))</f>
        <v>0</v>
      </c>
      <c r="N8" s="66"/>
    </row>
    <row r="9" spans="1:14" ht="25.5">
      <c r="A9" s="1016"/>
      <c r="B9" s="866" t="s">
        <v>6825</v>
      </c>
      <c r="C9" s="867" t="s">
        <v>6826</v>
      </c>
      <c r="D9" s="2155" t="s">
        <v>6827</v>
      </c>
      <c r="E9" s="2155" t="s">
        <v>11</v>
      </c>
      <c r="F9" s="864">
        <v>0</v>
      </c>
      <c r="G9" s="1029">
        <v>6958</v>
      </c>
      <c r="H9" s="958" t="s">
        <v>6824</v>
      </c>
      <c r="I9" s="1016"/>
      <c r="J9" s="25">
        <f t="shared" si="0"/>
        <v>0</v>
      </c>
      <c r="K9" s="65"/>
      <c r="L9" s="66"/>
      <c r="M9" s="86">
        <f>IF(Validation!$H$3=1,0,IF(ISNUMBER(G9),0,1))</f>
        <v>0</v>
      </c>
      <c r="N9" s="66"/>
    </row>
    <row r="10" spans="1:14" ht="76.5">
      <c r="A10" s="1022"/>
      <c r="B10" s="866" t="s">
        <v>6828</v>
      </c>
      <c r="C10" s="867" t="s">
        <v>6829</v>
      </c>
      <c r="D10" s="2155" t="s">
        <v>6830</v>
      </c>
      <c r="E10" s="2155" t="s">
        <v>11</v>
      </c>
      <c r="F10" s="864">
        <v>0</v>
      </c>
      <c r="G10" s="1029">
        <v>77402</v>
      </c>
      <c r="H10" s="958" t="s">
        <v>6831</v>
      </c>
      <c r="I10" s="1016"/>
      <c r="J10" s="25">
        <f t="shared" si="0"/>
        <v>0</v>
      </c>
      <c r="K10" s="65"/>
      <c r="L10" s="66"/>
      <c r="M10" s="86">
        <f>IF(Validation!$H$3=1,0,IF(ISNUMBER(G10),0,1))</f>
        <v>0</v>
      </c>
      <c r="N10" s="66"/>
    </row>
    <row r="11" spans="1:14" ht="63.75">
      <c r="A11" s="1022"/>
      <c r="B11" s="866" t="s">
        <v>6832</v>
      </c>
      <c r="C11" s="867" t="s">
        <v>6833</v>
      </c>
      <c r="D11" s="2155" t="s">
        <v>6834</v>
      </c>
      <c r="E11" s="2155" t="s">
        <v>11</v>
      </c>
      <c r="F11" s="864">
        <v>0</v>
      </c>
      <c r="G11" s="1029">
        <v>251</v>
      </c>
      <c r="H11" s="958" t="s">
        <v>6835</v>
      </c>
      <c r="I11" s="1016"/>
      <c r="J11" s="25">
        <f t="shared" si="0"/>
        <v>0</v>
      </c>
      <c r="K11" s="65"/>
      <c r="L11" s="66"/>
      <c r="M11" s="86">
        <f>IF(Validation!$H$3=1,0,IF(ISNUMBER(G11),0,1))</f>
        <v>0</v>
      </c>
      <c r="N11" s="66"/>
    </row>
    <row r="12" spans="1:14" ht="63.75">
      <c r="A12" s="1022"/>
      <c r="B12" s="866" t="s">
        <v>6836</v>
      </c>
      <c r="C12" s="867" t="s">
        <v>6837</v>
      </c>
      <c r="D12" s="2155" t="s">
        <v>6838</v>
      </c>
      <c r="E12" s="2155" t="s">
        <v>11</v>
      </c>
      <c r="F12" s="864">
        <v>0</v>
      </c>
      <c r="G12" s="1029">
        <v>70</v>
      </c>
      <c r="H12" s="958" t="s">
        <v>6839</v>
      </c>
      <c r="I12" s="1016"/>
      <c r="J12" s="25">
        <f t="shared" si="0"/>
        <v>0</v>
      </c>
      <c r="K12" s="65"/>
      <c r="L12" s="66"/>
      <c r="M12" s="86">
        <f>IF(Validation!$H$3=1,0,IF(ISNUMBER(G12),0,1))</f>
        <v>0</v>
      </c>
      <c r="N12" s="66"/>
    </row>
    <row r="13" spans="1:14" ht="15">
      <c r="A13" s="1016"/>
      <c r="B13" s="866" t="s">
        <v>6840</v>
      </c>
      <c r="C13" s="867" t="s">
        <v>6841</v>
      </c>
      <c r="D13" s="2155" t="s">
        <v>6842</v>
      </c>
      <c r="E13" s="2155" t="s">
        <v>11</v>
      </c>
      <c r="F13" s="864">
        <v>0</v>
      </c>
      <c r="G13" s="1029">
        <v>423</v>
      </c>
      <c r="H13" s="958" t="s">
        <v>6843</v>
      </c>
      <c r="I13" s="1016"/>
      <c r="J13" s="25">
        <f t="shared" si="0"/>
        <v>0</v>
      </c>
      <c r="K13" s="65"/>
      <c r="L13" s="66"/>
      <c r="M13" s="86">
        <f>IF(Validation!$H$3=1,0,IF(ISNUMBER(G13),0,1))</f>
        <v>0</v>
      </c>
      <c r="N13" s="66"/>
    </row>
    <row r="14" spans="1:14" ht="15">
      <c r="A14" s="1016"/>
      <c r="B14" s="866" t="s">
        <v>6844</v>
      </c>
      <c r="C14" s="867" t="s">
        <v>6845</v>
      </c>
      <c r="D14" s="2155" t="s">
        <v>6846</v>
      </c>
      <c r="E14" s="2155" t="s">
        <v>11</v>
      </c>
      <c r="F14" s="864">
        <v>0</v>
      </c>
      <c r="G14" s="1030">
        <v>18</v>
      </c>
      <c r="H14" s="945"/>
      <c r="I14" s="1016"/>
      <c r="J14" s="25">
        <f t="shared" si="0"/>
        <v>0</v>
      </c>
      <c r="K14" s="65"/>
      <c r="L14" s="66"/>
      <c r="M14" s="86">
        <f>IF(Validation!$H$3=1,0,IF(ISNUMBER(G14),0,1))</f>
        <v>0</v>
      </c>
      <c r="N14" s="66"/>
    </row>
    <row r="15" spans="1:14" ht="15">
      <c r="A15" s="1016"/>
      <c r="B15" s="866" t="s">
        <v>6847</v>
      </c>
      <c r="C15" s="867" t="s">
        <v>6848</v>
      </c>
      <c r="D15" s="2155" t="s">
        <v>6849</v>
      </c>
      <c r="E15" s="2155" t="s">
        <v>11</v>
      </c>
      <c r="F15" s="864">
        <v>0</v>
      </c>
      <c r="G15" s="1030">
        <v>237</v>
      </c>
      <c r="H15" s="945"/>
      <c r="I15" s="1016"/>
      <c r="J15" s="25">
        <f t="shared" si="0"/>
        <v>0</v>
      </c>
      <c r="K15" s="65"/>
      <c r="L15" s="66"/>
      <c r="M15" s="86">
        <f>IF(Validation!$H$3=1,0,IF(ISNUMBER(G15),0,1))</f>
        <v>0</v>
      </c>
      <c r="N15" s="66"/>
    </row>
    <row r="16" spans="1:14" ht="15">
      <c r="A16" s="1016"/>
      <c r="B16" s="866" t="s">
        <v>6850</v>
      </c>
      <c r="C16" s="867" t="s">
        <v>6851</v>
      </c>
      <c r="D16" s="2155" t="s">
        <v>6852</v>
      </c>
      <c r="E16" s="2155" t="s">
        <v>6399</v>
      </c>
      <c r="F16" s="864">
        <v>0</v>
      </c>
      <c r="G16" s="1030">
        <v>10356</v>
      </c>
      <c r="H16" s="945"/>
      <c r="I16" s="1016"/>
      <c r="J16" s="25">
        <f t="shared" si="0"/>
        <v>0</v>
      </c>
      <c r="K16" s="65"/>
      <c r="L16" s="66"/>
      <c r="M16" s="86">
        <f>IF(Validation!$H$3=1,0,IF(ISNUMBER(G16),0,1))</f>
        <v>0</v>
      </c>
      <c r="N16" s="66"/>
    </row>
    <row r="17" spans="1:14" ht="38.25">
      <c r="A17" s="1016"/>
      <c r="B17" s="866" t="s">
        <v>6853</v>
      </c>
      <c r="C17" s="867" t="s">
        <v>6854</v>
      </c>
      <c r="D17" s="2155" t="s">
        <v>6855</v>
      </c>
      <c r="E17" s="2155" t="s">
        <v>6856</v>
      </c>
      <c r="F17" s="864">
        <v>2</v>
      </c>
      <c r="G17" s="1031">
        <v>22037.02</v>
      </c>
      <c r="H17" s="945" t="s">
        <v>6857</v>
      </c>
      <c r="I17" s="1016"/>
      <c r="J17" s="25">
        <f t="shared" si="0"/>
        <v>0</v>
      </c>
      <c r="K17" s="65"/>
      <c r="L17" s="66"/>
      <c r="M17" s="86">
        <f>IF(Validation!$H$3=1,0,IF(ISNUMBER(G17),0,1))</f>
        <v>0</v>
      </c>
      <c r="N17" s="66"/>
    </row>
    <row r="18" spans="1:14" ht="15">
      <c r="A18" s="1016"/>
      <c r="B18" s="866" t="s">
        <v>6858</v>
      </c>
      <c r="C18" s="867" t="s">
        <v>6859</v>
      </c>
      <c r="D18" s="2155" t="s">
        <v>6860</v>
      </c>
      <c r="E18" s="2155" t="s">
        <v>6856</v>
      </c>
      <c r="F18" s="864">
        <v>2</v>
      </c>
      <c r="G18" s="1031">
        <v>1613153.24</v>
      </c>
      <c r="H18" s="945"/>
      <c r="I18" s="1016"/>
      <c r="J18" s="25">
        <f t="shared" si="0"/>
        <v>0</v>
      </c>
      <c r="K18" s="65"/>
      <c r="L18" s="66"/>
      <c r="M18" s="86">
        <f>IF(Validation!$H$3=1,0,IF(ISNUMBER(G18),0,1))</f>
        <v>0</v>
      </c>
      <c r="N18" s="66"/>
    </row>
    <row r="19" spans="1:14" ht="89.25">
      <c r="A19" s="1016"/>
      <c r="B19" s="866" t="s">
        <v>6861</v>
      </c>
      <c r="C19" s="867" t="s">
        <v>6862</v>
      </c>
      <c r="D19" s="2155" t="s">
        <v>6863</v>
      </c>
      <c r="E19" s="2155" t="s">
        <v>6399</v>
      </c>
      <c r="F19" s="864">
        <v>0</v>
      </c>
      <c r="G19" s="1030">
        <v>52</v>
      </c>
      <c r="H19" s="945" t="s">
        <v>6864</v>
      </c>
      <c r="I19" s="1016"/>
      <c r="J19" s="25">
        <f t="shared" si="0"/>
        <v>0</v>
      </c>
      <c r="K19" s="65"/>
      <c r="L19" s="66"/>
      <c r="M19" s="86">
        <f>IF(Validation!$H$3=1,0,IF(ISNUMBER(G19),0,1))</f>
        <v>0</v>
      </c>
      <c r="N19" s="66"/>
    </row>
    <row r="20" spans="1:14" ht="15">
      <c r="A20" s="1016"/>
      <c r="B20" s="866" t="s">
        <v>6865</v>
      </c>
      <c r="C20" s="867" t="s">
        <v>6866</v>
      </c>
      <c r="D20" s="2155" t="s">
        <v>6867</v>
      </c>
      <c r="E20" s="2155" t="s">
        <v>6399</v>
      </c>
      <c r="F20" s="864">
        <v>0</v>
      </c>
      <c r="G20" s="1030">
        <v>1</v>
      </c>
      <c r="H20" s="945"/>
      <c r="I20" s="1016"/>
      <c r="J20" s="25">
        <f t="shared" si="0"/>
        <v>0</v>
      </c>
      <c r="K20" s="65"/>
      <c r="L20" s="66"/>
      <c r="M20" s="86">
        <f>IF(Validation!$H$3=1,0,IF(ISNUMBER(G20),0,1))</f>
        <v>0</v>
      </c>
      <c r="N20" s="66"/>
    </row>
    <row r="21" spans="1:14" ht="15">
      <c r="A21" s="1016"/>
      <c r="B21" s="866" t="s">
        <v>6868</v>
      </c>
      <c r="C21" s="867" t="s">
        <v>6869</v>
      </c>
      <c r="D21" s="2155" t="s">
        <v>6870</v>
      </c>
      <c r="E21" s="2155" t="s">
        <v>6399</v>
      </c>
      <c r="F21" s="864">
        <v>0</v>
      </c>
      <c r="G21" s="1030">
        <v>37299.14</v>
      </c>
      <c r="H21" s="945"/>
      <c r="I21" s="1016"/>
      <c r="J21" s="25">
        <f t="shared" si="0"/>
        <v>0</v>
      </c>
      <c r="K21" s="65"/>
      <c r="L21" s="66"/>
      <c r="M21" s="86">
        <f>IF(Validation!$H$3=1,0,IF(ISNUMBER(G21),0,1))</f>
        <v>0</v>
      </c>
      <c r="N21" s="66"/>
    </row>
    <row r="22" spans="1:14" ht="15">
      <c r="A22" s="1016"/>
      <c r="B22" s="866" t="s">
        <v>6871</v>
      </c>
      <c r="C22" s="867" t="s">
        <v>6872</v>
      </c>
      <c r="D22" s="2155" t="s">
        <v>6873</v>
      </c>
      <c r="E22" s="2155" t="s">
        <v>6399</v>
      </c>
      <c r="F22" s="864">
        <v>0</v>
      </c>
      <c r="G22" s="1030">
        <v>23284.44</v>
      </c>
      <c r="H22" s="945"/>
      <c r="I22" s="1016"/>
      <c r="J22" s="25">
        <f t="shared" si="0"/>
        <v>0</v>
      </c>
      <c r="K22" s="65"/>
      <c r="L22" s="66"/>
      <c r="M22" s="86">
        <f>IF(Validation!$H$3=1,0,IF(ISNUMBER(G22),0,1))</f>
        <v>0</v>
      </c>
      <c r="N22" s="66"/>
    </row>
    <row r="23" spans="1:14" ht="15">
      <c r="A23" s="1016"/>
      <c r="B23" s="866" t="s">
        <v>6874</v>
      </c>
      <c r="C23" s="867" t="s">
        <v>6875</v>
      </c>
      <c r="D23" s="2155" t="s">
        <v>6876</v>
      </c>
      <c r="E23" s="2155" t="s">
        <v>6399</v>
      </c>
      <c r="F23" s="864">
        <v>0</v>
      </c>
      <c r="G23" s="1030">
        <v>6020.21</v>
      </c>
      <c r="H23" s="945"/>
      <c r="I23" s="1016"/>
      <c r="J23" s="25">
        <f t="shared" si="0"/>
        <v>0</v>
      </c>
      <c r="K23" s="65"/>
      <c r="L23" s="66"/>
      <c r="M23" s="86">
        <f>IF(Validation!$H$3=1,0,IF(ISNUMBER(G23),0,1))</f>
        <v>0</v>
      </c>
      <c r="N23" s="66"/>
    </row>
    <row r="24" spans="1:14" ht="15">
      <c r="A24" s="1016"/>
      <c r="B24" s="866" t="s">
        <v>6877</v>
      </c>
      <c r="C24" s="867" t="s">
        <v>6878</v>
      </c>
      <c r="D24" s="2155" t="s">
        <v>6879</v>
      </c>
      <c r="E24" s="2155" t="s">
        <v>6399</v>
      </c>
      <c r="F24" s="864">
        <v>0</v>
      </c>
      <c r="G24" s="1030">
        <v>2011.4</v>
      </c>
      <c r="H24" s="945"/>
      <c r="I24" s="1016"/>
      <c r="J24" s="25">
        <f t="shared" si="0"/>
        <v>0</v>
      </c>
      <c r="K24" s="65"/>
      <c r="L24" s="66"/>
      <c r="M24" s="86">
        <f>IF(Validation!$H$3=1,0,IF(ISNUMBER(G24),0,1))</f>
        <v>0</v>
      </c>
      <c r="N24" s="66"/>
    </row>
    <row r="25" spans="1:14" ht="15">
      <c r="A25" s="1016"/>
      <c r="B25" s="866" t="s">
        <v>6880</v>
      </c>
      <c r="C25" s="867" t="s">
        <v>6881</v>
      </c>
      <c r="D25" s="2155" t="s">
        <v>6882</v>
      </c>
      <c r="E25" s="2155" t="s">
        <v>6883</v>
      </c>
      <c r="F25" s="864">
        <v>0</v>
      </c>
      <c r="G25" s="1030">
        <v>325.82</v>
      </c>
      <c r="H25" s="945"/>
      <c r="I25" s="1016"/>
      <c r="J25" s="25">
        <f t="shared" si="0"/>
        <v>0</v>
      </c>
      <c r="K25" s="65"/>
      <c r="L25" s="66"/>
      <c r="M25" s="86">
        <f>IF(Validation!$H$3=1,0,IF(ISNUMBER(G25),0,1))</f>
        <v>0</v>
      </c>
      <c r="N25" s="66"/>
    </row>
    <row r="26" spans="1:14" ht="15">
      <c r="A26" s="1016"/>
      <c r="B26" s="866" t="s">
        <v>6884</v>
      </c>
      <c r="C26" s="867" t="s">
        <v>6885</v>
      </c>
      <c r="D26" s="2155" t="s">
        <v>6886</v>
      </c>
      <c r="E26" s="2155" t="s">
        <v>6883</v>
      </c>
      <c r="F26" s="864">
        <v>0</v>
      </c>
      <c r="G26" s="2144">
        <f>SUM(G21:G25)</f>
        <v>68941.010000000009</v>
      </c>
      <c r="H26" s="945"/>
      <c r="I26" s="1016"/>
      <c r="J26" s="25">
        <f t="shared" si="0"/>
        <v>0</v>
      </c>
      <c r="K26" s="65"/>
      <c r="L26" s="66"/>
      <c r="M26" s="86">
        <f>IF(Validation!$H$3=1,0,IF(ISNUMBER(G26),0,1))</f>
        <v>0</v>
      </c>
      <c r="N26" s="66"/>
    </row>
    <row r="27" spans="1:14" ht="15.75" thickBot="1">
      <c r="A27" s="1016"/>
      <c r="B27" s="871" t="s">
        <v>6887</v>
      </c>
      <c r="C27" s="949" t="s">
        <v>6888</v>
      </c>
      <c r="D27" s="873" t="s">
        <v>6889</v>
      </c>
      <c r="E27" s="873" t="s">
        <v>6399</v>
      </c>
      <c r="F27" s="874">
        <v>0</v>
      </c>
      <c r="G27" s="1032">
        <v>40038.769999999997</v>
      </c>
      <c r="H27" s="952"/>
      <c r="I27" s="1016"/>
      <c r="J27" s="25">
        <f t="shared" si="0"/>
        <v>0</v>
      </c>
      <c r="K27" s="65"/>
      <c r="L27" s="66"/>
      <c r="M27" s="86">
        <f>IF(Validation!$H$3=1,0,IF(ISNUMBER(G27),0,1))</f>
        <v>0</v>
      </c>
      <c r="N27" s="66"/>
    </row>
    <row r="28" spans="1:14" ht="15.75" thickBot="1">
      <c r="A28" s="1016"/>
      <c r="B28" s="1033"/>
      <c r="C28" s="1034"/>
      <c r="D28" s="1034"/>
      <c r="E28" s="1035"/>
      <c r="F28" s="1036"/>
    </row>
    <row r="29" spans="1:14" ht="15.75" thickBot="1">
      <c r="A29" s="1016"/>
      <c r="B29" s="2219" t="s">
        <v>236</v>
      </c>
      <c r="C29" s="904" t="s">
        <v>749</v>
      </c>
      <c r="D29" s="1034"/>
      <c r="E29" s="1035"/>
      <c r="F29" s="1036"/>
    </row>
    <row r="30" spans="1:14" ht="15">
      <c r="A30" s="1016"/>
      <c r="B30" s="79" t="s">
        <v>6890</v>
      </c>
      <c r="C30" s="109" t="s">
        <v>6891</v>
      </c>
      <c r="D30" s="81" t="s">
        <v>6892</v>
      </c>
      <c r="E30" s="81" t="s">
        <v>6893</v>
      </c>
      <c r="F30" s="82">
        <v>1</v>
      </c>
      <c r="G30" s="1037">
        <v>366.21699999999998</v>
      </c>
      <c r="H30" s="957"/>
      <c r="J30" s="25">
        <f t="shared" ref="J30:J31" si="1" xml:space="preserve"> IF( SUM( L30:N30 ) = 0, 0, $M$4 )</f>
        <v>0</v>
      </c>
      <c r="K30" s="65"/>
      <c r="L30" s="66"/>
      <c r="M30" s="86">
        <f>IF(Validation!$H$3=1,0,IF(ISNUMBER(G30),0,1))</f>
        <v>0</v>
      </c>
      <c r="N30" s="66"/>
    </row>
    <row r="31" spans="1:14" ht="15">
      <c r="A31" s="1016"/>
      <c r="B31" s="909" t="s">
        <v>6894</v>
      </c>
      <c r="C31" s="867" t="s">
        <v>6895</v>
      </c>
      <c r="D31" s="2155" t="s">
        <v>6896</v>
      </c>
      <c r="E31" s="2155" t="s">
        <v>6893</v>
      </c>
      <c r="F31" s="864">
        <v>1</v>
      </c>
      <c r="G31" s="1038">
        <v>0</v>
      </c>
      <c r="H31" s="958"/>
      <c r="J31" s="25">
        <f t="shared" si="1"/>
        <v>0</v>
      </c>
      <c r="K31" s="65"/>
      <c r="L31" s="66"/>
      <c r="M31" s="86">
        <f>IF(Validation!$H$3=1,0,IF(ISNUMBER(G31),0,1))</f>
        <v>0</v>
      </c>
      <c r="N31" s="66"/>
    </row>
    <row r="32" spans="1:14" ht="15.75" thickBot="1">
      <c r="A32" s="1016"/>
      <c r="B32" s="871" t="s">
        <v>6897</v>
      </c>
      <c r="C32" s="949" t="s">
        <v>6898</v>
      </c>
      <c r="D32" s="873" t="s">
        <v>6899</v>
      </c>
      <c r="E32" s="873" t="s">
        <v>6893</v>
      </c>
      <c r="F32" s="874">
        <v>1</v>
      </c>
      <c r="G32" s="2145">
        <f>+G30+G31</f>
        <v>366.21699999999998</v>
      </c>
      <c r="H32" s="952"/>
    </row>
    <row r="33" spans="1:14" ht="16.5" thickBot="1">
      <c r="A33" s="1016"/>
      <c r="B33" s="1040"/>
      <c r="C33" s="1041"/>
      <c r="D33" s="1041"/>
      <c r="E33" s="1040"/>
      <c r="F33" s="1022"/>
      <c r="G33" s="1042"/>
      <c r="H33" s="1041"/>
    </row>
    <row r="34" spans="1:14" ht="15.75" thickBot="1">
      <c r="A34" s="1016"/>
      <c r="B34" s="877" t="s">
        <v>6900</v>
      </c>
      <c r="C34" s="878" t="s">
        <v>6901</v>
      </c>
      <c r="D34" s="1043" t="s">
        <v>6902</v>
      </c>
      <c r="E34" s="1043" t="s">
        <v>10</v>
      </c>
      <c r="F34" s="1044">
        <v>2</v>
      </c>
      <c r="G34" s="1700">
        <v>0.89710000000000001</v>
      </c>
      <c r="H34" s="1879"/>
      <c r="J34" s="25">
        <f xml:space="preserve"> IF( SUM( L34:N34 ) = 0, 0, $M$4 )</f>
        <v>0</v>
      </c>
      <c r="K34" s="65"/>
      <c r="L34" s="66"/>
      <c r="M34" s="86">
        <f>IF(Validation!$H$3=1,0,IF(ISNUMBER(G34),0,1))</f>
        <v>0</v>
      </c>
      <c r="N34" s="66"/>
    </row>
    <row r="35" spans="1:14" ht="16.5" thickBot="1">
      <c r="A35" s="1016"/>
      <c r="B35" s="1017"/>
      <c r="C35" s="1022"/>
      <c r="D35" s="1022"/>
      <c r="E35" s="1017"/>
      <c r="F35" s="1022"/>
      <c r="G35" s="1045"/>
      <c r="H35" s="1022"/>
    </row>
    <row r="36" spans="1:14" ht="15">
      <c r="A36" s="1016"/>
      <c r="B36" s="79" t="s">
        <v>6903</v>
      </c>
      <c r="C36" s="109" t="s">
        <v>6904</v>
      </c>
      <c r="D36" s="81" t="s">
        <v>6905</v>
      </c>
      <c r="E36" s="81" t="s">
        <v>6893</v>
      </c>
      <c r="F36" s="82">
        <v>1</v>
      </c>
      <c r="G36" s="1037">
        <v>232.4</v>
      </c>
      <c r="H36" s="957"/>
      <c r="J36" s="25">
        <f t="shared" ref="J36:J37" si="2" xml:space="preserve"> IF( SUM( L36:N36 ) = 0, 0, $M$4 )</f>
        <v>0</v>
      </c>
      <c r="K36" s="65"/>
      <c r="L36" s="66"/>
      <c r="M36" s="86">
        <f>IF(Validation!$H$3=1,0,IF(ISNUMBER(G36),0,1))</f>
        <v>0</v>
      </c>
      <c r="N36" s="66"/>
    </row>
    <row r="37" spans="1:14" ht="15">
      <c r="A37" s="1016"/>
      <c r="B37" s="909" t="s">
        <v>6906</v>
      </c>
      <c r="C37" s="867" t="s">
        <v>6907</v>
      </c>
      <c r="D37" s="2155" t="s">
        <v>6908</v>
      </c>
      <c r="E37" s="2155" t="s">
        <v>6893</v>
      </c>
      <c r="F37" s="864">
        <v>1</v>
      </c>
      <c r="G37" s="1038">
        <v>0</v>
      </c>
      <c r="H37" s="958"/>
      <c r="J37" s="25">
        <f t="shared" si="2"/>
        <v>0</v>
      </c>
      <c r="K37" s="65"/>
      <c r="L37" s="66"/>
      <c r="M37" s="86">
        <f>IF(Validation!$H$3=1,0,IF(ISNUMBER(G37),0,1))</f>
        <v>0</v>
      </c>
      <c r="N37" s="66"/>
    </row>
    <row r="38" spans="1:14" ht="15.75" thickBot="1">
      <c r="A38" s="1016"/>
      <c r="B38" s="871" t="s">
        <v>6909</v>
      </c>
      <c r="C38" s="949" t="s">
        <v>6910</v>
      </c>
      <c r="D38" s="873" t="s">
        <v>6911</v>
      </c>
      <c r="E38" s="873" t="s">
        <v>6893</v>
      </c>
      <c r="F38" s="874">
        <v>1</v>
      </c>
      <c r="G38" s="2145">
        <f>+G36+G37</f>
        <v>232.4</v>
      </c>
      <c r="H38" s="952"/>
    </row>
    <row r="39" spans="1:14" ht="16.5" thickBot="1">
      <c r="A39" s="1016"/>
      <c r="B39" s="1017"/>
      <c r="C39" s="1022"/>
      <c r="D39" s="1022"/>
      <c r="E39" s="1022"/>
      <c r="F39" s="1022"/>
      <c r="G39" s="1046"/>
      <c r="H39" s="1047"/>
    </row>
    <row r="40" spans="1:14" ht="51">
      <c r="A40" s="1016"/>
      <c r="B40" s="79" t="s">
        <v>6912</v>
      </c>
      <c r="C40" s="109" t="s">
        <v>6913</v>
      </c>
      <c r="D40" s="81" t="s">
        <v>6914</v>
      </c>
      <c r="E40" s="81" t="s">
        <v>6915</v>
      </c>
      <c r="F40" s="82">
        <v>0</v>
      </c>
      <c r="G40" s="1048">
        <v>103.25</v>
      </c>
      <c r="H40" s="1880" t="s">
        <v>6916</v>
      </c>
      <c r="J40" s="25">
        <f t="shared" ref="J40:J42" si="3" xml:space="preserve"> IF( SUM( L40:N40 ) = 0, 0, $M$4 )</f>
        <v>0</v>
      </c>
      <c r="K40" s="65"/>
      <c r="L40" s="66"/>
      <c r="M40" s="86">
        <f>IF(Validation!$H$3=1,0,IF(ISNUMBER(G40),0,1))</f>
        <v>0</v>
      </c>
      <c r="N40" s="66"/>
    </row>
    <row r="41" spans="1:14" ht="38.25">
      <c r="A41" s="1016"/>
      <c r="B41" s="909" t="s">
        <v>6917</v>
      </c>
      <c r="C41" s="867" t="s">
        <v>6918</v>
      </c>
      <c r="D41" s="2155" t="s">
        <v>6919</v>
      </c>
      <c r="E41" s="2155" t="s">
        <v>6915</v>
      </c>
      <c r="F41" s="864">
        <v>0</v>
      </c>
      <c r="G41" s="1049">
        <v>697.59226999999998</v>
      </c>
      <c r="H41" s="1881" t="s">
        <v>6920</v>
      </c>
      <c r="J41" s="25">
        <f t="shared" si="3"/>
        <v>0</v>
      </c>
      <c r="K41" s="65"/>
      <c r="L41" s="66"/>
      <c r="M41" s="86">
        <f>IF(Validation!$H$3=1,0,IF(ISNUMBER(G41),0,1))</f>
        <v>0</v>
      </c>
      <c r="N41" s="66"/>
    </row>
    <row r="42" spans="1:14" ht="15">
      <c r="A42" s="1016"/>
      <c r="B42" s="909" t="s">
        <v>6921</v>
      </c>
      <c r="C42" s="867" t="s">
        <v>6922</v>
      </c>
      <c r="D42" s="2155" t="s">
        <v>6923</v>
      </c>
      <c r="E42" s="2155" t="s">
        <v>6915</v>
      </c>
      <c r="F42" s="864">
        <v>0</v>
      </c>
      <c r="G42" s="1050">
        <v>439.029</v>
      </c>
      <c r="H42" s="1881"/>
      <c r="J42" s="25">
        <f t="shared" si="3"/>
        <v>0</v>
      </c>
      <c r="K42" s="65"/>
      <c r="L42" s="66"/>
      <c r="M42" s="86">
        <f>IF(Validation!$H$3=1,0,IF(ISNUMBER(G42),0,1))</f>
        <v>0</v>
      </c>
      <c r="N42" s="66"/>
    </row>
    <row r="43" spans="1:14" ht="15.75" thickBot="1">
      <c r="A43" s="1016"/>
      <c r="B43" s="871" t="s">
        <v>6924</v>
      </c>
      <c r="C43" s="949" t="s">
        <v>6925</v>
      </c>
      <c r="D43" s="873" t="s">
        <v>6926</v>
      </c>
      <c r="E43" s="873" t="s">
        <v>6915</v>
      </c>
      <c r="F43" s="874">
        <v>0</v>
      </c>
      <c r="G43" s="2146">
        <f>+G40+G41+G42</f>
        <v>1239.8712700000001</v>
      </c>
      <c r="H43" s="1882"/>
    </row>
    <row r="44" spans="1:14" ht="15.75" thickBot="1">
      <c r="A44" s="1016"/>
      <c r="B44" s="881"/>
      <c r="C44" s="882"/>
      <c r="D44" s="884"/>
      <c r="E44" s="884"/>
      <c r="F44" s="884"/>
      <c r="G44" s="1051"/>
      <c r="H44" s="1052"/>
    </row>
    <row r="45" spans="1:14" ht="64.5" thickBot="1">
      <c r="A45" s="1016"/>
      <c r="B45" s="877" t="s">
        <v>6927</v>
      </c>
      <c r="C45" s="878" t="s">
        <v>6928</v>
      </c>
      <c r="D45" s="1043" t="s">
        <v>6929</v>
      </c>
      <c r="E45" s="1043" t="s">
        <v>6930</v>
      </c>
      <c r="F45" s="1044">
        <v>0</v>
      </c>
      <c r="G45" s="1053">
        <v>20120728</v>
      </c>
      <c r="H45" s="1879" t="s">
        <v>6931</v>
      </c>
      <c r="J45" s="25">
        <f xml:space="preserve"> IF( SUM( L45:N45 ) = 0, 0, $M$4 )</f>
        <v>0</v>
      </c>
      <c r="K45" s="65"/>
      <c r="L45" s="66"/>
      <c r="M45" s="86">
        <f>IF(Validation!$H$3=1,0,IF(ISNUMBER(G45),0,1))</f>
        <v>0</v>
      </c>
      <c r="N45" s="66"/>
    </row>
    <row r="46" spans="1:14" ht="15.75" thickBot="1">
      <c r="A46" s="1016"/>
      <c r="B46" s="1040"/>
      <c r="C46" s="1041"/>
      <c r="D46" s="1041"/>
      <c r="E46" s="1040"/>
      <c r="F46" s="1041"/>
      <c r="G46" s="1054"/>
      <c r="H46" s="1055"/>
    </row>
    <row r="47" spans="1:14" ht="15">
      <c r="A47" s="1016"/>
      <c r="B47" s="1056" t="s">
        <v>6932</v>
      </c>
      <c r="C47" s="677" t="s">
        <v>6933</v>
      </c>
      <c r="D47" s="1057" t="s">
        <v>6934</v>
      </c>
      <c r="E47" s="1057" t="s">
        <v>6915</v>
      </c>
      <c r="F47" s="1058">
        <v>0</v>
      </c>
      <c r="G47" s="1059">
        <v>0</v>
      </c>
      <c r="H47" s="1883" t="s">
        <v>6935</v>
      </c>
      <c r="J47" s="25">
        <f t="shared" ref="J47:J49" si="4" xml:space="preserve"> IF( SUM( L47:N47 ) = 0, 0, $M$4 )</f>
        <v>0</v>
      </c>
      <c r="K47" s="65"/>
      <c r="L47" s="66"/>
      <c r="M47" s="86">
        <f>IF(Validation!$H$3=1,0,IF(ISNUMBER(G47),0,1))</f>
        <v>0</v>
      </c>
      <c r="N47" s="66"/>
    </row>
    <row r="48" spans="1:14" ht="25.5">
      <c r="A48" s="1016"/>
      <c r="B48" s="87" t="s">
        <v>6936</v>
      </c>
      <c r="C48" s="80" t="s">
        <v>6937</v>
      </c>
      <c r="D48" s="88" t="s">
        <v>6938</v>
      </c>
      <c r="E48" s="88" t="s">
        <v>6915</v>
      </c>
      <c r="F48" s="89">
        <v>0</v>
      </c>
      <c r="G48" s="1060">
        <v>0</v>
      </c>
      <c r="H48" s="958" t="s">
        <v>6939</v>
      </c>
      <c r="J48" s="25">
        <f t="shared" si="4"/>
        <v>0</v>
      </c>
      <c r="K48" s="65"/>
      <c r="L48" s="66"/>
      <c r="M48" s="86">
        <f>IF(Validation!$H$3=1,0,IF(ISNUMBER(G48),0,1))</f>
        <v>0</v>
      </c>
      <c r="N48" s="66"/>
    </row>
    <row r="49" spans="1:14" ht="25.5">
      <c r="A49" s="1016"/>
      <c r="B49" s="1061" t="s">
        <v>6940</v>
      </c>
      <c r="C49" s="149" t="s">
        <v>6941</v>
      </c>
      <c r="D49" s="145" t="s">
        <v>6942</v>
      </c>
      <c r="E49" s="2155" t="s">
        <v>6915</v>
      </c>
      <c r="F49" s="146">
        <v>0</v>
      </c>
      <c r="G49" s="2147">
        <v>11445.9</v>
      </c>
      <c r="H49" s="1884" t="s">
        <v>6943</v>
      </c>
      <c r="J49" s="25">
        <f t="shared" si="4"/>
        <v>0</v>
      </c>
      <c r="K49" s="65"/>
      <c r="L49" s="66"/>
      <c r="M49" s="86">
        <f>IF(Validation!$H$3=1,0,IF(ISNUMBER(G49),0,1))</f>
        <v>0</v>
      </c>
      <c r="N49" s="66"/>
    </row>
    <row r="50" spans="1:14" ht="15.75" thickBot="1">
      <c r="A50" s="1016"/>
      <c r="B50" s="871" t="s">
        <v>6944</v>
      </c>
      <c r="C50" s="949" t="s">
        <v>6945</v>
      </c>
      <c r="D50" s="873" t="s">
        <v>6946</v>
      </c>
      <c r="E50" s="873" t="s">
        <v>6915</v>
      </c>
      <c r="F50" s="874">
        <v>0</v>
      </c>
      <c r="G50" s="2146">
        <f>+G47+G48+G49</f>
        <v>11445.9</v>
      </c>
      <c r="H50" s="1882"/>
    </row>
    <row r="51" spans="1:14" ht="15.75" thickBot="1">
      <c r="A51" s="1016"/>
      <c r="B51" s="881"/>
      <c r="C51" s="882"/>
      <c r="D51" s="884"/>
      <c r="E51" s="884"/>
      <c r="F51" s="884"/>
      <c r="G51" s="1051"/>
      <c r="H51" s="1052"/>
    </row>
    <row r="52" spans="1:14" ht="26.25" thickBot="1">
      <c r="A52" s="1016"/>
      <c r="B52" s="877" t="s">
        <v>6947</v>
      </c>
      <c r="C52" s="878" t="s">
        <v>6948</v>
      </c>
      <c r="D52" s="1043" t="s">
        <v>6949</v>
      </c>
      <c r="E52" s="1043" t="s">
        <v>6930</v>
      </c>
      <c r="F52" s="1044">
        <v>0</v>
      </c>
      <c r="G52" s="1053">
        <v>0</v>
      </c>
      <c r="H52" s="1879" t="s">
        <v>6939</v>
      </c>
      <c r="J52" s="25">
        <f xml:space="preserve"> IF( SUM( L52:N52 ) = 0, 0, $M$4 )</f>
        <v>0</v>
      </c>
      <c r="K52" s="65"/>
      <c r="L52" s="66"/>
      <c r="M52" s="86">
        <f>IF(Validation!$H$3=1,0,IF(ISNUMBER(G52),0,1))</f>
        <v>0</v>
      </c>
      <c r="N52" s="66"/>
    </row>
    <row r="53" spans="1:14" ht="15.75" thickBot="1">
      <c r="A53" s="1016"/>
      <c r="B53" s="1022"/>
      <c r="C53" s="1022"/>
      <c r="D53" s="1022"/>
      <c r="E53" s="1022"/>
      <c r="F53" s="1022"/>
      <c r="G53" s="1047"/>
      <c r="H53" s="1047"/>
    </row>
    <row r="54" spans="1:14" ht="51.75" thickBot="1">
      <c r="A54" s="1016"/>
      <c r="B54" s="877" t="s">
        <v>6950</v>
      </c>
      <c r="C54" s="878" t="s">
        <v>6951</v>
      </c>
      <c r="D54" s="1043" t="s">
        <v>6952</v>
      </c>
      <c r="E54" s="1043" t="s">
        <v>10</v>
      </c>
      <c r="F54" s="1044">
        <v>2</v>
      </c>
      <c r="G54" s="1699">
        <v>0.36059999999999998</v>
      </c>
      <c r="H54" s="1879" t="s">
        <v>6953</v>
      </c>
      <c r="J54" s="25">
        <f xml:space="preserve"> IF( SUM( L54:N54 ) = 0, 0, $M$4 )</f>
        <v>0</v>
      </c>
      <c r="K54" s="65"/>
      <c r="L54" s="66"/>
      <c r="M54" s="86">
        <f>IF(Validation!$H$3=1,0,IF(ISNUMBER(G54),0,1))</f>
        <v>0</v>
      </c>
      <c r="N54" s="66"/>
    </row>
    <row r="55" spans="1:14" ht="15">
      <c r="A55" s="1016"/>
      <c r="B55" s="881"/>
      <c r="C55" s="882"/>
      <c r="D55" s="884"/>
      <c r="E55" s="884"/>
      <c r="F55" s="884"/>
      <c r="G55" s="884"/>
      <c r="H55" s="884"/>
    </row>
    <row r="56" spans="1:14" ht="15">
      <c r="A56" s="1016"/>
      <c r="B56" s="2512" t="s">
        <v>275</v>
      </c>
      <c r="C56" s="2512"/>
      <c r="D56" s="882"/>
      <c r="E56" s="883"/>
      <c r="F56" s="884"/>
    </row>
    <row r="57" spans="1:14" ht="15">
      <c r="A57" s="1016"/>
      <c r="B57" s="881"/>
      <c r="C57" s="887"/>
      <c r="D57" s="882"/>
      <c r="E57" s="883"/>
      <c r="F57" s="884"/>
    </row>
    <row r="58" spans="1:14" ht="15">
      <c r="A58" s="1016"/>
      <c r="B58" s="1062"/>
      <c r="C58" s="959" t="s">
        <v>249</v>
      </c>
      <c r="D58" s="828"/>
      <c r="E58" s="1039"/>
      <c r="F58" s="1039"/>
    </row>
    <row r="59" spans="1:14" ht="15">
      <c r="A59" s="1016"/>
      <c r="B59" s="1063"/>
      <c r="C59" s="959"/>
      <c r="D59" s="828"/>
      <c r="E59" s="1039"/>
      <c r="F59" s="1039"/>
    </row>
    <row r="60" spans="1:14" ht="15.75">
      <c r="B60" s="829"/>
      <c r="C60" s="1064" t="s">
        <v>4621</v>
      </c>
      <c r="D60" s="852"/>
      <c r="E60" s="852"/>
      <c r="F60" s="852"/>
    </row>
    <row r="61" spans="1:14"/>
    <row r="62" spans="1:14" ht="15" thickBot="1"/>
    <row r="63" spans="1:14" ht="16.5" thickBot="1">
      <c r="B63" s="2383" t="s">
        <v>251</v>
      </c>
      <c r="C63" s="2430"/>
      <c r="D63" s="2430"/>
      <c r="E63" s="2430"/>
      <c r="F63" s="2430"/>
      <c r="G63" s="2430"/>
      <c r="H63" s="2430"/>
      <c r="I63" s="2430"/>
      <c r="J63" s="2431"/>
    </row>
    <row r="64" spans="1:14"/>
    <row r="65" spans="2:12" ht="15">
      <c r="B65" s="2227" t="s">
        <v>4622</v>
      </c>
      <c r="C65" s="1016"/>
      <c r="D65" s="1016"/>
      <c r="E65" s="1016"/>
      <c r="F65" s="1022"/>
      <c r="G65" s="1016"/>
      <c r="H65" s="1016"/>
      <c r="I65" s="1016"/>
      <c r="J65" s="1016"/>
      <c r="K65" s="1016"/>
      <c r="L65" s="1703"/>
    </row>
    <row r="66" spans="2:12" ht="15.75" thickBot="1">
      <c r="B66" s="1016"/>
      <c r="C66" s="1016"/>
      <c r="D66" s="1016"/>
      <c r="E66" s="1016"/>
      <c r="F66" s="1022"/>
      <c r="G66" s="1016"/>
      <c r="H66" s="1016"/>
      <c r="I66" s="1016"/>
      <c r="J66" s="1016"/>
      <c r="K66" s="1016"/>
      <c r="L66" s="1703"/>
    </row>
    <row r="67" spans="2:12" ht="18" customHeight="1">
      <c r="B67" s="2452" t="s">
        <v>6954</v>
      </c>
      <c r="C67" s="2513"/>
      <c r="D67" s="2513"/>
      <c r="E67" s="2513"/>
      <c r="F67" s="2513"/>
      <c r="G67" s="2513"/>
      <c r="H67" s="2513"/>
      <c r="I67" s="2513"/>
      <c r="J67" s="2514"/>
      <c r="K67" s="1016"/>
      <c r="L67" s="1703"/>
    </row>
    <row r="68" spans="2:12" ht="18" customHeight="1">
      <c r="B68" s="2515"/>
      <c r="C68" s="2238"/>
      <c r="D68" s="2238"/>
      <c r="E68" s="2238"/>
      <c r="F68" s="2238"/>
      <c r="G68" s="2238"/>
      <c r="H68" s="2238"/>
      <c r="I68" s="2238"/>
      <c r="J68" s="2516"/>
      <c r="K68" s="1016"/>
      <c r="L68" s="1703"/>
    </row>
    <row r="69" spans="2:12" ht="18" customHeight="1">
      <c r="B69" s="2515"/>
      <c r="C69" s="2238"/>
      <c r="D69" s="2238"/>
      <c r="E69" s="2238"/>
      <c r="F69" s="2238"/>
      <c r="G69" s="2238"/>
      <c r="H69" s="2238"/>
      <c r="I69" s="2238"/>
      <c r="J69" s="2516"/>
      <c r="K69" s="1016"/>
      <c r="L69" s="1703"/>
    </row>
    <row r="70" spans="2:12" ht="18" customHeight="1">
      <c r="B70" s="2515"/>
      <c r="C70" s="2238"/>
      <c r="D70" s="2238"/>
      <c r="E70" s="2238"/>
      <c r="F70" s="2238"/>
      <c r="G70" s="2238"/>
      <c r="H70" s="2238"/>
      <c r="I70" s="2238"/>
      <c r="J70" s="2516"/>
      <c r="K70" s="1016"/>
      <c r="L70" s="1703"/>
    </row>
    <row r="71" spans="2:12" ht="18" customHeight="1">
      <c r="B71" s="2515"/>
      <c r="C71" s="2238"/>
      <c r="D71" s="2238"/>
      <c r="E71" s="2238"/>
      <c r="F71" s="2238"/>
      <c r="G71" s="2238"/>
      <c r="H71" s="2238"/>
      <c r="I71" s="2238"/>
      <c r="J71" s="2516"/>
      <c r="K71" s="1016"/>
      <c r="L71" s="1703"/>
    </row>
    <row r="72" spans="2:12" ht="18" customHeight="1">
      <c r="B72" s="2515"/>
      <c r="C72" s="2238"/>
      <c r="D72" s="2238"/>
      <c r="E72" s="2238"/>
      <c r="F72" s="2238"/>
      <c r="G72" s="2238"/>
      <c r="H72" s="2238"/>
      <c r="I72" s="2238"/>
      <c r="J72" s="2516"/>
      <c r="K72" s="1016"/>
      <c r="L72" s="1703"/>
    </row>
    <row r="73" spans="2:12" ht="18" customHeight="1" thickBot="1">
      <c r="B73" s="2517"/>
      <c r="C73" s="2518"/>
      <c r="D73" s="2518"/>
      <c r="E73" s="2518"/>
      <c r="F73" s="2518"/>
      <c r="G73" s="2518"/>
      <c r="H73" s="2518"/>
      <c r="I73" s="2518"/>
      <c r="J73" s="2519"/>
      <c r="K73" s="1016"/>
      <c r="L73" s="1703"/>
    </row>
    <row r="74" spans="2:12" ht="15">
      <c r="K74" s="1016"/>
      <c r="L74" s="1703"/>
    </row>
  </sheetData>
  <sheetProtection algorithmName="SHA-512" hashValue="LDYCNvkQQwiTDxEbCGRJQBxv8SxOsVpCxxkRydrWt9bH0/4BjXvpsKSW5RLzgpsKtAIq79cF/WuU+hcdid2ULQ==" saltValue="AmQhs4s9/2uWzMjCQhKc3A==" spinCount="100000" sheet="1" objects="1" scenarios="1"/>
  <mergeCells count="3">
    <mergeCell ref="B56:C56"/>
    <mergeCell ref="B63:J63"/>
    <mergeCell ref="B67:J73"/>
  </mergeCells>
  <conditionalFormatting sqref="J6:J27">
    <cfRule type="cellIs" dxfId="42" priority="13" operator="equal">
      <formula>0</formula>
    </cfRule>
  </conditionalFormatting>
  <conditionalFormatting sqref="J30:J31">
    <cfRule type="cellIs" dxfId="41" priority="12" operator="equal">
      <formula>0</formula>
    </cfRule>
  </conditionalFormatting>
  <conditionalFormatting sqref="J34">
    <cfRule type="cellIs" dxfId="40" priority="11" operator="equal">
      <formula>0</formula>
    </cfRule>
  </conditionalFormatting>
  <conditionalFormatting sqref="J36:J37">
    <cfRule type="cellIs" dxfId="39" priority="10" operator="equal">
      <formula>0</formula>
    </cfRule>
  </conditionalFormatting>
  <conditionalFormatting sqref="J40:J42">
    <cfRule type="cellIs" dxfId="38" priority="9" operator="equal">
      <formula>0</formula>
    </cfRule>
  </conditionalFormatting>
  <conditionalFormatting sqref="J45">
    <cfRule type="cellIs" dxfId="37" priority="8" operator="equal">
      <formula>0</formula>
    </cfRule>
  </conditionalFormatting>
  <conditionalFormatting sqref="J47:J49">
    <cfRule type="cellIs" dxfId="36" priority="7" operator="equal">
      <formula>0</formula>
    </cfRule>
  </conditionalFormatting>
  <conditionalFormatting sqref="J52">
    <cfRule type="cellIs" dxfId="35" priority="6" operator="equal">
      <formula>0</formula>
    </cfRule>
  </conditionalFormatting>
  <conditionalFormatting sqref="J54">
    <cfRule type="cellIs" dxfId="3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G45 G52 G54 G6:H27 G30:H32 G34:H34 G36:H38 G40:H43 G47:H50</xm:sqref>
        </x14:conditionalFormatting>
        <x14:conditionalFormatting xmlns:xm="http://schemas.microsoft.com/office/excel/2006/main">
          <x14:cfRule type="expression" priority="3" id="{748C952C-19E4-48B0-A4D8-53511305DD55}">
            <xm:f>'C:\Users\tmaddock\OneDrive - Thames Water Utilities Limited\Desktop\DCTM_FSS\ECM\Program Files\Microsoft Office\Office14\Documentum\Viewed\[2017-18-APR-excel-tables_TMS_18.xlsx]Validation'!#REF!=1</xm:f>
            <x14:dxf>
              <fill>
                <patternFill>
                  <bgColor theme="2"/>
                </patternFill>
              </fill>
            </x14:dxf>
          </x14:cfRule>
          <xm:sqref>H45</xm:sqref>
        </x14:conditionalFormatting>
        <x14:conditionalFormatting xmlns:xm="http://schemas.microsoft.com/office/excel/2006/main">
          <x14:cfRule type="expression" priority="2" id="{AD9A7F70-FC3D-4446-B0EC-E8A8D509C94F}">
            <xm:f>'C:\Users\tmaddock\OneDrive - Thames Water Utilities Limited\Desktop\DCTM_FSS\ECM\Program Files\Microsoft Office\Office14\Documentum\Viewed\[2017-18-APR-excel-tables_TMS_18.xlsx]Validation'!#REF!=1</xm:f>
            <x14:dxf>
              <fill>
                <patternFill>
                  <bgColor theme="2"/>
                </patternFill>
              </fill>
            </x14:dxf>
          </x14:cfRule>
          <xm:sqref>H52</xm:sqref>
        </x14:conditionalFormatting>
        <x14:conditionalFormatting xmlns:xm="http://schemas.microsoft.com/office/excel/2006/main">
          <x14:cfRule type="expression" priority="1" id="{EADC22FD-58C9-470F-96CB-046FCC71E257}">
            <xm:f>'C:\Users\tmaddock\OneDrive - Thames Water Utilities Limited\Desktop\DCTM_FSS\ECM\Program Files\Microsoft Office\Office14\Documentum\Viewed\[2017-18-APR-excel-tables_TMS_18.xlsx]Validation'!#REF!=1</xm:f>
            <x14:dxf>
              <fill>
                <patternFill>
                  <bgColor theme="2"/>
                </patternFill>
              </fill>
            </x14:dxf>
          </x14:cfRule>
          <xm:sqref>H54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CR66"/>
  <sheetViews>
    <sheetView showGridLines="0" topLeftCell="A27" zoomScale="80" zoomScaleNormal="80" workbookViewId="0">
      <selection activeCell="C35" sqref="C35"/>
    </sheetView>
  </sheetViews>
  <sheetFormatPr defaultColWidth="0" defaultRowHeight="14.25" zeroHeight="1"/>
  <cols>
    <col min="1" max="1" width="0.625" customWidth="1"/>
    <col min="2" max="2" width="8.625" customWidth="1"/>
    <col min="3" max="3" width="71.125" customWidth="1"/>
    <col min="4" max="4" width="8.125" hidden="1"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313" hidden="1" customWidth="1"/>
    <col min="38" max="63" width="1.5" hidden="1" customWidth="1"/>
    <col min="64" max="64" width="1.5" style="1313" hidden="1" customWidth="1"/>
    <col min="65" max="66" width="8.625" hidden="1" customWidth="1"/>
    <col min="67" max="67" width="71.125" hidden="1" customWidth="1"/>
    <col min="68" max="96" width="0" hidden="1" customWidth="1"/>
    <col min="97" max="16384" width="8.625" hidden="1"/>
  </cols>
  <sheetData>
    <row r="1" spans="1:96" ht="20.25">
      <c r="A1" s="1012"/>
      <c r="B1" s="1013" t="s">
        <v>6955</v>
      </c>
      <c r="C1" s="1013"/>
      <c r="D1" s="1065"/>
      <c r="E1" s="1015"/>
      <c r="F1" s="61"/>
      <c r="G1" s="61"/>
      <c r="H1" s="61"/>
      <c r="I1" s="61"/>
      <c r="J1" s="61"/>
      <c r="K1" s="61"/>
      <c r="L1" s="61"/>
      <c r="M1" s="61"/>
      <c r="N1" s="61"/>
      <c r="O1" s="61"/>
      <c r="P1" s="61"/>
      <c r="Q1" s="61"/>
      <c r="R1" s="61"/>
      <c r="S1" s="61"/>
      <c r="T1" s="61"/>
      <c r="U1" s="61"/>
      <c r="V1" s="61"/>
      <c r="W1" s="63"/>
      <c r="X1" s="63"/>
      <c r="Y1" s="63"/>
      <c r="Z1" s="63"/>
      <c r="AA1" s="63"/>
      <c r="AB1" s="63"/>
      <c r="AC1" s="63"/>
      <c r="AD1" s="63"/>
      <c r="AE1" s="63"/>
      <c r="AF1" s="63"/>
      <c r="AG1" s="63" t="str">
        <f>Validation!B3</f>
        <v>Thames Water</v>
      </c>
      <c r="AH1" s="61"/>
      <c r="AI1" s="64" t="s">
        <v>94</v>
      </c>
      <c r="AJ1" s="753"/>
      <c r="AK1" s="66"/>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6"/>
      <c r="BN1" s="1013" t="s">
        <v>6955</v>
      </c>
      <c r="BO1" s="1013"/>
      <c r="BP1" s="1065"/>
      <c r="BQ1" s="1015"/>
      <c r="BR1" s="61"/>
      <c r="BS1" s="61"/>
      <c r="BT1" s="61"/>
      <c r="BU1" s="61"/>
      <c r="BV1" s="61"/>
      <c r="BW1" s="61"/>
      <c r="BX1" s="61"/>
      <c r="BY1" s="61"/>
      <c r="BZ1" s="61"/>
      <c r="CA1" s="61"/>
      <c r="CB1" s="61"/>
      <c r="CC1" s="61"/>
      <c r="CD1" s="61"/>
      <c r="CE1" s="61"/>
      <c r="CF1" s="61"/>
      <c r="CG1" s="61"/>
      <c r="CH1" s="61"/>
      <c r="CI1" s="63"/>
      <c r="CJ1" s="63"/>
      <c r="CK1" s="63"/>
      <c r="CL1" s="63"/>
      <c r="CM1" s="63"/>
      <c r="CN1" s="63"/>
      <c r="CO1" s="63"/>
      <c r="CP1" s="63"/>
      <c r="CQ1" s="63"/>
      <c r="CR1" s="63"/>
    </row>
    <row r="2" spans="1:96" ht="15.75" thickBot="1">
      <c r="A2" s="1016"/>
      <c r="B2" s="68" t="s">
        <v>80</v>
      </c>
      <c r="C2" s="1016"/>
      <c r="D2" s="1022"/>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65"/>
      <c r="AJ2" s="753"/>
      <c r="AK2" s="66"/>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6"/>
      <c r="BN2" s="68" t="s">
        <v>80</v>
      </c>
      <c r="BO2" s="1016"/>
      <c r="BP2" s="1022"/>
      <c r="BQ2" s="1016"/>
      <c r="BR2" s="1016"/>
      <c r="BS2" s="1016"/>
      <c r="BT2" s="1016"/>
      <c r="BU2" s="1016"/>
      <c r="BV2" s="1016"/>
      <c r="BW2" s="1016"/>
      <c r="BX2" s="1016"/>
      <c r="BY2" s="1016"/>
      <c r="BZ2" s="1016"/>
      <c r="CA2" s="1016"/>
      <c r="CB2" s="1016"/>
      <c r="CC2" s="1016"/>
      <c r="CD2" s="1016"/>
      <c r="CE2" s="1016"/>
      <c r="CF2" s="1016"/>
      <c r="CG2" s="1016"/>
      <c r="CH2" s="1016"/>
      <c r="CI2" s="1016"/>
      <c r="CJ2" s="1016"/>
      <c r="CK2" s="1016"/>
      <c r="CL2" s="1016"/>
      <c r="CM2" s="1016"/>
      <c r="CN2" s="1016"/>
      <c r="CO2" s="1016"/>
      <c r="CP2" s="1016"/>
      <c r="CQ2" s="1016"/>
      <c r="CR2" s="1016"/>
    </row>
    <row r="3" spans="1:96" ht="15.75" thickBot="1">
      <c r="A3" s="1066"/>
      <c r="B3" s="2352" t="s">
        <v>96</v>
      </c>
      <c r="C3" s="2353"/>
      <c r="D3" s="2246" t="s">
        <v>2690</v>
      </c>
      <c r="E3" s="2246" t="s">
        <v>3</v>
      </c>
      <c r="F3" s="2248" t="s">
        <v>99</v>
      </c>
      <c r="G3" s="2350" t="s">
        <v>6956</v>
      </c>
      <c r="H3" s="2520"/>
      <c r="I3" s="2520"/>
      <c r="J3" s="2520"/>
      <c r="K3" s="2520"/>
      <c r="L3" s="2520"/>
      <c r="M3" s="2520"/>
      <c r="N3" s="2521"/>
      <c r="O3" s="1066"/>
      <c r="P3" s="2350" t="s">
        <v>6957</v>
      </c>
      <c r="Q3" s="2520"/>
      <c r="R3" s="2520"/>
      <c r="S3" s="2520"/>
      <c r="T3" s="2520"/>
      <c r="U3" s="2520"/>
      <c r="V3" s="2520"/>
      <c r="W3" s="2520"/>
      <c r="X3" s="2520"/>
      <c r="Y3" s="2520"/>
      <c r="Z3" s="2520"/>
      <c r="AA3" s="2520"/>
      <c r="AB3" s="2520"/>
      <c r="AC3" s="2520"/>
      <c r="AD3" s="2520"/>
      <c r="AE3" s="2520"/>
      <c r="AF3" s="2521"/>
      <c r="AG3" s="2240" t="s">
        <v>3938</v>
      </c>
      <c r="AH3" s="1066"/>
      <c r="AI3" s="2240" t="s">
        <v>103</v>
      </c>
      <c r="AJ3" s="65"/>
      <c r="AK3" s="66"/>
      <c r="AL3" s="71" t="s">
        <v>107</v>
      </c>
      <c r="AM3" s="71"/>
      <c r="AN3" s="71"/>
      <c r="AO3" s="71"/>
      <c r="AP3" s="71"/>
      <c r="AQ3" s="71"/>
      <c r="AR3" s="71"/>
      <c r="AS3" s="71"/>
      <c r="AT3" s="71"/>
      <c r="AU3" s="71"/>
      <c r="AV3" s="71"/>
      <c r="AW3" s="71"/>
      <c r="AX3" s="71"/>
      <c r="AY3" s="71"/>
      <c r="AZ3" s="71"/>
      <c r="BA3" s="71"/>
      <c r="BB3" s="583"/>
      <c r="BC3" s="583"/>
      <c r="BD3" s="583"/>
      <c r="BE3" s="583"/>
      <c r="BF3" s="583"/>
      <c r="BG3" s="583"/>
      <c r="BH3" s="583"/>
      <c r="BI3" s="583"/>
      <c r="BJ3" s="583"/>
      <c r="BK3" s="583"/>
      <c r="BL3" s="66"/>
      <c r="BN3" s="1019" t="s">
        <v>4255</v>
      </c>
      <c r="BO3" s="1020" t="s">
        <v>2</v>
      </c>
      <c r="BP3" s="158" t="s">
        <v>2690</v>
      </c>
      <c r="BQ3" s="158" t="s">
        <v>3</v>
      </c>
      <c r="BR3" s="159" t="s">
        <v>99</v>
      </c>
      <c r="BS3" s="2350" t="s">
        <v>6956</v>
      </c>
      <c r="BT3" s="2520"/>
      <c r="BU3" s="2520"/>
      <c r="BV3" s="2520"/>
      <c r="BW3" s="2520"/>
      <c r="BX3" s="2520"/>
      <c r="BY3" s="2520"/>
      <c r="BZ3" s="2521"/>
      <c r="CA3" s="1066"/>
      <c r="CB3" s="2350" t="s">
        <v>6957</v>
      </c>
      <c r="CC3" s="2520"/>
      <c r="CD3" s="2520"/>
      <c r="CE3" s="2520"/>
      <c r="CF3" s="2520"/>
      <c r="CG3" s="2520"/>
      <c r="CH3" s="2520"/>
      <c r="CI3" s="2520"/>
      <c r="CJ3" s="2520"/>
      <c r="CK3" s="2520"/>
      <c r="CL3" s="2520"/>
      <c r="CM3" s="2520"/>
      <c r="CN3" s="2520"/>
      <c r="CO3" s="2520"/>
      <c r="CP3" s="2520"/>
      <c r="CQ3" s="2520"/>
      <c r="CR3" s="2521"/>
    </row>
    <row r="4" spans="1:96" ht="15">
      <c r="A4" s="1066"/>
      <c r="B4" s="2387"/>
      <c r="C4" s="2388"/>
      <c r="D4" s="2536"/>
      <c r="E4" s="2536"/>
      <c r="F4" s="2537"/>
      <c r="G4" s="2257" t="s">
        <v>6958</v>
      </c>
      <c r="H4" s="2252" t="s">
        <v>6959</v>
      </c>
      <c r="I4" s="2525"/>
      <c r="J4" s="2257" t="s">
        <v>6960</v>
      </c>
      <c r="K4" s="2526"/>
      <c r="L4" s="2526"/>
      <c r="M4" s="2527"/>
      <c r="N4" s="2528" t="s">
        <v>680</v>
      </c>
      <c r="O4" s="1066"/>
      <c r="P4" s="2252" t="s">
        <v>6961</v>
      </c>
      <c r="Q4" s="2530"/>
      <c r="R4" s="2530"/>
      <c r="S4" s="2530"/>
      <c r="T4" s="2531"/>
      <c r="U4" s="2381" t="s">
        <v>6962</v>
      </c>
      <c r="V4" s="2532"/>
      <c r="W4" s="2532"/>
      <c r="X4" s="2532"/>
      <c r="Y4" s="2532"/>
      <c r="Z4" s="2533"/>
      <c r="AA4" s="2381" t="s">
        <v>6963</v>
      </c>
      <c r="AB4" s="2532"/>
      <c r="AC4" s="2532"/>
      <c r="AD4" s="2532"/>
      <c r="AE4" s="2532"/>
      <c r="AF4" s="2533"/>
      <c r="AG4" s="2522"/>
      <c r="AH4" s="1066"/>
      <c r="AI4" s="2407"/>
      <c r="AJ4" s="65"/>
      <c r="AK4" s="66"/>
      <c r="AL4" s="543"/>
      <c r="AM4" s="543"/>
      <c r="AN4" s="543"/>
      <c r="AO4" s="543"/>
      <c r="AP4" s="543"/>
      <c r="AQ4" s="543"/>
      <c r="AR4" s="543"/>
      <c r="AS4" s="543"/>
      <c r="AT4" s="543"/>
      <c r="AU4" s="543"/>
      <c r="AV4" s="543"/>
      <c r="AW4" s="543"/>
      <c r="AX4" s="543"/>
      <c r="AY4" s="543"/>
      <c r="AZ4" s="543"/>
      <c r="BA4" s="543"/>
      <c r="BL4" s="66"/>
      <c r="BN4" s="1066"/>
      <c r="BO4" s="1067"/>
      <c r="BP4" s="1067"/>
      <c r="BQ4" s="1068"/>
      <c r="BR4" s="1066"/>
      <c r="BS4" s="2257" t="s">
        <v>6958</v>
      </c>
      <c r="BT4" s="2252" t="s">
        <v>6959</v>
      </c>
      <c r="BU4" s="2525"/>
      <c r="BV4" s="2257" t="s">
        <v>6960</v>
      </c>
      <c r="BW4" s="2526"/>
      <c r="BX4" s="2526"/>
      <c r="BY4" s="2527"/>
      <c r="BZ4" s="2528" t="s">
        <v>680</v>
      </c>
      <c r="CA4" s="1066"/>
      <c r="CB4" s="2252" t="s">
        <v>6961</v>
      </c>
      <c r="CC4" s="2530"/>
      <c r="CD4" s="2530"/>
      <c r="CE4" s="2530"/>
      <c r="CF4" s="2531"/>
      <c r="CG4" s="2381" t="s">
        <v>6962</v>
      </c>
      <c r="CH4" s="2532"/>
      <c r="CI4" s="2532"/>
      <c r="CJ4" s="2532"/>
      <c r="CK4" s="2532"/>
      <c r="CL4" s="2533"/>
      <c r="CM4" s="2381" t="s">
        <v>6963</v>
      </c>
      <c r="CN4" s="2532"/>
      <c r="CO4" s="2532"/>
      <c r="CP4" s="2532"/>
      <c r="CQ4" s="2532"/>
      <c r="CR4" s="2533"/>
    </row>
    <row r="5" spans="1:96" ht="58.35" customHeight="1" thickBot="1">
      <c r="A5" s="1066"/>
      <c r="B5" s="2354"/>
      <c r="C5" s="2355"/>
      <c r="D5" s="2247"/>
      <c r="E5" s="2247"/>
      <c r="F5" s="2249"/>
      <c r="G5" s="2524"/>
      <c r="H5" s="2201" t="s">
        <v>6964</v>
      </c>
      <c r="I5" s="2202" t="s">
        <v>6965</v>
      </c>
      <c r="J5" s="2201" t="s">
        <v>6966</v>
      </c>
      <c r="K5" s="73" t="s">
        <v>6967</v>
      </c>
      <c r="L5" s="73" t="s">
        <v>6968</v>
      </c>
      <c r="M5" s="2202" t="s">
        <v>6969</v>
      </c>
      <c r="N5" s="2529"/>
      <c r="O5" s="1066"/>
      <c r="P5" s="2201" t="s">
        <v>6970</v>
      </c>
      <c r="Q5" s="73" t="s">
        <v>6971</v>
      </c>
      <c r="R5" s="73" t="s">
        <v>6972</v>
      </c>
      <c r="S5" s="73" t="s">
        <v>6973</v>
      </c>
      <c r="T5" s="1069" t="s">
        <v>680</v>
      </c>
      <c r="U5" s="2201" t="s">
        <v>6974</v>
      </c>
      <c r="V5" s="73" t="s">
        <v>6975</v>
      </c>
      <c r="W5" s="73" t="s">
        <v>6976</v>
      </c>
      <c r="X5" s="73" t="s">
        <v>6977</v>
      </c>
      <c r="Y5" s="73" t="s">
        <v>6973</v>
      </c>
      <c r="Z5" s="2202" t="s">
        <v>680</v>
      </c>
      <c r="AA5" s="2201" t="s">
        <v>6978</v>
      </c>
      <c r="AB5" s="73" t="s">
        <v>6979</v>
      </c>
      <c r="AC5" s="73" t="s">
        <v>6980</v>
      </c>
      <c r="AD5" s="73" t="s">
        <v>6981</v>
      </c>
      <c r="AE5" s="73" t="s">
        <v>6973</v>
      </c>
      <c r="AF5" s="2202" t="s">
        <v>680</v>
      </c>
      <c r="AG5" s="2523"/>
      <c r="AH5" s="1066"/>
      <c r="AI5" s="2241"/>
      <c r="AJ5" s="65"/>
      <c r="AK5" s="66"/>
      <c r="AL5" s="78" t="s">
        <v>108</v>
      </c>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66"/>
      <c r="BN5" s="1066"/>
      <c r="BO5" s="1067"/>
      <c r="BP5" s="1067"/>
      <c r="BQ5" s="1068"/>
      <c r="BR5" s="1066"/>
      <c r="BS5" s="2524"/>
      <c r="BT5" s="2201" t="s">
        <v>6964</v>
      </c>
      <c r="BU5" s="2202" t="s">
        <v>6965</v>
      </c>
      <c r="BV5" s="2201" t="s">
        <v>6966</v>
      </c>
      <c r="BW5" s="73" t="s">
        <v>6967</v>
      </c>
      <c r="BX5" s="73" t="s">
        <v>6968</v>
      </c>
      <c r="BY5" s="2202" t="s">
        <v>6969</v>
      </c>
      <c r="BZ5" s="2529"/>
      <c r="CA5" s="1066"/>
      <c r="CB5" s="2201" t="s">
        <v>6970</v>
      </c>
      <c r="CC5" s="73" t="s">
        <v>6971</v>
      </c>
      <c r="CD5" s="73" t="s">
        <v>6972</v>
      </c>
      <c r="CE5" s="73" t="s">
        <v>6973</v>
      </c>
      <c r="CF5" s="1069" t="s">
        <v>680</v>
      </c>
      <c r="CG5" s="2201" t="s">
        <v>6974</v>
      </c>
      <c r="CH5" s="73" t="s">
        <v>6975</v>
      </c>
      <c r="CI5" s="73" t="s">
        <v>6976</v>
      </c>
      <c r="CJ5" s="73" t="s">
        <v>6977</v>
      </c>
      <c r="CK5" s="73" t="s">
        <v>6973</v>
      </c>
      <c r="CL5" s="2202" t="s">
        <v>680</v>
      </c>
      <c r="CM5" s="2201" t="s">
        <v>6978</v>
      </c>
      <c r="CN5" s="73" t="s">
        <v>6979</v>
      </c>
      <c r="CO5" s="73" t="s">
        <v>6980</v>
      </c>
      <c r="CP5" s="73" t="s">
        <v>6981</v>
      </c>
      <c r="CQ5" s="73" t="s">
        <v>6973</v>
      </c>
      <c r="CR5" s="2202" t="s">
        <v>680</v>
      </c>
    </row>
    <row r="6" spans="1:96" ht="15.75" thickBot="1">
      <c r="A6" s="1016"/>
      <c r="B6" s="1066"/>
      <c r="C6" s="959"/>
      <c r="D6" s="959"/>
      <c r="E6" s="1070"/>
      <c r="F6" s="1016"/>
      <c r="G6" s="1066"/>
      <c r="H6" s="1066"/>
      <c r="I6" s="1066"/>
      <c r="J6" s="1066"/>
      <c r="K6" s="1066"/>
      <c r="L6" s="1066"/>
      <c r="M6" s="1066"/>
      <c r="N6" s="1066"/>
      <c r="O6" s="1016"/>
      <c r="P6" s="1016"/>
      <c r="Q6" s="1016"/>
      <c r="R6" s="1016"/>
      <c r="S6" s="1016"/>
      <c r="T6" s="1016"/>
      <c r="U6" s="1036"/>
      <c r="V6" s="1036"/>
      <c r="W6" s="1036"/>
      <c r="X6" s="1036"/>
      <c r="Y6" s="1036"/>
      <c r="Z6" s="1036"/>
      <c r="AA6" s="1036"/>
      <c r="AB6" s="1036"/>
      <c r="AC6" s="1036"/>
      <c r="AD6" s="1036"/>
      <c r="AE6" s="1036"/>
      <c r="AF6" s="1036"/>
      <c r="AG6" s="1016"/>
      <c r="AH6" s="1016"/>
      <c r="AI6" s="65"/>
      <c r="AJ6" s="65"/>
      <c r="AK6" s="66"/>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66"/>
      <c r="BN6" s="1066"/>
      <c r="BO6" s="959"/>
      <c r="BP6" s="959"/>
      <c r="BQ6" s="1070"/>
      <c r="BR6" s="1016"/>
      <c r="BS6" s="1066"/>
      <c r="BT6" s="1066"/>
      <c r="BU6" s="1066"/>
      <c r="BV6" s="1066"/>
      <c r="BW6" s="1066"/>
      <c r="BX6" s="1066"/>
      <c r="BY6" s="1066"/>
      <c r="BZ6" s="1066"/>
      <c r="CA6" s="1016"/>
      <c r="CB6" s="1016"/>
      <c r="CC6" s="1016"/>
      <c r="CD6" s="1016"/>
      <c r="CE6" s="1016"/>
      <c r="CF6" s="1016"/>
      <c r="CG6" s="1036"/>
      <c r="CH6" s="1036"/>
      <c r="CI6" s="1036"/>
      <c r="CJ6" s="1036"/>
      <c r="CK6" s="1036"/>
      <c r="CL6" s="1036"/>
      <c r="CM6" s="1036"/>
      <c r="CN6" s="1036"/>
      <c r="CO6" s="1036"/>
      <c r="CP6" s="1036"/>
      <c r="CQ6" s="1036"/>
      <c r="CR6" s="1036"/>
    </row>
    <row r="7" spans="1:96" ht="15.75" thickBot="1">
      <c r="A7" s="1016"/>
      <c r="B7" s="106" t="s">
        <v>214</v>
      </c>
      <c r="C7" s="107" t="s">
        <v>6982</v>
      </c>
      <c r="D7" s="1016"/>
      <c r="E7" s="1017"/>
      <c r="F7" s="1016"/>
      <c r="G7" s="1016"/>
      <c r="H7" s="1016"/>
      <c r="I7" s="1016"/>
      <c r="J7" s="1016"/>
      <c r="K7" s="1016"/>
      <c r="L7" s="1016"/>
      <c r="M7" s="1016"/>
      <c r="N7" s="1016"/>
      <c r="O7" s="1016"/>
      <c r="P7" s="1016"/>
      <c r="Q7" s="1016"/>
      <c r="R7" s="1016"/>
      <c r="S7" s="1016"/>
      <c r="T7" s="1016"/>
      <c r="U7" s="1036"/>
      <c r="V7" s="1036"/>
      <c r="W7" s="1036"/>
      <c r="X7" s="1036"/>
      <c r="Y7" s="1036"/>
      <c r="Z7" s="1036"/>
      <c r="AA7" s="1036"/>
      <c r="AB7" s="1036"/>
      <c r="AC7" s="1036"/>
      <c r="AD7" s="1036"/>
      <c r="AE7" s="1036"/>
      <c r="AF7" s="1036"/>
      <c r="AG7" s="1016"/>
      <c r="AH7" s="1016"/>
      <c r="AI7" s="1016"/>
      <c r="AJ7" s="65"/>
      <c r="AK7" s="66"/>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66"/>
      <c r="BN7" s="106" t="s">
        <v>214</v>
      </c>
      <c r="BO7" s="107" t="s">
        <v>6982</v>
      </c>
      <c r="BP7" s="1016"/>
      <c r="BQ7" s="1017"/>
      <c r="BR7" s="1016"/>
      <c r="BS7" s="1016"/>
      <c r="BT7" s="1016"/>
      <c r="BU7" s="1016"/>
      <c r="BV7" s="1016"/>
      <c r="BW7" s="1016"/>
      <c r="BX7" s="1016"/>
      <c r="BY7" s="1016"/>
      <c r="BZ7" s="1016"/>
      <c r="CA7" s="1016"/>
      <c r="CB7" s="1016"/>
      <c r="CC7" s="1016"/>
      <c r="CD7" s="1016"/>
      <c r="CE7" s="1016"/>
      <c r="CF7" s="1016"/>
      <c r="CG7" s="1036"/>
      <c r="CH7" s="1036"/>
      <c r="CI7" s="1036"/>
      <c r="CJ7" s="1036"/>
      <c r="CK7" s="1036"/>
      <c r="CL7" s="1036"/>
      <c r="CM7" s="1036"/>
      <c r="CN7" s="1036"/>
      <c r="CO7" s="1036"/>
      <c r="CP7" s="1036"/>
      <c r="CQ7" s="1036"/>
      <c r="CR7" s="1036"/>
    </row>
    <row r="8" spans="1:96" ht="51">
      <c r="A8" s="1016"/>
      <c r="B8" s="79" t="s">
        <v>6983</v>
      </c>
      <c r="C8" s="109" t="s">
        <v>6984</v>
      </c>
      <c r="D8" s="81"/>
      <c r="E8" s="81" t="s">
        <v>6985</v>
      </c>
      <c r="F8" s="82">
        <v>0</v>
      </c>
      <c r="G8" s="1071">
        <v>4.9425899340527941</v>
      </c>
      <c r="H8" s="1072">
        <v>50.242649160861184</v>
      </c>
      <c r="I8" s="1072">
        <v>267.5044664091368</v>
      </c>
      <c r="J8" s="1072">
        <v>30.266075953996285</v>
      </c>
      <c r="K8" s="1072">
        <v>0</v>
      </c>
      <c r="L8" s="1072">
        <v>115.08138196945686</v>
      </c>
      <c r="M8" s="1072">
        <v>0</v>
      </c>
      <c r="N8" s="1073">
        <f t="shared" ref="N8:N13" si="0">+SUM(G8:M8)</f>
        <v>468.03716342750391</v>
      </c>
      <c r="O8" s="1016"/>
      <c r="P8" s="1071">
        <v>0</v>
      </c>
      <c r="Q8" s="1072">
        <v>0</v>
      </c>
      <c r="R8" s="1072">
        <v>0</v>
      </c>
      <c r="S8" s="1072">
        <v>468.03716342750386</v>
      </c>
      <c r="T8" s="1073">
        <f t="shared" ref="T8:T13" si="1">+SUM(P8:S8)</f>
        <v>468.03716342750386</v>
      </c>
      <c r="U8" s="1071">
        <v>0</v>
      </c>
      <c r="V8" s="1072">
        <v>4.6382075627474899</v>
      </c>
      <c r="W8" s="1072">
        <v>44.84514562293613</v>
      </c>
      <c r="X8" s="1072">
        <v>379.54475389390552</v>
      </c>
      <c r="Y8" s="1072">
        <v>39.009056347914758</v>
      </c>
      <c r="Z8" s="1073">
        <f t="shared" ref="Z8:Z13" si="2">+SUM(U8:Y8)</f>
        <v>468.03716342750386</v>
      </c>
      <c r="AA8" s="1071">
        <v>0</v>
      </c>
      <c r="AB8" s="1072">
        <v>0</v>
      </c>
      <c r="AC8" s="1072">
        <v>61.827548315912892</v>
      </c>
      <c r="AD8" s="1072">
        <v>71.318748834056464</v>
      </c>
      <c r="AE8" s="1072">
        <v>334.89086627753443</v>
      </c>
      <c r="AF8" s="1073">
        <f t="shared" ref="AF8:AF13" si="3">+SUM(AA8:AE8)</f>
        <v>468.0371634275038</v>
      </c>
      <c r="AG8" s="957" t="s">
        <v>6986</v>
      </c>
      <c r="AH8" s="1016"/>
      <c r="AI8" s="770">
        <f xml:space="preserve"> IF( SUM( AK8:BL8 ) = 0, 0, $AL$5 )</f>
        <v>0</v>
      </c>
      <c r="AJ8" s="65"/>
      <c r="AK8" s="66"/>
      <c r="AL8" s="86">
        <f>IF(Validation!$H$3=1,0,IF(ISNUMBER(G8),0,1))</f>
        <v>0</v>
      </c>
      <c r="AM8" s="86">
        <f>IF(Validation!$H$3=1,0,IF(ISNUMBER(H8),0,1))</f>
        <v>0</v>
      </c>
      <c r="AN8" s="86">
        <f>IF(Validation!$H$3=1,0,IF(ISNUMBER(I8),0,1))</f>
        <v>0</v>
      </c>
      <c r="AO8" s="86">
        <f>IF(Validation!$H$3=1,0,IF(ISNUMBER(J8),0,1))</f>
        <v>0</v>
      </c>
      <c r="AP8" s="86">
        <f>IF(Validation!$H$3=1,0,IF(ISNUMBER(K8),0,1))</f>
        <v>0</v>
      </c>
      <c r="AQ8" s="86">
        <f>IF(Validation!$H$3=1,0,IF(ISNUMBER(L8),0,1))</f>
        <v>0</v>
      </c>
      <c r="AR8" s="86">
        <f>IF(Validation!$H$3=1,0,IF(ISNUMBER(M8),0,1))</f>
        <v>0</v>
      </c>
      <c r="AS8" s="86"/>
      <c r="AT8" s="78"/>
      <c r="AU8" s="86">
        <f>IF(Validation!$H$3=1,0,IF(ISNUMBER(P8),0,1))</f>
        <v>0</v>
      </c>
      <c r="AV8" s="86">
        <f>IF(Validation!$H$3=1,0,IF(ISNUMBER(Q8),0,1))</f>
        <v>0</v>
      </c>
      <c r="AW8" s="86">
        <f>IF(Validation!$H$3=1,0,IF(ISNUMBER(R8),0,1))</f>
        <v>0</v>
      </c>
      <c r="AX8" s="86">
        <f>IF(Validation!$H$3=1,0,IF(ISNUMBER(S8),0,1))</f>
        <v>0</v>
      </c>
      <c r="AY8" s="86"/>
      <c r="AZ8" s="86">
        <f>IF(Validation!$H$3=1,0,IF(ISNUMBER(U8),0,1))</f>
        <v>0</v>
      </c>
      <c r="BA8" s="86">
        <f>IF(Validation!$H$3=1,0,IF(ISNUMBER(V8),0,1))</f>
        <v>0</v>
      </c>
      <c r="BB8" s="86">
        <f>IF(Validation!$H$3=1,0,IF(ISNUMBER(W8),0,1))</f>
        <v>0</v>
      </c>
      <c r="BC8" s="86">
        <f>IF(Validation!$H$3=1,0,IF(ISNUMBER(X8),0,1))</f>
        <v>0</v>
      </c>
      <c r="BD8" s="86">
        <f>IF(Validation!$H$3=1,0,IF(ISNUMBER(Y8),0,1))</f>
        <v>0</v>
      </c>
      <c r="BE8" s="86"/>
      <c r="BF8" s="86">
        <f>IF(Validation!$H$3=1,0,IF(ISNUMBER(AA8),0,1))</f>
        <v>0</v>
      </c>
      <c r="BG8" s="86">
        <f>IF(Validation!$H$3=1,0,IF(ISNUMBER(AB8),0,1))</f>
        <v>0</v>
      </c>
      <c r="BH8" s="86">
        <f>IF(Validation!$H$3=1,0,IF(ISNUMBER(AC8),0,1))</f>
        <v>0</v>
      </c>
      <c r="BI8" s="86">
        <f>IF(Validation!$H$3=1,0,IF(ISNUMBER(AD8),0,1))</f>
        <v>0</v>
      </c>
      <c r="BJ8" s="86">
        <f>IF(Validation!$H$3=1,0,IF(ISNUMBER(AE8),0,1))</f>
        <v>0</v>
      </c>
      <c r="BK8" s="86"/>
      <c r="BL8" s="66"/>
      <c r="BN8" s="79" t="s">
        <v>6983</v>
      </c>
      <c r="BO8" s="109" t="s">
        <v>6984</v>
      </c>
      <c r="BP8" s="81"/>
      <c r="BQ8" s="81" t="s">
        <v>6985</v>
      </c>
      <c r="BR8" s="82">
        <v>0</v>
      </c>
      <c r="BS8" s="1071" t="s">
        <v>6987</v>
      </c>
      <c r="BT8" s="1072" t="s">
        <v>6988</v>
      </c>
      <c r="BU8" s="1072" t="s">
        <v>6989</v>
      </c>
      <c r="BV8" s="1072" t="s">
        <v>6990</v>
      </c>
      <c r="BW8" s="1072" t="s">
        <v>6991</v>
      </c>
      <c r="BX8" s="1072" t="s">
        <v>6992</v>
      </c>
      <c r="BY8" s="1072" t="s">
        <v>6993</v>
      </c>
      <c r="BZ8" s="1073" t="s">
        <v>6994</v>
      </c>
      <c r="CA8" s="1016"/>
      <c r="CB8" s="1071" t="s">
        <v>6995</v>
      </c>
      <c r="CC8" s="1072" t="s">
        <v>6996</v>
      </c>
      <c r="CD8" s="1072" t="s">
        <v>6997</v>
      </c>
      <c r="CE8" s="1072" t="s">
        <v>6998</v>
      </c>
      <c r="CF8" s="1073" t="s">
        <v>6999</v>
      </c>
      <c r="CG8" s="1071" t="s">
        <v>7000</v>
      </c>
      <c r="CH8" s="1072" t="s">
        <v>7001</v>
      </c>
      <c r="CI8" s="1072" t="s">
        <v>7002</v>
      </c>
      <c r="CJ8" s="1072" t="s">
        <v>7003</v>
      </c>
      <c r="CK8" s="1072" t="s">
        <v>7004</v>
      </c>
      <c r="CL8" s="1073" t="s">
        <v>7005</v>
      </c>
      <c r="CM8" s="1071" t="s">
        <v>7006</v>
      </c>
      <c r="CN8" s="1072" t="s">
        <v>7007</v>
      </c>
      <c r="CO8" s="1072" t="s">
        <v>7008</v>
      </c>
      <c r="CP8" s="1072" t="s">
        <v>7009</v>
      </c>
      <c r="CQ8" s="1072" t="s">
        <v>7010</v>
      </c>
      <c r="CR8" s="1073" t="s">
        <v>7011</v>
      </c>
    </row>
    <row r="9" spans="1:96" ht="51">
      <c r="A9" s="1016"/>
      <c r="B9" s="87" t="s">
        <v>7012</v>
      </c>
      <c r="C9" s="80" t="s">
        <v>7013</v>
      </c>
      <c r="D9" s="88"/>
      <c r="E9" s="88" t="s">
        <v>6985</v>
      </c>
      <c r="F9" s="89">
        <v>0</v>
      </c>
      <c r="G9" s="1074">
        <v>0</v>
      </c>
      <c r="H9" s="1075">
        <v>82.188744429626098</v>
      </c>
      <c r="I9" s="1075">
        <v>404.88574500967019</v>
      </c>
      <c r="J9" s="1075">
        <v>18.639796642791474</v>
      </c>
      <c r="K9" s="1075">
        <v>0</v>
      </c>
      <c r="L9" s="1075">
        <v>569.84274569442732</v>
      </c>
      <c r="M9" s="1075">
        <v>0</v>
      </c>
      <c r="N9" s="1076">
        <f t="shared" si="0"/>
        <v>1075.557031776515</v>
      </c>
      <c r="O9" s="1016"/>
      <c r="P9" s="1074">
        <v>0</v>
      </c>
      <c r="Q9" s="1075">
        <v>0</v>
      </c>
      <c r="R9" s="1075">
        <v>0</v>
      </c>
      <c r="S9" s="1075">
        <v>1075.557031776515</v>
      </c>
      <c r="T9" s="1076">
        <f t="shared" si="1"/>
        <v>1075.557031776515</v>
      </c>
      <c r="U9" s="1074">
        <v>0</v>
      </c>
      <c r="V9" s="1075">
        <v>44.185553383988562</v>
      </c>
      <c r="W9" s="1075">
        <v>339.28341197492216</v>
      </c>
      <c r="X9" s="1075">
        <v>675.04265362450724</v>
      </c>
      <c r="Y9" s="1075">
        <v>17.045412793097025</v>
      </c>
      <c r="Z9" s="1076">
        <f t="shared" si="2"/>
        <v>1075.557031776515</v>
      </c>
      <c r="AA9" s="1074">
        <v>0</v>
      </c>
      <c r="AB9" s="1075">
        <v>44.185553383988562</v>
      </c>
      <c r="AC9" s="1075">
        <v>414.83560681729057</v>
      </c>
      <c r="AD9" s="1075">
        <v>166.56983795155591</v>
      </c>
      <c r="AE9" s="1075">
        <v>449.96603362368012</v>
      </c>
      <c r="AF9" s="1076">
        <f t="shared" si="3"/>
        <v>1075.557031776515</v>
      </c>
      <c r="AG9" s="958" t="s">
        <v>6986</v>
      </c>
      <c r="AH9" s="1016"/>
      <c r="AI9" s="770">
        <f t="shared" ref="AI9:AI13" si="4" xml:space="preserve"> IF( SUM( AK9:BL9 ) = 0, 0, $AL$5 )</f>
        <v>0</v>
      </c>
      <c r="AJ9" s="65"/>
      <c r="AK9" s="66"/>
      <c r="AL9" s="86">
        <f>IF(Validation!$H$3=1,0,IF(ISNUMBER(G9),0,1))</f>
        <v>0</v>
      </c>
      <c r="AM9" s="86">
        <f>IF(Validation!$H$3=1,0,IF(ISNUMBER(H9),0,1))</f>
        <v>0</v>
      </c>
      <c r="AN9" s="86">
        <f>IF(Validation!$H$3=1,0,IF(ISNUMBER(I9),0,1))</f>
        <v>0</v>
      </c>
      <c r="AO9" s="86">
        <f>IF(Validation!$H$3=1,0,IF(ISNUMBER(J9),0,1))</f>
        <v>0</v>
      </c>
      <c r="AP9" s="86">
        <f>IF(Validation!$H$3=1,0,IF(ISNUMBER(K9),0,1))</f>
        <v>0</v>
      </c>
      <c r="AQ9" s="86">
        <f>IF(Validation!$H$3=1,0,IF(ISNUMBER(L9),0,1))</f>
        <v>0</v>
      </c>
      <c r="AR9" s="86">
        <f>IF(Validation!$H$3=1,0,IF(ISNUMBER(M9),0,1))</f>
        <v>0</v>
      </c>
      <c r="AS9" s="86"/>
      <c r="AT9" s="78"/>
      <c r="AU9" s="86">
        <f>IF(Validation!$H$3=1,0,IF(ISNUMBER(P9),0,1))</f>
        <v>0</v>
      </c>
      <c r="AV9" s="86">
        <f>IF(Validation!$H$3=1,0,IF(ISNUMBER(Q9),0,1))</f>
        <v>0</v>
      </c>
      <c r="AW9" s="86">
        <f>IF(Validation!$H$3=1,0,IF(ISNUMBER(R9),0,1))</f>
        <v>0</v>
      </c>
      <c r="AX9" s="86">
        <f>IF(Validation!$H$3=1,0,IF(ISNUMBER(S9),0,1))</f>
        <v>0</v>
      </c>
      <c r="AY9" s="86"/>
      <c r="AZ9" s="86">
        <f>IF(Validation!$H$3=1,0,IF(ISNUMBER(U9),0,1))</f>
        <v>0</v>
      </c>
      <c r="BA9" s="86">
        <f>IF(Validation!$H$3=1,0,IF(ISNUMBER(V9),0,1))</f>
        <v>0</v>
      </c>
      <c r="BB9" s="86">
        <f>IF(Validation!$H$3=1,0,IF(ISNUMBER(W9),0,1))</f>
        <v>0</v>
      </c>
      <c r="BC9" s="86">
        <f>IF(Validation!$H$3=1,0,IF(ISNUMBER(X9),0,1))</f>
        <v>0</v>
      </c>
      <c r="BD9" s="86">
        <f>IF(Validation!$H$3=1,0,IF(ISNUMBER(Y9),0,1))</f>
        <v>0</v>
      </c>
      <c r="BE9" s="86"/>
      <c r="BF9" s="86">
        <f>IF(Validation!$H$3=1,0,IF(ISNUMBER(AA9),0,1))</f>
        <v>0</v>
      </c>
      <c r="BG9" s="86">
        <f>IF(Validation!$H$3=1,0,IF(ISNUMBER(AB9),0,1))</f>
        <v>0</v>
      </c>
      <c r="BH9" s="86">
        <f>IF(Validation!$H$3=1,0,IF(ISNUMBER(AC9),0,1))</f>
        <v>0</v>
      </c>
      <c r="BI9" s="86">
        <f>IF(Validation!$H$3=1,0,IF(ISNUMBER(AD9),0,1))</f>
        <v>0</v>
      </c>
      <c r="BJ9" s="86">
        <f>IF(Validation!$H$3=1,0,IF(ISNUMBER(AE9),0,1))</f>
        <v>0</v>
      </c>
      <c r="BK9" s="86"/>
      <c r="BL9" s="66"/>
      <c r="BN9" s="87" t="s">
        <v>7012</v>
      </c>
      <c r="BO9" s="80" t="s">
        <v>7013</v>
      </c>
      <c r="BP9" s="88"/>
      <c r="BQ9" s="88" t="s">
        <v>6985</v>
      </c>
      <c r="BR9" s="89">
        <v>0</v>
      </c>
      <c r="BS9" s="1074" t="s">
        <v>7014</v>
      </c>
      <c r="BT9" s="1075" t="s">
        <v>7015</v>
      </c>
      <c r="BU9" s="1075" t="s">
        <v>7016</v>
      </c>
      <c r="BV9" s="1075" t="s">
        <v>7017</v>
      </c>
      <c r="BW9" s="1075" t="s">
        <v>7018</v>
      </c>
      <c r="BX9" s="1075" t="s">
        <v>7019</v>
      </c>
      <c r="BY9" s="1075" t="s">
        <v>7020</v>
      </c>
      <c r="BZ9" s="1076" t="s">
        <v>7021</v>
      </c>
      <c r="CA9" s="1016"/>
      <c r="CB9" s="1074" t="s">
        <v>7022</v>
      </c>
      <c r="CC9" s="1075" t="s">
        <v>7023</v>
      </c>
      <c r="CD9" s="1075" t="s">
        <v>7024</v>
      </c>
      <c r="CE9" s="1075" t="s">
        <v>7025</v>
      </c>
      <c r="CF9" s="1076" t="s">
        <v>7026</v>
      </c>
      <c r="CG9" s="1074" t="s">
        <v>7027</v>
      </c>
      <c r="CH9" s="1075" t="s">
        <v>7028</v>
      </c>
      <c r="CI9" s="1075" t="s">
        <v>7029</v>
      </c>
      <c r="CJ9" s="1075" t="s">
        <v>7030</v>
      </c>
      <c r="CK9" s="1075" t="s">
        <v>7031</v>
      </c>
      <c r="CL9" s="1076" t="s">
        <v>7032</v>
      </c>
      <c r="CM9" s="1074" t="s">
        <v>7033</v>
      </c>
      <c r="CN9" s="1075" t="s">
        <v>7034</v>
      </c>
      <c r="CO9" s="1075" t="s">
        <v>7035</v>
      </c>
      <c r="CP9" s="1075" t="s">
        <v>7036</v>
      </c>
      <c r="CQ9" s="1075" t="s">
        <v>7037</v>
      </c>
      <c r="CR9" s="1076" t="s">
        <v>7038</v>
      </c>
    </row>
    <row r="10" spans="1:96" ht="51">
      <c r="A10" s="1016"/>
      <c r="B10" s="87" t="s">
        <v>7039</v>
      </c>
      <c r="C10" s="80" t="s">
        <v>7040</v>
      </c>
      <c r="D10" s="88"/>
      <c r="E10" s="88" t="s">
        <v>6985</v>
      </c>
      <c r="F10" s="89">
        <v>0</v>
      </c>
      <c r="G10" s="1074">
        <v>0</v>
      </c>
      <c r="H10" s="1075">
        <v>206.27838281721051</v>
      </c>
      <c r="I10" s="1075">
        <v>2345.7010779122511</v>
      </c>
      <c r="J10" s="1075">
        <v>374.23821553685138</v>
      </c>
      <c r="K10" s="1075">
        <v>80.318083142515832</v>
      </c>
      <c r="L10" s="1075">
        <v>1935.1880419664064</v>
      </c>
      <c r="M10" s="1075">
        <v>87.575156544126045</v>
      </c>
      <c r="N10" s="1076">
        <f t="shared" si="0"/>
        <v>5029.2989579193609</v>
      </c>
      <c r="O10" s="1016"/>
      <c r="P10" s="1074">
        <v>0</v>
      </c>
      <c r="Q10" s="1075">
        <v>0</v>
      </c>
      <c r="R10" s="1075">
        <v>0</v>
      </c>
      <c r="S10" s="1075">
        <v>5029.2989579193609</v>
      </c>
      <c r="T10" s="1076">
        <f t="shared" si="1"/>
        <v>5029.2989579193609</v>
      </c>
      <c r="U10" s="1074">
        <v>0</v>
      </c>
      <c r="V10" s="1075">
        <v>688.21766584522288</v>
      </c>
      <c r="W10" s="1075">
        <v>1653.3585415471944</v>
      </c>
      <c r="X10" s="1075">
        <v>2687.7227505269439</v>
      </c>
      <c r="Y10" s="1075">
        <v>0</v>
      </c>
      <c r="Z10" s="1076">
        <f t="shared" si="2"/>
        <v>5029.2989579193609</v>
      </c>
      <c r="AA10" s="1074">
        <v>0</v>
      </c>
      <c r="AB10" s="1075">
        <v>493.27280561635109</v>
      </c>
      <c r="AC10" s="1075">
        <v>2388.4744218432011</v>
      </c>
      <c r="AD10" s="1075">
        <v>745.65156443822411</v>
      </c>
      <c r="AE10" s="1075">
        <v>1401.900166021584</v>
      </c>
      <c r="AF10" s="1076">
        <f t="shared" si="3"/>
        <v>5029.29895791936</v>
      </c>
      <c r="AG10" s="958" t="s">
        <v>6986</v>
      </c>
      <c r="AH10" s="1016"/>
      <c r="AI10" s="770">
        <f t="shared" si="4"/>
        <v>0</v>
      </c>
      <c r="AJ10" s="65"/>
      <c r="AK10" s="66"/>
      <c r="AL10" s="86">
        <f>IF(Validation!$H$3=1,0,IF(ISNUMBER(G10),0,1))</f>
        <v>0</v>
      </c>
      <c r="AM10" s="86">
        <f>IF(Validation!$H$3=1,0,IF(ISNUMBER(H10),0,1))</f>
        <v>0</v>
      </c>
      <c r="AN10" s="86">
        <f>IF(Validation!$H$3=1,0,IF(ISNUMBER(I10),0,1))</f>
        <v>0</v>
      </c>
      <c r="AO10" s="86">
        <f>IF(Validation!$H$3=1,0,IF(ISNUMBER(J10),0,1))</f>
        <v>0</v>
      </c>
      <c r="AP10" s="86">
        <f>IF(Validation!$H$3=1,0,IF(ISNUMBER(K10),0,1))</f>
        <v>0</v>
      </c>
      <c r="AQ10" s="86">
        <f>IF(Validation!$H$3=1,0,IF(ISNUMBER(L10),0,1))</f>
        <v>0</v>
      </c>
      <c r="AR10" s="86">
        <f>IF(Validation!$H$3=1,0,IF(ISNUMBER(M10),0,1))</f>
        <v>0</v>
      </c>
      <c r="AS10" s="86"/>
      <c r="AT10" s="78"/>
      <c r="AU10" s="86">
        <f>IF(Validation!$H$3=1,0,IF(ISNUMBER(P10),0,1))</f>
        <v>0</v>
      </c>
      <c r="AV10" s="86">
        <f>IF(Validation!$H$3=1,0,IF(ISNUMBER(Q10),0,1))</f>
        <v>0</v>
      </c>
      <c r="AW10" s="86">
        <f>IF(Validation!$H$3=1,0,IF(ISNUMBER(R10),0,1))</f>
        <v>0</v>
      </c>
      <c r="AX10" s="86">
        <f>IF(Validation!$H$3=1,0,IF(ISNUMBER(S10),0,1))</f>
        <v>0</v>
      </c>
      <c r="AY10" s="86"/>
      <c r="AZ10" s="86">
        <f>IF(Validation!$H$3=1,0,IF(ISNUMBER(U10),0,1))</f>
        <v>0</v>
      </c>
      <c r="BA10" s="86">
        <f>IF(Validation!$H$3=1,0,IF(ISNUMBER(V10),0,1))</f>
        <v>0</v>
      </c>
      <c r="BB10" s="86">
        <f>IF(Validation!$H$3=1,0,IF(ISNUMBER(W10),0,1))</f>
        <v>0</v>
      </c>
      <c r="BC10" s="86">
        <f>IF(Validation!$H$3=1,0,IF(ISNUMBER(X10),0,1))</f>
        <v>0</v>
      </c>
      <c r="BD10" s="86">
        <f>IF(Validation!$H$3=1,0,IF(ISNUMBER(Y10),0,1))</f>
        <v>0</v>
      </c>
      <c r="BE10" s="86"/>
      <c r="BF10" s="86">
        <f>IF(Validation!$H$3=1,0,IF(ISNUMBER(AA10),0,1))</f>
        <v>0</v>
      </c>
      <c r="BG10" s="86">
        <f>IF(Validation!$H$3=1,0,IF(ISNUMBER(AB10),0,1))</f>
        <v>0</v>
      </c>
      <c r="BH10" s="86">
        <f>IF(Validation!$H$3=1,0,IF(ISNUMBER(AC10),0,1))</f>
        <v>0</v>
      </c>
      <c r="BI10" s="86">
        <f>IF(Validation!$H$3=1,0,IF(ISNUMBER(AD10),0,1))</f>
        <v>0</v>
      </c>
      <c r="BJ10" s="86">
        <f>IF(Validation!$H$3=1,0,IF(ISNUMBER(AE10),0,1))</f>
        <v>0</v>
      </c>
      <c r="BK10" s="86"/>
      <c r="BL10" s="66"/>
      <c r="BN10" s="87" t="s">
        <v>7039</v>
      </c>
      <c r="BO10" s="80" t="s">
        <v>7040</v>
      </c>
      <c r="BP10" s="88"/>
      <c r="BQ10" s="88" t="s">
        <v>6985</v>
      </c>
      <c r="BR10" s="89">
        <v>0</v>
      </c>
      <c r="BS10" s="1074" t="s">
        <v>7041</v>
      </c>
      <c r="BT10" s="1075" t="s">
        <v>7042</v>
      </c>
      <c r="BU10" s="1075" t="s">
        <v>7043</v>
      </c>
      <c r="BV10" s="1075" t="s">
        <v>7044</v>
      </c>
      <c r="BW10" s="1075" t="s">
        <v>7045</v>
      </c>
      <c r="BX10" s="1075" t="s">
        <v>7046</v>
      </c>
      <c r="BY10" s="1075" t="s">
        <v>7047</v>
      </c>
      <c r="BZ10" s="1076" t="s">
        <v>7048</v>
      </c>
      <c r="CA10" s="1016"/>
      <c r="CB10" s="1074" t="s">
        <v>7049</v>
      </c>
      <c r="CC10" s="1075" t="s">
        <v>7050</v>
      </c>
      <c r="CD10" s="1075" t="s">
        <v>7051</v>
      </c>
      <c r="CE10" s="1075" t="s">
        <v>7052</v>
      </c>
      <c r="CF10" s="1076" t="s">
        <v>7053</v>
      </c>
      <c r="CG10" s="1074" t="s">
        <v>7054</v>
      </c>
      <c r="CH10" s="1075" t="s">
        <v>7055</v>
      </c>
      <c r="CI10" s="1075" t="s">
        <v>7056</v>
      </c>
      <c r="CJ10" s="1075" t="s">
        <v>7057</v>
      </c>
      <c r="CK10" s="1075" t="s">
        <v>7058</v>
      </c>
      <c r="CL10" s="1076" t="s">
        <v>7059</v>
      </c>
      <c r="CM10" s="1074" t="s">
        <v>7060</v>
      </c>
      <c r="CN10" s="1075" t="s">
        <v>7061</v>
      </c>
      <c r="CO10" s="1075" t="s">
        <v>7062</v>
      </c>
      <c r="CP10" s="1075" t="s">
        <v>7063</v>
      </c>
      <c r="CQ10" s="1075" t="s">
        <v>7064</v>
      </c>
      <c r="CR10" s="1076" t="s">
        <v>7065</v>
      </c>
    </row>
    <row r="11" spans="1:96" ht="51">
      <c r="A11" s="1016"/>
      <c r="B11" s="87" t="s">
        <v>7066</v>
      </c>
      <c r="C11" s="80" t="s">
        <v>7067</v>
      </c>
      <c r="D11" s="88"/>
      <c r="E11" s="88" t="s">
        <v>6985</v>
      </c>
      <c r="F11" s="89">
        <v>0</v>
      </c>
      <c r="G11" s="1074">
        <v>0</v>
      </c>
      <c r="H11" s="1075">
        <v>3036.2728954912636</v>
      </c>
      <c r="I11" s="1075">
        <v>4769.2739104003895</v>
      </c>
      <c r="J11" s="1075">
        <v>843.16783166484083</v>
      </c>
      <c r="K11" s="1075">
        <v>912.23016864710212</v>
      </c>
      <c r="L11" s="1075">
        <v>9078.4817337226887</v>
      </c>
      <c r="M11" s="1075">
        <v>2687.8003350441245</v>
      </c>
      <c r="N11" s="1076">
        <f t="shared" si="0"/>
        <v>21327.226874970409</v>
      </c>
      <c r="O11" s="1016"/>
      <c r="P11" s="1074">
        <v>0</v>
      </c>
      <c r="Q11" s="1075">
        <v>0</v>
      </c>
      <c r="R11" s="1075">
        <v>0</v>
      </c>
      <c r="S11" s="1075">
        <v>21327.226874970409</v>
      </c>
      <c r="T11" s="1076">
        <f t="shared" si="1"/>
        <v>21327.226874970409</v>
      </c>
      <c r="U11" s="1074">
        <v>1495.7291404567486</v>
      </c>
      <c r="V11" s="1075">
        <v>4161.392703126895</v>
      </c>
      <c r="W11" s="1075">
        <v>12315.666184495223</v>
      </c>
      <c r="X11" s="1075">
        <v>3354.4388468915381</v>
      </c>
      <c r="Y11" s="1075">
        <v>0</v>
      </c>
      <c r="Z11" s="1076">
        <f t="shared" si="2"/>
        <v>21327.226874970405</v>
      </c>
      <c r="AA11" s="1074">
        <v>0</v>
      </c>
      <c r="AB11" s="1075">
        <v>7985.4164881839506</v>
      </c>
      <c r="AC11" s="1075">
        <v>10885.174308898375</v>
      </c>
      <c r="AD11" s="1075">
        <v>1200.230443071918</v>
      </c>
      <c r="AE11" s="1075">
        <v>1256.405634816166</v>
      </c>
      <c r="AF11" s="1076">
        <f t="shared" si="3"/>
        <v>21327.226874970409</v>
      </c>
      <c r="AG11" s="958" t="s">
        <v>6986</v>
      </c>
      <c r="AH11" s="1016"/>
      <c r="AI11" s="770">
        <f t="shared" si="4"/>
        <v>0</v>
      </c>
      <c r="AJ11" s="65"/>
      <c r="AK11" s="66"/>
      <c r="AL11" s="86">
        <f>IF(Validation!$H$3=1,0,IF(ISNUMBER(G11),0,1))</f>
        <v>0</v>
      </c>
      <c r="AM11" s="86">
        <f>IF(Validation!$H$3=1,0,IF(ISNUMBER(H11),0,1))</f>
        <v>0</v>
      </c>
      <c r="AN11" s="86">
        <f>IF(Validation!$H$3=1,0,IF(ISNUMBER(I11),0,1))</f>
        <v>0</v>
      </c>
      <c r="AO11" s="86">
        <f>IF(Validation!$H$3=1,0,IF(ISNUMBER(J11),0,1))</f>
        <v>0</v>
      </c>
      <c r="AP11" s="86">
        <f>IF(Validation!$H$3=1,0,IF(ISNUMBER(K11),0,1))</f>
        <v>0</v>
      </c>
      <c r="AQ11" s="86">
        <f>IF(Validation!$H$3=1,0,IF(ISNUMBER(L11),0,1))</f>
        <v>0</v>
      </c>
      <c r="AR11" s="86">
        <f>IF(Validation!$H$3=1,0,IF(ISNUMBER(M11),0,1))</f>
        <v>0</v>
      </c>
      <c r="AS11" s="86"/>
      <c r="AT11" s="78"/>
      <c r="AU11" s="86">
        <f>IF(Validation!$H$3=1,0,IF(ISNUMBER(P11),0,1))</f>
        <v>0</v>
      </c>
      <c r="AV11" s="86">
        <f>IF(Validation!$H$3=1,0,IF(ISNUMBER(Q11),0,1))</f>
        <v>0</v>
      </c>
      <c r="AW11" s="86">
        <f>IF(Validation!$H$3=1,0,IF(ISNUMBER(R11),0,1))</f>
        <v>0</v>
      </c>
      <c r="AX11" s="86">
        <f>IF(Validation!$H$3=1,0,IF(ISNUMBER(S11),0,1))</f>
        <v>0</v>
      </c>
      <c r="AY11" s="86"/>
      <c r="AZ11" s="86">
        <f>IF(Validation!$H$3=1,0,IF(ISNUMBER(U11),0,1))</f>
        <v>0</v>
      </c>
      <c r="BA11" s="86">
        <f>IF(Validation!$H$3=1,0,IF(ISNUMBER(V11),0,1))</f>
        <v>0</v>
      </c>
      <c r="BB11" s="86">
        <f>IF(Validation!$H$3=1,0,IF(ISNUMBER(W11),0,1))</f>
        <v>0</v>
      </c>
      <c r="BC11" s="86">
        <f>IF(Validation!$H$3=1,0,IF(ISNUMBER(X11),0,1))</f>
        <v>0</v>
      </c>
      <c r="BD11" s="86">
        <f>IF(Validation!$H$3=1,0,IF(ISNUMBER(Y11),0,1))</f>
        <v>0</v>
      </c>
      <c r="BE11" s="86"/>
      <c r="BF11" s="86">
        <f>IF(Validation!$H$3=1,0,IF(ISNUMBER(AA11),0,1))</f>
        <v>0</v>
      </c>
      <c r="BG11" s="86">
        <f>IF(Validation!$H$3=1,0,IF(ISNUMBER(AB11),0,1))</f>
        <v>0</v>
      </c>
      <c r="BH11" s="86">
        <f>IF(Validation!$H$3=1,0,IF(ISNUMBER(AC11),0,1))</f>
        <v>0</v>
      </c>
      <c r="BI11" s="86">
        <f>IF(Validation!$H$3=1,0,IF(ISNUMBER(AD11),0,1))</f>
        <v>0</v>
      </c>
      <c r="BJ11" s="86">
        <f>IF(Validation!$H$3=1,0,IF(ISNUMBER(AE11),0,1))</f>
        <v>0</v>
      </c>
      <c r="BK11" s="86"/>
      <c r="BL11" s="66"/>
      <c r="BN11" s="87" t="s">
        <v>7066</v>
      </c>
      <c r="BO11" s="80" t="s">
        <v>7067</v>
      </c>
      <c r="BP11" s="88"/>
      <c r="BQ11" s="88" t="s">
        <v>6985</v>
      </c>
      <c r="BR11" s="89">
        <v>0</v>
      </c>
      <c r="BS11" s="1074" t="s">
        <v>7068</v>
      </c>
      <c r="BT11" s="1075" t="s">
        <v>7069</v>
      </c>
      <c r="BU11" s="1075" t="s">
        <v>7070</v>
      </c>
      <c r="BV11" s="1075" t="s">
        <v>7071</v>
      </c>
      <c r="BW11" s="1075" t="s">
        <v>7072</v>
      </c>
      <c r="BX11" s="1075" t="s">
        <v>7073</v>
      </c>
      <c r="BY11" s="1075" t="s">
        <v>7074</v>
      </c>
      <c r="BZ11" s="1076" t="s">
        <v>7075</v>
      </c>
      <c r="CA11" s="1016"/>
      <c r="CB11" s="1074" t="s">
        <v>7076</v>
      </c>
      <c r="CC11" s="1075" t="s">
        <v>7077</v>
      </c>
      <c r="CD11" s="1075" t="s">
        <v>7078</v>
      </c>
      <c r="CE11" s="1075" t="s">
        <v>7079</v>
      </c>
      <c r="CF11" s="1076" t="s">
        <v>7080</v>
      </c>
      <c r="CG11" s="1074" t="s">
        <v>7081</v>
      </c>
      <c r="CH11" s="1075" t="s">
        <v>7082</v>
      </c>
      <c r="CI11" s="1075" t="s">
        <v>7083</v>
      </c>
      <c r="CJ11" s="1075" t="s">
        <v>7084</v>
      </c>
      <c r="CK11" s="1075" t="s">
        <v>7085</v>
      </c>
      <c r="CL11" s="1076" t="s">
        <v>7086</v>
      </c>
      <c r="CM11" s="1074" t="s">
        <v>7087</v>
      </c>
      <c r="CN11" s="1075" t="s">
        <v>7088</v>
      </c>
      <c r="CO11" s="1075" t="s">
        <v>7089</v>
      </c>
      <c r="CP11" s="1075" t="s">
        <v>7090</v>
      </c>
      <c r="CQ11" s="1075" t="s">
        <v>7091</v>
      </c>
      <c r="CR11" s="1076" t="s">
        <v>7092</v>
      </c>
    </row>
    <row r="12" spans="1:96" ht="51">
      <c r="A12" s="1016"/>
      <c r="B12" s="87" t="s">
        <v>7093</v>
      </c>
      <c r="C12" s="785" t="s">
        <v>7094</v>
      </c>
      <c r="D12" s="1077"/>
      <c r="E12" s="1077" t="s">
        <v>6985</v>
      </c>
      <c r="F12" s="786">
        <v>0</v>
      </c>
      <c r="G12" s="1074">
        <v>0</v>
      </c>
      <c r="H12" s="1075">
        <v>0</v>
      </c>
      <c r="I12" s="1075">
        <v>0</v>
      </c>
      <c r="J12" s="1075">
        <v>660.11196050302908</v>
      </c>
      <c r="K12" s="1075">
        <v>9236.9910773077936</v>
      </c>
      <c r="L12" s="1075">
        <v>2053.9207076616112</v>
      </c>
      <c r="M12" s="1075">
        <v>16406.989369359293</v>
      </c>
      <c r="N12" s="1076">
        <f t="shared" si="0"/>
        <v>28358.013114831727</v>
      </c>
      <c r="O12" s="1016"/>
      <c r="P12" s="1074">
        <v>0</v>
      </c>
      <c r="Q12" s="1075">
        <v>0</v>
      </c>
      <c r="R12" s="1075">
        <v>27107.503191738135</v>
      </c>
      <c r="S12" s="1075">
        <v>2076.9216544012997</v>
      </c>
      <c r="T12" s="1076">
        <f t="shared" si="1"/>
        <v>29184.424846139435</v>
      </c>
      <c r="U12" s="1074">
        <v>2187.3668935117394</v>
      </c>
      <c r="V12" s="1075">
        <v>13162.212656228432</v>
      </c>
      <c r="W12" s="1075">
        <v>12557.093557900835</v>
      </c>
      <c r="X12" s="1075">
        <v>1277.7517384984274</v>
      </c>
      <c r="Y12" s="1075">
        <v>0</v>
      </c>
      <c r="Z12" s="1076">
        <f t="shared" si="2"/>
        <v>29184.424846139435</v>
      </c>
      <c r="AA12" s="1074">
        <v>0</v>
      </c>
      <c r="AB12" s="1075">
        <v>14117.939053241869</v>
      </c>
      <c r="AC12" s="1075">
        <v>14240.074061589856</v>
      </c>
      <c r="AD12" s="1075">
        <v>826.41173130770858</v>
      </c>
      <c r="AE12" s="1075">
        <v>0</v>
      </c>
      <c r="AF12" s="1076">
        <f t="shared" si="3"/>
        <v>29184.424846139431</v>
      </c>
      <c r="AG12" s="958" t="s">
        <v>6986</v>
      </c>
      <c r="AH12" s="1016"/>
      <c r="AI12" s="770">
        <f t="shared" si="4"/>
        <v>0</v>
      </c>
      <c r="AJ12" s="65"/>
      <c r="AK12" s="66"/>
      <c r="AL12" s="86">
        <f>IF(Validation!$H$3=1,0,IF(ISNUMBER(G12),0,1))</f>
        <v>0</v>
      </c>
      <c r="AM12" s="86">
        <f>IF(Validation!$H$3=1,0,IF(ISNUMBER(H12),0,1))</f>
        <v>0</v>
      </c>
      <c r="AN12" s="86">
        <f>IF(Validation!$H$3=1,0,IF(ISNUMBER(I12),0,1))</f>
        <v>0</v>
      </c>
      <c r="AO12" s="86">
        <f>IF(Validation!$H$3=1,0,IF(ISNUMBER(J12),0,1))</f>
        <v>0</v>
      </c>
      <c r="AP12" s="86">
        <f>IF(Validation!$H$3=1,0,IF(ISNUMBER(K12),0,1))</f>
        <v>0</v>
      </c>
      <c r="AQ12" s="86">
        <f>IF(Validation!$H$3=1,0,IF(ISNUMBER(L12),0,1))</f>
        <v>0</v>
      </c>
      <c r="AR12" s="86">
        <f>IF(Validation!$H$3=1,0,IF(ISNUMBER(M12),0,1))</f>
        <v>0</v>
      </c>
      <c r="AS12" s="86"/>
      <c r="AT12" s="78"/>
      <c r="AU12" s="86">
        <f>IF(Validation!$H$3=1,0,IF(ISNUMBER(P12),0,1))</f>
        <v>0</v>
      </c>
      <c r="AV12" s="86">
        <f>IF(Validation!$H$3=1,0,IF(ISNUMBER(Q12),0,1))</f>
        <v>0</v>
      </c>
      <c r="AW12" s="86">
        <f>IF(Validation!$H$3=1,0,IF(ISNUMBER(R12),0,1))</f>
        <v>0</v>
      </c>
      <c r="AX12" s="86">
        <f>IF(Validation!$H$3=1,0,IF(ISNUMBER(S12),0,1))</f>
        <v>0</v>
      </c>
      <c r="AY12" s="86"/>
      <c r="AZ12" s="86">
        <f>IF(Validation!$H$3=1,0,IF(ISNUMBER(U12),0,1))</f>
        <v>0</v>
      </c>
      <c r="BA12" s="86">
        <f>IF(Validation!$H$3=1,0,IF(ISNUMBER(V12),0,1))</f>
        <v>0</v>
      </c>
      <c r="BB12" s="86">
        <f>IF(Validation!$H$3=1,0,IF(ISNUMBER(W12),0,1))</f>
        <v>0</v>
      </c>
      <c r="BC12" s="86">
        <f>IF(Validation!$H$3=1,0,IF(ISNUMBER(X12),0,1))</f>
        <v>0</v>
      </c>
      <c r="BD12" s="86">
        <f>IF(Validation!$H$3=1,0,IF(ISNUMBER(Y12),0,1))</f>
        <v>0</v>
      </c>
      <c r="BE12" s="86"/>
      <c r="BF12" s="86">
        <f>IF(Validation!$H$3=1,0,IF(ISNUMBER(AA12),0,1))</f>
        <v>0</v>
      </c>
      <c r="BG12" s="86">
        <f>IF(Validation!$H$3=1,0,IF(ISNUMBER(AB12),0,1))</f>
        <v>0</v>
      </c>
      <c r="BH12" s="86">
        <f>IF(Validation!$H$3=1,0,IF(ISNUMBER(AC12),0,1))</f>
        <v>0</v>
      </c>
      <c r="BI12" s="86">
        <f>IF(Validation!$H$3=1,0,IF(ISNUMBER(AD12),0,1))</f>
        <v>0</v>
      </c>
      <c r="BJ12" s="86">
        <f>IF(Validation!$H$3=1,0,IF(ISNUMBER(AE12),0,1))</f>
        <v>0</v>
      </c>
      <c r="BK12" s="86"/>
      <c r="BL12" s="66"/>
      <c r="BN12" s="87" t="s">
        <v>7093</v>
      </c>
      <c r="BO12" s="785" t="s">
        <v>7094</v>
      </c>
      <c r="BP12" s="1077"/>
      <c r="BQ12" s="1077" t="s">
        <v>6985</v>
      </c>
      <c r="BR12" s="786">
        <v>0</v>
      </c>
      <c r="BS12" s="1074" t="s">
        <v>7095</v>
      </c>
      <c r="BT12" s="1075" t="s">
        <v>7096</v>
      </c>
      <c r="BU12" s="1075" t="s">
        <v>7097</v>
      </c>
      <c r="BV12" s="1075" t="s">
        <v>7098</v>
      </c>
      <c r="BW12" s="1075" t="s">
        <v>7099</v>
      </c>
      <c r="BX12" s="1075" t="s">
        <v>7100</v>
      </c>
      <c r="BY12" s="1075" t="s">
        <v>7101</v>
      </c>
      <c r="BZ12" s="1076" t="s">
        <v>7102</v>
      </c>
      <c r="CA12" s="1016"/>
      <c r="CB12" s="1074" t="s">
        <v>7103</v>
      </c>
      <c r="CC12" s="1075" t="s">
        <v>7104</v>
      </c>
      <c r="CD12" s="1075" t="s">
        <v>7105</v>
      </c>
      <c r="CE12" s="1075" t="s">
        <v>7106</v>
      </c>
      <c r="CF12" s="1076" t="s">
        <v>7107</v>
      </c>
      <c r="CG12" s="1074" t="s">
        <v>7108</v>
      </c>
      <c r="CH12" s="1075" t="s">
        <v>7109</v>
      </c>
      <c r="CI12" s="1075" t="s">
        <v>7110</v>
      </c>
      <c r="CJ12" s="1075" t="s">
        <v>7111</v>
      </c>
      <c r="CK12" s="1075" t="s">
        <v>7112</v>
      </c>
      <c r="CL12" s="1076" t="s">
        <v>7113</v>
      </c>
      <c r="CM12" s="1074" t="s">
        <v>7114</v>
      </c>
      <c r="CN12" s="1075" t="s">
        <v>7115</v>
      </c>
      <c r="CO12" s="1075" t="s">
        <v>7116</v>
      </c>
      <c r="CP12" s="1075" t="s">
        <v>7117</v>
      </c>
      <c r="CQ12" s="1075" t="s">
        <v>7118</v>
      </c>
      <c r="CR12" s="1076" t="s">
        <v>7119</v>
      </c>
    </row>
    <row r="13" spans="1:96" ht="51">
      <c r="A13" s="1016"/>
      <c r="B13" s="87" t="s">
        <v>7120</v>
      </c>
      <c r="C13" s="80" t="s">
        <v>7121</v>
      </c>
      <c r="D13" s="88"/>
      <c r="E13" s="88" t="s">
        <v>6985</v>
      </c>
      <c r="F13" s="89">
        <v>0</v>
      </c>
      <c r="G13" s="1074">
        <v>0</v>
      </c>
      <c r="H13" s="1075">
        <v>564941.81134668097</v>
      </c>
      <c r="I13" s="1075">
        <v>0</v>
      </c>
      <c r="J13" s="1075">
        <v>0</v>
      </c>
      <c r="K13" s="1075">
        <v>308539.50261769962</v>
      </c>
      <c r="L13" s="1075">
        <v>2135.5664923650497</v>
      </c>
      <c r="M13" s="1075">
        <v>38268.971470061362</v>
      </c>
      <c r="N13" s="1076">
        <f t="shared" si="0"/>
        <v>913885.85192680708</v>
      </c>
      <c r="O13" s="1016"/>
      <c r="P13" s="1074">
        <v>0</v>
      </c>
      <c r="Q13" s="1075">
        <v>258333.2174394475</v>
      </c>
      <c r="R13" s="1075">
        <v>87648.844917005787</v>
      </c>
      <c r="S13" s="1075">
        <v>567077.37783904595</v>
      </c>
      <c r="T13" s="1076">
        <f t="shared" si="1"/>
        <v>913059.44019549922</v>
      </c>
      <c r="U13" s="1074">
        <v>108559.08999963658</v>
      </c>
      <c r="V13" s="1075">
        <v>151354.28677417219</v>
      </c>
      <c r="W13" s="1075">
        <v>592868.45401694882</v>
      </c>
      <c r="X13" s="1075">
        <v>60277.609404741794</v>
      </c>
      <c r="Y13" s="1075">
        <v>0</v>
      </c>
      <c r="Z13" s="1076">
        <f t="shared" si="2"/>
        <v>913059.44019549934</v>
      </c>
      <c r="AA13" s="1074">
        <v>106341.71815723521</v>
      </c>
      <c r="AB13" s="1075">
        <v>703876.50485390658</v>
      </c>
      <c r="AC13" s="1075">
        <v>95653.926314788099</v>
      </c>
      <c r="AD13" s="1075">
        <v>7187.2908695696278</v>
      </c>
      <c r="AE13" s="1075">
        <v>0</v>
      </c>
      <c r="AF13" s="1076">
        <f t="shared" si="3"/>
        <v>913059.44019549945</v>
      </c>
      <c r="AG13" s="945" t="s">
        <v>6986</v>
      </c>
      <c r="AH13" s="1016"/>
      <c r="AI13" s="770">
        <f t="shared" si="4"/>
        <v>0</v>
      </c>
      <c r="AJ13" s="65"/>
      <c r="AK13" s="66"/>
      <c r="AL13" s="86">
        <f>IF(Validation!$H$3=1,0,IF(ISNUMBER(G13),0,1))</f>
        <v>0</v>
      </c>
      <c r="AM13" s="86">
        <f>IF(Validation!$H$3=1,0,IF(ISNUMBER(H13),0,1))</f>
        <v>0</v>
      </c>
      <c r="AN13" s="86">
        <f>IF(Validation!$H$3=1,0,IF(ISNUMBER(I13),0,1))</f>
        <v>0</v>
      </c>
      <c r="AO13" s="86">
        <f>IF(Validation!$H$3=1,0,IF(ISNUMBER(J13),0,1))</f>
        <v>0</v>
      </c>
      <c r="AP13" s="86">
        <f>IF(Validation!$H$3=1,0,IF(ISNUMBER(K13),0,1))</f>
        <v>0</v>
      </c>
      <c r="AQ13" s="86">
        <f>IF(Validation!$H$3=1,0,IF(ISNUMBER(L13),0,1))</f>
        <v>0</v>
      </c>
      <c r="AR13" s="86">
        <f>IF(Validation!$H$3=1,0,IF(ISNUMBER(M13),0,1))</f>
        <v>0</v>
      </c>
      <c r="AS13" s="86"/>
      <c r="AT13" s="78"/>
      <c r="AU13" s="86">
        <f>IF(Validation!$H$3=1,0,IF(ISNUMBER(P13),0,1))</f>
        <v>0</v>
      </c>
      <c r="AV13" s="86">
        <f>IF(Validation!$H$3=1,0,IF(ISNUMBER(Q13),0,1))</f>
        <v>0</v>
      </c>
      <c r="AW13" s="86">
        <f>IF(Validation!$H$3=1,0,IF(ISNUMBER(R13),0,1))</f>
        <v>0</v>
      </c>
      <c r="AX13" s="86">
        <f>IF(Validation!$H$3=1,0,IF(ISNUMBER(S13),0,1))</f>
        <v>0</v>
      </c>
      <c r="AY13" s="86"/>
      <c r="AZ13" s="86">
        <f>IF(Validation!$H$3=1,0,IF(ISNUMBER(U13),0,1))</f>
        <v>0</v>
      </c>
      <c r="BA13" s="86">
        <f>IF(Validation!$H$3=1,0,IF(ISNUMBER(V13),0,1))</f>
        <v>0</v>
      </c>
      <c r="BB13" s="86">
        <f>IF(Validation!$H$3=1,0,IF(ISNUMBER(W13),0,1))</f>
        <v>0</v>
      </c>
      <c r="BC13" s="86">
        <f>IF(Validation!$H$3=1,0,IF(ISNUMBER(X13),0,1))</f>
        <v>0</v>
      </c>
      <c r="BD13" s="86">
        <f>IF(Validation!$H$3=1,0,IF(ISNUMBER(Y13),0,1))</f>
        <v>0</v>
      </c>
      <c r="BE13" s="86"/>
      <c r="BF13" s="86">
        <f>IF(Validation!$H$3=1,0,IF(ISNUMBER(AA13),0,1))</f>
        <v>0</v>
      </c>
      <c r="BG13" s="86">
        <f>IF(Validation!$H$3=1,0,IF(ISNUMBER(AB13),0,1))</f>
        <v>0</v>
      </c>
      <c r="BH13" s="86">
        <f>IF(Validation!$H$3=1,0,IF(ISNUMBER(AC13),0,1))</f>
        <v>0</v>
      </c>
      <c r="BI13" s="86">
        <f>IF(Validation!$H$3=1,0,IF(ISNUMBER(AD13),0,1))</f>
        <v>0</v>
      </c>
      <c r="BJ13" s="86">
        <f>IF(Validation!$H$3=1,0,IF(ISNUMBER(AE13),0,1))</f>
        <v>0</v>
      </c>
      <c r="BK13" s="86"/>
      <c r="BL13" s="66"/>
      <c r="BN13" s="87" t="s">
        <v>7120</v>
      </c>
      <c r="BO13" s="80" t="s">
        <v>7121</v>
      </c>
      <c r="BP13" s="88"/>
      <c r="BQ13" s="88" t="s">
        <v>6985</v>
      </c>
      <c r="BR13" s="89">
        <v>0</v>
      </c>
      <c r="BS13" s="1074" t="s">
        <v>7122</v>
      </c>
      <c r="BT13" s="1075" t="s">
        <v>7123</v>
      </c>
      <c r="BU13" s="1075" t="s">
        <v>7124</v>
      </c>
      <c r="BV13" s="1075" t="s">
        <v>7125</v>
      </c>
      <c r="BW13" s="1075" t="s">
        <v>7126</v>
      </c>
      <c r="BX13" s="1075" t="s">
        <v>7127</v>
      </c>
      <c r="BY13" s="1075" t="s">
        <v>7128</v>
      </c>
      <c r="BZ13" s="1076" t="s">
        <v>7129</v>
      </c>
      <c r="CA13" s="1016"/>
      <c r="CB13" s="1074" t="s">
        <v>7130</v>
      </c>
      <c r="CC13" s="1075" t="s">
        <v>7131</v>
      </c>
      <c r="CD13" s="1075" t="s">
        <v>7132</v>
      </c>
      <c r="CE13" s="1075" t="s">
        <v>7133</v>
      </c>
      <c r="CF13" s="1076" t="s">
        <v>7134</v>
      </c>
      <c r="CG13" s="1074" t="s">
        <v>7135</v>
      </c>
      <c r="CH13" s="1075" t="s">
        <v>7136</v>
      </c>
      <c r="CI13" s="1075" t="s">
        <v>7137</v>
      </c>
      <c r="CJ13" s="1075" t="s">
        <v>7138</v>
      </c>
      <c r="CK13" s="1075" t="s">
        <v>7139</v>
      </c>
      <c r="CL13" s="1076" t="s">
        <v>7140</v>
      </c>
      <c r="CM13" s="1074" t="s">
        <v>7141</v>
      </c>
      <c r="CN13" s="1075" t="s">
        <v>7142</v>
      </c>
      <c r="CO13" s="1075" t="s">
        <v>7143</v>
      </c>
      <c r="CP13" s="1075" t="s">
        <v>7144</v>
      </c>
      <c r="CQ13" s="1075" t="s">
        <v>7145</v>
      </c>
      <c r="CR13" s="1076" t="s">
        <v>7146</v>
      </c>
    </row>
    <row r="14" spans="1:96" ht="17.25" thickBot="1">
      <c r="A14" s="1016"/>
      <c r="B14" s="87" t="s">
        <v>7147</v>
      </c>
      <c r="C14" s="80" t="s">
        <v>7148</v>
      </c>
      <c r="D14" s="88"/>
      <c r="E14" s="88" t="s">
        <v>6985</v>
      </c>
      <c r="F14" s="89">
        <v>0</v>
      </c>
      <c r="G14" s="1078">
        <f t="shared" ref="G14:N14" si="5">+SUM(G8:G13)</f>
        <v>4.9425899340527941</v>
      </c>
      <c r="H14" s="1079">
        <f t="shared" si="5"/>
        <v>568316.79401857988</v>
      </c>
      <c r="I14" s="1079">
        <f t="shared" si="5"/>
        <v>7787.3651997314473</v>
      </c>
      <c r="J14" s="1079">
        <f t="shared" si="5"/>
        <v>1926.4238803015091</v>
      </c>
      <c r="K14" s="1079">
        <f t="shared" si="5"/>
        <v>318769.04194679705</v>
      </c>
      <c r="L14" s="1079">
        <f t="shared" si="5"/>
        <v>15888.08110337964</v>
      </c>
      <c r="M14" s="1079">
        <f t="shared" si="5"/>
        <v>57451.336331008904</v>
      </c>
      <c r="N14" s="1076">
        <f t="shared" si="5"/>
        <v>970143.98506973265</v>
      </c>
      <c r="O14" s="1016"/>
      <c r="P14" s="1078">
        <f t="shared" ref="P14:AF14" si="6">+SUM(P8:P13)</f>
        <v>0</v>
      </c>
      <c r="Q14" s="1079">
        <f t="shared" si="6"/>
        <v>258333.2174394475</v>
      </c>
      <c r="R14" s="1079">
        <f t="shared" si="6"/>
        <v>114756.34810874393</v>
      </c>
      <c r="S14" s="1079">
        <f t="shared" si="6"/>
        <v>597054.41952154099</v>
      </c>
      <c r="T14" s="1080">
        <f t="shared" si="6"/>
        <v>970143.98506973241</v>
      </c>
      <c r="U14" s="1078">
        <f t="shared" si="6"/>
        <v>112242.18603360506</v>
      </c>
      <c r="V14" s="1079">
        <f t="shared" si="6"/>
        <v>169414.93356031948</v>
      </c>
      <c r="W14" s="1079">
        <f t="shared" si="6"/>
        <v>619778.70085848996</v>
      </c>
      <c r="X14" s="1079">
        <f t="shared" si="6"/>
        <v>68652.110148177118</v>
      </c>
      <c r="Y14" s="1079">
        <f t="shared" si="6"/>
        <v>56.054469141011779</v>
      </c>
      <c r="Z14" s="1080">
        <f t="shared" si="6"/>
        <v>970143.98506973253</v>
      </c>
      <c r="AA14" s="1078">
        <f t="shared" si="6"/>
        <v>106341.71815723521</v>
      </c>
      <c r="AB14" s="1079">
        <f t="shared" si="6"/>
        <v>726517.31875433272</v>
      </c>
      <c r="AC14" s="1079">
        <f t="shared" si="6"/>
        <v>123644.31226225273</v>
      </c>
      <c r="AD14" s="1079">
        <f t="shared" si="6"/>
        <v>10197.47319517309</v>
      </c>
      <c r="AE14" s="1079">
        <f t="shared" si="6"/>
        <v>3443.1627007389643</v>
      </c>
      <c r="AF14" s="1080">
        <f t="shared" si="6"/>
        <v>970143.98506973265</v>
      </c>
      <c r="AG14" s="952"/>
      <c r="AH14" s="1016"/>
      <c r="AT14" s="78"/>
      <c r="BN14" s="87" t="s">
        <v>7147</v>
      </c>
      <c r="BO14" s="80" t="s">
        <v>7148</v>
      </c>
      <c r="BP14" s="88"/>
      <c r="BQ14" s="88" t="s">
        <v>6985</v>
      </c>
      <c r="BR14" s="89">
        <v>0</v>
      </c>
      <c r="BS14" s="1078" t="s">
        <v>7149</v>
      </c>
      <c r="BT14" s="1079" t="s">
        <v>7150</v>
      </c>
      <c r="BU14" s="1079" t="s">
        <v>7151</v>
      </c>
      <c r="BV14" s="1079" t="s">
        <v>7152</v>
      </c>
      <c r="BW14" s="1079" t="s">
        <v>7153</v>
      </c>
      <c r="BX14" s="1079" t="s">
        <v>7154</v>
      </c>
      <c r="BY14" s="1079" t="s">
        <v>7155</v>
      </c>
      <c r="BZ14" s="1076" t="s">
        <v>7156</v>
      </c>
      <c r="CA14" s="1016"/>
      <c r="CB14" s="1078" t="s">
        <v>7157</v>
      </c>
      <c r="CC14" s="1079" t="s">
        <v>7158</v>
      </c>
      <c r="CD14" s="1079" t="s">
        <v>7159</v>
      </c>
      <c r="CE14" s="1079" t="s">
        <v>7160</v>
      </c>
      <c r="CF14" s="1080" t="s">
        <v>7161</v>
      </c>
      <c r="CG14" s="1078" t="s">
        <v>7162</v>
      </c>
      <c r="CH14" s="1079" t="s">
        <v>7163</v>
      </c>
      <c r="CI14" s="1079" t="s">
        <v>7164</v>
      </c>
      <c r="CJ14" s="1079" t="s">
        <v>7165</v>
      </c>
      <c r="CK14" s="1079" t="s">
        <v>7166</v>
      </c>
      <c r="CL14" s="1080" t="s">
        <v>7167</v>
      </c>
      <c r="CM14" s="1078" t="s">
        <v>7168</v>
      </c>
      <c r="CN14" s="1079" t="s">
        <v>7169</v>
      </c>
      <c r="CO14" s="1079" t="s">
        <v>7170</v>
      </c>
      <c r="CP14" s="1079" t="s">
        <v>7171</v>
      </c>
      <c r="CQ14" s="1079" t="s">
        <v>7172</v>
      </c>
      <c r="CR14" s="1080" t="s">
        <v>7173</v>
      </c>
    </row>
    <row r="15" spans="1:96" ht="17.25" thickBot="1">
      <c r="A15" s="1016"/>
      <c r="B15" s="94" t="s">
        <v>7174</v>
      </c>
      <c r="C15" s="95" t="s">
        <v>7175</v>
      </c>
      <c r="D15" s="96"/>
      <c r="E15" s="96" t="s">
        <v>6985</v>
      </c>
      <c r="F15" s="93">
        <v>0</v>
      </c>
      <c r="G15" s="1081"/>
      <c r="H15" s="1081"/>
      <c r="I15" s="1081"/>
      <c r="J15" s="1081"/>
      <c r="K15" s="1081"/>
      <c r="L15" s="1081"/>
      <c r="M15" s="1081"/>
      <c r="N15" s="1082">
        <v>29262.359999999993</v>
      </c>
      <c r="O15" s="1016"/>
      <c r="P15" s="1016"/>
      <c r="Q15" s="1016"/>
      <c r="R15" s="1016"/>
      <c r="S15" s="1016"/>
      <c r="T15" s="1016"/>
      <c r="U15" s="1016"/>
      <c r="V15" s="1016"/>
      <c r="W15" s="1016"/>
      <c r="X15" s="1016"/>
      <c r="Y15" s="1016"/>
      <c r="Z15" s="1016"/>
      <c r="AA15" s="1016"/>
      <c r="AB15" s="1016"/>
      <c r="AC15" s="1016"/>
      <c r="AD15" s="1016"/>
      <c r="AE15" s="1016"/>
      <c r="AF15" s="1016"/>
      <c r="AG15" s="1016"/>
      <c r="AH15" s="1016"/>
      <c r="AT15" s="78"/>
      <c r="BN15" s="94" t="s">
        <v>7174</v>
      </c>
      <c r="BO15" s="95" t="s">
        <v>7175</v>
      </c>
      <c r="BP15" s="96"/>
      <c r="BQ15" s="96" t="s">
        <v>6985</v>
      </c>
      <c r="BR15" s="93">
        <v>0</v>
      </c>
      <c r="BS15" s="1081"/>
      <c r="BT15" s="1081"/>
      <c r="BU15" s="1081"/>
      <c r="BV15" s="1081"/>
      <c r="BW15" s="1081"/>
      <c r="BX15" s="1081"/>
      <c r="BY15" s="1081"/>
      <c r="BZ15" s="1082" t="s">
        <v>7176</v>
      </c>
      <c r="CA15" s="1016"/>
      <c r="CB15" s="1016"/>
      <c r="CC15" s="1016"/>
      <c r="CD15" s="1016"/>
      <c r="CE15" s="1016"/>
      <c r="CF15" s="1016"/>
      <c r="CG15" s="1016"/>
      <c r="CH15" s="1016"/>
      <c r="CI15" s="1016"/>
      <c r="CJ15" s="1016"/>
      <c r="CK15" s="1016"/>
      <c r="CL15" s="1016"/>
      <c r="CM15" s="1016"/>
      <c r="CN15" s="1016"/>
      <c r="CO15" s="1016"/>
      <c r="CP15" s="1016"/>
      <c r="CQ15" s="1016"/>
      <c r="CR15" s="1016"/>
    </row>
    <row r="16" spans="1:96" ht="15.75" thickBot="1">
      <c r="A16" s="1016"/>
      <c r="B16" s="1016"/>
      <c r="C16" s="959"/>
      <c r="D16" s="959"/>
      <c r="E16" s="1070"/>
      <c r="F16" s="1016"/>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T16" s="78"/>
      <c r="BN16" s="1016"/>
      <c r="BO16" s="959"/>
      <c r="BP16" s="959"/>
      <c r="BQ16" s="1070"/>
      <c r="BR16" s="1016"/>
      <c r="BS16" s="1016"/>
      <c r="BT16" s="1016"/>
      <c r="BU16" s="1016"/>
      <c r="BV16" s="1016"/>
      <c r="BW16" s="1016"/>
      <c r="BX16" s="1016"/>
      <c r="BY16" s="1016"/>
      <c r="BZ16" s="1016"/>
      <c r="CA16" s="1016"/>
      <c r="CB16" s="1016"/>
      <c r="CC16" s="1016"/>
      <c r="CD16" s="1016"/>
      <c r="CE16" s="1016"/>
      <c r="CF16" s="1016"/>
      <c r="CG16" s="1016"/>
      <c r="CH16" s="1016"/>
      <c r="CI16" s="1016"/>
      <c r="CJ16" s="1016"/>
      <c r="CK16" s="1016"/>
      <c r="CL16" s="1016"/>
      <c r="CM16" s="1016"/>
      <c r="CN16" s="1016"/>
      <c r="CO16" s="1016"/>
      <c r="CP16" s="1016"/>
      <c r="CQ16" s="1016"/>
      <c r="CR16" s="1016"/>
    </row>
    <row r="17" spans="1:96" ht="15.75" thickBot="1">
      <c r="A17" s="1016"/>
      <c r="B17" s="106" t="s">
        <v>236</v>
      </c>
      <c r="C17" s="107" t="s">
        <v>7177</v>
      </c>
      <c r="D17" s="959"/>
      <c r="E17" s="1070"/>
      <c r="F17" s="1016"/>
      <c r="G17" s="1016"/>
      <c r="H17" s="1016"/>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T17" s="78"/>
      <c r="BN17" s="106" t="s">
        <v>236</v>
      </c>
      <c r="BO17" s="107" t="s">
        <v>7177</v>
      </c>
      <c r="BP17" s="959"/>
      <c r="BQ17" s="1070"/>
      <c r="BR17" s="1016"/>
      <c r="BS17" s="1016"/>
      <c r="BT17" s="1016"/>
      <c r="BU17" s="1016"/>
      <c r="BV17" s="1016"/>
      <c r="BW17" s="1016"/>
      <c r="BX17" s="1016"/>
      <c r="BY17" s="1016"/>
      <c r="BZ17" s="1016"/>
      <c r="CA17" s="1016"/>
      <c r="CB17" s="1016"/>
      <c r="CC17" s="1016"/>
      <c r="CD17" s="1016"/>
      <c r="CE17" s="1016"/>
      <c r="CF17" s="1016"/>
      <c r="CG17" s="1016"/>
      <c r="CH17" s="1016"/>
      <c r="CI17" s="1016"/>
      <c r="CJ17" s="1016"/>
      <c r="CK17" s="1016"/>
      <c r="CL17" s="1016"/>
      <c r="CM17" s="1016"/>
      <c r="CN17" s="1016"/>
      <c r="CO17" s="1016"/>
      <c r="CP17" s="1016"/>
      <c r="CQ17" s="1016"/>
      <c r="CR17" s="1016"/>
    </row>
    <row r="18" spans="1:96" ht="102">
      <c r="A18" s="1016"/>
      <c r="B18" s="79" t="s">
        <v>7178</v>
      </c>
      <c r="C18" s="109" t="s">
        <v>7179</v>
      </c>
      <c r="D18" s="81"/>
      <c r="E18" s="81" t="s">
        <v>11</v>
      </c>
      <c r="F18" s="82">
        <v>0</v>
      </c>
      <c r="G18" s="1071">
        <v>2</v>
      </c>
      <c r="H18" s="1072">
        <v>8</v>
      </c>
      <c r="I18" s="1072">
        <v>43</v>
      </c>
      <c r="J18" s="1072">
        <v>5</v>
      </c>
      <c r="K18" s="1072">
        <v>0</v>
      </c>
      <c r="L18" s="1072">
        <v>12</v>
      </c>
      <c r="M18" s="1072">
        <v>0</v>
      </c>
      <c r="N18" s="1073">
        <f t="shared" ref="N18:N23" si="7">+SUM(G18:M18)</f>
        <v>70</v>
      </c>
      <c r="O18" s="1016"/>
      <c r="P18" s="1071">
        <v>0</v>
      </c>
      <c r="Q18" s="1072">
        <v>0</v>
      </c>
      <c r="R18" s="1072">
        <v>0</v>
      </c>
      <c r="S18" s="1072">
        <v>70</v>
      </c>
      <c r="T18" s="1073">
        <f t="shared" ref="T18:T23" si="8">+SUM(P18:S18)</f>
        <v>70</v>
      </c>
      <c r="U18" s="1071">
        <v>0</v>
      </c>
      <c r="V18" s="1072">
        <v>1</v>
      </c>
      <c r="W18" s="1072">
        <v>9</v>
      </c>
      <c r="X18" s="1072">
        <v>51</v>
      </c>
      <c r="Y18" s="1072">
        <v>9</v>
      </c>
      <c r="Z18" s="1073">
        <f t="shared" ref="Z18:Z23" si="9">+SUM(U18:Y18)</f>
        <v>70</v>
      </c>
      <c r="AA18" s="1071">
        <v>0</v>
      </c>
      <c r="AB18" s="1072">
        <v>0</v>
      </c>
      <c r="AC18" s="1072">
        <v>9</v>
      </c>
      <c r="AD18" s="1072">
        <v>9</v>
      </c>
      <c r="AE18" s="1072">
        <v>52</v>
      </c>
      <c r="AF18" s="1073">
        <f t="shared" ref="AF18:AF23" si="10">+SUM(AA18:AE18)</f>
        <v>70</v>
      </c>
      <c r="AG18" s="957" t="s">
        <v>7180</v>
      </c>
      <c r="AH18" s="1016"/>
      <c r="AI18" s="770">
        <f t="shared" ref="AI18:AI23" si="11" xml:space="preserve"> IF( SUM( AK18:BL18 ) = 0, 0, $AL$5 )</f>
        <v>0</v>
      </c>
      <c r="AJ18" s="65"/>
      <c r="AK18" s="66"/>
      <c r="AL18" s="86">
        <f>IF(Validation!$H$3=1,0,IF(ISNUMBER(G18),0,1))</f>
        <v>0</v>
      </c>
      <c r="AM18" s="86">
        <f>IF(Validation!$H$3=1,0,IF(ISNUMBER(H18),0,1))</f>
        <v>0</v>
      </c>
      <c r="AN18" s="86">
        <f>IF(Validation!$H$3=1,0,IF(ISNUMBER(I18),0,1))</f>
        <v>0</v>
      </c>
      <c r="AO18" s="86">
        <f>IF(Validation!$H$3=1,0,IF(ISNUMBER(J18),0,1))</f>
        <v>0</v>
      </c>
      <c r="AP18" s="86">
        <f>IF(Validation!$H$3=1,0,IF(ISNUMBER(K18),0,1))</f>
        <v>0</v>
      </c>
      <c r="AQ18" s="86">
        <f>IF(Validation!$H$3=1,0,IF(ISNUMBER(L18),0,1))</f>
        <v>0</v>
      </c>
      <c r="AR18" s="86">
        <f>IF(Validation!$H$3=1,0,IF(ISNUMBER(M18),0,1))</f>
        <v>0</v>
      </c>
      <c r="AS18" s="86"/>
      <c r="AT18" s="78"/>
      <c r="AU18" s="86">
        <f>IF(Validation!$H$3=1,0,IF(ISNUMBER(P18),0,1))</f>
        <v>0</v>
      </c>
      <c r="AV18" s="86">
        <f>IF(Validation!$H$3=1,0,IF(ISNUMBER(Q18),0,1))</f>
        <v>0</v>
      </c>
      <c r="AW18" s="86">
        <f>IF(Validation!$H$3=1,0,IF(ISNUMBER(R18),0,1))</f>
        <v>0</v>
      </c>
      <c r="AX18" s="86">
        <f>IF(Validation!$H$3=1,0,IF(ISNUMBER(S18),0,1))</f>
        <v>0</v>
      </c>
      <c r="AY18" s="86"/>
      <c r="AZ18" s="86">
        <f>IF(Validation!$H$3=1,0,IF(ISNUMBER(U18),0,1))</f>
        <v>0</v>
      </c>
      <c r="BA18" s="86">
        <f>IF(Validation!$H$3=1,0,IF(ISNUMBER(V18),0,1))</f>
        <v>0</v>
      </c>
      <c r="BB18" s="86">
        <f>IF(Validation!$H$3=1,0,IF(ISNUMBER(W18),0,1))</f>
        <v>0</v>
      </c>
      <c r="BC18" s="86">
        <f>IF(Validation!$H$3=1,0,IF(ISNUMBER(X18),0,1))</f>
        <v>0</v>
      </c>
      <c r="BD18" s="86">
        <f>IF(Validation!$H$3=1,0,IF(ISNUMBER(Y18),0,1))</f>
        <v>0</v>
      </c>
      <c r="BE18" s="86"/>
      <c r="BF18" s="86">
        <f>IF(Validation!$H$3=1,0,IF(ISNUMBER(AA18),0,1))</f>
        <v>0</v>
      </c>
      <c r="BG18" s="86">
        <f>IF(Validation!$H$3=1,0,IF(ISNUMBER(AB18),0,1))</f>
        <v>0</v>
      </c>
      <c r="BH18" s="86">
        <f>IF(Validation!$H$3=1,0,IF(ISNUMBER(AC18),0,1))</f>
        <v>0</v>
      </c>
      <c r="BI18" s="86">
        <f>IF(Validation!$H$3=1,0,IF(ISNUMBER(AD18),0,1))</f>
        <v>0</v>
      </c>
      <c r="BJ18" s="86">
        <f>IF(Validation!$H$3=1,0,IF(ISNUMBER(AE18),0,1))</f>
        <v>0</v>
      </c>
      <c r="BK18" s="86"/>
      <c r="BL18" s="66"/>
      <c r="BN18" s="79" t="s">
        <v>7178</v>
      </c>
      <c r="BO18" s="109" t="s">
        <v>7179</v>
      </c>
      <c r="BP18" s="81"/>
      <c r="BQ18" s="81" t="s">
        <v>11</v>
      </c>
      <c r="BR18" s="82">
        <v>0</v>
      </c>
      <c r="BS18" s="1071" t="s">
        <v>7181</v>
      </c>
      <c r="BT18" s="1072" t="s">
        <v>7182</v>
      </c>
      <c r="BU18" s="1072" t="s">
        <v>7183</v>
      </c>
      <c r="BV18" s="1072" t="s">
        <v>7184</v>
      </c>
      <c r="BW18" s="1072" t="s">
        <v>7185</v>
      </c>
      <c r="BX18" s="1072" t="s">
        <v>7186</v>
      </c>
      <c r="BY18" s="1072" t="s">
        <v>7187</v>
      </c>
      <c r="BZ18" s="1073" t="s">
        <v>7188</v>
      </c>
      <c r="CA18" s="1016"/>
      <c r="CB18" s="1071" t="s">
        <v>7189</v>
      </c>
      <c r="CC18" s="1072" t="s">
        <v>7190</v>
      </c>
      <c r="CD18" s="1072" t="s">
        <v>7191</v>
      </c>
      <c r="CE18" s="1072" t="s">
        <v>7192</v>
      </c>
      <c r="CF18" s="1073" t="s">
        <v>7193</v>
      </c>
      <c r="CG18" s="1071" t="s">
        <v>7194</v>
      </c>
      <c r="CH18" s="1072" t="s">
        <v>7195</v>
      </c>
      <c r="CI18" s="1072" t="s">
        <v>7196</v>
      </c>
      <c r="CJ18" s="1072" t="s">
        <v>7197</v>
      </c>
      <c r="CK18" s="1072" t="s">
        <v>7198</v>
      </c>
      <c r="CL18" s="1073" t="s">
        <v>7199</v>
      </c>
      <c r="CM18" s="1071" t="s">
        <v>7200</v>
      </c>
      <c r="CN18" s="1072" t="s">
        <v>7201</v>
      </c>
      <c r="CO18" s="1072" t="s">
        <v>7202</v>
      </c>
      <c r="CP18" s="1072" t="s">
        <v>7203</v>
      </c>
      <c r="CQ18" s="1072" t="s">
        <v>7204</v>
      </c>
      <c r="CR18" s="1073" t="s">
        <v>7205</v>
      </c>
    </row>
    <row r="19" spans="1:96" ht="102">
      <c r="A19" s="1016"/>
      <c r="B19" s="87" t="s">
        <v>7206</v>
      </c>
      <c r="C19" s="80" t="s">
        <v>7207</v>
      </c>
      <c r="D19" s="88"/>
      <c r="E19" s="88" t="s">
        <v>11</v>
      </c>
      <c r="F19" s="89">
        <v>0</v>
      </c>
      <c r="G19" s="1074">
        <v>0</v>
      </c>
      <c r="H19" s="1075">
        <v>4</v>
      </c>
      <c r="I19" s="1075">
        <v>18</v>
      </c>
      <c r="J19" s="1075">
        <v>1</v>
      </c>
      <c r="K19" s="1075">
        <v>0</v>
      </c>
      <c r="L19" s="1075">
        <v>23</v>
      </c>
      <c r="M19" s="1075">
        <v>0</v>
      </c>
      <c r="N19" s="1076">
        <f t="shared" si="7"/>
        <v>46</v>
      </c>
      <c r="O19" s="1016"/>
      <c r="P19" s="1074">
        <v>0</v>
      </c>
      <c r="Q19" s="1075">
        <v>0</v>
      </c>
      <c r="R19" s="1075">
        <v>0</v>
      </c>
      <c r="S19" s="1075">
        <v>46</v>
      </c>
      <c r="T19" s="1076">
        <f t="shared" si="8"/>
        <v>46</v>
      </c>
      <c r="U19" s="1074">
        <v>0</v>
      </c>
      <c r="V19" s="1075">
        <v>2</v>
      </c>
      <c r="W19" s="1075">
        <v>11</v>
      </c>
      <c r="X19" s="1075">
        <v>32</v>
      </c>
      <c r="Y19" s="1075">
        <v>1</v>
      </c>
      <c r="Z19" s="1076">
        <f t="shared" si="9"/>
        <v>46</v>
      </c>
      <c r="AA19" s="1074">
        <v>0</v>
      </c>
      <c r="AB19" s="1075">
        <v>2</v>
      </c>
      <c r="AC19" s="1075">
        <v>14</v>
      </c>
      <c r="AD19" s="1075">
        <v>8</v>
      </c>
      <c r="AE19" s="1075">
        <v>22</v>
      </c>
      <c r="AF19" s="1076">
        <f t="shared" si="10"/>
        <v>46</v>
      </c>
      <c r="AG19" s="958" t="s">
        <v>7180</v>
      </c>
      <c r="AH19" s="1016"/>
      <c r="AI19" s="770">
        <f t="shared" si="11"/>
        <v>0</v>
      </c>
      <c r="AJ19" s="65"/>
      <c r="AK19" s="66"/>
      <c r="AL19" s="86">
        <f>IF(Validation!$H$3=1,0,IF(ISNUMBER(G19),0,1))</f>
        <v>0</v>
      </c>
      <c r="AM19" s="86">
        <f>IF(Validation!$H$3=1,0,IF(ISNUMBER(H19),0,1))</f>
        <v>0</v>
      </c>
      <c r="AN19" s="86">
        <f>IF(Validation!$H$3=1,0,IF(ISNUMBER(I19),0,1))</f>
        <v>0</v>
      </c>
      <c r="AO19" s="86">
        <f>IF(Validation!$H$3=1,0,IF(ISNUMBER(J19),0,1))</f>
        <v>0</v>
      </c>
      <c r="AP19" s="86">
        <f>IF(Validation!$H$3=1,0,IF(ISNUMBER(K19),0,1))</f>
        <v>0</v>
      </c>
      <c r="AQ19" s="86">
        <f>IF(Validation!$H$3=1,0,IF(ISNUMBER(L19),0,1))</f>
        <v>0</v>
      </c>
      <c r="AR19" s="86">
        <f>IF(Validation!$H$3=1,0,IF(ISNUMBER(M19),0,1))</f>
        <v>0</v>
      </c>
      <c r="AS19" s="86"/>
      <c r="AT19" s="78"/>
      <c r="AU19" s="86">
        <f>IF(Validation!$H$3=1,0,IF(ISNUMBER(P19),0,1))</f>
        <v>0</v>
      </c>
      <c r="AV19" s="86">
        <f>IF(Validation!$H$3=1,0,IF(ISNUMBER(Q19),0,1))</f>
        <v>0</v>
      </c>
      <c r="AW19" s="86">
        <f>IF(Validation!$H$3=1,0,IF(ISNUMBER(R19),0,1))</f>
        <v>0</v>
      </c>
      <c r="AX19" s="86">
        <f>IF(Validation!$H$3=1,0,IF(ISNUMBER(S19),0,1))</f>
        <v>0</v>
      </c>
      <c r="AY19" s="86"/>
      <c r="AZ19" s="86">
        <f>IF(Validation!$H$3=1,0,IF(ISNUMBER(U19),0,1))</f>
        <v>0</v>
      </c>
      <c r="BA19" s="86">
        <f>IF(Validation!$H$3=1,0,IF(ISNUMBER(V19),0,1))</f>
        <v>0</v>
      </c>
      <c r="BB19" s="86">
        <f>IF(Validation!$H$3=1,0,IF(ISNUMBER(W19),0,1))</f>
        <v>0</v>
      </c>
      <c r="BC19" s="86">
        <f>IF(Validation!$H$3=1,0,IF(ISNUMBER(X19),0,1))</f>
        <v>0</v>
      </c>
      <c r="BD19" s="86">
        <f>IF(Validation!$H$3=1,0,IF(ISNUMBER(Y19),0,1))</f>
        <v>0</v>
      </c>
      <c r="BE19" s="86"/>
      <c r="BF19" s="86">
        <f>IF(Validation!$H$3=1,0,IF(ISNUMBER(AA19),0,1))</f>
        <v>0</v>
      </c>
      <c r="BG19" s="86">
        <f>IF(Validation!$H$3=1,0,IF(ISNUMBER(AB19),0,1))</f>
        <v>0</v>
      </c>
      <c r="BH19" s="86">
        <f>IF(Validation!$H$3=1,0,IF(ISNUMBER(AC19),0,1))</f>
        <v>0</v>
      </c>
      <c r="BI19" s="86">
        <f>IF(Validation!$H$3=1,0,IF(ISNUMBER(AD19),0,1))</f>
        <v>0</v>
      </c>
      <c r="BJ19" s="86">
        <f>IF(Validation!$H$3=1,0,IF(ISNUMBER(AE19),0,1))</f>
        <v>0</v>
      </c>
      <c r="BK19" s="86"/>
      <c r="BL19" s="66"/>
      <c r="BN19" s="87" t="s">
        <v>7206</v>
      </c>
      <c r="BO19" s="80" t="s">
        <v>7207</v>
      </c>
      <c r="BP19" s="88"/>
      <c r="BQ19" s="88" t="s">
        <v>11</v>
      </c>
      <c r="BR19" s="89">
        <v>0</v>
      </c>
      <c r="BS19" s="1074" t="s">
        <v>7208</v>
      </c>
      <c r="BT19" s="1075" t="s">
        <v>7209</v>
      </c>
      <c r="BU19" s="1075" t="s">
        <v>7210</v>
      </c>
      <c r="BV19" s="1075" t="s">
        <v>7211</v>
      </c>
      <c r="BW19" s="1075" t="s">
        <v>7212</v>
      </c>
      <c r="BX19" s="1075" t="s">
        <v>7213</v>
      </c>
      <c r="BY19" s="1075" t="s">
        <v>7214</v>
      </c>
      <c r="BZ19" s="1076" t="s">
        <v>7215</v>
      </c>
      <c r="CA19" s="1016"/>
      <c r="CB19" s="1074" t="s">
        <v>7216</v>
      </c>
      <c r="CC19" s="1075" t="s">
        <v>7217</v>
      </c>
      <c r="CD19" s="1075" t="s">
        <v>7218</v>
      </c>
      <c r="CE19" s="1075" t="s">
        <v>7219</v>
      </c>
      <c r="CF19" s="1076" t="s">
        <v>7220</v>
      </c>
      <c r="CG19" s="1074" t="s">
        <v>7221</v>
      </c>
      <c r="CH19" s="1075" t="s">
        <v>7222</v>
      </c>
      <c r="CI19" s="1075" t="s">
        <v>7223</v>
      </c>
      <c r="CJ19" s="1075" t="s">
        <v>7224</v>
      </c>
      <c r="CK19" s="1075" t="s">
        <v>7225</v>
      </c>
      <c r="CL19" s="1076" t="s">
        <v>7226</v>
      </c>
      <c r="CM19" s="1074" t="s">
        <v>7227</v>
      </c>
      <c r="CN19" s="1075" t="s">
        <v>7228</v>
      </c>
      <c r="CO19" s="1075" t="s">
        <v>7229</v>
      </c>
      <c r="CP19" s="1075" t="s">
        <v>7230</v>
      </c>
      <c r="CQ19" s="1075" t="s">
        <v>7231</v>
      </c>
      <c r="CR19" s="1076" t="s">
        <v>7232</v>
      </c>
    </row>
    <row r="20" spans="1:96" ht="102">
      <c r="A20" s="1016"/>
      <c r="B20" s="87" t="s">
        <v>7233</v>
      </c>
      <c r="C20" s="80" t="s">
        <v>7234</v>
      </c>
      <c r="D20" s="88"/>
      <c r="E20" s="88" t="s">
        <v>11</v>
      </c>
      <c r="F20" s="89">
        <v>0</v>
      </c>
      <c r="G20" s="1074">
        <v>0</v>
      </c>
      <c r="H20" s="1075">
        <v>4</v>
      </c>
      <c r="I20" s="1075">
        <v>38</v>
      </c>
      <c r="J20" s="1075">
        <v>4</v>
      </c>
      <c r="K20" s="1075">
        <v>1</v>
      </c>
      <c r="L20" s="1075">
        <v>32</v>
      </c>
      <c r="M20" s="1075">
        <v>1</v>
      </c>
      <c r="N20" s="1076">
        <f t="shared" si="7"/>
        <v>80</v>
      </c>
      <c r="O20" s="1016"/>
      <c r="P20" s="1074">
        <v>0</v>
      </c>
      <c r="Q20" s="1075">
        <v>0</v>
      </c>
      <c r="R20" s="1075">
        <v>0</v>
      </c>
      <c r="S20" s="1075">
        <v>80</v>
      </c>
      <c r="T20" s="1076">
        <f t="shared" si="8"/>
        <v>80</v>
      </c>
      <c r="U20" s="1074">
        <v>0</v>
      </c>
      <c r="V20" s="1075">
        <v>10</v>
      </c>
      <c r="W20" s="1075">
        <v>25</v>
      </c>
      <c r="X20" s="1075">
        <v>45</v>
      </c>
      <c r="Y20" s="1075">
        <v>0</v>
      </c>
      <c r="Z20" s="1076">
        <f t="shared" si="9"/>
        <v>80</v>
      </c>
      <c r="AA20" s="1074">
        <v>0</v>
      </c>
      <c r="AB20" s="1075">
        <v>7</v>
      </c>
      <c r="AC20" s="1075">
        <v>34</v>
      </c>
      <c r="AD20" s="1075">
        <v>14</v>
      </c>
      <c r="AE20" s="1075">
        <v>25</v>
      </c>
      <c r="AF20" s="1076">
        <f t="shared" si="10"/>
        <v>80</v>
      </c>
      <c r="AG20" s="958" t="s">
        <v>7180</v>
      </c>
      <c r="AH20" s="1016"/>
      <c r="AI20" s="770">
        <f t="shared" si="11"/>
        <v>0</v>
      </c>
      <c r="AJ20" s="65"/>
      <c r="AK20" s="66"/>
      <c r="AL20" s="86">
        <f>IF(Validation!$H$3=1,0,IF(ISNUMBER(G20),0,1))</f>
        <v>0</v>
      </c>
      <c r="AM20" s="86">
        <f>IF(Validation!$H$3=1,0,IF(ISNUMBER(H20),0,1))</f>
        <v>0</v>
      </c>
      <c r="AN20" s="86">
        <f>IF(Validation!$H$3=1,0,IF(ISNUMBER(I20),0,1))</f>
        <v>0</v>
      </c>
      <c r="AO20" s="86">
        <f>IF(Validation!$H$3=1,0,IF(ISNUMBER(J20),0,1))</f>
        <v>0</v>
      </c>
      <c r="AP20" s="86">
        <f>IF(Validation!$H$3=1,0,IF(ISNUMBER(K20),0,1))</f>
        <v>0</v>
      </c>
      <c r="AQ20" s="86">
        <f>IF(Validation!$H$3=1,0,IF(ISNUMBER(L20),0,1))</f>
        <v>0</v>
      </c>
      <c r="AR20" s="86">
        <f>IF(Validation!$H$3=1,0,IF(ISNUMBER(M20),0,1))</f>
        <v>0</v>
      </c>
      <c r="AS20" s="86"/>
      <c r="AT20" s="78"/>
      <c r="AU20" s="86">
        <f>IF(Validation!$H$3=1,0,IF(ISNUMBER(P20),0,1))</f>
        <v>0</v>
      </c>
      <c r="AV20" s="86">
        <f>IF(Validation!$H$3=1,0,IF(ISNUMBER(Q20),0,1))</f>
        <v>0</v>
      </c>
      <c r="AW20" s="86">
        <f>IF(Validation!$H$3=1,0,IF(ISNUMBER(R20),0,1))</f>
        <v>0</v>
      </c>
      <c r="AX20" s="86">
        <f>IF(Validation!$H$3=1,0,IF(ISNUMBER(S20),0,1))</f>
        <v>0</v>
      </c>
      <c r="AY20" s="86"/>
      <c r="AZ20" s="86">
        <f>IF(Validation!$H$3=1,0,IF(ISNUMBER(U20),0,1))</f>
        <v>0</v>
      </c>
      <c r="BA20" s="86">
        <f>IF(Validation!$H$3=1,0,IF(ISNUMBER(V20),0,1))</f>
        <v>0</v>
      </c>
      <c r="BB20" s="86">
        <f>IF(Validation!$H$3=1,0,IF(ISNUMBER(W20),0,1))</f>
        <v>0</v>
      </c>
      <c r="BC20" s="86">
        <f>IF(Validation!$H$3=1,0,IF(ISNUMBER(X20),0,1))</f>
        <v>0</v>
      </c>
      <c r="BD20" s="86">
        <f>IF(Validation!$H$3=1,0,IF(ISNUMBER(Y20),0,1))</f>
        <v>0</v>
      </c>
      <c r="BE20" s="86"/>
      <c r="BF20" s="86">
        <f>IF(Validation!$H$3=1,0,IF(ISNUMBER(AA20),0,1))</f>
        <v>0</v>
      </c>
      <c r="BG20" s="86">
        <f>IF(Validation!$H$3=1,0,IF(ISNUMBER(AB20),0,1))</f>
        <v>0</v>
      </c>
      <c r="BH20" s="86">
        <f>IF(Validation!$H$3=1,0,IF(ISNUMBER(AC20),0,1))</f>
        <v>0</v>
      </c>
      <c r="BI20" s="86">
        <f>IF(Validation!$H$3=1,0,IF(ISNUMBER(AD20),0,1))</f>
        <v>0</v>
      </c>
      <c r="BJ20" s="86">
        <f>IF(Validation!$H$3=1,0,IF(ISNUMBER(AE20),0,1))</f>
        <v>0</v>
      </c>
      <c r="BK20" s="86"/>
      <c r="BL20" s="66"/>
      <c r="BN20" s="87" t="s">
        <v>7233</v>
      </c>
      <c r="BO20" s="80" t="s">
        <v>7234</v>
      </c>
      <c r="BP20" s="88"/>
      <c r="BQ20" s="88" t="s">
        <v>11</v>
      </c>
      <c r="BR20" s="89">
        <v>0</v>
      </c>
      <c r="BS20" s="1074" t="s">
        <v>7235</v>
      </c>
      <c r="BT20" s="1075" t="s">
        <v>7236</v>
      </c>
      <c r="BU20" s="1075" t="s">
        <v>7237</v>
      </c>
      <c r="BV20" s="1075" t="s">
        <v>7238</v>
      </c>
      <c r="BW20" s="1075" t="s">
        <v>7239</v>
      </c>
      <c r="BX20" s="1075" t="s">
        <v>7240</v>
      </c>
      <c r="BY20" s="1075" t="s">
        <v>7241</v>
      </c>
      <c r="BZ20" s="1076" t="s">
        <v>7242</v>
      </c>
      <c r="CA20" s="1016"/>
      <c r="CB20" s="1074" t="s">
        <v>7243</v>
      </c>
      <c r="CC20" s="1075" t="s">
        <v>7244</v>
      </c>
      <c r="CD20" s="1075" t="s">
        <v>7245</v>
      </c>
      <c r="CE20" s="1075" t="s">
        <v>7246</v>
      </c>
      <c r="CF20" s="1076" t="s">
        <v>7247</v>
      </c>
      <c r="CG20" s="1074" t="s">
        <v>7248</v>
      </c>
      <c r="CH20" s="1075" t="s">
        <v>7249</v>
      </c>
      <c r="CI20" s="1075" t="s">
        <v>7250</v>
      </c>
      <c r="CJ20" s="1075" t="s">
        <v>7251</v>
      </c>
      <c r="CK20" s="1075" t="s">
        <v>7252</v>
      </c>
      <c r="CL20" s="1076" t="s">
        <v>7253</v>
      </c>
      <c r="CM20" s="1074" t="s">
        <v>7254</v>
      </c>
      <c r="CN20" s="1075" t="s">
        <v>7255</v>
      </c>
      <c r="CO20" s="1075" t="s">
        <v>7256</v>
      </c>
      <c r="CP20" s="1075" t="s">
        <v>7257</v>
      </c>
      <c r="CQ20" s="1075" t="s">
        <v>7258</v>
      </c>
      <c r="CR20" s="1076" t="s">
        <v>7259</v>
      </c>
    </row>
    <row r="21" spans="1:96" ht="102">
      <c r="A21" s="1016"/>
      <c r="B21" s="87" t="s">
        <v>7260</v>
      </c>
      <c r="C21" s="80" t="s">
        <v>7261</v>
      </c>
      <c r="D21" s="88"/>
      <c r="E21" s="88" t="s">
        <v>11</v>
      </c>
      <c r="F21" s="89">
        <v>0</v>
      </c>
      <c r="G21" s="1074">
        <v>0</v>
      </c>
      <c r="H21" s="1075">
        <v>10</v>
      </c>
      <c r="I21" s="1075">
        <v>17</v>
      </c>
      <c r="J21" s="1075">
        <v>3</v>
      </c>
      <c r="K21" s="1075">
        <v>2</v>
      </c>
      <c r="L21" s="1075">
        <v>32</v>
      </c>
      <c r="M21" s="1075">
        <v>10</v>
      </c>
      <c r="N21" s="1076">
        <f t="shared" si="7"/>
        <v>74</v>
      </c>
      <c r="O21" s="1016"/>
      <c r="P21" s="1074">
        <v>0</v>
      </c>
      <c r="Q21" s="1075">
        <v>0</v>
      </c>
      <c r="R21" s="1075">
        <v>0</v>
      </c>
      <c r="S21" s="1075">
        <v>74</v>
      </c>
      <c r="T21" s="1076">
        <f t="shared" si="8"/>
        <v>74</v>
      </c>
      <c r="U21" s="1074">
        <v>4</v>
      </c>
      <c r="V21" s="1075">
        <v>13</v>
      </c>
      <c r="W21" s="1075">
        <v>42</v>
      </c>
      <c r="X21" s="1075">
        <v>15</v>
      </c>
      <c r="Y21" s="1075">
        <v>0</v>
      </c>
      <c r="Z21" s="1076">
        <f t="shared" si="9"/>
        <v>74</v>
      </c>
      <c r="AA21" s="1074">
        <v>0</v>
      </c>
      <c r="AB21" s="1075">
        <v>25</v>
      </c>
      <c r="AC21" s="1075">
        <v>39</v>
      </c>
      <c r="AD21" s="1075">
        <v>4</v>
      </c>
      <c r="AE21" s="1075">
        <v>6</v>
      </c>
      <c r="AF21" s="1076">
        <f t="shared" si="10"/>
        <v>74</v>
      </c>
      <c r="AG21" s="958" t="s">
        <v>7180</v>
      </c>
      <c r="AH21" s="1016"/>
      <c r="AI21" s="770">
        <f t="shared" si="11"/>
        <v>0</v>
      </c>
      <c r="AJ21" s="65"/>
      <c r="AK21" s="66"/>
      <c r="AL21" s="86">
        <f>IF(Validation!$H$3=1,0,IF(ISNUMBER(G21),0,1))</f>
        <v>0</v>
      </c>
      <c r="AM21" s="86">
        <f>IF(Validation!$H$3=1,0,IF(ISNUMBER(H21),0,1))</f>
        <v>0</v>
      </c>
      <c r="AN21" s="86">
        <f>IF(Validation!$H$3=1,0,IF(ISNUMBER(I21),0,1))</f>
        <v>0</v>
      </c>
      <c r="AO21" s="86">
        <f>IF(Validation!$H$3=1,0,IF(ISNUMBER(J21),0,1))</f>
        <v>0</v>
      </c>
      <c r="AP21" s="86">
        <f>IF(Validation!$H$3=1,0,IF(ISNUMBER(K21),0,1))</f>
        <v>0</v>
      </c>
      <c r="AQ21" s="86">
        <f>IF(Validation!$H$3=1,0,IF(ISNUMBER(L21),0,1))</f>
        <v>0</v>
      </c>
      <c r="AR21" s="86">
        <f>IF(Validation!$H$3=1,0,IF(ISNUMBER(M21),0,1))</f>
        <v>0</v>
      </c>
      <c r="AS21" s="86"/>
      <c r="AT21" s="78"/>
      <c r="AU21" s="86">
        <f>IF(Validation!$H$3=1,0,IF(ISNUMBER(P21),0,1))</f>
        <v>0</v>
      </c>
      <c r="AV21" s="86">
        <f>IF(Validation!$H$3=1,0,IF(ISNUMBER(Q21),0,1))</f>
        <v>0</v>
      </c>
      <c r="AW21" s="86">
        <f>IF(Validation!$H$3=1,0,IF(ISNUMBER(R21),0,1))</f>
        <v>0</v>
      </c>
      <c r="AX21" s="86">
        <f>IF(Validation!$H$3=1,0,IF(ISNUMBER(S21),0,1))</f>
        <v>0</v>
      </c>
      <c r="AY21" s="86"/>
      <c r="AZ21" s="86">
        <f>IF(Validation!$H$3=1,0,IF(ISNUMBER(U21),0,1))</f>
        <v>0</v>
      </c>
      <c r="BA21" s="86">
        <f>IF(Validation!$H$3=1,0,IF(ISNUMBER(V21),0,1))</f>
        <v>0</v>
      </c>
      <c r="BB21" s="86">
        <f>IF(Validation!$H$3=1,0,IF(ISNUMBER(W21),0,1))</f>
        <v>0</v>
      </c>
      <c r="BC21" s="86">
        <f>IF(Validation!$H$3=1,0,IF(ISNUMBER(X21),0,1))</f>
        <v>0</v>
      </c>
      <c r="BD21" s="86">
        <f>IF(Validation!$H$3=1,0,IF(ISNUMBER(Y21),0,1))</f>
        <v>0</v>
      </c>
      <c r="BE21" s="86"/>
      <c r="BF21" s="86">
        <f>IF(Validation!$H$3=1,0,IF(ISNUMBER(AA21),0,1))</f>
        <v>0</v>
      </c>
      <c r="BG21" s="86">
        <f>IF(Validation!$H$3=1,0,IF(ISNUMBER(AB21),0,1))</f>
        <v>0</v>
      </c>
      <c r="BH21" s="86">
        <f>IF(Validation!$H$3=1,0,IF(ISNUMBER(AC21),0,1))</f>
        <v>0</v>
      </c>
      <c r="BI21" s="86">
        <f>IF(Validation!$H$3=1,0,IF(ISNUMBER(AD21),0,1))</f>
        <v>0</v>
      </c>
      <c r="BJ21" s="86">
        <f>IF(Validation!$H$3=1,0,IF(ISNUMBER(AE21),0,1))</f>
        <v>0</v>
      </c>
      <c r="BK21" s="86"/>
      <c r="BL21" s="66"/>
      <c r="BN21" s="87" t="s">
        <v>7260</v>
      </c>
      <c r="BO21" s="80" t="s">
        <v>7261</v>
      </c>
      <c r="BP21" s="88"/>
      <c r="BQ21" s="88" t="s">
        <v>11</v>
      </c>
      <c r="BR21" s="89">
        <v>0</v>
      </c>
      <c r="BS21" s="1074" t="s">
        <v>7262</v>
      </c>
      <c r="BT21" s="1075" t="s">
        <v>7263</v>
      </c>
      <c r="BU21" s="1075" t="s">
        <v>7264</v>
      </c>
      <c r="BV21" s="1075" t="s">
        <v>7265</v>
      </c>
      <c r="BW21" s="1075" t="s">
        <v>7266</v>
      </c>
      <c r="BX21" s="1075" t="s">
        <v>7267</v>
      </c>
      <c r="BY21" s="1075" t="s">
        <v>7268</v>
      </c>
      <c r="BZ21" s="1076" t="s">
        <v>7269</v>
      </c>
      <c r="CA21" s="1016"/>
      <c r="CB21" s="1074" t="s">
        <v>7270</v>
      </c>
      <c r="CC21" s="1075" t="s">
        <v>7271</v>
      </c>
      <c r="CD21" s="1075" t="s">
        <v>7272</v>
      </c>
      <c r="CE21" s="1075" t="s">
        <v>7273</v>
      </c>
      <c r="CF21" s="1076" t="s">
        <v>7274</v>
      </c>
      <c r="CG21" s="1074" t="s">
        <v>7275</v>
      </c>
      <c r="CH21" s="1075" t="s">
        <v>7276</v>
      </c>
      <c r="CI21" s="1075" t="s">
        <v>7277</v>
      </c>
      <c r="CJ21" s="1075" t="s">
        <v>7278</v>
      </c>
      <c r="CK21" s="1075" t="s">
        <v>7279</v>
      </c>
      <c r="CL21" s="1076" t="s">
        <v>7280</v>
      </c>
      <c r="CM21" s="1074" t="s">
        <v>7281</v>
      </c>
      <c r="CN21" s="1075" t="s">
        <v>7282</v>
      </c>
      <c r="CO21" s="1075" t="s">
        <v>7283</v>
      </c>
      <c r="CP21" s="1075" t="s">
        <v>7284</v>
      </c>
      <c r="CQ21" s="1075" t="s">
        <v>7285</v>
      </c>
      <c r="CR21" s="1076" t="s">
        <v>7286</v>
      </c>
    </row>
    <row r="22" spans="1:96" ht="102">
      <c r="A22" s="1016"/>
      <c r="B22" s="87" t="s">
        <v>7287</v>
      </c>
      <c r="C22" s="785" t="s">
        <v>7288</v>
      </c>
      <c r="D22" s="1077"/>
      <c r="E22" s="1077" t="s">
        <v>11</v>
      </c>
      <c r="F22" s="786">
        <v>0</v>
      </c>
      <c r="G22" s="1074">
        <v>0</v>
      </c>
      <c r="H22" s="1075">
        <v>0</v>
      </c>
      <c r="I22" s="1075">
        <v>0</v>
      </c>
      <c r="J22" s="1075">
        <v>1</v>
      </c>
      <c r="K22" s="1075">
        <v>9</v>
      </c>
      <c r="L22" s="1075">
        <v>3</v>
      </c>
      <c r="M22" s="1075">
        <v>16</v>
      </c>
      <c r="N22" s="1076">
        <f t="shared" si="7"/>
        <v>29</v>
      </c>
      <c r="O22" s="1016"/>
      <c r="P22" s="1074">
        <v>0</v>
      </c>
      <c r="Q22" s="1075">
        <v>0</v>
      </c>
      <c r="R22" s="1075">
        <v>27</v>
      </c>
      <c r="S22" s="1075">
        <v>3</v>
      </c>
      <c r="T22" s="1076">
        <f t="shared" si="8"/>
        <v>30</v>
      </c>
      <c r="U22" s="1074">
        <v>2</v>
      </c>
      <c r="V22" s="1075">
        <v>13</v>
      </c>
      <c r="W22" s="1075">
        <v>14</v>
      </c>
      <c r="X22" s="1075">
        <v>1</v>
      </c>
      <c r="Y22" s="1075">
        <v>0</v>
      </c>
      <c r="Z22" s="1076">
        <f t="shared" si="9"/>
        <v>30</v>
      </c>
      <c r="AA22" s="1074">
        <v>0</v>
      </c>
      <c r="AB22" s="1075">
        <v>15</v>
      </c>
      <c r="AC22" s="1075">
        <v>14</v>
      </c>
      <c r="AD22" s="1075">
        <v>1</v>
      </c>
      <c r="AE22" s="1075">
        <v>0</v>
      </c>
      <c r="AF22" s="1076">
        <f t="shared" si="10"/>
        <v>30</v>
      </c>
      <c r="AG22" s="958" t="s">
        <v>7180</v>
      </c>
      <c r="AH22" s="1016"/>
      <c r="AI22" s="770">
        <f t="shared" si="11"/>
        <v>0</v>
      </c>
      <c r="AJ22" s="65"/>
      <c r="AK22" s="66"/>
      <c r="AL22" s="86">
        <f>IF(Validation!$H$3=1,0,IF(ISNUMBER(G22),0,1))</f>
        <v>0</v>
      </c>
      <c r="AM22" s="86">
        <f>IF(Validation!$H$3=1,0,IF(ISNUMBER(H22),0,1))</f>
        <v>0</v>
      </c>
      <c r="AN22" s="86">
        <f>IF(Validation!$H$3=1,0,IF(ISNUMBER(I22),0,1))</f>
        <v>0</v>
      </c>
      <c r="AO22" s="86">
        <f>IF(Validation!$H$3=1,0,IF(ISNUMBER(J22),0,1))</f>
        <v>0</v>
      </c>
      <c r="AP22" s="86">
        <f>IF(Validation!$H$3=1,0,IF(ISNUMBER(K22),0,1))</f>
        <v>0</v>
      </c>
      <c r="AQ22" s="86">
        <f>IF(Validation!$H$3=1,0,IF(ISNUMBER(L22),0,1))</f>
        <v>0</v>
      </c>
      <c r="AR22" s="86">
        <f>IF(Validation!$H$3=1,0,IF(ISNUMBER(M22),0,1))</f>
        <v>0</v>
      </c>
      <c r="AS22" s="86"/>
      <c r="AT22" s="78"/>
      <c r="AU22" s="86">
        <f>IF(Validation!$H$3=1,0,IF(ISNUMBER(P22),0,1))</f>
        <v>0</v>
      </c>
      <c r="AV22" s="86">
        <f>IF(Validation!$H$3=1,0,IF(ISNUMBER(Q22),0,1))</f>
        <v>0</v>
      </c>
      <c r="AW22" s="86">
        <f>IF(Validation!$H$3=1,0,IF(ISNUMBER(R22),0,1))</f>
        <v>0</v>
      </c>
      <c r="AX22" s="86">
        <f>IF(Validation!$H$3=1,0,IF(ISNUMBER(S22),0,1))</f>
        <v>0</v>
      </c>
      <c r="AY22" s="86"/>
      <c r="AZ22" s="86">
        <f>IF(Validation!$H$3=1,0,IF(ISNUMBER(U22),0,1))</f>
        <v>0</v>
      </c>
      <c r="BA22" s="86">
        <f>IF(Validation!$H$3=1,0,IF(ISNUMBER(V22),0,1))</f>
        <v>0</v>
      </c>
      <c r="BB22" s="86">
        <f>IF(Validation!$H$3=1,0,IF(ISNUMBER(W22),0,1))</f>
        <v>0</v>
      </c>
      <c r="BC22" s="86">
        <f>IF(Validation!$H$3=1,0,IF(ISNUMBER(X22),0,1))</f>
        <v>0</v>
      </c>
      <c r="BD22" s="86">
        <f>IF(Validation!$H$3=1,0,IF(ISNUMBER(Y22),0,1))</f>
        <v>0</v>
      </c>
      <c r="BE22" s="86"/>
      <c r="BF22" s="86">
        <f>IF(Validation!$H$3=1,0,IF(ISNUMBER(AA22),0,1))</f>
        <v>0</v>
      </c>
      <c r="BG22" s="86">
        <f>IF(Validation!$H$3=1,0,IF(ISNUMBER(AB22),0,1))</f>
        <v>0</v>
      </c>
      <c r="BH22" s="86">
        <f>IF(Validation!$H$3=1,0,IF(ISNUMBER(AC22),0,1))</f>
        <v>0</v>
      </c>
      <c r="BI22" s="86">
        <f>IF(Validation!$H$3=1,0,IF(ISNUMBER(AD22),0,1))</f>
        <v>0</v>
      </c>
      <c r="BJ22" s="86">
        <f>IF(Validation!$H$3=1,0,IF(ISNUMBER(AE22),0,1))</f>
        <v>0</v>
      </c>
      <c r="BK22" s="86"/>
      <c r="BL22" s="66"/>
      <c r="BN22" s="87" t="s">
        <v>7287</v>
      </c>
      <c r="BO22" s="785" t="s">
        <v>7288</v>
      </c>
      <c r="BP22" s="1077"/>
      <c r="BQ22" s="1077" t="s">
        <v>11</v>
      </c>
      <c r="BR22" s="786">
        <v>0</v>
      </c>
      <c r="BS22" s="1074" t="s">
        <v>7289</v>
      </c>
      <c r="BT22" s="1075" t="s">
        <v>7290</v>
      </c>
      <c r="BU22" s="1075" t="s">
        <v>7291</v>
      </c>
      <c r="BV22" s="1075" t="s">
        <v>7292</v>
      </c>
      <c r="BW22" s="1075" t="s">
        <v>7293</v>
      </c>
      <c r="BX22" s="1075" t="s">
        <v>7294</v>
      </c>
      <c r="BY22" s="1075" t="s">
        <v>7295</v>
      </c>
      <c r="BZ22" s="1076" t="s">
        <v>7296</v>
      </c>
      <c r="CA22" s="1016"/>
      <c r="CB22" s="1074" t="s">
        <v>7297</v>
      </c>
      <c r="CC22" s="1075" t="s">
        <v>7298</v>
      </c>
      <c r="CD22" s="1075" t="s">
        <v>7299</v>
      </c>
      <c r="CE22" s="1075" t="s">
        <v>7300</v>
      </c>
      <c r="CF22" s="1076" t="s">
        <v>7301</v>
      </c>
      <c r="CG22" s="1074" t="s">
        <v>7302</v>
      </c>
      <c r="CH22" s="1075" t="s">
        <v>7303</v>
      </c>
      <c r="CI22" s="1075" t="s">
        <v>7304</v>
      </c>
      <c r="CJ22" s="1075" t="s">
        <v>7305</v>
      </c>
      <c r="CK22" s="1075" t="s">
        <v>7306</v>
      </c>
      <c r="CL22" s="1076" t="s">
        <v>7307</v>
      </c>
      <c r="CM22" s="1074" t="s">
        <v>7308</v>
      </c>
      <c r="CN22" s="1075" t="s">
        <v>7309</v>
      </c>
      <c r="CO22" s="1075" t="s">
        <v>7310</v>
      </c>
      <c r="CP22" s="1075" t="s">
        <v>7311</v>
      </c>
      <c r="CQ22" s="1075" t="s">
        <v>7312</v>
      </c>
      <c r="CR22" s="1076" t="s">
        <v>7313</v>
      </c>
    </row>
    <row r="23" spans="1:96" ht="102">
      <c r="A23" s="1016"/>
      <c r="B23" s="87" t="s">
        <v>7314</v>
      </c>
      <c r="C23" s="80" t="s">
        <v>7315</v>
      </c>
      <c r="D23" s="88"/>
      <c r="E23" s="88" t="s">
        <v>11</v>
      </c>
      <c r="F23" s="89">
        <v>0</v>
      </c>
      <c r="G23" s="1074">
        <v>0</v>
      </c>
      <c r="H23" s="1075">
        <v>6</v>
      </c>
      <c r="I23" s="1075">
        <v>0</v>
      </c>
      <c r="J23" s="1075">
        <v>0</v>
      </c>
      <c r="K23" s="1075">
        <v>34</v>
      </c>
      <c r="L23" s="1075">
        <v>1</v>
      </c>
      <c r="M23" s="1075">
        <v>11</v>
      </c>
      <c r="N23" s="1076">
        <f t="shared" si="7"/>
        <v>52</v>
      </c>
      <c r="O23" s="1016"/>
      <c r="P23" s="1074">
        <v>0</v>
      </c>
      <c r="Q23" s="1075">
        <v>18</v>
      </c>
      <c r="R23" s="1075">
        <v>28</v>
      </c>
      <c r="S23" s="1075">
        <v>7</v>
      </c>
      <c r="T23" s="1076">
        <f t="shared" si="8"/>
        <v>53</v>
      </c>
      <c r="U23" s="1074">
        <v>6</v>
      </c>
      <c r="V23" s="1075">
        <v>24</v>
      </c>
      <c r="W23" s="1075">
        <v>19</v>
      </c>
      <c r="X23" s="1075">
        <v>4</v>
      </c>
      <c r="Y23" s="1075">
        <v>0</v>
      </c>
      <c r="Z23" s="1076">
        <f t="shared" si="9"/>
        <v>53</v>
      </c>
      <c r="AA23" s="1074">
        <v>4</v>
      </c>
      <c r="AB23" s="1075">
        <v>32</v>
      </c>
      <c r="AC23" s="1075">
        <v>16</v>
      </c>
      <c r="AD23" s="1075">
        <v>1</v>
      </c>
      <c r="AE23" s="1075">
        <v>0</v>
      </c>
      <c r="AF23" s="1076">
        <f t="shared" si="10"/>
        <v>53</v>
      </c>
      <c r="AG23" s="945" t="s">
        <v>7180</v>
      </c>
      <c r="AH23" s="1016"/>
      <c r="AI23" s="770">
        <f t="shared" si="11"/>
        <v>0</v>
      </c>
      <c r="AJ23" s="65"/>
      <c r="AK23" s="66"/>
      <c r="AL23" s="86">
        <f>IF(Validation!$H$3=1,0,IF(ISNUMBER(G23),0,1))</f>
        <v>0</v>
      </c>
      <c r="AM23" s="86">
        <f>IF(Validation!$H$3=1,0,IF(ISNUMBER(H23),0,1))</f>
        <v>0</v>
      </c>
      <c r="AN23" s="86">
        <f>IF(Validation!$H$3=1,0,IF(ISNUMBER(I23),0,1))</f>
        <v>0</v>
      </c>
      <c r="AO23" s="86">
        <f>IF(Validation!$H$3=1,0,IF(ISNUMBER(J23),0,1))</f>
        <v>0</v>
      </c>
      <c r="AP23" s="86">
        <f>IF(Validation!$H$3=1,0,IF(ISNUMBER(K23),0,1))</f>
        <v>0</v>
      </c>
      <c r="AQ23" s="86">
        <f>IF(Validation!$H$3=1,0,IF(ISNUMBER(L23),0,1))</f>
        <v>0</v>
      </c>
      <c r="AR23" s="86">
        <f>IF(Validation!$H$3=1,0,IF(ISNUMBER(M23),0,1))</f>
        <v>0</v>
      </c>
      <c r="AS23" s="86"/>
      <c r="AT23" s="78"/>
      <c r="AU23" s="86">
        <f>IF(Validation!$H$3=1,0,IF(ISNUMBER(P23),0,1))</f>
        <v>0</v>
      </c>
      <c r="AV23" s="86">
        <f>IF(Validation!$H$3=1,0,IF(ISNUMBER(Q23),0,1))</f>
        <v>0</v>
      </c>
      <c r="AW23" s="86">
        <f>IF(Validation!$H$3=1,0,IF(ISNUMBER(R23),0,1))</f>
        <v>0</v>
      </c>
      <c r="AX23" s="86">
        <f>IF(Validation!$H$3=1,0,IF(ISNUMBER(S23),0,1))</f>
        <v>0</v>
      </c>
      <c r="AY23" s="86"/>
      <c r="AZ23" s="86">
        <f>IF(Validation!$H$3=1,0,IF(ISNUMBER(U23),0,1))</f>
        <v>0</v>
      </c>
      <c r="BA23" s="86">
        <f>IF(Validation!$H$3=1,0,IF(ISNUMBER(V23),0,1))</f>
        <v>0</v>
      </c>
      <c r="BB23" s="86">
        <f>IF(Validation!$H$3=1,0,IF(ISNUMBER(W23),0,1))</f>
        <v>0</v>
      </c>
      <c r="BC23" s="86">
        <f>IF(Validation!$H$3=1,0,IF(ISNUMBER(X23),0,1))</f>
        <v>0</v>
      </c>
      <c r="BD23" s="86">
        <f>IF(Validation!$H$3=1,0,IF(ISNUMBER(Y23),0,1))</f>
        <v>0</v>
      </c>
      <c r="BE23" s="86"/>
      <c r="BF23" s="86">
        <f>IF(Validation!$H$3=1,0,IF(ISNUMBER(AA23),0,1))</f>
        <v>0</v>
      </c>
      <c r="BG23" s="86">
        <f>IF(Validation!$H$3=1,0,IF(ISNUMBER(AB23),0,1))</f>
        <v>0</v>
      </c>
      <c r="BH23" s="86">
        <f>IF(Validation!$H$3=1,0,IF(ISNUMBER(AC23),0,1))</f>
        <v>0</v>
      </c>
      <c r="BI23" s="86">
        <f>IF(Validation!$H$3=1,0,IF(ISNUMBER(AD23),0,1))</f>
        <v>0</v>
      </c>
      <c r="BJ23" s="86">
        <f>IF(Validation!$H$3=1,0,IF(ISNUMBER(AE23),0,1))</f>
        <v>0</v>
      </c>
      <c r="BK23" s="86"/>
      <c r="BL23" s="66"/>
      <c r="BN23" s="87" t="s">
        <v>7314</v>
      </c>
      <c r="BO23" s="80" t="s">
        <v>7315</v>
      </c>
      <c r="BP23" s="88"/>
      <c r="BQ23" s="88" t="s">
        <v>11</v>
      </c>
      <c r="BR23" s="89">
        <v>0</v>
      </c>
      <c r="BS23" s="1074" t="s">
        <v>7316</v>
      </c>
      <c r="BT23" s="1075" t="s">
        <v>7317</v>
      </c>
      <c r="BU23" s="1075" t="s">
        <v>7318</v>
      </c>
      <c r="BV23" s="1075" t="s">
        <v>7319</v>
      </c>
      <c r="BW23" s="1075" t="s">
        <v>7320</v>
      </c>
      <c r="BX23" s="1075" t="s">
        <v>7321</v>
      </c>
      <c r="BY23" s="1075" t="s">
        <v>7322</v>
      </c>
      <c r="BZ23" s="1076" t="s">
        <v>7323</v>
      </c>
      <c r="CA23" s="1016"/>
      <c r="CB23" s="1074" t="s">
        <v>7324</v>
      </c>
      <c r="CC23" s="1075" t="s">
        <v>7325</v>
      </c>
      <c r="CD23" s="1075" t="s">
        <v>7326</v>
      </c>
      <c r="CE23" s="1075" t="s">
        <v>7327</v>
      </c>
      <c r="CF23" s="1076" t="s">
        <v>7328</v>
      </c>
      <c r="CG23" s="1074" t="s">
        <v>7329</v>
      </c>
      <c r="CH23" s="1075" t="s">
        <v>7330</v>
      </c>
      <c r="CI23" s="1075" t="s">
        <v>7331</v>
      </c>
      <c r="CJ23" s="1075" t="s">
        <v>7332</v>
      </c>
      <c r="CK23" s="1075" t="s">
        <v>7333</v>
      </c>
      <c r="CL23" s="1076" t="s">
        <v>7334</v>
      </c>
      <c r="CM23" s="1074" t="s">
        <v>7335</v>
      </c>
      <c r="CN23" s="1075" t="s">
        <v>7336</v>
      </c>
      <c r="CO23" s="1075" t="s">
        <v>7337</v>
      </c>
      <c r="CP23" s="1075" t="s">
        <v>7338</v>
      </c>
      <c r="CQ23" s="1075" t="s">
        <v>7339</v>
      </c>
      <c r="CR23" s="1076" t="s">
        <v>7340</v>
      </c>
    </row>
    <row r="24" spans="1:96" ht="15.75" thickBot="1">
      <c r="A24" s="1016"/>
      <c r="B24" s="94" t="s">
        <v>7341</v>
      </c>
      <c r="C24" s="95" t="s">
        <v>7342</v>
      </c>
      <c r="D24" s="96"/>
      <c r="E24" s="96" t="s">
        <v>11</v>
      </c>
      <c r="F24" s="93">
        <v>0</v>
      </c>
      <c r="G24" s="1078">
        <f t="shared" ref="G24:N24" si="12">+SUM(G18:G23)</f>
        <v>2</v>
      </c>
      <c r="H24" s="1079">
        <f t="shared" si="12"/>
        <v>32</v>
      </c>
      <c r="I24" s="1079">
        <f t="shared" si="12"/>
        <v>116</v>
      </c>
      <c r="J24" s="1079">
        <f t="shared" si="12"/>
        <v>14</v>
      </c>
      <c r="K24" s="1079">
        <f t="shared" si="12"/>
        <v>46</v>
      </c>
      <c r="L24" s="1079">
        <f t="shared" si="12"/>
        <v>103</v>
      </c>
      <c r="M24" s="1079">
        <f t="shared" si="12"/>
        <v>38</v>
      </c>
      <c r="N24" s="1083">
        <f t="shared" si="12"/>
        <v>351</v>
      </c>
      <c r="O24" s="1016"/>
      <c r="P24" s="1078">
        <f t="shared" ref="P24:AF24" si="13">+SUM(P18:P23)</f>
        <v>0</v>
      </c>
      <c r="Q24" s="1079">
        <f t="shared" si="13"/>
        <v>18</v>
      </c>
      <c r="R24" s="1079">
        <f t="shared" si="13"/>
        <v>55</v>
      </c>
      <c r="S24" s="1079">
        <f t="shared" si="13"/>
        <v>280</v>
      </c>
      <c r="T24" s="1080">
        <f t="shared" si="13"/>
        <v>353</v>
      </c>
      <c r="U24" s="1078">
        <f t="shared" si="13"/>
        <v>12</v>
      </c>
      <c r="V24" s="1079">
        <f t="shared" si="13"/>
        <v>63</v>
      </c>
      <c r="W24" s="1079">
        <f t="shared" si="13"/>
        <v>120</v>
      </c>
      <c r="X24" s="1079">
        <f t="shared" si="13"/>
        <v>148</v>
      </c>
      <c r="Y24" s="1079">
        <f t="shared" si="13"/>
        <v>10</v>
      </c>
      <c r="Z24" s="1080">
        <f t="shared" si="13"/>
        <v>353</v>
      </c>
      <c r="AA24" s="1078">
        <f t="shared" si="13"/>
        <v>4</v>
      </c>
      <c r="AB24" s="1079">
        <f t="shared" si="13"/>
        <v>81</v>
      </c>
      <c r="AC24" s="1079">
        <f t="shared" si="13"/>
        <v>126</v>
      </c>
      <c r="AD24" s="1079">
        <f t="shared" si="13"/>
        <v>37</v>
      </c>
      <c r="AE24" s="1079">
        <f t="shared" si="13"/>
        <v>105</v>
      </c>
      <c r="AF24" s="1080">
        <f t="shared" si="13"/>
        <v>353</v>
      </c>
      <c r="AG24" s="952"/>
      <c r="AH24" s="1016"/>
      <c r="AT24" s="78"/>
      <c r="BN24" s="94" t="s">
        <v>7341</v>
      </c>
      <c r="BO24" s="95" t="s">
        <v>7342</v>
      </c>
      <c r="BP24" s="96"/>
      <c r="BQ24" s="96" t="s">
        <v>11</v>
      </c>
      <c r="BR24" s="93">
        <v>0</v>
      </c>
      <c r="BS24" s="1078" t="s">
        <v>7343</v>
      </c>
      <c r="BT24" s="1079" t="s">
        <v>7344</v>
      </c>
      <c r="BU24" s="1079" t="s">
        <v>7345</v>
      </c>
      <c r="BV24" s="1079" t="s">
        <v>7346</v>
      </c>
      <c r="BW24" s="1079" t="s">
        <v>7347</v>
      </c>
      <c r="BX24" s="1079" t="s">
        <v>7348</v>
      </c>
      <c r="BY24" s="1079" t="s">
        <v>7349</v>
      </c>
      <c r="BZ24" s="1083" t="s">
        <v>7350</v>
      </c>
      <c r="CA24" s="1016"/>
      <c r="CB24" s="1078" t="s">
        <v>7351</v>
      </c>
      <c r="CC24" s="1079" t="s">
        <v>7352</v>
      </c>
      <c r="CD24" s="1079" t="s">
        <v>7353</v>
      </c>
      <c r="CE24" s="1079" t="s">
        <v>7354</v>
      </c>
      <c r="CF24" s="1080" t="s">
        <v>7355</v>
      </c>
      <c r="CG24" s="1078" t="s">
        <v>7356</v>
      </c>
      <c r="CH24" s="1079" t="s">
        <v>7357</v>
      </c>
      <c r="CI24" s="1079" t="s">
        <v>7358</v>
      </c>
      <c r="CJ24" s="1079" t="s">
        <v>7359</v>
      </c>
      <c r="CK24" s="1079" t="s">
        <v>7360</v>
      </c>
      <c r="CL24" s="1080" t="s">
        <v>7361</v>
      </c>
      <c r="CM24" s="1078" t="s">
        <v>7362</v>
      </c>
      <c r="CN24" s="1079" t="s">
        <v>7363</v>
      </c>
      <c r="CO24" s="1079" t="s">
        <v>7364</v>
      </c>
      <c r="CP24" s="1079" t="s">
        <v>7365</v>
      </c>
      <c r="CQ24" s="1079" t="s">
        <v>7366</v>
      </c>
      <c r="CR24" s="1080" t="s">
        <v>7367</v>
      </c>
    </row>
    <row r="25" spans="1:96" ht="15.75" thickBot="1">
      <c r="A25" s="1016"/>
      <c r="B25" s="1066"/>
      <c r="C25" s="959"/>
      <c r="D25" s="959"/>
      <c r="E25" s="1070"/>
      <c r="F25" s="1016"/>
      <c r="G25" s="1016"/>
      <c r="H25" s="1016"/>
      <c r="I25" s="1016"/>
      <c r="J25" s="1016"/>
      <c r="K25" s="1016"/>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T25" s="78"/>
      <c r="BN25" s="1066"/>
      <c r="BO25" s="959"/>
      <c r="BP25" s="959"/>
      <c r="BQ25" s="1070"/>
      <c r="BR25" s="1016"/>
      <c r="BS25" s="1016"/>
      <c r="BT25" s="1016"/>
      <c r="BU25" s="1016"/>
      <c r="BV25" s="1016"/>
      <c r="BW25" s="1016"/>
      <c r="BX25" s="1016"/>
      <c r="BY25" s="1016"/>
      <c r="BZ25" s="1016"/>
      <c r="CA25" s="1016"/>
      <c r="CB25" s="1016"/>
      <c r="CC25" s="1016"/>
      <c r="CD25" s="1016"/>
      <c r="CE25" s="1016"/>
      <c r="CF25" s="1016"/>
      <c r="CG25" s="1016"/>
      <c r="CH25" s="1016"/>
      <c r="CI25" s="1016"/>
      <c r="CJ25" s="1016"/>
      <c r="CK25" s="1016"/>
      <c r="CL25" s="1016"/>
      <c r="CM25" s="1016"/>
      <c r="CN25" s="1016"/>
      <c r="CO25" s="1016"/>
      <c r="CP25" s="1016"/>
      <c r="CQ25" s="1016"/>
      <c r="CR25" s="1016"/>
    </row>
    <row r="26" spans="1:96" ht="149.25" thickBot="1">
      <c r="A26" s="1016"/>
      <c r="B26" s="2299" t="s">
        <v>96</v>
      </c>
      <c r="C26" s="2300"/>
      <c r="D26" s="158" t="s">
        <v>7368</v>
      </c>
      <c r="E26" s="158" t="s">
        <v>3</v>
      </c>
      <c r="F26" s="159" t="s">
        <v>99</v>
      </c>
      <c r="G26" s="1267" t="s">
        <v>217</v>
      </c>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6"/>
      <c r="AD26" s="1016"/>
      <c r="AE26" s="1016"/>
      <c r="AF26" s="1016"/>
      <c r="AG26" s="1016"/>
      <c r="AH26" s="1016"/>
      <c r="BN26" s="2299" t="s">
        <v>96</v>
      </c>
      <c r="BO26" s="2300"/>
      <c r="BP26" s="158" t="s">
        <v>7368</v>
      </c>
      <c r="BQ26" s="158" t="s">
        <v>3</v>
      </c>
      <c r="BR26" s="159" t="s">
        <v>99</v>
      </c>
      <c r="BS26" s="1267" t="s">
        <v>217</v>
      </c>
      <c r="BT26" s="1016"/>
      <c r="BU26" s="1016"/>
      <c r="BV26" s="1016"/>
      <c r="BW26" s="1016"/>
      <c r="BX26" s="1016"/>
      <c r="BY26" s="1016"/>
      <c r="BZ26" s="1016"/>
      <c r="CA26" s="1016"/>
      <c r="CB26" s="1016"/>
      <c r="CC26" s="1016"/>
      <c r="CD26" s="1016"/>
      <c r="CE26" s="1016"/>
      <c r="CF26" s="1016"/>
      <c r="CG26" s="1016"/>
      <c r="CH26" s="1016"/>
      <c r="CI26" s="1016"/>
      <c r="CJ26" s="1016"/>
      <c r="CK26" s="1016"/>
      <c r="CL26" s="1016"/>
      <c r="CM26" s="1016"/>
      <c r="CN26" s="1016"/>
      <c r="CO26" s="1016"/>
      <c r="CP26" s="1016"/>
      <c r="CQ26" s="1016"/>
      <c r="CR26" s="1016"/>
    </row>
    <row r="27" spans="1:96" ht="15.75" thickBot="1">
      <c r="A27" s="1016"/>
      <c r="B27" s="1066"/>
      <c r="C27" s="959"/>
      <c r="D27" s="959"/>
      <c r="E27" s="1070"/>
      <c r="F27" s="1016"/>
      <c r="G27" s="1084"/>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BN27" s="1066"/>
      <c r="BO27" s="959"/>
      <c r="BP27" s="959"/>
      <c r="BQ27" s="1070"/>
      <c r="BR27" s="1016"/>
      <c r="BS27" s="1084"/>
      <c r="BT27" s="1016"/>
      <c r="BU27" s="1016"/>
      <c r="BV27" s="1016"/>
      <c r="BW27" s="1016"/>
      <c r="BX27" s="1016"/>
      <c r="BY27" s="1016"/>
      <c r="BZ27" s="1016"/>
      <c r="CA27" s="1016"/>
      <c r="CB27" s="1016"/>
      <c r="CC27" s="1016"/>
      <c r="CD27" s="1016"/>
      <c r="CE27" s="1016"/>
      <c r="CF27" s="1016"/>
      <c r="CG27" s="1016"/>
      <c r="CH27" s="1016"/>
      <c r="CI27" s="1016"/>
      <c r="CJ27" s="1016"/>
      <c r="CK27" s="1016"/>
      <c r="CL27" s="1016"/>
      <c r="CM27" s="1016"/>
      <c r="CN27" s="1016"/>
      <c r="CO27" s="1016"/>
      <c r="CP27" s="1016"/>
      <c r="CQ27" s="1016"/>
      <c r="CR27" s="1016"/>
    </row>
    <row r="28" spans="1:96" ht="15.75" thickBot="1">
      <c r="A28" s="1016"/>
      <c r="B28" s="106" t="s">
        <v>362</v>
      </c>
      <c r="C28" s="107" t="s">
        <v>7369</v>
      </c>
      <c r="D28" s="959"/>
      <c r="E28" s="1070"/>
      <c r="F28" s="1016"/>
      <c r="G28" s="1084"/>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BN28" s="106" t="s">
        <v>362</v>
      </c>
      <c r="BO28" s="107" t="s">
        <v>7369</v>
      </c>
      <c r="BP28" s="959"/>
      <c r="BQ28" s="1070"/>
      <c r="BR28" s="1016"/>
      <c r="BS28" s="1084"/>
      <c r="BT28" s="1016"/>
      <c r="BU28" s="1016"/>
      <c r="BV28" s="1016"/>
      <c r="BW28" s="1016"/>
      <c r="BX28" s="1016"/>
      <c r="BY28" s="1016"/>
      <c r="BZ28" s="1016"/>
      <c r="CA28" s="1016"/>
      <c r="CB28" s="1016"/>
      <c r="CC28" s="1016"/>
      <c r="CD28" s="1016"/>
      <c r="CE28" s="1016"/>
      <c r="CF28" s="1016"/>
      <c r="CG28" s="1016"/>
      <c r="CH28" s="1016"/>
      <c r="CI28" s="1016"/>
      <c r="CJ28" s="1016"/>
      <c r="CK28" s="1016"/>
      <c r="CL28" s="1016"/>
      <c r="CM28" s="1016"/>
      <c r="CN28" s="1016"/>
      <c r="CO28" s="1016"/>
      <c r="CP28" s="1016"/>
      <c r="CQ28" s="1016"/>
      <c r="CR28" s="1016"/>
    </row>
    <row r="29" spans="1:96" ht="38.25">
      <c r="A29" s="1016"/>
      <c r="B29" s="79" t="s">
        <v>7370</v>
      </c>
      <c r="C29" s="109" t="s">
        <v>7371</v>
      </c>
      <c r="D29" s="81"/>
      <c r="E29" s="81" t="s">
        <v>6252</v>
      </c>
      <c r="F29" s="82">
        <v>3</v>
      </c>
      <c r="G29" s="1085">
        <v>15521.388999999999</v>
      </c>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957" t="s">
        <v>7372</v>
      </c>
      <c r="AH29" s="1016"/>
      <c r="AI29" s="770">
        <f t="shared" ref="AI29:AI38" si="14" xml:space="preserve"> IF( SUM( AK29:BL29 ) = 0, 0, $AL$5 )</f>
        <v>0</v>
      </c>
      <c r="AJ29" s="65"/>
      <c r="AK29" s="66"/>
      <c r="AL29" s="86">
        <f>IF(Validation!$H$3=1,0,IF(ISNUMBER(G29),0,1))</f>
        <v>0</v>
      </c>
      <c r="BL29" s="66"/>
      <c r="BN29" s="79" t="s">
        <v>7370</v>
      </c>
      <c r="BO29" s="109" t="s">
        <v>7371</v>
      </c>
      <c r="BP29" s="81" t="s">
        <v>7373</v>
      </c>
      <c r="BQ29" s="81" t="s">
        <v>6252</v>
      </c>
      <c r="BR29" s="82">
        <v>3</v>
      </c>
      <c r="BS29" s="1085"/>
      <c r="BT29" s="1016"/>
      <c r="BU29" s="1016"/>
      <c r="BV29" s="1016"/>
      <c r="BW29" s="1016"/>
      <c r="BX29" s="1016"/>
      <c r="BY29" s="1016"/>
      <c r="BZ29" s="1016"/>
      <c r="CA29" s="1016"/>
      <c r="CB29" s="1016"/>
      <c r="CC29" s="1016"/>
      <c r="CD29" s="1016"/>
      <c r="CE29" s="1016"/>
      <c r="CF29" s="1016"/>
      <c r="CG29" s="1016"/>
      <c r="CH29" s="1016"/>
      <c r="CI29" s="1016"/>
      <c r="CJ29" s="1016"/>
      <c r="CK29" s="1016"/>
      <c r="CL29" s="1016"/>
      <c r="CM29" s="1016"/>
      <c r="CN29" s="1016"/>
      <c r="CO29" s="1016"/>
      <c r="CP29" s="1016"/>
      <c r="CQ29" s="1016"/>
      <c r="CR29" s="1016"/>
    </row>
    <row r="30" spans="1:96" ht="38.25">
      <c r="A30" s="1016"/>
      <c r="B30" s="87" t="s">
        <v>7374</v>
      </c>
      <c r="C30" s="80" t="s">
        <v>7375</v>
      </c>
      <c r="D30" s="88"/>
      <c r="E30" s="88" t="s">
        <v>13</v>
      </c>
      <c r="F30" s="89">
        <v>3</v>
      </c>
      <c r="G30" s="1086">
        <v>0</v>
      </c>
      <c r="H30" s="1016"/>
      <c r="I30" s="1016"/>
      <c r="J30" s="1016"/>
      <c r="K30" s="1016"/>
      <c r="L30" s="1016"/>
      <c r="M30" s="1016"/>
      <c r="N30" s="1016"/>
      <c r="O30" s="1016"/>
      <c r="P30" s="1016"/>
      <c r="Q30" s="1016"/>
      <c r="R30" s="1016"/>
      <c r="S30" s="1016"/>
      <c r="T30" s="1016"/>
      <c r="U30" s="1016"/>
      <c r="V30" s="1016"/>
      <c r="W30" s="1016"/>
      <c r="X30" s="1016"/>
      <c r="Y30" s="1016"/>
      <c r="Z30" s="1016"/>
      <c r="AA30" s="1016"/>
      <c r="AB30" s="1016"/>
      <c r="AC30" s="1016"/>
      <c r="AD30" s="1016"/>
      <c r="AE30" s="1016"/>
      <c r="AF30" s="1016"/>
      <c r="AG30" s="958" t="s">
        <v>7372</v>
      </c>
      <c r="AH30" s="1016"/>
      <c r="AI30" s="770">
        <f t="shared" si="14"/>
        <v>0</v>
      </c>
      <c r="AJ30" s="65"/>
      <c r="AK30" s="66"/>
      <c r="AL30" s="86">
        <f>IF(Validation!$H$3=1,0,IF(ISNUMBER(G30),0,1))</f>
        <v>0</v>
      </c>
      <c r="BL30" s="66"/>
      <c r="BN30" s="87" t="s">
        <v>7374</v>
      </c>
      <c r="BO30" s="80" t="s">
        <v>7375</v>
      </c>
      <c r="BP30" s="88" t="s">
        <v>7376</v>
      </c>
      <c r="BQ30" s="88" t="s">
        <v>13</v>
      </c>
      <c r="BR30" s="89">
        <v>3</v>
      </c>
      <c r="BS30" s="1086"/>
      <c r="BT30" s="1016"/>
      <c r="BU30" s="1016"/>
      <c r="BV30" s="1016"/>
      <c r="BW30" s="1016"/>
      <c r="BX30" s="1016"/>
      <c r="BY30" s="1016"/>
      <c r="BZ30" s="1016"/>
      <c r="CA30" s="1016"/>
      <c r="CB30" s="1016"/>
      <c r="CC30" s="1016"/>
      <c r="CD30" s="1016"/>
      <c r="CE30" s="1016"/>
      <c r="CF30" s="1016"/>
      <c r="CG30" s="1016"/>
      <c r="CH30" s="1016"/>
      <c r="CI30" s="1016"/>
      <c r="CJ30" s="1016"/>
      <c r="CK30" s="1016"/>
      <c r="CL30" s="1016"/>
      <c r="CM30" s="1016"/>
      <c r="CN30" s="1016"/>
      <c r="CO30" s="1016"/>
      <c r="CP30" s="1016"/>
      <c r="CQ30" s="1016"/>
      <c r="CR30" s="1016"/>
    </row>
    <row r="31" spans="1:96" ht="38.25">
      <c r="A31" s="1016"/>
      <c r="B31" s="87" t="s">
        <v>7377</v>
      </c>
      <c r="C31" s="80" t="s">
        <v>7378</v>
      </c>
      <c r="D31" s="88"/>
      <c r="E31" s="88" t="s">
        <v>13</v>
      </c>
      <c r="F31" s="89">
        <v>3</v>
      </c>
      <c r="G31" s="1086">
        <v>97.585999999999999</v>
      </c>
      <c r="H31" s="1016"/>
      <c r="I31" s="1016"/>
      <c r="J31" s="1016"/>
      <c r="K31" s="1016"/>
      <c r="L31" s="1016"/>
      <c r="M31" s="1016"/>
      <c r="N31" s="1016"/>
      <c r="O31" s="1016"/>
      <c r="P31" s="1016"/>
      <c r="Q31" s="1016"/>
      <c r="R31" s="1016"/>
      <c r="S31" s="1016"/>
      <c r="T31" s="1016"/>
      <c r="U31" s="1016"/>
      <c r="V31" s="1016"/>
      <c r="W31" s="1016"/>
      <c r="X31" s="1016"/>
      <c r="Y31" s="1016"/>
      <c r="Z31" s="1016"/>
      <c r="AA31" s="1016"/>
      <c r="AB31" s="1016"/>
      <c r="AC31" s="1016"/>
      <c r="AD31" s="1016"/>
      <c r="AE31" s="1016"/>
      <c r="AF31" s="1016"/>
      <c r="AG31" s="958" t="s">
        <v>7372</v>
      </c>
      <c r="AH31" s="1016"/>
      <c r="AI31" s="770">
        <f t="shared" si="14"/>
        <v>0</v>
      </c>
      <c r="AJ31" s="65"/>
      <c r="AK31" s="66"/>
      <c r="AL31" s="86">
        <f>IF(Validation!$H$3=1,0,IF(ISNUMBER(G31),0,1))</f>
        <v>0</v>
      </c>
      <c r="BL31" s="66"/>
      <c r="BN31" s="87" t="s">
        <v>7377</v>
      </c>
      <c r="BO31" s="80" t="s">
        <v>7378</v>
      </c>
      <c r="BP31" s="88" t="s">
        <v>7379</v>
      </c>
      <c r="BQ31" s="88" t="s">
        <v>13</v>
      </c>
      <c r="BR31" s="89">
        <v>3</v>
      </c>
      <c r="BS31" s="1086"/>
      <c r="BT31" s="1016"/>
      <c r="BU31" s="1016"/>
      <c r="BV31" s="1016"/>
      <c r="BW31" s="1016"/>
      <c r="BX31" s="1016"/>
      <c r="BY31" s="1016"/>
      <c r="BZ31" s="1016"/>
      <c r="CA31" s="1016"/>
      <c r="CB31" s="1016"/>
      <c r="CC31" s="1016"/>
      <c r="CD31" s="1016"/>
      <c r="CE31" s="1016"/>
      <c r="CF31" s="1016"/>
      <c r="CG31" s="1016"/>
      <c r="CH31" s="1016"/>
      <c r="CI31" s="1016"/>
      <c r="CJ31" s="1016"/>
      <c r="CK31" s="1016"/>
      <c r="CL31" s="1016"/>
      <c r="CM31" s="1016"/>
      <c r="CN31" s="1016"/>
      <c r="CO31" s="1016"/>
      <c r="CP31" s="1016"/>
      <c r="CQ31" s="1016"/>
      <c r="CR31" s="1016"/>
    </row>
    <row r="32" spans="1:96" ht="38.25">
      <c r="A32" s="1016"/>
      <c r="B32" s="87" t="s">
        <v>7380</v>
      </c>
      <c r="C32" s="80" t="s">
        <v>7381</v>
      </c>
      <c r="D32" s="88"/>
      <c r="E32" s="88" t="s">
        <v>13</v>
      </c>
      <c r="F32" s="89">
        <v>3</v>
      </c>
      <c r="G32" s="1086">
        <v>430.84199999999998</v>
      </c>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6"/>
      <c r="AD32" s="1016"/>
      <c r="AE32" s="1016"/>
      <c r="AF32" s="1016"/>
      <c r="AG32" s="958" t="s">
        <v>7372</v>
      </c>
      <c r="AH32" s="1016"/>
      <c r="AI32" s="770">
        <f t="shared" si="14"/>
        <v>0</v>
      </c>
      <c r="AJ32" s="65"/>
      <c r="AK32" s="66"/>
      <c r="AL32" s="86">
        <f>IF(Validation!$H$3=1,0,IF(ISNUMBER(G32),0,1))</f>
        <v>0</v>
      </c>
      <c r="BL32" s="66"/>
      <c r="BN32" s="87" t="s">
        <v>7380</v>
      </c>
      <c r="BO32" s="80" t="s">
        <v>7381</v>
      </c>
      <c r="BP32" s="88" t="s">
        <v>7382</v>
      </c>
      <c r="BQ32" s="88" t="s">
        <v>13</v>
      </c>
      <c r="BR32" s="89">
        <v>3</v>
      </c>
      <c r="BS32" s="1086"/>
      <c r="BT32" s="1016"/>
      <c r="BU32" s="1016"/>
      <c r="BV32" s="1016"/>
      <c r="BW32" s="1016"/>
      <c r="BX32" s="1016"/>
      <c r="BY32" s="1016"/>
      <c r="BZ32" s="1016"/>
      <c r="CA32" s="1016"/>
      <c r="CB32" s="1016"/>
      <c r="CC32" s="1016"/>
      <c r="CD32" s="1016"/>
      <c r="CE32" s="1016"/>
      <c r="CF32" s="1016"/>
      <c r="CG32" s="1016"/>
      <c r="CH32" s="1016"/>
      <c r="CI32" s="1016"/>
      <c r="CJ32" s="1016"/>
      <c r="CK32" s="1016"/>
      <c r="CL32" s="1016"/>
      <c r="CM32" s="1016"/>
      <c r="CN32" s="1016"/>
      <c r="CO32" s="1016"/>
      <c r="CP32" s="1016"/>
      <c r="CQ32" s="1016"/>
      <c r="CR32" s="1016"/>
    </row>
    <row r="33" spans="1:96" ht="38.25">
      <c r="A33" s="1016"/>
      <c r="B33" s="87" t="s">
        <v>7383</v>
      </c>
      <c r="C33" s="785" t="s">
        <v>7384</v>
      </c>
      <c r="D33" s="1077"/>
      <c r="E33" s="1077" t="s">
        <v>13</v>
      </c>
      <c r="F33" s="786">
        <v>3</v>
      </c>
      <c r="G33" s="1086">
        <v>0</v>
      </c>
      <c r="H33" s="1016"/>
      <c r="I33" s="1016"/>
      <c r="J33" s="1016"/>
      <c r="K33" s="1016"/>
      <c r="L33" s="1016"/>
      <c r="M33" s="1016"/>
      <c r="N33" s="1016"/>
      <c r="O33" s="1016"/>
      <c r="P33" s="1016"/>
      <c r="Q33" s="1016"/>
      <c r="R33" s="1016"/>
      <c r="S33" s="1016"/>
      <c r="T33" s="1016"/>
      <c r="U33" s="1016"/>
      <c r="V33" s="1016"/>
      <c r="W33" s="1016"/>
      <c r="X33" s="1016"/>
      <c r="Y33" s="1016"/>
      <c r="Z33" s="1016"/>
      <c r="AA33" s="1016"/>
      <c r="AB33" s="1016"/>
      <c r="AC33" s="1016"/>
      <c r="AD33" s="1016"/>
      <c r="AE33" s="1016"/>
      <c r="AF33" s="1016"/>
      <c r="AG33" s="958" t="s">
        <v>7372</v>
      </c>
      <c r="AH33" s="1016"/>
      <c r="AI33" s="770">
        <f t="shared" si="14"/>
        <v>0</v>
      </c>
      <c r="AJ33" s="65"/>
      <c r="AK33" s="66"/>
      <c r="AL33" s="86">
        <f>IF(Validation!$H$3=1,0,IF(ISNUMBER(G33),0,1))</f>
        <v>0</v>
      </c>
      <c r="BL33" s="66"/>
      <c r="BN33" s="87" t="s">
        <v>7383</v>
      </c>
      <c r="BO33" s="785" t="s">
        <v>7384</v>
      </c>
      <c r="BP33" s="1077" t="s">
        <v>7385</v>
      </c>
      <c r="BQ33" s="1077" t="s">
        <v>13</v>
      </c>
      <c r="BR33" s="786">
        <v>3</v>
      </c>
      <c r="BS33" s="1086"/>
      <c r="BT33" s="1016"/>
      <c r="BU33" s="1016"/>
      <c r="BV33" s="1016"/>
      <c r="BW33" s="1016"/>
      <c r="BX33" s="1016"/>
      <c r="BY33" s="1016"/>
      <c r="BZ33" s="1016"/>
      <c r="CA33" s="1016"/>
      <c r="CB33" s="1016"/>
      <c r="CC33" s="1016"/>
      <c r="CD33" s="1016"/>
      <c r="CE33" s="1016"/>
      <c r="CF33" s="1016"/>
      <c r="CG33" s="1016"/>
      <c r="CH33" s="1016"/>
      <c r="CI33" s="1016"/>
      <c r="CJ33" s="1016"/>
      <c r="CK33" s="1016"/>
      <c r="CL33" s="1016"/>
      <c r="CM33" s="1016"/>
      <c r="CN33" s="1016"/>
      <c r="CO33" s="1016"/>
      <c r="CP33" s="1016"/>
      <c r="CQ33" s="1016"/>
      <c r="CR33" s="1016"/>
    </row>
    <row r="34" spans="1:96" ht="38.25">
      <c r="A34" s="1016"/>
      <c r="B34" s="87" t="s">
        <v>7386</v>
      </c>
      <c r="C34" s="80" t="s">
        <v>7387</v>
      </c>
      <c r="D34" s="88"/>
      <c r="E34" s="88" t="s">
        <v>13</v>
      </c>
      <c r="F34" s="89">
        <v>3</v>
      </c>
      <c r="G34" s="1086">
        <v>0</v>
      </c>
      <c r="H34" s="1016"/>
      <c r="I34" s="1016"/>
      <c r="J34" s="1016"/>
      <c r="K34" s="1016"/>
      <c r="L34" s="1016"/>
      <c r="M34" s="1016"/>
      <c r="N34" s="1016"/>
      <c r="O34" s="1016"/>
      <c r="P34" s="1016"/>
      <c r="Q34" s="1016"/>
      <c r="R34" s="1016"/>
      <c r="S34" s="1016"/>
      <c r="T34" s="1016"/>
      <c r="U34" s="1016"/>
      <c r="V34" s="1016"/>
      <c r="W34" s="1016"/>
      <c r="X34" s="1016"/>
      <c r="Y34" s="1016"/>
      <c r="Z34" s="1016"/>
      <c r="AA34" s="1016"/>
      <c r="AB34" s="1016"/>
      <c r="AC34" s="1016"/>
      <c r="AD34" s="1016"/>
      <c r="AE34" s="1016"/>
      <c r="AF34" s="1016"/>
      <c r="AG34" s="958" t="s">
        <v>7372</v>
      </c>
      <c r="AH34" s="1016"/>
      <c r="AI34" s="770">
        <f t="shared" si="14"/>
        <v>0</v>
      </c>
      <c r="AJ34" s="65"/>
      <c r="AK34" s="66"/>
      <c r="AL34" s="86">
        <f>IF(Validation!$H$3=1,0,IF(ISNUMBER(G34),0,1))</f>
        <v>0</v>
      </c>
      <c r="BL34" s="66"/>
      <c r="BN34" s="87" t="s">
        <v>7386</v>
      </c>
      <c r="BO34" s="80" t="s">
        <v>7387</v>
      </c>
      <c r="BP34" s="88" t="s">
        <v>7388</v>
      </c>
      <c r="BQ34" s="88" t="s">
        <v>13</v>
      </c>
      <c r="BR34" s="89">
        <v>3</v>
      </c>
      <c r="BS34" s="1086"/>
      <c r="BT34" s="1016"/>
      <c r="BU34" s="1016"/>
      <c r="BV34" s="1016"/>
      <c r="BW34" s="1016"/>
      <c r="BX34" s="1016"/>
      <c r="BY34" s="1016"/>
      <c r="BZ34" s="1016"/>
      <c r="CA34" s="1016"/>
      <c r="CB34" s="1016"/>
      <c r="CC34" s="1016"/>
      <c r="CD34" s="1016"/>
      <c r="CE34" s="1016"/>
      <c r="CF34" s="1016"/>
      <c r="CG34" s="1016"/>
      <c r="CH34" s="1016"/>
      <c r="CI34" s="1016"/>
      <c r="CJ34" s="1016"/>
      <c r="CK34" s="1016"/>
      <c r="CL34" s="1016"/>
      <c r="CM34" s="1016"/>
      <c r="CN34" s="1016"/>
      <c r="CO34" s="1016"/>
      <c r="CP34" s="1016"/>
      <c r="CQ34" s="1016"/>
      <c r="CR34" s="1016"/>
    </row>
    <row r="35" spans="1:96" ht="38.25">
      <c r="A35" s="1016"/>
      <c r="B35" s="87" t="s">
        <v>7389</v>
      </c>
      <c r="C35" s="80" t="s">
        <v>7390</v>
      </c>
      <c r="D35" s="88"/>
      <c r="E35" s="88" t="s">
        <v>13</v>
      </c>
      <c r="F35" s="89">
        <v>3</v>
      </c>
      <c r="G35" s="1086">
        <v>0</v>
      </c>
      <c r="H35" s="1016"/>
      <c r="I35" s="1016"/>
      <c r="J35" s="1016"/>
      <c r="K35" s="1016"/>
      <c r="L35" s="1016"/>
      <c r="M35" s="1016"/>
      <c r="N35" s="1016"/>
      <c r="O35" s="1016"/>
      <c r="P35" s="1016"/>
      <c r="Q35" s="1016"/>
      <c r="R35" s="1016"/>
      <c r="S35" s="1016"/>
      <c r="T35" s="1016"/>
      <c r="U35" s="1016"/>
      <c r="V35" s="1016"/>
      <c r="W35" s="1016"/>
      <c r="X35" s="1016"/>
      <c r="Y35" s="1016"/>
      <c r="Z35" s="1016"/>
      <c r="AA35" s="1016"/>
      <c r="AB35" s="1016"/>
      <c r="AC35" s="1016"/>
      <c r="AD35" s="1016"/>
      <c r="AE35" s="1016"/>
      <c r="AF35" s="1016"/>
      <c r="AG35" s="958" t="s">
        <v>7372</v>
      </c>
      <c r="AH35" s="1016"/>
      <c r="AI35" s="770">
        <f t="shared" si="14"/>
        <v>0</v>
      </c>
      <c r="AJ35" s="65"/>
      <c r="AK35" s="66"/>
      <c r="AL35" s="86">
        <f>IF(Validation!$H$3=1,0,IF(ISNUMBER(G35),0,1))</f>
        <v>0</v>
      </c>
      <c r="BL35" s="66"/>
      <c r="BN35" s="87" t="s">
        <v>7389</v>
      </c>
      <c r="BO35" s="80" t="s">
        <v>7390</v>
      </c>
      <c r="BP35" s="88" t="s">
        <v>7391</v>
      </c>
      <c r="BQ35" s="88" t="s">
        <v>13</v>
      </c>
      <c r="BR35" s="89">
        <v>3</v>
      </c>
      <c r="BS35" s="1086"/>
      <c r="BT35" s="1016"/>
      <c r="BU35" s="1016"/>
      <c r="BV35" s="1016"/>
      <c r="BW35" s="1016"/>
      <c r="BX35" s="1016"/>
      <c r="BY35" s="1016"/>
      <c r="BZ35" s="1016"/>
      <c r="CA35" s="1016"/>
      <c r="CB35" s="1016"/>
      <c r="CC35" s="1016"/>
      <c r="CD35" s="1016"/>
      <c r="CE35" s="1016"/>
      <c r="CF35" s="1016"/>
      <c r="CG35" s="1016"/>
      <c r="CH35" s="1016"/>
      <c r="CI35" s="1016"/>
      <c r="CJ35" s="1016"/>
      <c r="CK35" s="1016"/>
      <c r="CL35" s="1016"/>
      <c r="CM35" s="1016"/>
      <c r="CN35" s="1016"/>
      <c r="CO35" s="1016"/>
      <c r="CP35" s="1016"/>
      <c r="CQ35" s="1016"/>
      <c r="CR35" s="1016"/>
    </row>
    <row r="36" spans="1:96" ht="38.25">
      <c r="A36" s="1016"/>
      <c r="B36" s="87" t="s">
        <v>7392</v>
      </c>
      <c r="C36" s="80" t="s">
        <v>7393</v>
      </c>
      <c r="D36" s="88"/>
      <c r="E36" s="88" t="s">
        <v>13</v>
      </c>
      <c r="F36" s="89">
        <v>3</v>
      </c>
      <c r="G36" s="1086">
        <v>272.43200000000002</v>
      </c>
      <c r="H36" s="1016"/>
      <c r="I36" s="1016"/>
      <c r="J36" s="1016"/>
      <c r="K36" s="1016"/>
      <c r="L36" s="1016"/>
      <c r="M36" s="1016"/>
      <c r="N36" s="1016"/>
      <c r="O36" s="1016"/>
      <c r="P36" s="1016"/>
      <c r="Q36" s="1016"/>
      <c r="R36" s="1016"/>
      <c r="S36" s="1016"/>
      <c r="T36" s="1016"/>
      <c r="U36" s="1016"/>
      <c r="V36" s="1016"/>
      <c r="W36" s="1016"/>
      <c r="X36" s="1016"/>
      <c r="Y36" s="1016"/>
      <c r="Z36" s="1016"/>
      <c r="AA36" s="1016"/>
      <c r="AB36" s="1016"/>
      <c r="AC36" s="1016"/>
      <c r="AD36" s="1016"/>
      <c r="AE36" s="1016"/>
      <c r="AF36" s="1016"/>
      <c r="AG36" s="945" t="s">
        <v>7372</v>
      </c>
      <c r="AH36" s="1016"/>
      <c r="AI36" s="770">
        <f t="shared" si="14"/>
        <v>0</v>
      </c>
      <c r="AJ36" s="65"/>
      <c r="AK36" s="66"/>
      <c r="AL36" s="86">
        <f>IF(Validation!$H$3=1,0,IF(ISNUMBER(G36),0,1))</f>
        <v>0</v>
      </c>
      <c r="BL36" s="66"/>
      <c r="BN36" s="87" t="s">
        <v>7392</v>
      </c>
      <c r="BO36" s="80" t="s">
        <v>7393</v>
      </c>
      <c r="BP36" s="88" t="s">
        <v>7394</v>
      </c>
      <c r="BQ36" s="88" t="s">
        <v>13</v>
      </c>
      <c r="BR36" s="89">
        <v>3</v>
      </c>
      <c r="BS36" s="1086"/>
      <c r="BT36" s="1016"/>
      <c r="BU36" s="1016"/>
      <c r="BV36" s="1016"/>
      <c r="BW36" s="1016"/>
      <c r="BX36" s="1016"/>
      <c r="BY36" s="1016"/>
      <c r="BZ36" s="1016"/>
      <c r="CA36" s="1016"/>
      <c r="CB36" s="1016"/>
      <c r="CC36" s="1016"/>
      <c r="CD36" s="1016"/>
      <c r="CE36" s="1016"/>
      <c r="CF36" s="1016"/>
      <c r="CG36" s="1016"/>
      <c r="CH36" s="1016"/>
      <c r="CI36" s="1016"/>
      <c r="CJ36" s="1016"/>
      <c r="CK36" s="1016"/>
      <c r="CL36" s="1016"/>
      <c r="CM36" s="1016"/>
      <c r="CN36" s="1016"/>
      <c r="CO36" s="1016"/>
      <c r="CP36" s="1016"/>
      <c r="CQ36" s="1016"/>
      <c r="CR36" s="1016"/>
    </row>
    <row r="37" spans="1:96" ht="15">
      <c r="A37" s="1016"/>
      <c r="B37" s="87" t="s">
        <v>7395</v>
      </c>
      <c r="C37" s="80" t="s">
        <v>7396</v>
      </c>
      <c r="D37" s="88"/>
      <c r="E37" s="88" t="s">
        <v>13</v>
      </c>
      <c r="F37" s="89">
        <v>3</v>
      </c>
      <c r="G37" s="1086">
        <v>0</v>
      </c>
      <c r="H37" s="1016"/>
      <c r="I37" s="1016"/>
      <c r="J37" s="1016"/>
      <c r="K37" s="1016"/>
      <c r="L37" s="1016"/>
      <c r="M37" s="1016"/>
      <c r="N37" s="1016"/>
      <c r="O37" s="1016"/>
      <c r="P37" s="1016"/>
      <c r="Q37" s="1016"/>
      <c r="R37" s="1016"/>
      <c r="S37" s="1016"/>
      <c r="T37" s="1016"/>
      <c r="U37" s="1016"/>
      <c r="V37" s="1016"/>
      <c r="W37" s="1016"/>
      <c r="X37" s="1016"/>
      <c r="Y37" s="1016"/>
      <c r="Z37" s="1016"/>
      <c r="AA37" s="1016"/>
      <c r="AB37" s="1016"/>
      <c r="AC37" s="1016"/>
      <c r="AD37" s="1016"/>
      <c r="AE37" s="1016"/>
      <c r="AF37" s="1016"/>
      <c r="AG37" s="945"/>
      <c r="AH37" s="1016"/>
      <c r="AI37" s="770">
        <f t="shared" si="14"/>
        <v>0</v>
      </c>
      <c r="AJ37" s="65"/>
      <c r="AK37" s="66"/>
      <c r="AL37" s="86">
        <f>IF(Validation!$H$3=1,0,IF(ISNUMBER(G37),0,1))</f>
        <v>0</v>
      </c>
      <c r="BL37" s="66"/>
      <c r="BN37" s="87" t="s">
        <v>7395</v>
      </c>
      <c r="BO37" s="80" t="s">
        <v>7396</v>
      </c>
      <c r="BP37" s="88" t="s">
        <v>7397</v>
      </c>
      <c r="BQ37" s="88" t="s">
        <v>13</v>
      </c>
      <c r="BR37" s="89">
        <v>3</v>
      </c>
      <c r="BS37" s="1086"/>
      <c r="BT37" s="1016"/>
      <c r="BU37" s="1016"/>
      <c r="BV37" s="1016"/>
      <c r="BW37" s="1016"/>
      <c r="BX37" s="1016"/>
      <c r="BY37" s="1016"/>
      <c r="BZ37" s="1016"/>
      <c r="CA37" s="1016"/>
      <c r="CB37" s="1016"/>
      <c r="CC37" s="1016"/>
      <c r="CD37" s="1016"/>
      <c r="CE37" s="1016"/>
      <c r="CF37" s="1016"/>
      <c r="CG37" s="1016"/>
      <c r="CH37" s="1016"/>
      <c r="CI37" s="1016"/>
      <c r="CJ37" s="1016"/>
      <c r="CK37" s="1016"/>
      <c r="CL37" s="1016"/>
      <c r="CM37" s="1016"/>
      <c r="CN37" s="1016"/>
      <c r="CO37" s="1016"/>
      <c r="CP37" s="1016"/>
      <c r="CQ37" s="1016"/>
      <c r="CR37" s="1016"/>
    </row>
    <row r="38" spans="1:96" ht="15.75" thickBot="1">
      <c r="A38" s="1016"/>
      <c r="B38" s="94" t="s">
        <v>7398</v>
      </c>
      <c r="C38" s="95" t="s">
        <v>7399</v>
      </c>
      <c r="D38" s="96"/>
      <c r="E38" s="96" t="s">
        <v>13</v>
      </c>
      <c r="F38" s="93">
        <v>3</v>
      </c>
      <c r="G38" s="1087">
        <v>2.375</v>
      </c>
      <c r="H38" s="1016"/>
      <c r="I38" s="1016"/>
      <c r="J38" s="1016"/>
      <c r="K38" s="1016"/>
      <c r="L38" s="1016"/>
      <c r="M38" s="1016"/>
      <c r="N38" s="1016"/>
      <c r="O38" s="1016"/>
      <c r="P38" s="1016"/>
      <c r="Q38" s="1016"/>
      <c r="R38" s="1016"/>
      <c r="S38" s="1016"/>
      <c r="T38" s="1016"/>
      <c r="U38" s="1016"/>
      <c r="V38" s="1016"/>
      <c r="W38" s="1016"/>
      <c r="X38" s="1016"/>
      <c r="Y38" s="1016"/>
      <c r="Z38" s="1016"/>
      <c r="AA38" s="1016"/>
      <c r="AB38" s="1016"/>
      <c r="AC38" s="1016"/>
      <c r="AD38" s="1016"/>
      <c r="AE38" s="1016"/>
      <c r="AF38" s="1016"/>
      <c r="AG38" s="952"/>
      <c r="AH38" s="1016"/>
      <c r="AI38" s="770">
        <f t="shared" si="14"/>
        <v>0</v>
      </c>
      <c r="AJ38" s="65"/>
      <c r="AK38" s="66"/>
      <c r="AL38" s="86">
        <f>IF(Validation!$H$3=1,0,IF(ISNUMBER(G38),0,1))</f>
        <v>0</v>
      </c>
      <c r="BL38" s="66"/>
      <c r="BN38" s="94" t="s">
        <v>7398</v>
      </c>
      <c r="BO38" s="95" t="s">
        <v>7399</v>
      </c>
      <c r="BP38" s="96" t="s">
        <v>7400</v>
      </c>
      <c r="BQ38" s="96" t="s">
        <v>13</v>
      </c>
      <c r="BR38" s="93">
        <v>3</v>
      </c>
      <c r="BS38" s="1087"/>
      <c r="BT38" s="1016"/>
      <c r="BU38" s="1016"/>
      <c r="BV38" s="1016"/>
      <c r="BW38" s="1016"/>
      <c r="BX38" s="1016"/>
      <c r="BY38" s="1016"/>
      <c r="BZ38" s="1016"/>
      <c r="CA38" s="1016"/>
      <c r="CB38" s="1016"/>
      <c r="CC38" s="1016"/>
      <c r="CD38" s="1016"/>
      <c r="CE38" s="1016"/>
      <c r="CF38" s="1016"/>
      <c r="CG38" s="1016"/>
      <c r="CH38" s="1016"/>
      <c r="CI38" s="1016"/>
      <c r="CJ38" s="1016"/>
      <c r="CK38" s="1016"/>
      <c r="CL38" s="1016"/>
      <c r="CM38" s="1016"/>
      <c r="CN38" s="1016"/>
      <c r="CO38" s="1016"/>
      <c r="CP38" s="1016"/>
      <c r="CQ38" s="1016"/>
      <c r="CR38" s="1016"/>
    </row>
    <row r="39" spans="1:96" ht="15">
      <c r="A39" s="1016"/>
      <c r="B39" s="1016"/>
      <c r="C39" s="1016"/>
      <c r="D39" s="1022"/>
      <c r="E39" s="1016"/>
      <c r="F39" s="959"/>
      <c r="G39" s="959"/>
      <c r="H39" s="1016"/>
      <c r="I39" s="1016"/>
      <c r="J39" s="1016"/>
      <c r="K39" s="1016"/>
      <c r="L39" s="1016"/>
      <c r="M39" s="1016"/>
      <c r="N39" s="1016"/>
      <c r="O39" s="1016"/>
      <c r="P39" s="1016"/>
      <c r="Q39" s="1016"/>
      <c r="R39" s="1016"/>
      <c r="S39" s="1016"/>
      <c r="T39" s="1016"/>
      <c r="U39" s="1016"/>
      <c r="V39" s="1016"/>
      <c r="W39" s="1016"/>
      <c r="X39" s="1016"/>
      <c r="Y39" s="1016"/>
      <c r="Z39" s="1016"/>
      <c r="AA39" s="1016"/>
      <c r="AB39" s="1016"/>
      <c r="AC39" s="1016"/>
      <c r="AD39" s="1016"/>
      <c r="AE39" s="1016"/>
      <c r="AF39" s="1016"/>
      <c r="AG39" s="1016"/>
      <c r="AH39" s="1016"/>
      <c r="AI39" s="1016"/>
    </row>
    <row r="40" spans="1:96" ht="15.75">
      <c r="A40" s="852"/>
      <c r="B40" s="1088" t="s">
        <v>275</v>
      </c>
      <c r="C40" s="2215"/>
      <c r="D40" s="852"/>
      <c r="E40" s="852"/>
      <c r="F40" s="852"/>
      <c r="G40" s="852"/>
      <c r="H40" s="852"/>
      <c r="I40" s="852"/>
      <c r="J40" s="852"/>
      <c r="K40" s="852"/>
      <c r="L40" s="852"/>
      <c r="M40" s="852"/>
      <c r="N40" s="852"/>
    </row>
    <row r="41" spans="1:96" ht="15.75">
      <c r="A41" s="852"/>
      <c r="B41" s="881"/>
      <c r="C41" s="887"/>
      <c r="D41" s="852"/>
      <c r="E41" s="852"/>
      <c r="F41" s="852"/>
      <c r="G41" s="852"/>
      <c r="H41" s="852"/>
      <c r="I41" s="852"/>
      <c r="J41" s="852"/>
      <c r="K41" s="852"/>
      <c r="L41" s="852"/>
      <c r="M41" s="852"/>
      <c r="N41" s="852"/>
    </row>
    <row r="42" spans="1:96" ht="15.75">
      <c r="A42" s="852"/>
      <c r="B42" s="827"/>
      <c r="C42" s="1089" t="s">
        <v>249</v>
      </c>
      <c r="D42" s="852"/>
      <c r="E42" s="852"/>
      <c r="F42" s="852"/>
      <c r="G42" s="2534"/>
      <c r="H42" s="2535"/>
      <c r="I42" s="2535"/>
      <c r="J42" s="2535"/>
      <c r="K42" s="2535"/>
      <c r="L42" s="2535"/>
      <c r="M42" s="2535"/>
      <c r="N42" s="2535"/>
    </row>
    <row r="43" spans="1:96" ht="15.75">
      <c r="A43" s="852"/>
      <c r="B43" s="281"/>
      <c r="C43" s="826"/>
      <c r="D43" s="852"/>
      <c r="E43" s="852"/>
      <c r="F43" s="852"/>
      <c r="G43" s="2534"/>
      <c r="H43" s="2535"/>
      <c r="I43" s="2535"/>
      <c r="J43" s="2535"/>
      <c r="K43" s="2535"/>
      <c r="L43" s="2535"/>
      <c r="M43" s="2535"/>
      <c r="N43" s="2535"/>
    </row>
    <row r="44" spans="1:96" ht="15.75">
      <c r="A44" s="852"/>
      <c r="B44" s="829"/>
      <c r="C44" s="1064" t="s">
        <v>4621</v>
      </c>
      <c r="D44" s="852"/>
      <c r="E44" s="852"/>
      <c r="F44" s="852"/>
      <c r="G44" s="852"/>
      <c r="H44" s="852"/>
      <c r="I44" s="852"/>
      <c r="J44" s="852"/>
      <c r="K44" s="852"/>
      <c r="L44" s="852"/>
      <c r="M44" s="852"/>
      <c r="N44" s="852"/>
    </row>
    <row r="45" spans="1:96" ht="15">
      <c r="A45" s="1016"/>
      <c r="B45" s="1016"/>
      <c r="C45" s="1016"/>
      <c r="D45" s="1022"/>
      <c r="E45" s="1016"/>
      <c r="F45" s="1016"/>
      <c r="G45" s="1016"/>
      <c r="H45" s="1016"/>
      <c r="I45" s="1016"/>
      <c r="J45" s="1016"/>
      <c r="K45" s="1016"/>
      <c r="L45" s="1016"/>
      <c r="M45" s="1016"/>
      <c r="N45" s="1016"/>
    </row>
    <row r="46" spans="1:96" ht="15.75" thickBot="1">
      <c r="A46" s="1016"/>
      <c r="B46" s="1016"/>
      <c r="C46" s="1016"/>
      <c r="D46" s="1022"/>
      <c r="E46" s="1016"/>
      <c r="F46" s="1016"/>
      <c r="G46" s="1016"/>
      <c r="H46" s="1016"/>
      <c r="I46" s="1016"/>
      <c r="J46" s="1016"/>
      <c r="K46" s="1016"/>
      <c r="L46" s="1016"/>
      <c r="M46" s="1016"/>
      <c r="N46" s="1016"/>
    </row>
    <row r="47" spans="1:96" ht="16.5" thickBot="1">
      <c r="A47" s="1016"/>
      <c r="B47" s="1168" t="s">
        <v>251</v>
      </c>
      <c r="C47" s="830"/>
      <c r="D47" s="830"/>
      <c r="E47" s="831"/>
      <c r="F47" s="831"/>
      <c r="G47" s="831"/>
      <c r="H47" s="831"/>
      <c r="I47" s="831"/>
      <c r="J47" s="831"/>
      <c r="K47" s="831"/>
      <c r="L47" s="832"/>
      <c r="M47" s="1016"/>
      <c r="N47" s="1016"/>
    </row>
    <row r="48" spans="1:96" ht="15.75" thickBot="1">
      <c r="A48" s="1016"/>
      <c r="B48" s="1016"/>
      <c r="C48" s="1016"/>
      <c r="D48" s="1022"/>
      <c r="E48" s="1016"/>
      <c r="F48" s="1016"/>
      <c r="G48" s="1016"/>
      <c r="H48" s="1016"/>
      <c r="I48" s="1016"/>
      <c r="J48" s="1016"/>
      <c r="K48" s="1016"/>
      <c r="L48" s="1016"/>
      <c r="M48" s="1016"/>
      <c r="N48" s="1016"/>
    </row>
    <row r="49" spans="1:14" ht="16.5" thickBot="1">
      <c r="A49" s="1016"/>
      <c r="B49" s="2481" t="s">
        <v>7401</v>
      </c>
      <c r="C49" s="2540"/>
      <c r="D49" s="2540"/>
      <c r="E49" s="2540"/>
      <c r="F49" s="2540"/>
      <c r="G49" s="2540"/>
      <c r="H49" s="2540"/>
      <c r="I49" s="2540"/>
      <c r="J49" s="2540"/>
      <c r="K49" s="2540"/>
      <c r="L49" s="2541"/>
      <c r="M49" s="1016"/>
      <c r="N49" s="1016"/>
    </row>
    <row r="50" spans="1:14" ht="15.75" thickBot="1">
      <c r="A50" s="1016"/>
      <c r="B50" s="1066"/>
      <c r="C50" s="1016"/>
      <c r="D50" s="1022"/>
      <c r="E50" s="1016"/>
      <c r="F50" s="1016"/>
      <c r="G50" s="1016"/>
      <c r="H50" s="1016"/>
      <c r="I50" s="1016"/>
      <c r="J50" s="1016"/>
      <c r="K50" s="1016"/>
      <c r="L50" s="1016"/>
      <c r="M50" s="1016"/>
      <c r="N50" s="1016"/>
    </row>
    <row r="51" spans="1:14" ht="51">
      <c r="A51" s="1016"/>
      <c r="B51" s="2132" t="s">
        <v>7402</v>
      </c>
      <c r="C51" s="2542" t="s">
        <v>7403</v>
      </c>
      <c r="D51" s="2542"/>
      <c r="E51" s="2542"/>
      <c r="F51" s="2542"/>
      <c r="G51" s="2542"/>
      <c r="H51" s="2542"/>
      <c r="I51" s="2542"/>
      <c r="J51" s="2542"/>
      <c r="K51" s="2543"/>
      <c r="L51" s="1016"/>
      <c r="M51" s="1016"/>
      <c r="N51" s="1016"/>
    </row>
    <row r="52" spans="1:14" ht="38.25">
      <c r="A52" s="1016"/>
      <c r="B52" s="2133" t="s">
        <v>7404</v>
      </c>
      <c r="C52" s="2544" t="s">
        <v>7405</v>
      </c>
      <c r="D52" s="2544"/>
      <c r="E52" s="2544"/>
      <c r="F52" s="2544"/>
      <c r="G52" s="2544"/>
      <c r="H52" s="2544"/>
      <c r="I52" s="2544"/>
      <c r="J52" s="2544"/>
      <c r="K52" s="2545"/>
      <c r="L52" s="1016"/>
      <c r="M52" s="1016"/>
      <c r="N52" s="1016"/>
    </row>
    <row r="53" spans="1:14" ht="38.25">
      <c r="A53" s="1016"/>
      <c r="B53" s="2133" t="s">
        <v>7406</v>
      </c>
      <c r="C53" s="2544" t="s">
        <v>7407</v>
      </c>
      <c r="D53" s="2544"/>
      <c r="E53" s="2544"/>
      <c r="F53" s="2544"/>
      <c r="G53" s="2544"/>
      <c r="H53" s="2544"/>
      <c r="I53" s="2544"/>
      <c r="J53" s="2544"/>
      <c r="K53" s="2545"/>
      <c r="L53" s="1016"/>
      <c r="M53" s="1016"/>
      <c r="N53" s="1016"/>
    </row>
    <row r="54" spans="1:14" ht="38.25">
      <c r="A54" s="1016"/>
      <c r="B54" s="2133" t="s">
        <v>7408</v>
      </c>
      <c r="C54" s="2544" t="s">
        <v>7409</v>
      </c>
      <c r="D54" s="2544"/>
      <c r="E54" s="2544"/>
      <c r="F54" s="2544"/>
      <c r="G54" s="2544"/>
      <c r="H54" s="2544"/>
      <c r="I54" s="2544"/>
      <c r="J54" s="2544"/>
      <c r="K54" s="2545"/>
      <c r="L54" s="1016"/>
      <c r="M54" s="1016"/>
      <c r="N54" s="1016"/>
    </row>
    <row r="55" spans="1:14" ht="39" thickBot="1">
      <c r="A55" s="1016"/>
      <c r="B55" s="2134" t="s">
        <v>7410</v>
      </c>
      <c r="C55" s="2538" t="s">
        <v>7411</v>
      </c>
      <c r="D55" s="2538"/>
      <c r="E55" s="2538"/>
      <c r="F55" s="2538"/>
      <c r="G55" s="2538"/>
      <c r="H55" s="2538"/>
      <c r="I55" s="2538"/>
      <c r="J55" s="2538"/>
      <c r="K55" s="2539"/>
      <c r="L55" s="1016"/>
      <c r="M55" s="1016"/>
      <c r="N55" s="1016"/>
    </row>
    <row r="56" spans="1:14" ht="15.75" thickBot="1">
      <c r="A56" s="1016"/>
      <c r="B56" s="2135"/>
      <c r="C56" s="2136"/>
      <c r="D56" s="2135"/>
      <c r="E56" s="2135"/>
      <c r="F56" s="2135"/>
      <c r="G56" s="2135"/>
      <c r="H56" s="2135"/>
      <c r="I56" s="2135"/>
      <c r="J56" s="2135"/>
      <c r="K56" s="2135"/>
      <c r="L56" s="1016"/>
      <c r="M56" s="1016"/>
      <c r="N56" s="1016"/>
    </row>
    <row r="57" spans="1:14" ht="63.75">
      <c r="A57" s="1016"/>
      <c r="B57" s="2132" t="s">
        <v>6984</v>
      </c>
      <c r="C57" s="2542" t="s">
        <v>7412</v>
      </c>
      <c r="D57" s="2542"/>
      <c r="E57" s="2542"/>
      <c r="F57" s="2542"/>
      <c r="G57" s="2542"/>
      <c r="H57" s="2542"/>
      <c r="I57" s="2542"/>
      <c r="J57" s="2542"/>
      <c r="K57" s="2543"/>
      <c r="L57" s="1016"/>
      <c r="M57" s="1016"/>
      <c r="N57" s="1016"/>
    </row>
    <row r="58" spans="1:14" ht="63.75">
      <c r="A58" s="1016"/>
      <c r="B58" s="2133" t="s">
        <v>7013</v>
      </c>
      <c r="C58" s="2544" t="s">
        <v>7413</v>
      </c>
      <c r="D58" s="2544"/>
      <c r="E58" s="2544"/>
      <c r="F58" s="2544"/>
      <c r="G58" s="2544"/>
      <c r="H58" s="2544"/>
      <c r="I58" s="2544"/>
      <c r="J58" s="2544"/>
      <c r="K58" s="2545"/>
      <c r="L58" s="1016"/>
      <c r="M58" s="1016"/>
      <c r="N58" s="1016"/>
    </row>
    <row r="59" spans="1:14" ht="63.75">
      <c r="A59" s="1016"/>
      <c r="B59" s="2133" t="s">
        <v>7040</v>
      </c>
      <c r="C59" s="2544" t="s">
        <v>7414</v>
      </c>
      <c r="D59" s="2544"/>
      <c r="E59" s="2544"/>
      <c r="F59" s="2544"/>
      <c r="G59" s="2544"/>
      <c r="H59" s="2544"/>
      <c r="I59" s="2544"/>
      <c r="J59" s="2544"/>
      <c r="K59" s="2545"/>
      <c r="L59" s="1016"/>
      <c r="M59" s="1016"/>
      <c r="N59" s="1016"/>
    </row>
    <row r="60" spans="1:14" ht="63.75">
      <c r="A60" s="1016"/>
      <c r="B60" s="2133" t="s">
        <v>7067</v>
      </c>
      <c r="C60" s="2544" t="s">
        <v>7415</v>
      </c>
      <c r="D60" s="2544"/>
      <c r="E60" s="2544"/>
      <c r="F60" s="2544"/>
      <c r="G60" s="2544"/>
      <c r="H60" s="2544"/>
      <c r="I60" s="2544"/>
      <c r="J60" s="2544"/>
      <c r="K60" s="2545"/>
      <c r="L60" s="1016"/>
      <c r="M60" s="1016"/>
      <c r="N60" s="1016"/>
    </row>
    <row r="61" spans="1:14" ht="63.75">
      <c r="A61" s="1016"/>
      <c r="B61" s="2133" t="s">
        <v>7094</v>
      </c>
      <c r="C61" s="2544" t="s">
        <v>7416</v>
      </c>
      <c r="D61" s="2544"/>
      <c r="E61" s="2544"/>
      <c r="F61" s="2544"/>
      <c r="G61" s="2544"/>
      <c r="H61" s="2544"/>
      <c r="I61" s="2544"/>
      <c r="J61" s="2544"/>
      <c r="K61" s="2545"/>
      <c r="L61" s="1016"/>
      <c r="M61" s="1016"/>
      <c r="N61" s="1016"/>
    </row>
    <row r="62" spans="1:14" ht="64.5" thickBot="1">
      <c r="A62" s="1016"/>
      <c r="B62" s="2134" t="s">
        <v>7121</v>
      </c>
      <c r="C62" s="2538" t="s">
        <v>7417</v>
      </c>
      <c r="D62" s="2538"/>
      <c r="E62" s="2538"/>
      <c r="F62" s="2538"/>
      <c r="G62" s="2538"/>
      <c r="H62" s="2538"/>
      <c r="I62" s="2538"/>
      <c r="J62" s="2538"/>
      <c r="K62" s="2539"/>
      <c r="L62" s="1016"/>
      <c r="M62" s="1016"/>
      <c r="N62" s="1016"/>
    </row>
    <row r="63" spans="1:14" ht="15">
      <c r="A63" s="1016"/>
      <c r="B63" s="1016"/>
      <c r="C63" s="1090"/>
      <c r="D63" s="959"/>
      <c r="E63" s="959"/>
      <c r="F63" s="959"/>
      <c r="G63" s="959"/>
      <c r="H63" s="959"/>
      <c r="I63" s="959"/>
      <c r="J63" s="959"/>
      <c r="K63" s="959"/>
      <c r="L63" s="959"/>
      <c r="M63" s="1016"/>
      <c r="N63" s="1016"/>
    </row>
    <row r="64" spans="1:14" ht="15.75" thickBot="1">
      <c r="A64" s="1016"/>
      <c r="B64" s="2227" t="s">
        <v>4622</v>
      </c>
      <c r="C64" s="1016"/>
      <c r="D64" s="1016"/>
      <c r="E64" s="1016"/>
      <c r="F64" s="1022"/>
      <c r="G64" s="1016"/>
      <c r="H64" s="1016"/>
      <c r="I64" s="1016"/>
      <c r="J64" s="1016"/>
      <c r="K64" s="1016"/>
      <c r="L64" s="1016"/>
      <c r="M64" s="1016"/>
      <c r="N64" s="1016"/>
    </row>
    <row r="65" spans="1:14" ht="29.25" customHeight="1" thickBot="1">
      <c r="A65" s="1016"/>
      <c r="B65" s="2546" t="s">
        <v>7418</v>
      </c>
      <c r="C65" s="2547"/>
      <c r="D65" s="2547"/>
      <c r="E65" s="2547"/>
      <c r="F65" s="2547"/>
      <c r="G65" s="2547"/>
      <c r="H65" s="2547"/>
      <c r="I65" s="2547"/>
      <c r="J65" s="2547"/>
      <c r="K65" s="2548"/>
      <c r="L65" s="1016"/>
      <c r="M65" s="1016"/>
      <c r="N65" s="1016"/>
    </row>
    <row r="66" spans="1:14"/>
  </sheetData>
  <sheetProtection password="C460" sheet="1" objects="1" scenarios="1"/>
  <mergeCells count="41">
    <mergeCell ref="BN26:BO26"/>
    <mergeCell ref="BS3:BZ3"/>
    <mergeCell ref="CB3:CR3"/>
    <mergeCell ref="BS4:BS5"/>
    <mergeCell ref="BT4:BU4"/>
    <mergeCell ref="BV4:BY4"/>
    <mergeCell ref="BZ4:BZ5"/>
    <mergeCell ref="CB4:CF4"/>
    <mergeCell ref="CG4:CL4"/>
    <mergeCell ref="CM4:CR4"/>
    <mergeCell ref="B65:K65"/>
    <mergeCell ref="C57:K57"/>
    <mergeCell ref="C58:K58"/>
    <mergeCell ref="C59:K59"/>
    <mergeCell ref="C60:K60"/>
    <mergeCell ref="C61:K61"/>
    <mergeCell ref="C62:K62"/>
    <mergeCell ref="C55:K55"/>
    <mergeCell ref="B49:L49"/>
    <mergeCell ref="C51:K51"/>
    <mergeCell ref="C52:K52"/>
    <mergeCell ref="C53:K53"/>
    <mergeCell ref="C54:K54"/>
    <mergeCell ref="B26:C26"/>
    <mergeCell ref="G42:G43"/>
    <mergeCell ref="H42:N43"/>
    <mergeCell ref="B3:C5"/>
    <mergeCell ref="E3:E5"/>
    <mergeCell ref="F3:F5"/>
    <mergeCell ref="G3:N3"/>
    <mergeCell ref="D3:D5"/>
    <mergeCell ref="P3:AF3"/>
    <mergeCell ref="AG3:AG5"/>
    <mergeCell ref="AI3:AI5"/>
    <mergeCell ref="G4:G5"/>
    <mergeCell ref="H4:I4"/>
    <mergeCell ref="J4:M4"/>
    <mergeCell ref="N4:N5"/>
    <mergeCell ref="P4:T4"/>
    <mergeCell ref="U4:Z4"/>
    <mergeCell ref="AA4:AF4"/>
  </mergeCells>
  <conditionalFormatting sqref="AI8:AI13 AI18:AI23 AI29:AI38">
    <cfRule type="cellIs" dxfId="2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8D14C003-6FEC-4849-A4B6-66FDB1D05D8F}">
            <xm:f>Validation!$H$3=1</xm:f>
            <x14:dxf>
              <fill>
                <patternFill>
                  <bgColor theme="2"/>
                </patternFill>
              </fill>
            </x14:dxf>
          </x14:cfRule>
          <xm:sqref>G29:G38 G8:N14 G18:N24 N15 P8:AG14 P18:AG24 AG29:AG38</xm:sqref>
        </x14:conditionalFormatting>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AI8:AI13 AI18:AI23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BS29:BS38 BS8:BZ14 BS18:BZ24 BZ15 CB8:CR14 CB18:CR24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21"/>
  <sheetViews>
    <sheetView showGridLines="0" zoomScale="80" zoomScaleNormal="80" workbookViewId="0">
      <selection activeCell="C10" sqref="C10"/>
    </sheetView>
  </sheetViews>
  <sheetFormatPr defaultColWidth="0" defaultRowHeight="14.25" zeroHeight="1"/>
  <cols>
    <col min="1" max="1" width="8.625" customWidth="1"/>
    <col min="2" max="2" width="9.125" customWidth="1"/>
    <col min="3" max="3" width="91.125" customWidth="1"/>
    <col min="4" max="4" width="1.875" customWidth="1"/>
    <col min="5" max="16384" width="8.625" hidden="1"/>
  </cols>
  <sheetData>
    <row r="1" spans="1:3" ht="20.25">
      <c r="A1" s="2235" t="s">
        <v>61</v>
      </c>
      <c r="B1" s="2236"/>
      <c r="C1" s="2236"/>
    </row>
    <row r="2" spans="1:3">
      <c r="A2" s="2113"/>
      <c r="B2" s="2113"/>
      <c r="C2" s="2113"/>
    </row>
    <row r="3" spans="1:3" ht="35.450000000000003" customHeight="1">
      <c r="A3" s="2113"/>
      <c r="B3" s="2237" t="s">
        <v>62</v>
      </c>
      <c r="C3" s="2237"/>
    </row>
    <row r="4" spans="1:3">
      <c r="A4" s="2113"/>
      <c r="B4" s="640"/>
      <c r="C4" s="640"/>
    </row>
    <row r="5" spans="1:3" ht="55.35" customHeight="1">
      <c r="A5" s="2113"/>
      <c r="B5" s="2238" t="s">
        <v>63</v>
      </c>
      <c r="C5" s="2238"/>
    </row>
    <row r="6" spans="1:3" ht="15" thickBot="1">
      <c r="A6" s="2113"/>
      <c r="B6" s="2113"/>
      <c r="C6" s="2113"/>
    </row>
    <row r="7" spans="1:3" ht="15" thickBot="1">
      <c r="A7" s="2113"/>
      <c r="B7" s="2114" t="s">
        <v>64</v>
      </c>
      <c r="C7" s="2115" t="s">
        <v>65</v>
      </c>
    </row>
    <row r="8" spans="1:3">
      <c r="A8" s="2113"/>
      <c r="B8" s="2230">
        <v>43213</v>
      </c>
      <c r="C8" s="2125" t="s">
        <v>66</v>
      </c>
    </row>
    <row r="9" spans="1:3">
      <c r="A9" s="2113"/>
      <c r="B9" s="2233"/>
      <c r="C9" s="2154" t="s">
        <v>67</v>
      </c>
    </row>
    <row r="10" spans="1:3">
      <c r="A10" s="2113"/>
      <c r="B10" s="2233"/>
      <c r="C10" s="2157" t="s">
        <v>68</v>
      </c>
    </row>
    <row r="11" spans="1:3">
      <c r="A11" s="2113"/>
      <c r="B11" s="2233"/>
      <c r="C11" s="2157" t="s">
        <v>69</v>
      </c>
    </row>
    <row r="12" spans="1:3">
      <c r="A12" s="2113"/>
      <c r="B12" s="2233"/>
      <c r="C12" s="2157" t="s">
        <v>70</v>
      </c>
    </row>
    <row r="13" spans="1:3">
      <c r="A13" s="2113"/>
      <c r="B13" s="2233"/>
      <c r="C13" s="2157" t="s">
        <v>71</v>
      </c>
    </row>
    <row r="14" spans="1:3">
      <c r="A14" s="2113"/>
      <c r="B14" s="2233"/>
      <c r="C14" s="2157" t="s">
        <v>72</v>
      </c>
    </row>
    <row r="15" spans="1:3" ht="36.75" thickBot="1">
      <c r="A15" s="2113"/>
      <c r="B15" s="2234"/>
      <c r="C15" s="2126" t="s">
        <v>73</v>
      </c>
    </row>
    <row r="16" spans="1:3" ht="96">
      <c r="B16" s="2230">
        <v>43262</v>
      </c>
      <c r="C16" s="2125" t="s">
        <v>74</v>
      </c>
    </row>
    <row r="17" spans="2:3">
      <c r="B17" s="2231"/>
      <c r="C17" s="2157" t="s">
        <v>75</v>
      </c>
    </row>
    <row r="18" spans="2:3">
      <c r="B18" s="2231"/>
      <c r="C18" s="2157" t="s">
        <v>76</v>
      </c>
    </row>
    <row r="19" spans="2:3">
      <c r="B19" s="2231"/>
      <c r="C19" s="2157" t="s">
        <v>77</v>
      </c>
    </row>
    <row r="20" spans="2:3" ht="15" thickBot="1">
      <c r="B20" s="2232"/>
      <c r="C20" s="2126" t="s">
        <v>78</v>
      </c>
    </row>
    <row r="21" spans="2:3"/>
  </sheetData>
  <mergeCells count="5">
    <mergeCell ref="B16:B20"/>
    <mergeCell ref="B8:B15"/>
    <mergeCell ref="A1:C1"/>
    <mergeCell ref="B3:C3"/>
    <mergeCell ref="B5:C5"/>
  </mergeCells>
  <hyperlinks>
    <hyperlink ref="B3:C3" r:id="rId1" display="On 3 April 2018 we published IN 18/07 ‘Expectations for monopoly company annual performance reporting 2017-18’." xr:uid="{00000000-0004-0000-0400-000000000000}"/>
  </hyperlinks>
  <printOptions horizontalCentered="1"/>
  <pageMargins left="0.39370078740157483" right="0.39370078740157483" top="0.78740157480314965" bottom="0.78740157480314965" header="0.31496062992125984" footer="0.31496062992125984"/>
  <pageSetup paperSize="9" scale="80" orientation="portrait" r:id="rId2"/>
  <headerFooter>
    <oddHeader>&amp;L&amp;9&amp;K857362Page &amp;P of &amp;N&amp;C&amp;9 &amp;K8573622017-18 annual performance report tables (TTT) - updated June 2018&amp;R&amp;G</oddHeader>
    <oddFooter>&amp;L&amp;9&amp;K857362&amp;A&amp;R&amp;9&amp;K857362Printed: &amp;D &amp;T</oddFooter>
  </headerFooter>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AD35"/>
  <sheetViews>
    <sheetView showGridLines="0" zoomScale="80" zoomScaleNormal="80" workbookViewId="0">
      <selection activeCell="G6" sqref="G6"/>
    </sheetView>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313" hidden="1" customWidth="1"/>
    <col min="14" max="14" width="18.625" hidden="1" customWidth="1"/>
    <col min="15" max="15" width="1.5" hidden="1" customWidth="1"/>
    <col min="16" max="16" width="1.625" style="1313" hidden="1" customWidth="1"/>
    <col min="17" max="17" width="8.125" hidden="1" customWidth="1"/>
    <col min="18" max="18" width="1.625" style="1313" hidden="1" customWidth="1"/>
    <col min="19" max="20" width="8.625" hidden="1" customWidth="1"/>
    <col min="21" max="21" width="27.125" hidden="1" customWidth="1"/>
    <col min="22" max="22" width="1.625" style="1313" hidden="1" customWidth="1"/>
    <col min="23" max="24" width="8.625" hidden="1" customWidth="1"/>
    <col min="25" max="25" width="46" hidden="1" customWidth="1"/>
    <col min="26" max="28" width="8.625" hidden="1" customWidth="1"/>
    <col min="29" max="30" width="9.625" hidden="1" customWidth="1"/>
    <col min="31" max="16384" width="8.625" hidden="1"/>
  </cols>
  <sheetData>
    <row r="1" spans="1:30" ht="20.25">
      <c r="A1" s="753"/>
      <c r="B1" s="61" t="s">
        <v>7419</v>
      </c>
      <c r="C1" s="61"/>
      <c r="D1" s="61"/>
      <c r="E1" s="61"/>
      <c r="F1" s="61"/>
      <c r="G1" s="61"/>
      <c r="H1" s="61"/>
      <c r="I1" s="63" t="str">
        <f>Validation!B3</f>
        <v>Thames Water</v>
      </c>
      <c r="J1" s="61"/>
      <c r="K1" s="64" t="s">
        <v>94</v>
      </c>
      <c r="L1" s="65"/>
      <c r="M1" s="66"/>
      <c r="N1" s="65"/>
      <c r="O1" s="65"/>
      <c r="P1" s="1708"/>
      <c r="X1" s="61" t="s">
        <v>7419</v>
      </c>
      <c r="Y1" s="61"/>
      <c r="Z1" s="61"/>
      <c r="AA1" s="61"/>
      <c r="AB1" s="61"/>
      <c r="AC1" s="61"/>
      <c r="AD1" s="61"/>
    </row>
    <row r="2" spans="1:30" ht="15.75" thickBot="1">
      <c r="A2" s="1041"/>
      <c r="B2" s="68" t="s">
        <v>80</v>
      </c>
      <c r="C2" s="1041"/>
      <c r="D2" s="1041"/>
      <c r="E2" s="1041"/>
      <c r="F2" s="1041"/>
      <c r="G2" s="1041"/>
      <c r="H2" s="1041"/>
      <c r="I2" s="1016"/>
      <c r="J2" s="1016"/>
      <c r="K2" s="65"/>
      <c r="L2" s="65"/>
      <c r="M2" s="66"/>
      <c r="N2" s="65"/>
      <c r="O2" s="65"/>
      <c r="P2" s="1708"/>
      <c r="X2" s="68" t="s">
        <v>80</v>
      </c>
      <c r="Y2" s="1041"/>
      <c r="Z2" s="1041"/>
      <c r="AA2" s="1041"/>
      <c r="AB2" s="1041"/>
      <c r="AC2" s="1041"/>
      <c r="AD2" s="1041"/>
    </row>
    <row r="3" spans="1:30" ht="33" customHeight="1" thickBot="1">
      <c r="A3" s="1016"/>
      <c r="B3" s="1268" t="s">
        <v>4255</v>
      </c>
      <c r="C3" s="1270" t="s">
        <v>2</v>
      </c>
      <c r="D3" s="1269" t="s">
        <v>2690</v>
      </c>
      <c r="E3" s="1270" t="s">
        <v>3</v>
      </c>
      <c r="F3" s="1271" t="s">
        <v>99</v>
      </c>
      <c r="G3" s="1272" t="s">
        <v>7420</v>
      </c>
      <c r="H3" s="1273" t="s">
        <v>7421</v>
      </c>
      <c r="I3" s="1182" t="s">
        <v>3938</v>
      </c>
      <c r="J3" s="1066"/>
      <c r="K3" s="162" t="s">
        <v>103</v>
      </c>
      <c r="L3" s="65"/>
      <c r="M3" s="66"/>
      <c r="N3" s="71" t="s">
        <v>107</v>
      </c>
      <c r="O3" s="1391"/>
      <c r="P3" s="66"/>
      <c r="Q3" s="2194" t="s">
        <v>86</v>
      </c>
      <c r="R3" s="66"/>
      <c r="S3" s="71" t="s">
        <v>742</v>
      </c>
      <c r="T3" s="2194"/>
      <c r="U3" s="2194"/>
      <c r="V3" s="66"/>
      <c r="X3" s="1268" t="s">
        <v>4255</v>
      </c>
      <c r="Y3" s="1268" t="s">
        <v>2</v>
      </c>
      <c r="Z3" s="1269" t="s">
        <v>2690</v>
      </c>
      <c r="AA3" s="1270" t="s">
        <v>3</v>
      </c>
      <c r="AB3" s="1271" t="s">
        <v>99</v>
      </c>
      <c r="AC3" s="1272" t="s">
        <v>7420</v>
      </c>
      <c r="AD3" s="1273" t="s">
        <v>7421</v>
      </c>
    </row>
    <row r="4" spans="1:30" ht="15.75" thickBot="1">
      <c r="A4" s="1016"/>
      <c r="B4" s="1016"/>
      <c r="C4" s="1016"/>
      <c r="D4" s="1016"/>
      <c r="E4" s="1016"/>
      <c r="F4" s="1016"/>
      <c r="G4" s="1016"/>
      <c r="H4" s="1016"/>
      <c r="M4" s="66"/>
      <c r="N4" s="78" t="s">
        <v>108</v>
      </c>
      <c r="O4" s="78"/>
      <c r="P4" s="66"/>
      <c r="X4" s="1016"/>
      <c r="Y4" s="1016"/>
      <c r="Z4" s="1016"/>
      <c r="AA4" s="1016"/>
      <c r="AB4" s="1016"/>
      <c r="AC4" s="1016" t="s">
        <v>7422</v>
      </c>
      <c r="AD4" s="1016" t="s">
        <v>7423</v>
      </c>
    </row>
    <row r="5" spans="1:30" ht="15.75" thickBot="1">
      <c r="A5" s="1016"/>
      <c r="B5" s="2219" t="s">
        <v>214</v>
      </c>
      <c r="C5" s="904" t="s">
        <v>7424</v>
      </c>
      <c r="D5" s="1016"/>
      <c r="E5" s="1016"/>
      <c r="F5" s="1016"/>
      <c r="G5" s="1016"/>
      <c r="H5" s="1016"/>
      <c r="M5" s="66"/>
      <c r="N5" s="78"/>
      <c r="O5" s="78"/>
      <c r="P5" s="66"/>
      <c r="X5" s="2219" t="s">
        <v>214</v>
      </c>
      <c r="Y5" s="904" t="s">
        <v>7424</v>
      </c>
      <c r="Z5" s="1016"/>
      <c r="AA5" s="1016"/>
      <c r="AB5" s="1016"/>
      <c r="AC5" s="1016"/>
      <c r="AD5" s="1016"/>
    </row>
    <row r="6" spans="1:30" ht="15">
      <c r="A6" s="1016"/>
      <c r="B6" s="79" t="s">
        <v>7425</v>
      </c>
      <c r="C6" s="109" t="s">
        <v>7426</v>
      </c>
      <c r="D6" s="1571" t="s">
        <v>7427</v>
      </c>
      <c r="E6" s="81" t="s">
        <v>10</v>
      </c>
      <c r="F6" s="82">
        <v>1</v>
      </c>
      <c r="G6" s="1091">
        <v>0.01</v>
      </c>
      <c r="H6" s="1363">
        <v>0</v>
      </c>
      <c r="I6" s="1885"/>
      <c r="K6" s="25">
        <f t="shared" ref="K6:K13" si="0" xml:space="preserve"> IF( SUM( M6:P6 ) = 0, 0, $N$4 )</f>
        <v>0</v>
      </c>
      <c r="L6" s="65"/>
      <c r="M6" s="66"/>
      <c r="N6" s="86">
        <f>IF(Validation!$H$3=1,0,IF(ISNUMBER(G6),0,1))</f>
        <v>0</v>
      </c>
      <c r="O6" s="86">
        <f>IF(Validation!$H$3=1,0,IF(ISNUMBER(H6),0,1))</f>
        <v>0</v>
      </c>
      <c r="P6" s="66"/>
      <c r="X6" s="79" t="s">
        <v>7425</v>
      </c>
      <c r="Y6" s="109" t="s">
        <v>7426</v>
      </c>
      <c r="Z6" s="1571" t="s">
        <v>7427</v>
      </c>
      <c r="AA6" s="81" t="s">
        <v>10</v>
      </c>
      <c r="AB6" s="82">
        <v>1</v>
      </c>
      <c r="AC6" s="1091" t="str">
        <f>$D6&amp;AC$4</f>
        <v>BN5611INC</v>
      </c>
      <c r="AD6" s="1092" t="str">
        <f t="shared" ref="AD6:AD14" si="1">$D6&amp;AD$4</f>
        <v>BN5611TPS</v>
      </c>
    </row>
    <row r="7" spans="1:30" ht="15.6" customHeight="1">
      <c r="A7" s="1016"/>
      <c r="B7" s="866" t="s">
        <v>7428</v>
      </c>
      <c r="C7" s="867" t="s">
        <v>7429</v>
      </c>
      <c r="D7" s="1572" t="s">
        <v>7430</v>
      </c>
      <c r="E7" s="2155" t="s">
        <v>10</v>
      </c>
      <c r="F7" s="864">
        <v>1</v>
      </c>
      <c r="G7" s="1093">
        <v>5.5E-2</v>
      </c>
      <c r="H7" s="1364">
        <v>0</v>
      </c>
      <c r="I7" s="1886"/>
      <c r="K7" s="25">
        <f t="shared" si="0"/>
        <v>0</v>
      </c>
      <c r="L7" s="65"/>
      <c r="M7" s="66"/>
      <c r="N7" s="86">
        <f>IF(Validation!$H$3=1,0,IF(ISNUMBER(G7),0,1))</f>
        <v>0</v>
      </c>
      <c r="O7" s="86">
        <f>IF(Validation!$H$3=1,0,IF(ISNUMBER(H7),0,1))</f>
        <v>0</v>
      </c>
      <c r="P7" s="66"/>
      <c r="X7" s="866" t="s">
        <v>7428</v>
      </c>
      <c r="Y7" s="867" t="s">
        <v>7429</v>
      </c>
      <c r="Z7" s="1572" t="s">
        <v>7430</v>
      </c>
      <c r="AA7" s="2155" t="s">
        <v>10</v>
      </c>
      <c r="AB7" s="864">
        <v>1</v>
      </c>
      <c r="AC7" s="1093" t="str">
        <f t="shared" ref="AC7:AC14" si="2">$D7&amp;AC$4</f>
        <v>BN5612INC</v>
      </c>
      <c r="AD7" s="1094" t="str">
        <f t="shared" si="1"/>
        <v>BN5612TPS</v>
      </c>
    </row>
    <row r="8" spans="1:30" ht="15.6" customHeight="1">
      <c r="A8" s="1016"/>
      <c r="B8" s="866" t="s">
        <v>7431</v>
      </c>
      <c r="C8" s="867" t="s">
        <v>7432</v>
      </c>
      <c r="D8" s="1572" t="s">
        <v>7433</v>
      </c>
      <c r="E8" s="2155" t="s">
        <v>10</v>
      </c>
      <c r="F8" s="864">
        <v>1</v>
      </c>
      <c r="G8" s="1093">
        <v>0.28699999999999998</v>
      </c>
      <c r="H8" s="1364">
        <v>0</v>
      </c>
      <c r="I8" s="1886"/>
      <c r="K8" s="25">
        <f t="shared" si="0"/>
        <v>0</v>
      </c>
      <c r="L8" s="65"/>
      <c r="M8" s="66"/>
      <c r="N8" s="86">
        <f>IF(Validation!$H$3=1,0,IF(ISNUMBER(G8),0,1))</f>
        <v>0</v>
      </c>
      <c r="O8" s="86">
        <f>IF(Validation!$H$3=1,0,IF(ISNUMBER(H8),0,1))</f>
        <v>0</v>
      </c>
      <c r="P8" s="66"/>
      <c r="X8" s="866" t="s">
        <v>7431</v>
      </c>
      <c r="Y8" s="867" t="s">
        <v>7432</v>
      </c>
      <c r="Z8" s="1572" t="s">
        <v>7433</v>
      </c>
      <c r="AA8" s="2155" t="s">
        <v>10</v>
      </c>
      <c r="AB8" s="864">
        <v>1</v>
      </c>
      <c r="AC8" s="1093" t="str">
        <f t="shared" si="2"/>
        <v>BN5613INC</v>
      </c>
      <c r="AD8" s="1094" t="str">
        <f t="shared" si="1"/>
        <v>BN5613TPS</v>
      </c>
    </row>
    <row r="9" spans="1:30" ht="15.6" customHeight="1">
      <c r="A9" s="1016"/>
      <c r="B9" s="866" t="s">
        <v>7434</v>
      </c>
      <c r="C9" s="867" t="s">
        <v>7435</v>
      </c>
      <c r="D9" s="1572" t="s">
        <v>7436</v>
      </c>
      <c r="E9" s="2155" t="s">
        <v>10</v>
      </c>
      <c r="F9" s="864">
        <v>1</v>
      </c>
      <c r="G9" s="1093">
        <v>0.48099999999999998</v>
      </c>
      <c r="H9" s="1364">
        <v>0</v>
      </c>
      <c r="I9" s="1886"/>
      <c r="K9" s="25">
        <f t="shared" si="0"/>
        <v>0</v>
      </c>
      <c r="L9" s="65"/>
      <c r="M9" s="66"/>
      <c r="N9" s="86">
        <f>IF(Validation!$H$3=1,0,IF(ISNUMBER(G9),0,1))</f>
        <v>0</v>
      </c>
      <c r="O9" s="86">
        <f>IF(Validation!$H$3=1,0,IF(ISNUMBER(H9),0,1))</f>
        <v>0</v>
      </c>
      <c r="P9" s="66"/>
      <c r="X9" s="866" t="s">
        <v>7434</v>
      </c>
      <c r="Y9" s="867" t="s">
        <v>7435</v>
      </c>
      <c r="Z9" s="1572" t="s">
        <v>7436</v>
      </c>
      <c r="AA9" s="2155" t="s">
        <v>10</v>
      </c>
      <c r="AB9" s="864">
        <v>1</v>
      </c>
      <c r="AC9" s="1093" t="str">
        <f t="shared" si="2"/>
        <v>BN5614INC</v>
      </c>
      <c r="AD9" s="1094" t="str">
        <f t="shared" si="1"/>
        <v>BN5614TPS</v>
      </c>
    </row>
    <row r="10" spans="1:30" ht="15.6" customHeight="1">
      <c r="A10" s="1016"/>
      <c r="B10" s="866" t="s">
        <v>7437</v>
      </c>
      <c r="C10" s="867" t="s">
        <v>7438</v>
      </c>
      <c r="D10" s="1572" t="s">
        <v>7439</v>
      </c>
      <c r="E10" s="2155" t="s">
        <v>10</v>
      </c>
      <c r="F10" s="864">
        <v>1</v>
      </c>
      <c r="G10" s="1095">
        <v>0.16700000000000001</v>
      </c>
      <c r="H10" s="1365">
        <v>0</v>
      </c>
      <c r="I10" s="1887"/>
      <c r="K10" s="25">
        <f t="shared" si="0"/>
        <v>0</v>
      </c>
      <c r="L10" s="65"/>
      <c r="M10" s="66"/>
      <c r="N10" s="86">
        <f>IF(Validation!$H$3=1,0,IF(ISNUMBER(G10),0,1))</f>
        <v>0</v>
      </c>
      <c r="O10" s="86">
        <f>IF(Validation!$H$3=1,0,IF(ISNUMBER(H10),0,1))</f>
        <v>0</v>
      </c>
      <c r="P10" s="66"/>
      <c r="X10" s="866" t="s">
        <v>7437</v>
      </c>
      <c r="Y10" s="867" t="s">
        <v>7438</v>
      </c>
      <c r="Z10" s="1572" t="s">
        <v>7439</v>
      </c>
      <c r="AA10" s="2155" t="s">
        <v>10</v>
      </c>
      <c r="AB10" s="864">
        <v>1</v>
      </c>
      <c r="AC10" s="1095" t="str">
        <f t="shared" si="2"/>
        <v>BN5615INC</v>
      </c>
      <c r="AD10" s="1096" t="str">
        <f t="shared" si="1"/>
        <v>BN5615TPS</v>
      </c>
    </row>
    <row r="11" spans="1:30" ht="15.6" customHeight="1">
      <c r="A11" s="1016"/>
      <c r="B11" s="866" t="s">
        <v>7440</v>
      </c>
      <c r="C11" s="867" t="s">
        <v>7441</v>
      </c>
      <c r="D11" s="1572" t="s">
        <v>7442</v>
      </c>
      <c r="E11" s="2155" t="s">
        <v>10</v>
      </c>
      <c r="F11" s="864">
        <v>1</v>
      </c>
      <c r="G11" s="1093">
        <v>0</v>
      </c>
      <c r="H11" s="1364">
        <v>0</v>
      </c>
      <c r="I11" s="1886"/>
      <c r="K11" s="25">
        <f t="shared" si="0"/>
        <v>0</v>
      </c>
      <c r="L11" s="65"/>
      <c r="M11" s="66"/>
      <c r="N11" s="86">
        <f>IF(Validation!$H$3=1,0,IF(ISNUMBER(G11),0,1))</f>
        <v>0</v>
      </c>
      <c r="O11" s="86">
        <f>IF(Validation!$H$3=1,0,IF(ISNUMBER(H11),0,1))</f>
        <v>0</v>
      </c>
      <c r="P11" s="66"/>
      <c r="X11" s="866" t="s">
        <v>7440</v>
      </c>
      <c r="Y11" s="867" t="s">
        <v>7441</v>
      </c>
      <c r="Z11" s="1572" t="s">
        <v>7442</v>
      </c>
      <c r="AA11" s="2155" t="s">
        <v>10</v>
      </c>
      <c r="AB11" s="864">
        <v>1</v>
      </c>
      <c r="AC11" s="1093" t="str">
        <f t="shared" si="2"/>
        <v>BN5616INC</v>
      </c>
      <c r="AD11" s="1094" t="str">
        <f t="shared" si="1"/>
        <v>BN5616TPS</v>
      </c>
    </row>
    <row r="12" spans="1:30" ht="15.6" customHeight="1">
      <c r="A12" s="1016"/>
      <c r="B12" s="866" t="s">
        <v>7443</v>
      </c>
      <c r="C12" s="867" t="s">
        <v>7444</v>
      </c>
      <c r="D12" s="1572" t="s">
        <v>7445</v>
      </c>
      <c r="E12" s="2155" t="s">
        <v>10</v>
      </c>
      <c r="F12" s="864">
        <v>1</v>
      </c>
      <c r="G12" s="1093">
        <v>0</v>
      </c>
      <c r="H12" s="1364">
        <v>0</v>
      </c>
      <c r="I12" s="1886"/>
      <c r="K12" s="25">
        <f t="shared" si="0"/>
        <v>0</v>
      </c>
      <c r="L12" s="65"/>
      <c r="M12" s="66"/>
      <c r="N12" s="86">
        <f>IF(Validation!$H$3=1,0,IF(ISNUMBER(G12),0,1))</f>
        <v>0</v>
      </c>
      <c r="O12" s="86">
        <f>IF(Validation!$H$3=1,0,IF(ISNUMBER(H12),0,1))</f>
        <v>0</v>
      </c>
      <c r="P12" s="66"/>
      <c r="X12" s="866" t="s">
        <v>7443</v>
      </c>
      <c r="Y12" s="867" t="s">
        <v>7444</v>
      </c>
      <c r="Z12" s="1572" t="s">
        <v>7445</v>
      </c>
      <c r="AA12" s="2155" t="s">
        <v>10</v>
      </c>
      <c r="AB12" s="864">
        <v>1</v>
      </c>
      <c r="AC12" s="1093" t="str">
        <f t="shared" si="2"/>
        <v>BN5617INC</v>
      </c>
      <c r="AD12" s="1094" t="str">
        <f t="shared" si="1"/>
        <v>BN5617TPS</v>
      </c>
    </row>
    <row r="13" spans="1:30" ht="15.6" customHeight="1">
      <c r="A13" s="1016"/>
      <c r="B13" s="866" t="s">
        <v>7446</v>
      </c>
      <c r="C13" s="867" t="s">
        <v>7447</v>
      </c>
      <c r="D13" s="1572" t="s">
        <v>7448</v>
      </c>
      <c r="E13" s="2155" t="s">
        <v>10</v>
      </c>
      <c r="F13" s="864">
        <v>1</v>
      </c>
      <c r="G13" s="1093">
        <v>0</v>
      </c>
      <c r="H13" s="1364">
        <v>0</v>
      </c>
      <c r="I13" s="1886"/>
      <c r="K13" s="25">
        <f t="shared" si="0"/>
        <v>0</v>
      </c>
      <c r="L13" s="65"/>
      <c r="M13" s="66"/>
      <c r="N13" s="86">
        <f>IF(Validation!$H$3=1,0,IF(ISNUMBER(G13),0,1))</f>
        <v>0</v>
      </c>
      <c r="O13" s="86">
        <f>IF(Validation!$H$3=1,0,IF(ISNUMBER(H13),0,1))</f>
        <v>0</v>
      </c>
      <c r="P13" s="66"/>
      <c r="X13" s="866" t="s">
        <v>7446</v>
      </c>
      <c r="Y13" s="867" t="s">
        <v>7447</v>
      </c>
      <c r="Z13" s="1572" t="s">
        <v>7448</v>
      </c>
      <c r="AA13" s="2155" t="s">
        <v>10</v>
      </c>
      <c r="AB13" s="864">
        <v>1</v>
      </c>
      <c r="AC13" s="1093" t="str">
        <f t="shared" si="2"/>
        <v>BN5618INC</v>
      </c>
      <c r="AD13" s="1094" t="str">
        <f t="shared" si="1"/>
        <v>BN5618TPS</v>
      </c>
    </row>
    <row r="14" spans="1:30" ht="21.6" customHeight="1" thickBot="1">
      <c r="A14" s="1041"/>
      <c r="B14" s="871" t="s">
        <v>7449</v>
      </c>
      <c r="C14" s="949" t="s">
        <v>7450</v>
      </c>
      <c r="D14" s="1573" t="s">
        <v>7451</v>
      </c>
      <c r="E14" s="873" t="s">
        <v>10</v>
      </c>
      <c r="F14" s="874">
        <v>1</v>
      </c>
      <c r="G14" s="1097">
        <f>+SUM(G6:G13)</f>
        <v>1</v>
      </c>
      <c r="H14" s="1787">
        <f>+SUM(H6:H13)</f>
        <v>0</v>
      </c>
      <c r="I14" s="1888"/>
      <c r="K14" s="1164">
        <f>IF(SUM(P14:R15) = 0, 0, $U$14)</f>
        <v>0</v>
      </c>
      <c r="P14" s="66"/>
      <c r="Q14" s="86">
        <f xml:space="preserve"> IF( (S14 - T14) = 0, 0, 1 )</f>
        <v>0</v>
      </c>
      <c r="R14" s="111"/>
      <c r="S14" s="105">
        <f>SUM(G6:H13)</f>
        <v>1</v>
      </c>
      <c r="T14" s="105">
        <v>1</v>
      </c>
      <c r="U14" s="24" t="s">
        <v>7452</v>
      </c>
      <c r="V14" s="111"/>
      <c r="X14" s="871" t="s">
        <v>7449</v>
      </c>
      <c r="Y14" s="949" t="s">
        <v>7450</v>
      </c>
      <c r="Z14" s="1573" t="s">
        <v>7451</v>
      </c>
      <c r="AA14" s="873" t="s">
        <v>10</v>
      </c>
      <c r="AB14" s="874">
        <v>1</v>
      </c>
      <c r="AC14" s="1097" t="str">
        <f t="shared" si="2"/>
        <v>BN5619INC</v>
      </c>
      <c r="AD14" s="1097" t="str">
        <f t="shared" si="1"/>
        <v>BN5619TPS</v>
      </c>
    </row>
    <row r="15" spans="1:30" ht="15" thickBot="1">
      <c r="A15" s="1041"/>
      <c r="B15" s="1040"/>
      <c r="C15" s="1041"/>
      <c r="D15" s="1040"/>
      <c r="E15" s="1040"/>
      <c r="F15" s="1040"/>
      <c r="G15" s="1040"/>
      <c r="H15" s="1040"/>
      <c r="X15" s="1040"/>
      <c r="Y15" s="1041"/>
      <c r="Z15" s="1040"/>
      <c r="AA15" s="1040"/>
      <c r="AB15" s="1040"/>
      <c r="AC15" s="1040"/>
      <c r="AD15" s="1040"/>
    </row>
    <row r="16" spans="1:30" ht="15.75" thickBot="1">
      <c r="A16" s="1041"/>
      <c r="B16" s="2219" t="s">
        <v>236</v>
      </c>
      <c r="C16" s="904" t="s">
        <v>7453</v>
      </c>
      <c r="D16" s="1040"/>
      <c r="E16" s="1040"/>
      <c r="F16" s="1040"/>
      <c r="G16" s="1040"/>
      <c r="H16" s="1040"/>
      <c r="X16" s="2219" t="s">
        <v>236</v>
      </c>
      <c r="Y16" s="904" t="s">
        <v>7453</v>
      </c>
      <c r="Z16" s="1040"/>
      <c r="AA16" s="1040"/>
      <c r="AB16" s="1040"/>
      <c r="AC16" s="1040"/>
      <c r="AD16" s="1040"/>
    </row>
    <row r="17" spans="1:30" ht="15" customHeight="1">
      <c r="A17" s="1041"/>
      <c r="B17" s="79" t="s">
        <v>7454</v>
      </c>
      <c r="C17" s="109" t="s">
        <v>7455</v>
      </c>
      <c r="D17" s="1571" t="s">
        <v>7456</v>
      </c>
      <c r="E17" s="81" t="s">
        <v>10</v>
      </c>
      <c r="F17" s="82">
        <v>1</v>
      </c>
      <c r="G17" s="1091">
        <v>0</v>
      </c>
      <c r="H17" s="1363">
        <v>0</v>
      </c>
      <c r="I17" s="1885"/>
      <c r="K17" s="25">
        <f xml:space="preserve"> IF( SUM( M17:P17 ) = 0, 0, $N$4 )</f>
        <v>0</v>
      </c>
      <c r="L17" s="65"/>
      <c r="M17" s="66"/>
      <c r="N17" s="86">
        <f>IF(Validation!$H$3=1,0,IF(ISNUMBER(G17),0,1))</f>
        <v>0</v>
      </c>
      <c r="O17" s="86">
        <f>IF(Validation!$H$3=1,0,IF(ISNUMBER(H17),0,1))</f>
        <v>0</v>
      </c>
      <c r="P17" s="66"/>
      <c r="X17" s="79" t="s">
        <v>7454</v>
      </c>
      <c r="Y17" s="109" t="s">
        <v>7455</v>
      </c>
      <c r="Z17" s="1571" t="s">
        <v>7456</v>
      </c>
      <c r="AA17" s="81" t="s">
        <v>10</v>
      </c>
      <c r="AB17" s="82">
        <v>1</v>
      </c>
      <c r="AC17" s="1091" t="str">
        <f t="shared" ref="AC17:AD22" si="3">$D17&amp;AC$4</f>
        <v>BN5620INC</v>
      </c>
      <c r="AD17" s="1092" t="str">
        <f t="shared" si="3"/>
        <v>BN5620TPS</v>
      </c>
    </row>
    <row r="18" spans="1:30" ht="15" customHeight="1">
      <c r="A18" s="1041"/>
      <c r="B18" s="866" t="s">
        <v>7457</v>
      </c>
      <c r="C18" s="867" t="s">
        <v>7458</v>
      </c>
      <c r="D18" s="1572" t="s">
        <v>7459</v>
      </c>
      <c r="E18" s="2155" t="s">
        <v>10</v>
      </c>
      <c r="F18" s="864">
        <v>1</v>
      </c>
      <c r="G18" s="1093">
        <v>0</v>
      </c>
      <c r="H18" s="1364">
        <v>0</v>
      </c>
      <c r="I18" s="1886"/>
      <c r="K18" s="25">
        <f xml:space="preserve"> IF( SUM( M18:P18 ) = 0, 0, $N$4 )</f>
        <v>0</v>
      </c>
      <c r="L18" s="65"/>
      <c r="M18" s="66"/>
      <c r="N18" s="86">
        <f>IF(Validation!$H$3=1,0,IF(ISNUMBER(G18),0,1))</f>
        <v>0</v>
      </c>
      <c r="O18" s="86">
        <f>IF(Validation!$H$3=1,0,IF(ISNUMBER(H18),0,1))</f>
        <v>0</v>
      </c>
      <c r="P18" s="66"/>
      <c r="X18" s="866" t="s">
        <v>7457</v>
      </c>
      <c r="Y18" s="867" t="s">
        <v>7458</v>
      </c>
      <c r="Z18" s="1572" t="s">
        <v>7459</v>
      </c>
      <c r="AA18" s="2155" t="s">
        <v>10</v>
      </c>
      <c r="AB18" s="864">
        <v>1</v>
      </c>
      <c r="AC18" s="1093" t="str">
        <f t="shared" si="3"/>
        <v>BN5621INC</v>
      </c>
      <c r="AD18" s="1094" t="str">
        <f t="shared" si="3"/>
        <v>BN5621TPS</v>
      </c>
    </row>
    <row r="19" spans="1:30" ht="15" customHeight="1">
      <c r="A19" s="1041"/>
      <c r="B19" s="866" t="s">
        <v>7460</v>
      </c>
      <c r="C19" s="867" t="s">
        <v>7461</v>
      </c>
      <c r="D19" s="1572" t="s">
        <v>7462</v>
      </c>
      <c r="E19" s="2155" t="s">
        <v>10</v>
      </c>
      <c r="F19" s="864">
        <v>1</v>
      </c>
      <c r="G19" s="1093">
        <v>1.2999999999999999E-2</v>
      </c>
      <c r="H19" s="1364">
        <v>0</v>
      </c>
      <c r="I19" s="1886"/>
      <c r="K19" s="25">
        <f xml:space="preserve"> IF( SUM( M19:P19 ) = 0, 0, $N$4 )</f>
        <v>0</v>
      </c>
      <c r="L19" s="65"/>
      <c r="M19" s="66"/>
      <c r="N19" s="86">
        <f>IF(Validation!$H$3=1,0,IF(ISNUMBER(G19),0,1))</f>
        <v>0</v>
      </c>
      <c r="O19" s="86">
        <f>IF(Validation!$H$3=1,0,IF(ISNUMBER(H19),0,1))</f>
        <v>0</v>
      </c>
      <c r="P19" s="66"/>
      <c r="X19" s="866" t="s">
        <v>7460</v>
      </c>
      <c r="Y19" s="867" t="s">
        <v>7461</v>
      </c>
      <c r="Z19" s="1572" t="s">
        <v>7462</v>
      </c>
      <c r="AA19" s="2155" t="s">
        <v>10</v>
      </c>
      <c r="AB19" s="864">
        <v>1</v>
      </c>
      <c r="AC19" s="1093" t="str">
        <f t="shared" si="3"/>
        <v>BN5622INC</v>
      </c>
      <c r="AD19" s="1094" t="str">
        <f t="shared" si="3"/>
        <v>BN5622TPS</v>
      </c>
    </row>
    <row r="20" spans="1:30" ht="15" customHeight="1">
      <c r="A20" s="1041"/>
      <c r="B20" s="866" t="s">
        <v>7463</v>
      </c>
      <c r="C20" s="867" t="s">
        <v>7464</v>
      </c>
      <c r="D20" s="1572" t="s">
        <v>7465</v>
      </c>
      <c r="E20" s="2155" t="s">
        <v>10</v>
      </c>
      <c r="F20" s="864">
        <v>1</v>
      </c>
      <c r="G20" s="1093">
        <v>0.98699999999999999</v>
      </c>
      <c r="H20" s="1364">
        <v>0</v>
      </c>
      <c r="I20" s="1886"/>
      <c r="K20" s="25">
        <f xml:space="preserve"> IF( SUM( M20:P20 ) = 0, 0, $N$4 )</f>
        <v>0</v>
      </c>
      <c r="L20" s="65"/>
      <c r="M20" s="66"/>
      <c r="N20" s="86">
        <f>IF(Validation!$H$3=1,0,IF(ISNUMBER(G20),0,1))</f>
        <v>0</v>
      </c>
      <c r="O20" s="86">
        <f>IF(Validation!$H$3=1,0,IF(ISNUMBER(H20),0,1))</f>
        <v>0</v>
      </c>
      <c r="P20" s="66"/>
      <c r="X20" s="866" t="s">
        <v>7463</v>
      </c>
      <c r="Y20" s="867" t="s">
        <v>7464</v>
      </c>
      <c r="Z20" s="1572" t="s">
        <v>7465</v>
      </c>
      <c r="AA20" s="2155" t="s">
        <v>10</v>
      </c>
      <c r="AB20" s="864">
        <v>1</v>
      </c>
      <c r="AC20" s="1093" t="str">
        <f t="shared" si="3"/>
        <v>BN5623INC</v>
      </c>
      <c r="AD20" s="1094" t="str">
        <f t="shared" si="3"/>
        <v>BN5623TPS</v>
      </c>
    </row>
    <row r="21" spans="1:30" ht="15" customHeight="1">
      <c r="A21" s="1041"/>
      <c r="B21" s="866" t="s">
        <v>7466</v>
      </c>
      <c r="C21" s="867" t="s">
        <v>7467</v>
      </c>
      <c r="D21" s="1572" t="s">
        <v>7468</v>
      </c>
      <c r="E21" s="2155" t="s">
        <v>10</v>
      </c>
      <c r="F21" s="864">
        <v>1</v>
      </c>
      <c r="G21" s="1093">
        <v>0</v>
      </c>
      <c r="H21" s="1364">
        <v>0</v>
      </c>
      <c r="I21" s="1886"/>
      <c r="K21" s="25">
        <f xml:space="preserve"> IF( SUM( M21:P21 ) = 0, 0, $N$4 )</f>
        <v>0</v>
      </c>
      <c r="L21" s="65"/>
      <c r="M21" s="66"/>
      <c r="N21" s="86">
        <f>IF(Validation!$H$3=1,0,IF(ISNUMBER(G21),0,1))</f>
        <v>0</v>
      </c>
      <c r="O21" s="86">
        <f>IF(Validation!$H$3=1,0,IF(ISNUMBER(H21),0,1))</f>
        <v>0</v>
      </c>
      <c r="P21" s="66"/>
      <c r="X21" s="866" t="s">
        <v>7466</v>
      </c>
      <c r="Y21" s="867" t="s">
        <v>7467</v>
      </c>
      <c r="Z21" s="1572" t="s">
        <v>7468</v>
      </c>
      <c r="AA21" s="2155" t="s">
        <v>10</v>
      </c>
      <c r="AB21" s="864">
        <v>1</v>
      </c>
      <c r="AC21" s="1093" t="str">
        <f t="shared" si="3"/>
        <v>BN5624INC</v>
      </c>
      <c r="AD21" s="1094" t="str">
        <f t="shared" si="3"/>
        <v>BN5624TPS</v>
      </c>
    </row>
    <row r="22" spans="1:30" ht="21.6" customHeight="1" thickBot="1">
      <c r="A22" s="1041"/>
      <c r="B22" s="871" t="s">
        <v>7469</v>
      </c>
      <c r="C22" s="949" t="s">
        <v>7470</v>
      </c>
      <c r="D22" s="1573" t="s">
        <v>7471</v>
      </c>
      <c r="E22" s="873" t="s">
        <v>10</v>
      </c>
      <c r="F22" s="874">
        <v>1</v>
      </c>
      <c r="G22" s="1097">
        <f>+SUM(G17:G21)</f>
        <v>1</v>
      </c>
      <c r="H22" s="1787">
        <f>+SUM(H17:H21)</f>
        <v>0</v>
      </c>
      <c r="I22" s="1888"/>
      <c r="K22" s="1164">
        <f>IF(SUM(P22:R23) = 0, 0, $U$22)</f>
        <v>0</v>
      </c>
      <c r="P22" s="66"/>
      <c r="Q22" s="86">
        <f xml:space="preserve"> IF( (S22 - T22) = 0, 0, 1 )</f>
        <v>0</v>
      </c>
      <c r="R22" s="111"/>
      <c r="S22" s="105">
        <f>SUM(G17:H21)</f>
        <v>1</v>
      </c>
      <c r="T22" s="105">
        <v>1</v>
      </c>
      <c r="U22" s="24" t="s">
        <v>7472</v>
      </c>
      <c r="V22" s="111"/>
      <c r="X22" s="871" t="s">
        <v>7469</v>
      </c>
      <c r="Y22" s="949" t="s">
        <v>7470</v>
      </c>
      <c r="Z22" s="1573" t="s">
        <v>7471</v>
      </c>
      <c r="AA22" s="873" t="s">
        <v>10</v>
      </c>
      <c r="AB22" s="874">
        <v>1</v>
      </c>
      <c r="AC22" s="1097" t="str">
        <f t="shared" si="3"/>
        <v>BN5625INC</v>
      </c>
      <c r="AD22" s="1098" t="str">
        <f t="shared" si="3"/>
        <v>BN5625TPS</v>
      </c>
    </row>
    <row r="23" spans="1:30">
      <c r="V23" s="111"/>
    </row>
    <row r="24" spans="1:30" ht="15">
      <c r="B24" s="2549" t="s">
        <v>275</v>
      </c>
      <c r="C24" s="2512"/>
    </row>
    <row r="25" spans="1:30" ht="15">
      <c r="B25" s="960"/>
      <c r="C25" s="960"/>
    </row>
    <row r="26" spans="1:30" ht="15.75">
      <c r="B26" s="827"/>
      <c r="C26" s="1064" t="s">
        <v>249</v>
      </c>
    </row>
    <row r="27" spans="1:30" ht="15">
      <c r="B27" s="960"/>
      <c r="C27" s="960"/>
    </row>
    <row r="28" spans="1:30" ht="15.75">
      <c r="B28" s="829"/>
      <c r="C28" s="1064" t="s">
        <v>4621</v>
      </c>
    </row>
    <row r="29" spans="1:30"/>
    <row r="30" spans="1:30" ht="15" thickBot="1"/>
    <row r="31" spans="1:30" ht="16.5" thickBot="1">
      <c r="B31" s="1168" t="s">
        <v>251</v>
      </c>
      <c r="C31" s="830"/>
      <c r="D31" s="830"/>
      <c r="E31" s="830"/>
      <c r="F31" s="831"/>
      <c r="G31" s="831"/>
      <c r="H31" s="831"/>
      <c r="I31" s="832"/>
    </row>
    <row r="32" spans="1:30" ht="15" thickBot="1"/>
    <row r="33" spans="2:9" ht="16.5" thickBot="1">
      <c r="B33" s="2016" t="s">
        <v>4622</v>
      </c>
      <c r="C33" s="2017"/>
      <c r="D33" s="2017"/>
      <c r="E33" s="2017"/>
      <c r="F33" s="2017"/>
      <c r="G33" s="2018"/>
      <c r="H33" s="2018"/>
      <c r="I33" s="2019"/>
    </row>
    <row r="34" spans="2:9" ht="15" thickBot="1">
      <c r="B34" s="2585" t="s">
        <v>7473</v>
      </c>
      <c r="C34" s="2586"/>
      <c r="D34" s="2586"/>
      <c r="E34" s="2586"/>
      <c r="F34" s="2586"/>
      <c r="G34" s="2586"/>
      <c r="H34" s="2586"/>
      <c r="I34" s="2587"/>
    </row>
    <row r="35" spans="2:9"/>
  </sheetData>
  <sheetProtection algorithmName="SHA-512" hashValue="r3mORYcVFR4ZZDGu/S24ZWFcfJgZJz+GcoFzXocsLH+S22h8p1FAOdLH96wZGwKXQrW7XKHAiWtq+bAxT9SsAg==" saltValue="STa5W9ouWWF9CkRfJiEGVg==" spinCount="100000" sheet="1" objects="1" scenarios="1"/>
  <mergeCells count="2">
    <mergeCell ref="B24:C24"/>
    <mergeCell ref="B34:I34"/>
  </mergeCells>
  <conditionalFormatting sqref="K6:K14">
    <cfRule type="cellIs" dxfId="24" priority="3" operator="equal">
      <formula>0</formula>
    </cfRule>
  </conditionalFormatting>
  <conditionalFormatting sqref="K17:K22">
    <cfRule type="cellIs" dxfId="2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N47"/>
  <sheetViews>
    <sheetView showGridLines="0" zoomScale="70" zoomScaleNormal="70" workbookViewId="0">
      <selection activeCell="G14" activeCellId="1" sqref="G10:G12 G14"/>
    </sheetView>
  </sheetViews>
  <sheetFormatPr defaultColWidth="0" defaultRowHeight="14.25" zeroHeight="1"/>
  <cols>
    <col min="1" max="1" width="0.625" customWidth="1"/>
    <col min="2" max="2" width="8.625" customWidth="1"/>
    <col min="3" max="3" width="93.125" customWidth="1"/>
    <col min="4" max="4" width="2.125" hidden="1"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313" hidden="1" customWidth="1"/>
    <col min="13" max="13" width="19.125" hidden="1" customWidth="1"/>
    <col min="14" max="14" width="1.125" style="1313" hidden="1" customWidth="1"/>
    <col min="15" max="16384" width="8.625" hidden="1"/>
  </cols>
  <sheetData>
    <row r="1" spans="1:14" ht="20.25">
      <c r="A1" s="753"/>
      <c r="B1" s="61" t="s">
        <v>7474</v>
      </c>
      <c r="C1" s="61"/>
      <c r="D1" s="61"/>
      <c r="E1" s="61"/>
      <c r="F1" s="61"/>
      <c r="G1" s="61"/>
      <c r="H1" s="63" t="str">
        <f>Validation!B3</f>
        <v>Thames Water</v>
      </c>
      <c r="I1" s="61"/>
      <c r="J1" s="64" t="s">
        <v>94</v>
      </c>
      <c r="K1" s="65"/>
      <c r="L1" s="66"/>
      <c r="M1" s="753"/>
      <c r="N1" s="66"/>
    </row>
    <row r="2" spans="1:14" ht="15.75" thickBot="1">
      <c r="A2" s="1016"/>
      <c r="B2" s="68" t="s">
        <v>80</v>
      </c>
      <c r="C2" s="1016"/>
      <c r="D2" s="1016"/>
      <c r="E2" s="1016"/>
      <c r="F2" s="1016"/>
      <c r="G2" s="1016"/>
      <c r="H2" s="753"/>
      <c r="I2" s="65"/>
      <c r="J2" s="65"/>
      <c r="K2" s="65"/>
      <c r="L2" s="66"/>
      <c r="M2" s="753"/>
      <c r="N2" s="66"/>
    </row>
    <row r="3" spans="1:14" ht="15.75" thickBot="1">
      <c r="A3" s="914"/>
      <c r="B3" s="853" t="s">
        <v>4255</v>
      </c>
      <c r="C3" s="854" t="s">
        <v>2</v>
      </c>
      <c r="D3" s="855" t="s">
        <v>2690</v>
      </c>
      <c r="E3" s="855" t="s">
        <v>3</v>
      </c>
      <c r="F3" s="855" t="s">
        <v>99</v>
      </c>
      <c r="G3" s="2222" t="s">
        <v>217</v>
      </c>
      <c r="H3" s="1099" t="s">
        <v>3938</v>
      </c>
      <c r="I3" s="65"/>
      <c r="J3" s="162" t="s">
        <v>103</v>
      </c>
      <c r="K3" s="65"/>
      <c r="L3" s="66"/>
      <c r="M3" s="71" t="s">
        <v>107</v>
      </c>
      <c r="N3" s="66"/>
    </row>
    <row r="4" spans="1:14" ht="15.75" thickBot="1">
      <c r="A4" s="1016"/>
      <c r="B4" s="1021"/>
      <c r="C4" s="1021"/>
      <c r="D4" s="482"/>
      <c r="E4" s="1016"/>
      <c r="F4" s="1016"/>
      <c r="G4" s="1016"/>
      <c r="H4" s="753"/>
      <c r="I4" s="65"/>
      <c r="J4" s="931"/>
      <c r="K4" s="65"/>
      <c r="L4" s="66"/>
      <c r="M4" s="78" t="s">
        <v>108</v>
      </c>
      <c r="N4" s="66"/>
    </row>
    <row r="5" spans="1:14" ht="15.75" thickBot="1">
      <c r="A5" s="1016"/>
      <c r="B5" s="2219" t="s">
        <v>214</v>
      </c>
      <c r="C5" s="904" t="s">
        <v>6707</v>
      </c>
      <c r="D5" s="482"/>
      <c r="E5" s="1016"/>
      <c r="F5" s="1016"/>
      <c r="G5" s="1016"/>
      <c r="H5" s="753"/>
      <c r="I5" s="65"/>
      <c r="J5" s="931"/>
      <c r="K5" s="65"/>
      <c r="L5" s="66"/>
      <c r="M5" s="78"/>
      <c r="N5" s="66"/>
    </row>
    <row r="6" spans="1:14" ht="18" customHeight="1">
      <c r="A6" s="1018"/>
      <c r="B6" s="1100" t="s">
        <v>7475</v>
      </c>
      <c r="C6" s="1101" t="s">
        <v>7476</v>
      </c>
      <c r="D6" s="1540" t="s">
        <v>7477</v>
      </c>
      <c r="E6" s="1102" t="s">
        <v>6252</v>
      </c>
      <c r="F6" s="1103">
        <v>3</v>
      </c>
      <c r="G6" s="1104">
        <v>45.241</v>
      </c>
      <c r="H6" s="1889"/>
      <c r="I6" s="65"/>
      <c r="J6" s="25">
        <f xml:space="preserve"> IF( SUM( L6:N6 ) = 0, 0, $M$4 )</f>
        <v>0</v>
      </c>
      <c r="K6" s="65"/>
      <c r="L6" s="66"/>
      <c r="M6" s="86">
        <f t="shared" ref="M6:M14" si="0" xml:space="preserve"> IF( ISNUMBER( G6 ), 0, 1 )</f>
        <v>0</v>
      </c>
      <c r="N6" s="66"/>
    </row>
    <row r="7" spans="1:14" ht="18" customHeight="1">
      <c r="A7" s="1018"/>
      <c r="B7" s="924" t="s">
        <v>7478</v>
      </c>
      <c r="C7" s="1105" t="s">
        <v>7479</v>
      </c>
      <c r="D7" s="1541" t="s">
        <v>7480</v>
      </c>
      <c r="E7" s="1106" t="s">
        <v>6252</v>
      </c>
      <c r="F7" s="927">
        <v>3</v>
      </c>
      <c r="G7" s="1107">
        <v>1.2709999999999999</v>
      </c>
      <c r="H7" s="1869"/>
      <c r="I7" s="65"/>
      <c r="J7" s="25">
        <f t="shared" ref="J7:J14" si="1" xml:space="preserve"> IF( SUM( L7:N7 ) = 0, 0, $M$4 )</f>
        <v>0</v>
      </c>
      <c r="K7" s="65"/>
      <c r="L7" s="66"/>
      <c r="M7" s="86">
        <f t="shared" si="0"/>
        <v>0</v>
      </c>
      <c r="N7" s="66"/>
    </row>
    <row r="8" spans="1:14" ht="18" customHeight="1">
      <c r="A8" s="1018"/>
      <c r="B8" s="924" t="s">
        <v>7481</v>
      </c>
      <c r="C8" s="1105" t="s">
        <v>7482</v>
      </c>
      <c r="D8" s="1541" t="s">
        <v>7483</v>
      </c>
      <c r="E8" s="1106" t="s">
        <v>6252</v>
      </c>
      <c r="F8" s="927">
        <v>3</v>
      </c>
      <c r="G8" s="1107">
        <v>2958.3409999999999</v>
      </c>
      <c r="H8" s="1869"/>
      <c r="I8" s="65"/>
      <c r="J8" s="25">
        <f t="shared" si="1"/>
        <v>0</v>
      </c>
      <c r="K8" s="65"/>
      <c r="L8" s="66"/>
      <c r="M8" s="86">
        <f t="shared" si="0"/>
        <v>0</v>
      </c>
      <c r="N8" s="66"/>
    </row>
    <row r="9" spans="1:14" ht="18" customHeight="1">
      <c r="A9" s="1018"/>
      <c r="B9" s="924" t="s">
        <v>7484</v>
      </c>
      <c r="C9" s="1105" t="s">
        <v>7485</v>
      </c>
      <c r="D9" s="1541" t="s">
        <v>7486</v>
      </c>
      <c r="E9" s="1106" t="s">
        <v>6252</v>
      </c>
      <c r="F9" s="927">
        <v>3</v>
      </c>
      <c r="G9" s="1107">
        <v>2394.4540000000002</v>
      </c>
      <c r="H9" s="1869"/>
      <c r="I9" s="65"/>
      <c r="J9" s="25">
        <f t="shared" si="1"/>
        <v>0</v>
      </c>
      <c r="K9" s="65"/>
      <c r="L9" s="66"/>
      <c r="M9" s="86">
        <f t="shared" si="0"/>
        <v>0</v>
      </c>
      <c r="N9" s="66"/>
    </row>
    <row r="10" spans="1:14" ht="18" customHeight="1">
      <c r="A10" s="1018"/>
      <c r="B10" s="924" t="s">
        <v>7487</v>
      </c>
      <c r="C10" s="1105" t="s">
        <v>7488</v>
      </c>
      <c r="D10" s="1541" t="s">
        <v>7489</v>
      </c>
      <c r="E10" s="1106" t="s">
        <v>6252</v>
      </c>
      <c r="F10" s="927">
        <v>3</v>
      </c>
      <c r="G10" s="2151">
        <f>+G8+G9</f>
        <v>5352.7950000000001</v>
      </c>
      <c r="H10" s="1869"/>
      <c r="I10" s="65"/>
      <c r="J10" s="1039"/>
    </row>
    <row r="11" spans="1:14" ht="18" customHeight="1">
      <c r="A11" s="1018"/>
      <c r="B11" s="924" t="s">
        <v>7490</v>
      </c>
      <c r="C11" s="1105" t="s">
        <v>7491</v>
      </c>
      <c r="D11" s="1541" t="s">
        <v>7492</v>
      </c>
      <c r="E11" s="1106" t="s">
        <v>6252</v>
      </c>
      <c r="F11" s="927">
        <v>3</v>
      </c>
      <c r="G11" s="1107">
        <v>47.125</v>
      </c>
      <c r="H11" s="1869"/>
      <c r="I11" s="65"/>
      <c r="J11" s="25">
        <f t="shared" si="1"/>
        <v>0</v>
      </c>
      <c r="K11" s="65"/>
      <c r="L11" s="66"/>
      <c r="M11" s="86">
        <f t="shared" si="0"/>
        <v>0</v>
      </c>
      <c r="N11" s="66"/>
    </row>
    <row r="12" spans="1:14" ht="18" customHeight="1">
      <c r="A12" s="1018"/>
      <c r="B12" s="924" t="s">
        <v>7493</v>
      </c>
      <c r="C12" s="1105" t="s">
        <v>7494</v>
      </c>
      <c r="D12" s="1541" t="s">
        <v>7495</v>
      </c>
      <c r="E12" s="1106" t="s">
        <v>6252</v>
      </c>
      <c r="F12" s="927">
        <v>3</v>
      </c>
      <c r="G12" s="1107">
        <v>214.78100000000001</v>
      </c>
      <c r="H12" s="1869"/>
      <c r="I12" s="65"/>
      <c r="J12" s="25">
        <f t="shared" si="1"/>
        <v>0</v>
      </c>
      <c r="K12" s="65"/>
      <c r="L12" s="66"/>
      <c r="M12" s="86">
        <f t="shared" si="0"/>
        <v>0</v>
      </c>
      <c r="N12" s="66"/>
    </row>
    <row r="13" spans="1:14" ht="18" customHeight="1">
      <c r="A13" s="1018"/>
      <c r="B13" s="924" t="s">
        <v>7496</v>
      </c>
      <c r="C13" s="1105" t="s">
        <v>7497</v>
      </c>
      <c r="D13" s="1541" t="s">
        <v>7498</v>
      </c>
      <c r="E13" s="1106" t="s">
        <v>6252</v>
      </c>
      <c r="F13" s="927">
        <v>3</v>
      </c>
      <c r="G13" s="2151">
        <f>+G11+G12</f>
        <v>261.90600000000001</v>
      </c>
      <c r="H13" s="1869"/>
      <c r="I13" s="65"/>
      <c r="J13" s="1039"/>
    </row>
    <row r="14" spans="1:14" ht="18" customHeight="1">
      <c r="A14" s="1018"/>
      <c r="B14" s="924" t="s">
        <v>7499</v>
      </c>
      <c r="C14" s="1105" t="s">
        <v>7500</v>
      </c>
      <c r="D14" s="1541" t="s">
        <v>7501</v>
      </c>
      <c r="E14" s="1106" t="s">
        <v>6252</v>
      </c>
      <c r="F14" s="927">
        <v>3</v>
      </c>
      <c r="G14" s="1107">
        <v>223.69800000000001</v>
      </c>
      <c r="H14" s="1869"/>
      <c r="I14" s="65"/>
      <c r="J14" s="25">
        <f t="shared" si="1"/>
        <v>0</v>
      </c>
      <c r="K14" s="65"/>
      <c r="L14" s="66"/>
      <c r="M14" s="86">
        <f t="shared" si="0"/>
        <v>0</v>
      </c>
      <c r="N14" s="66"/>
    </row>
    <row r="15" spans="1:14" ht="17.100000000000001" customHeight="1" thickBot="1">
      <c r="A15" s="1018"/>
      <c r="B15" s="1108" t="s">
        <v>7502</v>
      </c>
      <c r="C15" s="1109" t="s">
        <v>7503</v>
      </c>
      <c r="D15" s="1542" t="s">
        <v>7504</v>
      </c>
      <c r="E15" s="1110" t="s">
        <v>13</v>
      </c>
      <c r="F15" s="1111">
        <v>3</v>
      </c>
      <c r="G15" s="2152">
        <f>+G10+G13+G14</f>
        <v>5838.3990000000003</v>
      </c>
      <c r="H15" s="1870"/>
      <c r="I15" s="65"/>
      <c r="J15" s="1039"/>
    </row>
    <row r="16" spans="1:14" ht="15.75" thickBot="1">
      <c r="A16" s="1018"/>
      <c r="B16" s="1112"/>
      <c r="C16" s="1018"/>
      <c r="D16" s="1112"/>
      <c r="E16" s="1112"/>
      <c r="F16" s="1112"/>
      <c r="G16" s="1738"/>
      <c r="H16" s="12"/>
      <c r="J16" s="1039"/>
    </row>
    <row r="17" spans="1:14" ht="19.5" customHeight="1">
      <c r="A17" s="1018"/>
      <c r="B17" s="1100" t="s">
        <v>7505</v>
      </c>
      <c r="C17" s="1101" t="s">
        <v>7506</v>
      </c>
      <c r="D17" s="1540" t="s">
        <v>7507</v>
      </c>
      <c r="E17" s="1102" t="s">
        <v>6252</v>
      </c>
      <c r="F17" s="1103">
        <v>3</v>
      </c>
      <c r="G17" s="1104">
        <v>15018.284</v>
      </c>
      <c r="H17" s="1889"/>
      <c r="I17" s="65"/>
      <c r="J17" s="25">
        <f xml:space="preserve"> IF( SUM( L17:N17 ) = 0, 0, $M$4 )</f>
        <v>0</v>
      </c>
      <c r="K17" s="65"/>
      <c r="L17" s="66"/>
      <c r="M17" s="86">
        <f t="shared" ref="M17:M18" si="2" xml:space="preserve"> IF( ISNUMBER( G17 ), 0, 1 )</f>
        <v>0</v>
      </c>
      <c r="N17" s="66"/>
    </row>
    <row r="18" spans="1:14" ht="19.350000000000001" customHeight="1" thickBot="1">
      <c r="A18" s="1018"/>
      <c r="B18" s="1108" t="s">
        <v>7508</v>
      </c>
      <c r="C18" s="1109" t="s">
        <v>7509</v>
      </c>
      <c r="D18" s="1542" t="s">
        <v>7510</v>
      </c>
      <c r="E18" s="1110" t="s">
        <v>6252</v>
      </c>
      <c r="F18" s="1111">
        <v>3</v>
      </c>
      <c r="G18" s="1113">
        <v>505.80099999999999</v>
      </c>
      <c r="H18" s="1870"/>
      <c r="I18" s="65"/>
      <c r="J18" s="25">
        <f t="shared" ref="J18" si="3" xml:space="preserve"> IF( SUM( L18:N18 ) = 0, 0, $M$4 )</f>
        <v>0</v>
      </c>
      <c r="K18" s="65"/>
      <c r="L18" s="66"/>
      <c r="M18" s="86">
        <f t="shared" si="2"/>
        <v>0</v>
      </c>
      <c r="N18" s="66"/>
    </row>
    <row r="19" spans="1:14" ht="15" thickBot="1">
      <c r="D19" s="482"/>
      <c r="G19" s="12"/>
      <c r="H19" s="12"/>
    </row>
    <row r="20" spans="1:14" ht="15.75" thickBot="1">
      <c r="B20" s="2219" t="s">
        <v>236</v>
      </c>
      <c r="C20" s="904" t="s">
        <v>91</v>
      </c>
      <c r="D20" s="482"/>
      <c r="G20" s="12"/>
      <c r="H20" s="12"/>
    </row>
    <row r="21" spans="1:14" ht="20.100000000000001" customHeight="1">
      <c r="A21" s="1016"/>
      <c r="B21" s="857" t="s">
        <v>7511</v>
      </c>
      <c r="C21" s="971" t="s">
        <v>6790</v>
      </c>
      <c r="D21" s="978" t="s">
        <v>7512</v>
      </c>
      <c r="E21" s="978" t="s">
        <v>6792</v>
      </c>
      <c r="F21" s="860">
        <v>3</v>
      </c>
      <c r="G21" s="1805">
        <v>722643.67200000002</v>
      </c>
      <c r="H21" s="1890"/>
      <c r="I21" s="65"/>
      <c r="J21" s="25">
        <f xml:space="preserve"> IF( SUM( L21:N21 ) = 0, 0, $M$4 )</f>
        <v>0</v>
      </c>
      <c r="K21" s="65"/>
      <c r="L21" s="66"/>
      <c r="M21" s="86">
        <f t="shared" ref="M21:M31" si="4" xml:space="preserve"> IF( ISNUMBER( G21 ), 0, 1 )</f>
        <v>0</v>
      </c>
      <c r="N21" s="66"/>
    </row>
    <row r="22" spans="1:14" ht="20.100000000000001" customHeight="1">
      <c r="A22" s="1016"/>
      <c r="B22" s="866" t="s">
        <v>7513</v>
      </c>
      <c r="C22" s="974" t="s">
        <v>7514</v>
      </c>
      <c r="D22" s="2156" t="s">
        <v>7515</v>
      </c>
      <c r="E22" s="2156" t="s">
        <v>6792</v>
      </c>
      <c r="F22" s="864">
        <v>3</v>
      </c>
      <c r="G22" s="1806">
        <v>366814.22100000002</v>
      </c>
      <c r="H22" s="1891"/>
      <c r="I22" s="65"/>
      <c r="J22" s="25">
        <f t="shared" ref="J22:J30" si="5" xml:space="preserve"> IF( SUM( L22:N22 ) = 0, 0, $M$4 )</f>
        <v>0</v>
      </c>
      <c r="K22" s="65"/>
      <c r="L22" s="66"/>
      <c r="M22" s="86">
        <f t="shared" si="4"/>
        <v>0</v>
      </c>
      <c r="N22" s="66"/>
    </row>
    <row r="23" spans="1:14" ht="20.100000000000001" customHeight="1">
      <c r="A23" s="1016"/>
      <c r="B23" s="866" t="s">
        <v>7516</v>
      </c>
      <c r="C23" s="974" t="s">
        <v>6797</v>
      </c>
      <c r="D23" s="2156" t="s">
        <v>7517</v>
      </c>
      <c r="E23" s="2156" t="s">
        <v>6792</v>
      </c>
      <c r="F23" s="864">
        <v>3</v>
      </c>
      <c r="G23" s="2153">
        <f>+G21+G22</f>
        <v>1089457.8930000002</v>
      </c>
      <c r="H23" s="1891"/>
      <c r="I23" s="65"/>
      <c r="J23" s="1039"/>
    </row>
    <row r="24" spans="1:14" ht="20.100000000000001" customHeight="1">
      <c r="A24" s="1016"/>
      <c r="B24" s="866" t="s">
        <v>7518</v>
      </c>
      <c r="C24" s="974" t="s">
        <v>7519</v>
      </c>
      <c r="D24" s="2156" t="s">
        <v>7520</v>
      </c>
      <c r="E24" s="2156" t="s">
        <v>13</v>
      </c>
      <c r="F24" s="864">
        <v>3</v>
      </c>
      <c r="G24" s="1361">
        <v>292.50900000000001</v>
      </c>
      <c r="H24" s="1891"/>
      <c r="I24" s="65"/>
      <c r="J24" s="25">
        <f t="shared" si="5"/>
        <v>0</v>
      </c>
      <c r="K24" s="65"/>
      <c r="L24" s="66"/>
      <c r="M24" s="86">
        <f t="shared" si="4"/>
        <v>0</v>
      </c>
      <c r="N24" s="66"/>
    </row>
    <row r="25" spans="1:14" ht="20.100000000000001" customHeight="1">
      <c r="A25" s="1016"/>
      <c r="B25" s="866" t="s">
        <v>7521</v>
      </c>
      <c r="C25" s="974" t="s">
        <v>7522</v>
      </c>
      <c r="D25" s="2156" t="s">
        <v>7523</v>
      </c>
      <c r="E25" s="2156" t="s">
        <v>6769</v>
      </c>
      <c r="F25" s="864">
        <v>0</v>
      </c>
      <c r="G25" s="930">
        <v>2636</v>
      </c>
      <c r="H25" s="1891"/>
      <c r="I25" s="65"/>
      <c r="J25" s="25">
        <f t="shared" si="5"/>
        <v>0</v>
      </c>
      <c r="K25" s="65"/>
      <c r="L25" s="66"/>
      <c r="M25" s="86">
        <f t="shared" si="4"/>
        <v>0</v>
      </c>
      <c r="N25" s="66"/>
    </row>
    <row r="26" spans="1:14" ht="67.5">
      <c r="A26" s="1016"/>
      <c r="B26" s="866" t="s">
        <v>7524</v>
      </c>
      <c r="C26" s="974" t="s">
        <v>7525</v>
      </c>
      <c r="D26" s="2156" t="s">
        <v>7526</v>
      </c>
      <c r="E26" s="2156" t="s">
        <v>11</v>
      </c>
      <c r="F26" s="864">
        <v>0</v>
      </c>
      <c r="G26" s="1807">
        <v>0</v>
      </c>
      <c r="H26" s="1891" t="s">
        <v>7527</v>
      </c>
      <c r="I26" s="65"/>
      <c r="J26" s="25">
        <f t="shared" si="5"/>
        <v>0</v>
      </c>
      <c r="K26" s="65"/>
      <c r="L26" s="66"/>
      <c r="M26" s="86">
        <f t="shared" si="4"/>
        <v>0</v>
      </c>
      <c r="N26" s="66"/>
    </row>
    <row r="27" spans="1:14" ht="20.100000000000001" customHeight="1">
      <c r="A27" s="1016"/>
      <c r="B27" s="866" t="s">
        <v>7528</v>
      </c>
      <c r="C27" s="974" t="s">
        <v>7529</v>
      </c>
      <c r="D27" s="2156" t="s">
        <v>7530</v>
      </c>
      <c r="E27" s="2156" t="s">
        <v>11</v>
      </c>
      <c r="F27" s="864">
        <v>0</v>
      </c>
      <c r="G27" s="1807">
        <v>143</v>
      </c>
      <c r="H27" s="1891"/>
      <c r="I27" s="65"/>
      <c r="J27" s="25">
        <f t="shared" si="5"/>
        <v>0</v>
      </c>
      <c r="K27" s="65"/>
      <c r="L27" s="66"/>
      <c r="M27" s="86">
        <f t="shared" si="4"/>
        <v>0</v>
      </c>
      <c r="N27" s="66"/>
    </row>
    <row r="28" spans="1:14" ht="45.6" customHeight="1">
      <c r="A28" s="1016"/>
      <c r="B28" s="866" t="s">
        <v>7531</v>
      </c>
      <c r="C28" s="974" t="s">
        <v>7532</v>
      </c>
      <c r="D28" s="2156" t="s">
        <v>7533</v>
      </c>
      <c r="E28" s="2156" t="s">
        <v>6623</v>
      </c>
      <c r="F28" s="864">
        <v>0</v>
      </c>
      <c r="G28" s="930">
        <v>0</v>
      </c>
      <c r="H28" s="1891" t="s">
        <v>7534</v>
      </c>
      <c r="I28" s="65"/>
      <c r="J28" s="25">
        <f t="shared" si="5"/>
        <v>0</v>
      </c>
      <c r="K28" s="65"/>
      <c r="L28" s="66"/>
      <c r="M28" s="86">
        <f t="shared" si="4"/>
        <v>0</v>
      </c>
      <c r="N28" s="66"/>
    </row>
    <row r="29" spans="1:14" ht="20.100000000000001" customHeight="1">
      <c r="A29" s="1016"/>
      <c r="B29" s="866" t="s">
        <v>7535</v>
      </c>
      <c r="C29" s="974" t="s">
        <v>7536</v>
      </c>
      <c r="D29" s="2156" t="s">
        <v>7537</v>
      </c>
      <c r="E29" s="2156" t="s">
        <v>11</v>
      </c>
      <c r="F29" s="864">
        <v>0</v>
      </c>
      <c r="G29" s="930">
        <v>7343</v>
      </c>
      <c r="H29" s="1891"/>
      <c r="I29" s="65"/>
      <c r="J29" s="25">
        <f t="shared" si="5"/>
        <v>0</v>
      </c>
      <c r="K29" s="65"/>
      <c r="L29" s="66"/>
      <c r="M29" s="86">
        <f t="shared" si="4"/>
        <v>0</v>
      </c>
      <c r="N29" s="66"/>
    </row>
    <row r="30" spans="1:14" ht="56.25">
      <c r="A30" s="1016"/>
      <c r="B30" s="866" t="s">
        <v>7538</v>
      </c>
      <c r="C30" s="974" t="s">
        <v>7539</v>
      </c>
      <c r="D30" s="2156" t="s">
        <v>7540</v>
      </c>
      <c r="E30" s="2156" t="s">
        <v>18</v>
      </c>
      <c r="F30" s="864">
        <v>0</v>
      </c>
      <c r="G30" s="1807">
        <v>0</v>
      </c>
      <c r="H30" s="1891" t="s">
        <v>7541</v>
      </c>
      <c r="I30" s="65"/>
      <c r="J30" s="25">
        <f t="shared" si="5"/>
        <v>0</v>
      </c>
      <c r="K30" s="65"/>
      <c r="L30" s="66"/>
      <c r="M30" s="86">
        <f t="shared" si="4"/>
        <v>0</v>
      </c>
      <c r="N30" s="66"/>
    </row>
    <row r="31" spans="1:14" ht="90.75" thickBot="1">
      <c r="A31" s="1016"/>
      <c r="B31" s="871" t="s">
        <v>7542</v>
      </c>
      <c r="C31" s="976" t="s">
        <v>7543</v>
      </c>
      <c r="D31" s="983" t="s">
        <v>7544</v>
      </c>
      <c r="E31" s="983" t="s">
        <v>18</v>
      </c>
      <c r="F31" s="874">
        <v>0</v>
      </c>
      <c r="G31" s="1808">
        <v>9155924</v>
      </c>
      <c r="H31" s="1892" t="s">
        <v>7545</v>
      </c>
      <c r="I31" s="65"/>
      <c r="J31" s="25">
        <f t="shared" ref="J31" si="6" xml:space="preserve"> IF( SUM( L31:N31 ) = 0, 0, $M$4 )</f>
        <v>0</v>
      </c>
      <c r="K31" s="65"/>
      <c r="L31" s="66"/>
      <c r="M31" s="86">
        <f t="shared" si="4"/>
        <v>0</v>
      </c>
      <c r="N31" s="66"/>
    </row>
    <row r="32" spans="1:14"/>
    <row r="33" spans="2:14" ht="15">
      <c r="B33" s="1114" t="s">
        <v>275</v>
      </c>
    </row>
    <row r="34" spans="2:14">
      <c r="B34" s="881"/>
      <c r="C34" s="887"/>
    </row>
    <row r="35" spans="2:14" ht="15">
      <c r="B35" s="1062"/>
      <c r="C35" s="959" t="s">
        <v>249</v>
      </c>
    </row>
    <row r="36" spans="2:14">
      <c r="B36" s="281"/>
      <c r="C36" s="826"/>
      <c r="D36" s="828"/>
      <c r="E36" s="1039"/>
      <c r="F36" s="1039"/>
      <c r="G36" s="1039"/>
      <c r="H36" s="1039"/>
      <c r="I36" s="1039"/>
      <c r="J36" s="1039"/>
      <c r="K36" s="1039"/>
      <c r="L36" s="1707"/>
      <c r="M36" s="1039"/>
      <c r="N36" s="1707"/>
    </row>
    <row r="37" spans="2:14" ht="15">
      <c r="B37" s="829"/>
      <c r="C37" s="959" t="s">
        <v>4621</v>
      </c>
      <c r="D37" s="828"/>
      <c r="E37" s="1039"/>
      <c r="F37" s="1039"/>
      <c r="G37" s="1039"/>
      <c r="H37" s="1039"/>
      <c r="I37" s="1039"/>
      <c r="J37" s="1039"/>
      <c r="K37" s="1039"/>
      <c r="L37" s="1707"/>
      <c r="M37" s="1039"/>
      <c r="N37" s="1707"/>
    </row>
    <row r="38" spans="2:14" ht="15">
      <c r="B38" s="1016"/>
      <c r="C38" s="1016"/>
      <c r="D38" s="828"/>
      <c r="E38" s="1039"/>
      <c r="F38" s="1039"/>
      <c r="G38" s="1039"/>
      <c r="H38" s="1039"/>
      <c r="I38" s="1039"/>
      <c r="J38" s="1039"/>
      <c r="K38" s="1039"/>
      <c r="L38" s="1707"/>
      <c r="M38" s="1039"/>
      <c r="N38" s="1707"/>
    </row>
    <row r="39" spans="2:14" ht="15.75" thickBot="1">
      <c r="B39" s="1016"/>
      <c r="C39" s="1016"/>
      <c r="D39" s="828"/>
      <c r="E39" s="1039"/>
      <c r="F39" s="1039"/>
      <c r="G39" s="1039"/>
      <c r="H39" s="1039"/>
      <c r="I39" s="1039"/>
      <c r="J39" s="1039"/>
      <c r="K39" s="1039"/>
      <c r="L39" s="1707"/>
      <c r="M39" s="1039"/>
      <c r="N39" s="1707"/>
    </row>
    <row r="40" spans="2:14" ht="21" thickBot="1">
      <c r="B40" s="1166" t="s">
        <v>251</v>
      </c>
      <c r="C40" s="133"/>
      <c r="D40" s="134"/>
      <c r="E40" s="134"/>
      <c r="F40" s="134"/>
      <c r="G40" s="134"/>
      <c r="H40" s="134"/>
      <c r="I40" s="140"/>
      <c r="J40" s="1039"/>
      <c r="K40" s="1039"/>
      <c r="L40" s="1707"/>
      <c r="M40" s="1039"/>
      <c r="N40" s="1707"/>
    </row>
    <row r="41" spans="2:14" ht="15.75" thickBot="1">
      <c r="B41" s="1016"/>
      <c r="C41" s="1016"/>
      <c r="D41" s="828"/>
      <c r="E41" s="1039"/>
      <c r="F41" s="1039"/>
      <c r="G41" s="1039"/>
      <c r="H41" s="1039"/>
      <c r="I41" s="1039"/>
      <c r="J41" s="1039"/>
      <c r="K41" s="1039"/>
      <c r="L41" s="1707"/>
      <c r="M41" s="1039"/>
      <c r="N41" s="1707"/>
    </row>
    <row r="42" spans="2:14" ht="15.75">
      <c r="B42" s="2020" t="s">
        <v>4622</v>
      </c>
      <c r="C42" s="2021"/>
      <c r="D42" s="828"/>
      <c r="E42" s="1039"/>
      <c r="F42" s="1039"/>
      <c r="G42" s="1039"/>
      <c r="H42" s="1039"/>
      <c r="I42" s="1039"/>
      <c r="J42" s="1039"/>
      <c r="K42" s="1039"/>
      <c r="L42" s="1707"/>
      <c r="M42" s="1039"/>
      <c r="N42" s="1707"/>
    </row>
    <row r="43" spans="2:14">
      <c r="B43" s="2142" t="s">
        <v>7546</v>
      </c>
      <c r="C43" s="2143"/>
      <c r="D43" s="828"/>
      <c r="E43" s="1039"/>
      <c r="F43" s="1039"/>
      <c r="G43" s="1039"/>
      <c r="H43" s="1039"/>
      <c r="I43" s="1039"/>
      <c r="J43" s="1039"/>
      <c r="K43" s="1039"/>
      <c r="L43" s="1707"/>
      <c r="M43" s="1039"/>
      <c r="N43" s="1707"/>
    </row>
    <row r="44" spans="2:14" ht="25.5" customHeight="1" thickBot="1">
      <c r="B44" s="2550" t="s">
        <v>7547</v>
      </c>
      <c r="C44" s="2551"/>
      <c r="D44" s="828"/>
      <c r="E44" s="1039"/>
      <c r="F44" s="1039"/>
      <c r="G44" s="1039"/>
      <c r="H44" s="1039"/>
      <c r="I44" s="1039"/>
      <c r="J44" s="1039"/>
      <c r="K44" s="1039"/>
      <c r="L44" s="1707"/>
      <c r="M44" s="1039"/>
      <c r="N44" s="1707"/>
    </row>
    <row r="45" spans="2:14">
      <c r="D45" s="828"/>
      <c r="E45" s="1039"/>
      <c r="F45" s="1039"/>
      <c r="G45" s="1039"/>
      <c r="H45" s="1039"/>
      <c r="I45" s="1039"/>
      <c r="J45" s="1039"/>
      <c r="K45" s="1039"/>
      <c r="L45" s="1707"/>
      <c r="M45" s="1039"/>
      <c r="N45" s="1707"/>
    </row>
    <row r="46" spans="2:14" hidden="1">
      <c r="D46" s="828"/>
      <c r="E46" s="1039"/>
      <c r="F46" s="1039"/>
      <c r="G46" s="1039"/>
      <c r="H46" s="1039"/>
      <c r="I46" s="1039"/>
      <c r="J46" s="1039"/>
      <c r="K46" s="1039"/>
      <c r="L46" s="1707"/>
      <c r="M46" s="1039"/>
      <c r="N46" s="1707"/>
    </row>
    <row r="47" spans="2:14" hidden="1">
      <c r="D47" s="828"/>
      <c r="E47" s="1039"/>
      <c r="F47" s="1039"/>
      <c r="G47" s="1039"/>
      <c r="H47" s="1039"/>
      <c r="I47" s="1039"/>
      <c r="J47" s="1039"/>
      <c r="K47" s="1039"/>
      <c r="L47" s="1707"/>
      <c r="M47" s="1039"/>
      <c r="N47" s="1707"/>
    </row>
  </sheetData>
  <sheetProtection password="C460" sheet="1" objects="1" scenarios="1"/>
  <mergeCells count="1">
    <mergeCell ref="B44:C44"/>
  </mergeCells>
  <conditionalFormatting sqref="J6:J9 J11:J12 J14">
    <cfRule type="cellIs" dxfId="20" priority="6" operator="equal">
      <formula>0</formula>
    </cfRule>
  </conditionalFormatting>
  <conditionalFormatting sqref="J17:J18">
    <cfRule type="cellIs" dxfId="19" priority="4" operator="equal">
      <formula>0</formula>
    </cfRule>
  </conditionalFormatting>
  <conditionalFormatting sqref="J21:J22 J24:J31">
    <cfRule type="cellIs" dxfId="1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2" orientation="landscape"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WUO77"/>
  <sheetViews>
    <sheetView showGridLines="0" zoomScale="80" zoomScaleNormal="80" workbookViewId="0"/>
  </sheetViews>
  <sheetFormatPr defaultColWidth="0" defaultRowHeight="0" customHeight="1" zeroHeight="1"/>
  <cols>
    <col min="1" max="1" width="0.625" customWidth="1"/>
    <col min="2" max="2" width="6.625" customWidth="1"/>
    <col min="3" max="3" width="50.125" customWidth="1"/>
    <col min="4" max="4" width="0.125" hidden="1" customWidth="1"/>
    <col min="5" max="6" width="8.625" customWidth="1"/>
    <col min="7" max="12" width="12.625" customWidth="1"/>
    <col min="13" max="13" width="9.125" customWidth="1"/>
    <col min="14" max="14" width="30.125" customWidth="1"/>
    <col min="15" max="15" width="2.625" customWidth="1"/>
    <col min="16" max="16" width="40.625" customWidth="1"/>
    <col min="17" max="17" width="1.625" customWidth="1"/>
    <col min="18" max="18" width="1.625" style="1313" hidden="1"/>
    <col min="19" max="24" width="3.625" hidden="1"/>
    <col min="25" max="25" width="1.625" style="1313" hidden="1"/>
    <col min="26" max="26" width="7.625" hidden="1"/>
    <col min="27" max="27" width="1.125" style="1313" hidden="1"/>
    <col min="28" max="29" width="8.625" hidden="1"/>
    <col min="30" max="30" width="68.625" hidden="1"/>
    <col min="31" max="31" width="1.125" style="1313" hidden="1"/>
    <col min="32" max="33" width="8.625" hidden="1"/>
    <col min="34" max="34" width="49.625" hidden="1"/>
    <col min="35" max="37" width="8.625" hidden="1"/>
    <col min="38" max="44" width="13.625" hidden="1"/>
    <col min="45" max="179" width="8.625" hidden="1"/>
    <col min="180" max="180" width="0.625" hidden="1"/>
    <col min="181" max="181" width="6.625" hidden="1"/>
    <col min="182" max="182" width="50.125" hidden="1"/>
    <col min="183" max="183" width="0.125" hidden="1"/>
    <col min="184" max="185" width="8.625" hidden="1"/>
    <col min="186" max="186" width="10.625" hidden="1"/>
    <col min="187" max="187" width="10" hidden="1"/>
    <col min="188" max="188" width="11.625" hidden="1"/>
    <col min="189" max="191" width="10.625" hidden="1"/>
    <col min="192" max="192" width="9.125" hidden="1"/>
    <col min="193" max="194" width="9.625" hidden="1"/>
    <col min="195" max="195" width="9.5" hidden="1"/>
    <col min="196" max="196" width="9.625" hidden="1"/>
    <col min="197" max="197" width="9.5" hidden="1"/>
    <col min="198" max="198" width="8.625" hidden="1"/>
    <col min="199" max="199" width="10.625" hidden="1"/>
    <col min="200" max="201" width="8.625" hidden="1"/>
    <col min="202" max="205" width="10.125" hidden="1"/>
    <col min="206" max="206" width="8.625" hidden="1"/>
    <col min="207" max="207" width="10.125" hidden="1"/>
    <col min="208" max="209" width="8.625" hidden="1"/>
    <col min="210" max="211" width="9.625" hidden="1"/>
    <col min="212" max="212" width="10" hidden="1"/>
    <col min="213" max="213" width="9.625" hidden="1"/>
    <col min="214" max="214" width="8.625" hidden="1"/>
    <col min="215" max="215" width="9.625" hidden="1"/>
    <col min="216" max="217" width="8.625" hidden="1"/>
    <col min="218" max="218" width="9.125" hidden="1"/>
    <col min="219" max="219" width="9.5" hidden="1"/>
    <col min="220" max="220" width="10.5" hidden="1"/>
    <col min="221" max="221" width="9.5" hidden="1"/>
    <col min="222" max="222" width="8.625" hidden="1"/>
    <col min="223" max="223" width="11.125" hidden="1"/>
    <col min="224" max="225" width="8.625" hidden="1"/>
    <col min="226" max="226" width="9.125" hidden="1"/>
    <col min="227" max="229" width="9.625" hidden="1"/>
    <col min="230" max="230" width="8.625" hidden="1"/>
    <col min="231" max="231" width="10.125" hidden="1"/>
    <col min="232" max="233" width="8.625" hidden="1"/>
    <col min="234" max="234" width="30.125" hidden="1"/>
    <col min="235" max="235" width="2.625" hidden="1"/>
    <col min="236" max="236" width="18.625" hidden="1"/>
    <col min="237" max="237" width="1.625" hidden="1"/>
    <col min="238" max="435" width="8.625" hidden="1"/>
    <col min="436" max="436" width="0.625" hidden="1"/>
    <col min="437" max="437" width="6.625" hidden="1"/>
    <col min="438" max="438" width="50.125" hidden="1"/>
    <col min="439" max="439" width="0.125" hidden="1"/>
    <col min="440" max="441" width="8.625" hidden="1"/>
    <col min="442" max="442" width="10.625" hidden="1"/>
    <col min="443" max="443" width="10" hidden="1"/>
    <col min="444" max="444" width="11.625" hidden="1"/>
    <col min="445" max="447" width="10.625" hidden="1"/>
    <col min="448" max="448" width="9.125" hidden="1"/>
    <col min="449" max="450" width="9.625" hidden="1"/>
    <col min="451" max="451" width="9.5" hidden="1"/>
    <col min="452" max="452" width="9.625" hidden="1"/>
    <col min="453" max="453" width="9.5" hidden="1"/>
    <col min="454" max="454" width="8.625" hidden="1"/>
    <col min="455" max="455" width="10.625" hidden="1"/>
    <col min="456" max="457" width="8.625" hidden="1"/>
    <col min="458" max="461" width="10.125" hidden="1"/>
    <col min="462" max="462" width="8.625" hidden="1"/>
    <col min="463" max="463" width="10.125" hidden="1"/>
    <col min="464" max="465" width="8.625" hidden="1"/>
    <col min="466" max="467" width="9.625" hidden="1"/>
    <col min="468" max="468" width="10" hidden="1"/>
    <col min="469" max="469" width="9.625" hidden="1"/>
    <col min="470" max="470" width="8.625" hidden="1"/>
    <col min="471" max="471" width="9.625" hidden="1"/>
    <col min="472" max="473" width="8.625" hidden="1"/>
    <col min="474" max="474" width="9.125" hidden="1"/>
    <col min="475" max="475" width="9.5" hidden="1"/>
    <col min="476" max="476" width="10.5" hidden="1"/>
    <col min="477" max="477" width="9.5" hidden="1"/>
    <col min="478" max="478" width="8.625" hidden="1"/>
    <col min="479" max="479" width="11.125" hidden="1"/>
    <col min="480" max="481" width="8.625" hidden="1"/>
    <col min="482" max="482" width="9.125" hidden="1"/>
    <col min="483" max="485" width="9.625" hidden="1"/>
    <col min="486" max="486" width="8.625" hidden="1"/>
    <col min="487" max="487" width="10.125" hidden="1"/>
    <col min="488" max="489" width="8.625" hidden="1"/>
    <col min="490" max="490" width="30.125" hidden="1"/>
    <col min="491" max="491" width="2.625" hidden="1"/>
    <col min="492" max="492" width="18.625" hidden="1"/>
    <col min="493" max="493" width="1.625" hidden="1"/>
    <col min="494" max="691" width="8.625" hidden="1"/>
    <col min="692" max="692" width="0.625" hidden="1"/>
    <col min="693" max="693" width="6.625" hidden="1"/>
    <col min="694" max="694" width="50.125" hidden="1"/>
    <col min="695" max="695" width="0.125" hidden="1"/>
    <col min="696" max="697" width="8.625" hidden="1"/>
    <col min="698" max="698" width="10.625" hidden="1"/>
    <col min="699" max="699" width="10" hidden="1"/>
    <col min="700" max="700" width="11.625" hidden="1"/>
    <col min="701" max="703" width="10.625" hidden="1"/>
    <col min="704" max="704" width="9.125" hidden="1"/>
    <col min="705" max="706" width="9.625" hidden="1"/>
    <col min="707" max="707" width="9.5" hidden="1"/>
    <col min="708" max="708" width="9.625" hidden="1"/>
    <col min="709" max="709" width="9.5" hidden="1"/>
    <col min="710" max="710" width="8.625" hidden="1"/>
    <col min="711" max="711" width="10.625" hidden="1"/>
    <col min="712" max="713" width="8.625" hidden="1"/>
    <col min="714" max="717" width="10.125" hidden="1"/>
    <col min="718" max="718" width="8.625" hidden="1"/>
    <col min="719" max="719" width="10.125" hidden="1"/>
    <col min="720" max="721" width="8.625" hidden="1"/>
    <col min="722" max="723" width="9.625" hidden="1"/>
    <col min="724" max="724" width="10" hidden="1"/>
    <col min="725" max="725" width="9.625" hidden="1"/>
    <col min="726" max="726" width="8.625" hidden="1"/>
    <col min="727" max="727" width="9.625" hidden="1"/>
    <col min="728" max="729" width="8.625" hidden="1"/>
    <col min="730" max="730" width="9.125" hidden="1"/>
    <col min="731" max="731" width="9.5" hidden="1"/>
    <col min="732" max="732" width="10.5" hidden="1"/>
    <col min="733" max="733" width="9.5" hidden="1"/>
    <col min="734" max="734" width="8.625" hidden="1"/>
    <col min="735" max="735" width="11.125" hidden="1"/>
    <col min="736" max="737" width="8.625" hidden="1"/>
    <col min="738" max="738" width="9.125" hidden="1"/>
    <col min="739" max="741" width="9.625" hidden="1"/>
    <col min="742" max="742" width="8.625" hidden="1"/>
    <col min="743" max="743" width="10.125" hidden="1"/>
    <col min="744" max="745" width="8.625" hidden="1"/>
    <col min="746" max="746" width="30.125" hidden="1"/>
    <col min="747" max="747" width="2.625" hidden="1"/>
    <col min="748" max="748" width="18.625" hidden="1"/>
    <col min="749" max="749" width="1.625" hidden="1"/>
    <col min="750" max="947" width="8.625" hidden="1"/>
    <col min="948" max="948" width="0.625" hidden="1"/>
    <col min="949" max="949" width="6.625" hidden="1"/>
    <col min="950" max="950" width="50.125" hidden="1"/>
    <col min="951" max="951" width="0.125" hidden="1"/>
    <col min="952" max="953" width="8.625" hidden="1"/>
    <col min="954" max="954" width="10.625" hidden="1"/>
    <col min="955" max="955" width="10" hidden="1"/>
    <col min="956" max="956" width="11.625" hidden="1"/>
    <col min="957" max="959" width="10.625" hidden="1"/>
    <col min="960" max="960" width="9.125" hidden="1"/>
    <col min="961" max="962" width="9.625" hidden="1"/>
    <col min="963" max="963" width="9.5" hidden="1"/>
    <col min="964" max="964" width="9.625" hidden="1"/>
    <col min="965" max="965" width="9.5" hidden="1"/>
    <col min="966" max="966" width="8.625" hidden="1"/>
    <col min="967" max="967" width="10.625" hidden="1"/>
    <col min="968" max="969" width="8.625" hidden="1"/>
    <col min="970" max="973" width="10.125" hidden="1"/>
    <col min="974" max="974" width="8.625" hidden="1"/>
    <col min="975" max="975" width="10.125" hidden="1"/>
    <col min="976" max="977" width="8.625" hidden="1"/>
    <col min="978" max="979" width="9.625" hidden="1"/>
    <col min="980" max="980" width="10" hidden="1"/>
    <col min="981" max="981" width="9.625" hidden="1"/>
    <col min="982" max="982" width="8.625" hidden="1"/>
    <col min="983" max="983" width="9.625" hidden="1"/>
    <col min="984" max="985" width="8.625" hidden="1"/>
    <col min="986" max="986" width="9.125" hidden="1"/>
    <col min="987" max="987" width="9.5" hidden="1"/>
    <col min="988" max="988" width="10.5" hidden="1"/>
    <col min="989" max="989" width="9.5" hidden="1"/>
    <col min="990" max="990" width="8.625" hidden="1"/>
    <col min="991" max="991" width="11.125" hidden="1"/>
    <col min="992" max="993" width="8.625" hidden="1"/>
    <col min="994" max="994" width="9.125" hidden="1"/>
    <col min="995" max="997" width="9.625" hidden="1"/>
    <col min="998" max="998" width="8.625" hidden="1"/>
    <col min="999" max="999" width="10.125" hidden="1"/>
    <col min="1000" max="1001" width="8.625" hidden="1"/>
    <col min="1002" max="1002" width="30.125" hidden="1"/>
    <col min="1003" max="1003" width="2.625" hidden="1"/>
    <col min="1004" max="1004" width="18.625" hidden="1"/>
    <col min="1005" max="1005" width="1.625" hidden="1"/>
    <col min="1006" max="1203" width="8.625" hidden="1"/>
    <col min="1204" max="1204" width="0.625" hidden="1"/>
    <col min="1205" max="1205" width="6.625" hidden="1"/>
    <col min="1206" max="1206" width="50.125" hidden="1"/>
    <col min="1207" max="1207" width="0.125" hidden="1"/>
    <col min="1208" max="1209" width="8.625" hidden="1"/>
    <col min="1210" max="1210" width="10.625" hidden="1"/>
    <col min="1211" max="1211" width="10" hidden="1"/>
    <col min="1212" max="1212" width="11.625" hidden="1"/>
    <col min="1213" max="1215" width="10.625" hidden="1"/>
    <col min="1216" max="1216" width="9.125" hidden="1"/>
    <col min="1217" max="1218" width="9.625" hidden="1"/>
    <col min="1219" max="1219" width="9.5" hidden="1"/>
    <col min="1220" max="1220" width="9.625" hidden="1"/>
    <col min="1221" max="1221" width="9.5" hidden="1"/>
    <col min="1222" max="1222" width="8.625" hidden="1"/>
    <col min="1223" max="1223" width="10.625" hidden="1"/>
    <col min="1224" max="1225" width="8.625" hidden="1"/>
    <col min="1226" max="1229" width="10.125" hidden="1"/>
    <col min="1230" max="1230" width="8.625" hidden="1"/>
    <col min="1231" max="1231" width="10.125" hidden="1"/>
    <col min="1232" max="1233" width="8.625" hidden="1"/>
    <col min="1234" max="1235" width="9.625" hidden="1"/>
    <col min="1236" max="1236" width="10" hidden="1"/>
    <col min="1237" max="1237" width="9.625" hidden="1"/>
    <col min="1238" max="1238" width="8.625" hidden="1"/>
    <col min="1239" max="1239" width="9.625" hidden="1"/>
    <col min="1240" max="1241" width="8.625" hidden="1"/>
    <col min="1242" max="1242" width="9.125" hidden="1"/>
    <col min="1243" max="1243" width="9.5" hidden="1"/>
    <col min="1244" max="1244" width="10.5" hidden="1"/>
    <col min="1245" max="1245" width="9.5" hidden="1"/>
    <col min="1246" max="1246" width="8.625" hidden="1"/>
    <col min="1247" max="1247" width="11.125" hidden="1"/>
    <col min="1248" max="1249" width="8.625" hidden="1"/>
    <col min="1250" max="1250" width="9.125" hidden="1"/>
    <col min="1251" max="1253" width="9.625" hidden="1"/>
    <col min="1254" max="1254" width="8.625" hidden="1"/>
    <col min="1255" max="1255" width="10.125" hidden="1"/>
    <col min="1256" max="1257" width="8.625" hidden="1"/>
    <col min="1258" max="1258" width="30.125" hidden="1"/>
    <col min="1259" max="1259" width="2.625" hidden="1"/>
    <col min="1260" max="1260" width="18.625" hidden="1"/>
    <col min="1261" max="1261" width="1.625" hidden="1"/>
    <col min="1262" max="1459" width="8.625" hidden="1"/>
    <col min="1460" max="1460" width="0.625" hidden="1"/>
    <col min="1461" max="1461" width="6.625" hidden="1"/>
    <col min="1462" max="1462" width="50.125" hidden="1"/>
    <col min="1463" max="1463" width="0.125" hidden="1"/>
    <col min="1464" max="1465" width="8.625" hidden="1"/>
    <col min="1466" max="1466" width="10.625" hidden="1"/>
    <col min="1467" max="1467" width="10" hidden="1"/>
    <col min="1468" max="1468" width="11.625" hidden="1"/>
    <col min="1469" max="1471" width="10.625" hidden="1"/>
    <col min="1472" max="1472" width="9.125" hidden="1"/>
    <col min="1473" max="1474" width="9.625" hidden="1"/>
    <col min="1475" max="1475" width="9.5" hidden="1"/>
    <col min="1476" max="1476" width="9.625" hidden="1"/>
    <col min="1477" max="1477" width="9.5" hidden="1"/>
    <col min="1478" max="1478" width="8.625" hidden="1"/>
    <col min="1479" max="1479" width="10.625" hidden="1"/>
    <col min="1480" max="1481" width="8.625" hidden="1"/>
    <col min="1482" max="1485" width="10.125" hidden="1"/>
    <col min="1486" max="1486" width="8.625" hidden="1"/>
    <col min="1487" max="1487" width="10.125" hidden="1"/>
    <col min="1488" max="1489" width="8.625" hidden="1"/>
    <col min="1490" max="1491" width="9.625" hidden="1"/>
    <col min="1492" max="1492" width="10" hidden="1"/>
    <col min="1493" max="1493" width="9.625" hidden="1"/>
    <col min="1494" max="1494" width="8.625" hidden="1"/>
    <col min="1495" max="1495" width="9.625" hidden="1"/>
    <col min="1496" max="1497" width="8.625" hidden="1"/>
    <col min="1498" max="1498" width="9.125" hidden="1"/>
    <col min="1499" max="1499" width="9.5" hidden="1"/>
    <col min="1500" max="1500" width="10.5" hidden="1"/>
    <col min="1501" max="1501" width="9.5" hidden="1"/>
    <col min="1502" max="1502" width="8.625" hidden="1"/>
    <col min="1503" max="1503" width="11.125" hidden="1"/>
    <col min="1504" max="1505" width="8.625" hidden="1"/>
    <col min="1506" max="1506" width="9.125" hidden="1"/>
    <col min="1507" max="1509" width="9.625" hidden="1"/>
    <col min="1510" max="1510" width="8.625" hidden="1"/>
    <col min="1511" max="1511" width="10.125" hidden="1"/>
    <col min="1512" max="1513" width="8.625" hidden="1"/>
    <col min="1514" max="1514" width="30.125" hidden="1"/>
    <col min="1515" max="1515" width="2.625" hidden="1"/>
    <col min="1516" max="1516" width="18.625" hidden="1"/>
    <col min="1517" max="1517" width="1.625" hidden="1"/>
    <col min="1518" max="1715" width="8.625" hidden="1"/>
    <col min="1716" max="1716" width="0.625" hidden="1"/>
    <col min="1717" max="1717" width="6.625" hidden="1"/>
    <col min="1718" max="1718" width="50.125" hidden="1"/>
    <col min="1719" max="1719" width="0.125" hidden="1"/>
    <col min="1720" max="1721" width="8.625" hidden="1"/>
    <col min="1722" max="1722" width="10.625" hidden="1"/>
    <col min="1723" max="1723" width="10" hidden="1"/>
    <col min="1724" max="1724" width="11.625" hidden="1"/>
    <col min="1725" max="1727" width="10.625" hidden="1"/>
    <col min="1728" max="1728" width="9.125" hidden="1"/>
    <col min="1729" max="1730" width="9.625" hidden="1"/>
    <col min="1731" max="1731" width="9.5" hidden="1"/>
    <col min="1732" max="1732" width="9.625" hidden="1"/>
    <col min="1733" max="1733" width="9.5" hidden="1"/>
    <col min="1734" max="1734" width="8.625" hidden="1"/>
    <col min="1735" max="1735" width="10.625" hidden="1"/>
    <col min="1736" max="1737" width="8.625" hidden="1"/>
    <col min="1738" max="1741" width="10.125" hidden="1"/>
    <col min="1742" max="1742" width="8.625" hidden="1"/>
    <col min="1743" max="1743" width="10.125" hidden="1"/>
    <col min="1744" max="1745" width="8.625" hidden="1"/>
    <col min="1746" max="1747" width="9.625" hidden="1"/>
    <col min="1748" max="1748" width="10" hidden="1"/>
    <col min="1749" max="1749" width="9.625" hidden="1"/>
    <col min="1750" max="1750" width="8.625" hidden="1"/>
    <col min="1751" max="1751" width="9.625" hidden="1"/>
    <col min="1752" max="1753" width="8.625" hidden="1"/>
    <col min="1754" max="1754" width="9.125" hidden="1"/>
    <col min="1755" max="1755" width="9.5" hidden="1"/>
    <col min="1756" max="1756" width="10.5" hidden="1"/>
    <col min="1757" max="1757" width="9.5" hidden="1"/>
    <col min="1758" max="1758" width="8.625" hidden="1"/>
    <col min="1759" max="1759" width="11.125" hidden="1"/>
    <col min="1760" max="1761" width="8.625" hidden="1"/>
    <col min="1762" max="1762" width="9.125" hidden="1"/>
    <col min="1763" max="1765" width="9.625" hidden="1"/>
    <col min="1766" max="1766" width="8.625" hidden="1"/>
    <col min="1767" max="1767" width="10.125" hidden="1"/>
    <col min="1768" max="1769" width="8.625" hidden="1"/>
    <col min="1770" max="1770" width="30.125" hidden="1"/>
    <col min="1771" max="1771" width="2.625" hidden="1"/>
    <col min="1772" max="1772" width="18.625" hidden="1"/>
    <col min="1773" max="1773" width="1.625" hidden="1"/>
    <col min="1774" max="1971" width="8.625" hidden="1"/>
    <col min="1972" max="1972" width="0.625" hidden="1"/>
    <col min="1973" max="1973" width="6.625" hidden="1"/>
    <col min="1974" max="1974" width="50.125" hidden="1"/>
    <col min="1975" max="1975" width="0.125" hidden="1"/>
    <col min="1976" max="1977" width="8.625" hidden="1"/>
    <col min="1978" max="1978" width="10.625" hidden="1"/>
    <col min="1979" max="1979" width="10" hidden="1"/>
    <col min="1980" max="1980" width="11.625" hidden="1"/>
    <col min="1981" max="1983" width="10.625" hidden="1"/>
    <col min="1984" max="1984" width="9.125" hidden="1"/>
    <col min="1985" max="1986" width="9.625" hidden="1"/>
    <col min="1987" max="1987" width="9.5" hidden="1"/>
    <col min="1988" max="1988" width="9.625" hidden="1"/>
    <col min="1989" max="1989" width="9.5" hidden="1"/>
    <col min="1990" max="1990" width="8.625" hidden="1"/>
    <col min="1991" max="1991" width="10.625" hidden="1"/>
    <col min="1992" max="1993" width="8.625" hidden="1"/>
    <col min="1994" max="1997" width="10.125" hidden="1"/>
    <col min="1998" max="1998" width="8.625" hidden="1"/>
    <col min="1999" max="1999" width="10.125" hidden="1"/>
    <col min="2000" max="2001" width="8.625" hidden="1"/>
    <col min="2002" max="2003" width="9.625" hidden="1"/>
    <col min="2004" max="2004" width="10" hidden="1"/>
    <col min="2005" max="2005" width="9.625" hidden="1"/>
    <col min="2006" max="2006" width="8.625" hidden="1"/>
    <col min="2007" max="2007" width="9.625" hidden="1"/>
    <col min="2008" max="2009" width="8.625" hidden="1"/>
    <col min="2010" max="2010" width="9.125" hidden="1"/>
    <col min="2011" max="2011" width="9.5" hidden="1"/>
    <col min="2012" max="2012" width="10.5" hidden="1"/>
    <col min="2013" max="2013" width="9.5" hidden="1"/>
    <col min="2014" max="2014" width="8.625" hidden="1"/>
    <col min="2015" max="2015" width="11.125" hidden="1"/>
    <col min="2016" max="2017" width="8.625" hidden="1"/>
    <col min="2018" max="2018" width="9.125" hidden="1"/>
    <col min="2019" max="2021" width="9.625" hidden="1"/>
    <col min="2022" max="2022" width="8.625" hidden="1"/>
    <col min="2023" max="2023" width="10.125" hidden="1"/>
    <col min="2024" max="2025" width="8.625" hidden="1"/>
    <col min="2026" max="2026" width="30.125" hidden="1"/>
    <col min="2027" max="2027" width="2.625" hidden="1"/>
    <col min="2028" max="2028" width="18.625" hidden="1"/>
    <col min="2029" max="2029" width="1.625" hidden="1"/>
    <col min="2030" max="2227" width="8.625" hidden="1"/>
    <col min="2228" max="2228" width="0.625" hidden="1"/>
    <col min="2229" max="2229" width="6.625" hidden="1"/>
    <col min="2230" max="2230" width="50.125" hidden="1"/>
    <col min="2231" max="2231" width="0.125" hidden="1"/>
    <col min="2232" max="2233" width="8.625" hidden="1"/>
    <col min="2234" max="2234" width="10.625" hidden="1"/>
    <col min="2235" max="2235" width="10" hidden="1"/>
    <col min="2236" max="2236" width="11.625" hidden="1"/>
    <col min="2237" max="2239" width="10.625" hidden="1"/>
    <col min="2240" max="2240" width="9.125" hidden="1"/>
    <col min="2241" max="2242" width="9.625" hidden="1"/>
    <col min="2243" max="2243" width="9.5" hidden="1"/>
    <col min="2244" max="2244" width="9.625" hidden="1"/>
    <col min="2245" max="2245" width="9.5" hidden="1"/>
    <col min="2246" max="2246" width="8.625" hidden="1"/>
    <col min="2247" max="2247" width="10.625" hidden="1"/>
    <col min="2248" max="2249" width="8.625" hidden="1"/>
    <col min="2250" max="2253" width="10.125" hidden="1"/>
    <col min="2254" max="2254" width="8.625" hidden="1"/>
    <col min="2255" max="2255" width="10.125" hidden="1"/>
    <col min="2256" max="2257" width="8.625" hidden="1"/>
    <col min="2258" max="2259" width="9.625" hidden="1"/>
    <col min="2260" max="2260" width="10" hidden="1"/>
    <col min="2261" max="2261" width="9.625" hidden="1"/>
    <col min="2262" max="2262" width="8.625" hidden="1"/>
    <col min="2263" max="2263" width="9.625" hidden="1"/>
    <col min="2264" max="2265" width="8.625" hidden="1"/>
    <col min="2266" max="2266" width="9.125" hidden="1"/>
    <col min="2267" max="2267" width="9.5" hidden="1"/>
    <col min="2268" max="2268" width="10.5" hidden="1"/>
    <col min="2269" max="2269" width="9.5" hidden="1"/>
    <col min="2270" max="2270" width="8.625" hidden="1"/>
    <col min="2271" max="2271" width="11.125" hidden="1"/>
    <col min="2272" max="2273" width="8.625" hidden="1"/>
    <col min="2274" max="2274" width="9.125" hidden="1"/>
    <col min="2275" max="2277" width="9.625" hidden="1"/>
    <col min="2278" max="2278" width="8.625" hidden="1"/>
    <col min="2279" max="2279" width="10.125" hidden="1"/>
    <col min="2280" max="2281" width="8.625" hidden="1"/>
    <col min="2282" max="2282" width="30.125" hidden="1"/>
    <col min="2283" max="2283" width="2.625" hidden="1"/>
    <col min="2284" max="2284" width="18.625" hidden="1"/>
    <col min="2285" max="2285" width="1.625" hidden="1"/>
    <col min="2286" max="2483" width="8.625" hidden="1"/>
    <col min="2484" max="2484" width="0.625" hidden="1"/>
    <col min="2485" max="2485" width="6.625" hidden="1"/>
    <col min="2486" max="2486" width="50.125" hidden="1"/>
    <col min="2487" max="2487" width="0.125" hidden="1"/>
    <col min="2488" max="2489" width="8.625" hidden="1"/>
    <col min="2490" max="2490" width="10.625" hidden="1"/>
    <col min="2491" max="2491" width="10" hidden="1"/>
    <col min="2492" max="2492" width="11.625" hidden="1"/>
    <col min="2493" max="2495" width="10.625" hidden="1"/>
    <col min="2496" max="2496" width="9.125" hidden="1"/>
    <col min="2497" max="2498" width="9.625" hidden="1"/>
    <col min="2499" max="2499" width="9.5" hidden="1"/>
    <col min="2500" max="2500" width="9.625" hidden="1"/>
    <col min="2501" max="2501" width="9.5" hidden="1"/>
    <col min="2502" max="2502" width="8.625" hidden="1"/>
    <col min="2503" max="2503" width="10.625" hidden="1"/>
    <col min="2504" max="2505" width="8.625" hidden="1"/>
    <col min="2506" max="2509" width="10.125" hidden="1"/>
    <col min="2510" max="2510" width="8.625" hidden="1"/>
    <col min="2511" max="2511" width="10.125" hidden="1"/>
    <col min="2512" max="2513" width="8.625" hidden="1"/>
    <col min="2514" max="2515" width="9.625" hidden="1"/>
    <col min="2516" max="2516" width="10" hidden="1"/>
    <col min="2517" max="2517" width="9.625" hidden="1"/>
    <col min="2518" max="2518" width="8.625" hidden="1"/>
    <col min="2519" max="2519" width="9.625" hidden="1"/>
    <col min="2520" max="2521" width="8.625" hidden="1"/>
    <col min="2522" max="2522" width="9.125" hidden="1"/>
    <col min="2523" max="2523" width="9.5" hidden="1"/>
    <col min="2524" max="2524" width="10.5" hidden="1"/>
    <col min="2525" max="2525" width="9.5" hidden="1"/>
    <col min="2526" max="2526" width="8.625" hidden="1"/>
    <col min="2527" max="2527" width="11.125" hidden="1"/>
    <col min="2528" max="2529" width="8.625" hidden="1"/>
    <col min="2530" max="2530" width="9.125" hidden="1"/>
    <col min="2531" max="2533" width="9.625" hidden="1"/>
    <col min="2534" max="2534" width="8.625" hidden="1"/>
    <col min="2535" max="2535" width="10.125" hidden="1"/>
    <col min="2536" max="2537" width="8.625" hidden="1"/>
    <col min="2538" max="2538" width="30.125" hidden="1"/>
    <col min="2539" max="2539" width="2.625" hidden="1"/>
    <col min="2540" max="2540" width="18.625" hidden="1"/>
    <col min="2541" max="2541" width="1.625" hidden="1"/>
    <col min="2542" max="2739" width="8.625" hidden="1"/>
    <col min="2740" max="2740" width="0.625" hidden="1"/>
    <col min="2741" max="2741" width="6.625" hidden="1"/>
    <col min="2742" max="2742" width="50.125" hidden="1"/>
    <col min="2743" max="2743" width="0.125" hidden="1"/>
    <col min="2744" max="2745" width="8.625" hidden="1"/>
    <col min="2746" max="2746" width="10.625" hidden="1"/>
    <col min="2747" max="2747" width="10" hidden="1"/>
    <col min="2748" max="2748" width="11.625" hidden="1"/>
    <col min="2749" max="2751" width="10.625" hidden="1"/>
    <col min="2752" max="2752" width="9.125" hidden="1"/>
    <col min="2753" max="2754" width="9.625" hidden="1"/>
    <col min="2755" max="2755" width="9.5" hidden="1"/>
    <col min="2756" max="2756" width="9.625" hidden="1"/>
    <col min="2757" max="2757" width="9.5" hidden="1"/>
    <col min="2758" max="2758" width="8.625" hidden="1"/>
    <col min="2759" max="2759" width="10.625" hidden="1"/>
    <col min="2760" max="2761" width="8.625" hidden="1"/>
    <col min="2762" max="2765" width="10.125" hidden="1"/>
    <col min="2766" max="2766" width="8.625" hidden="1"/>
    <col min="2767" max="2767" width="10.125" hidden="1"/>
    <col min="2768" max="2769" width="8.625" hidden="1"/>
    <col min="2770" max="2771" width="9.625" hidden="1"/>
    <col min="2772" max="2772" width="10" hidden="1"/>
    <col min="2773" max="2773" width="9.625" hidden="1"/>
    <col min="2774" max="2774" width="8.625" hidden="1"/>
    <col min="2775" max="2775" width="9.625" hidden="1"/>
    <col min="2776" max="2777" width="8.625" hidden="1"/>
    <col min="2778" max="2778" width="9.125" hidden="1"/>
    <col min="2779" max="2779" width="9.5" hidden="1"/>
    <col min="2780" max="2780" width="10.5" hidden="1"/>
    <col min="2781" max="2781" width="9.5" hidden="1"/>
    <col min="2782" max="2782" width="8.625" hidden="1"/>
    <col min="2783" max="2783" width="11.125" hidden="1"/>
    <col min="2784" max="2785" width="8.625" hidden="1"/>
    <col min="2786" max="2786" width="9.125" hidden="1"/>
    <col min="2787" max="2789" width="9.625" hidden="1"/>
    <col min="2790" max="2790" width="8.625" hidden="1"/>
    <col min="2791" max="2791" width="10.125" hidden="1"/>
    <col min="2792" max="2793" width="8.625" hidden="1"/>
    <col min="2794" max="2794" width="30.125" hidden="1"/>
    <col min="2795" max="2795" width="2.625" hidden="1"/>
    <col min="2796" max="2796" width="18.625" hidden="1"/>
    <col min="2797" max="2797" width="1.625" hidden="1"/>
    <col min="2798" max="2995" width="8.625" hidden="1"/>
    <col min="2996" max="2996" width="0.625" hidden="1"/>
    <col min="2997" max="2997" width="6.625" hidden="1"/>
    <col min="2998" max="2998" width="50.125" hidden="1"/>
    <col min="2999" max="2999" width="0.125" hidden="1"/>
    <col min="3000" max="3001" width="8.625" hidden="1"/>
    <col min="3002" max="3002" width="10.625" hidden="1"/>
    <col min="3003" max="3003" width="10" hidden="1"/>
    <col min="3004" max="3004" width="11.625" hidden="1"/>
    <col min="3005" max="3007" width="10.625" hidden="1"/>
    <col min="3008" max="3008" width="9.125" hidden="1"/>
    <col min="3009" max="3010" width="9.625" hidden="1"/>
    <col min="3011" max="3011" width="9.5" hidden="1"/>
    <col min="3012" max="3012" width="9.625" hidden="1"/>
    <col min="3013" max="3013" width="9.5" hidden="1"/>
    <col min="3014" max="3014" width="8.625" hidden="1"/>
    <col min="3015" max="3015" width="10.625" hidden="1"/>
    <col min="3016" max="3017" width="8.625" hidden="1"/>
    <col min="3018" max="3021" width="10.125" hidden="1"/>
    <col min="3022" max="3022" width="8.625" hidden="1"/>
    <col min="3023" max="3023" width="10.125" hidden="1"/>
    <col min="3024" max="3025" width="8.625" hidden="1"/>
    <col min="3026" max="3027" width="9.625" hidden="1"/>
    <col min="3028" max="3028" width="10" hidden="1"/>
    <col min="3029" max="3029" width="9.625" hidden="1"/>
    <col min="3030" max="3030" width="8.625" hidden="1"/>
    <col min="3031" max="3031" width="9.625" hidden="1"/>
    <col min="3032" max="3033" width="8.625" hidden="1"/>
    <col min="3034" max="3034" width="9.125" hidden="1"/>
    <col min="3035" max="3035" width="9.5" hidden="1"/>
    <col min="3036" max="3036" width="10.5" hidden="1"/>
    <col min="3037" max="3037" width="9.5" hidden="1"/>
    <col min="3038" max="3038" width="8.625" hidden="1"/>
    <col min="3039" max="3039" width="11.125" hidden="1"/>
    <col min="3040" max="3041" width="8.625" hidden="1"/>
    <col min="3042" max="3042" width="9.125" hidden="1"/>
    <col min="3043" max="3045" width="9.625" hidden="1"/>
    <col min="3046" max="3046" width="8.625" hidden="1"/>
    <col min="3047" max="3047" width="10.125" hidden="1"/>
    <col min="3048" max="3049" width="8.625" hidden="1"/>
    <col min="3050" max="3050" width="30.125" hidden="1"/>
    <col min="3051" max="3051" width="2.625" hidden="1"/>
    <col min="3052" max="3052" width="18.625" hidden="1"/>
    <col min="3053" max="3053" width="1.625" hidden="1"/>
    <col min="3054" max="3251" width="8.625" hidden="1"/>
    <col min="3252" max="3252" width="0.625" hidden="1"/>
    <col min="3253" max="3253" width="6.625" hidden="1"/>
    <col min="3254" max="3254" width="50.125" hidden="1"/>
    <col min="3255" max="3255" width="0.125" hidden="1"/>
    <col min="3256" max="3257" width="8.625" hidden="1"/>
    <col min="3258" max="3258" width="10.625" hidden="1"/>
    <col min="3259" max="3259" width="10" hidden="1"/>
    <col min="3260" max="3260" width="11.625" hidden="1"/>
    <col min="3261" max="3263" width="10.625" hidden="1"/>
    <col min="3264" max="3264" width="9.125" hidden="1"/>
    <col min="3265" max="3266" width="9.625" hidden="1"/>
    <col min="3267" max="3267" width="9.5" hidden="1"/>
    <col min="3268" max="3268" width="9.625" hidden="1"/>
    <col min="3269" max="3269" width="9.5" hidden="1"/>
    <col min="3270" max="3270" width="8.625" hidden="1"/>
    <col min="3271" max="3271" width="10.625" hidden="1"/>
    <col min="3272" max="3273" width="8.625" hidden="1"/>
    <col min="3274" max="3277" width="10.125" hidden="1"/>
    <col min="3278" max="3278" width="8.625" hidden="1"/>
    <col min="3279" max="3279" width="10.125" hidden="1"/>
    <col min="3280" max="3281" width="8.625" hidden="1"/>
    <col min="3282" max="3283" width="9.625" hidden="1"/>
    <col min="3284" max="3284" width="10" hidden="1"/>
    <col min="3285" max="3285" width="9.625" hidden="1"/>
    <col min="3286" max="3286" width="8.625" hidden="1"/>
    <col min="3287" max="3287" width="9.625" hidden="1"/>
    <col min="3288" max="3289" width="8.625" hidden="1"/>
    <col min="3290" max="3290" width="9.125" hidden="1"/>
    <col min="3291" max="3291" width="9.5" hidden="1"/>
    <col min="3292" max="3292" width="10.5" hidden="1"/>
    <col min="3293" max="3293" width="9.5" hidden="1"/>
    <col min="3294" max="3294" width="8.625" hidden="1"/>
    <col min="3295" max="3295" width="11.125" hidden="1"/>
    <col min="3296" max="3297" width="8.625" hidden="1"/>
    <col min="3298" max="3298" width="9.125" hidden="1"/>
    <col min="3299" max="3301" width="9.625" hidden="1"/>
    <col min="3302" max="3302" width="8.625" hidden="1"/>
    <col min="3303" max="3303" width="10.125" hidden="1"/>
    <col min="3304" max="3305" width="8.625" hidden="1"/>
    <col min="3306" max="3306" width="30.125" hidden="1"/>
    <col min="3307" max="3307" width="2.625" hidden="1"/>
    <col min="3308" max="3308" width="18.625" hidden="1"/>
    <col min="3309" max="3309" width="1.625" hidden="1"/>
    <col min="3310" max="3507" width="8.625" hidden="1"/>
    <col min="3508" max="3508" width="0.625" hidden="1"/>
    <col min="3509" max="3509" width="6.625" hidden="1"/>
    <col min="3510" max="3510" width="50.125" hidden="1"/>
    <col min="3511" max="3511" width="0.125" hidden="1"/>
    <col min="3512" max="3513" width="8.625" hidden="1"/>
    <col min="3514" max="3514" width="10.625" hidden="1"/>
    <col min="3515" max="3515" width="10" hidden="1"/>
    <col min="3516" max="3516" width="11.625" hidden="1"/>
    <col min="3517" max="3519" width="10.625" hidden="1"/>
    <col min="3520" max="3520" width="9.125" hidden="1"/>
    <col min="3521" max="3522" width="9.625" hidden="1"/>
    <col min="3523" max="3523" width="9.5" hidden="1"/>
    <col min="3524" max="3524" width="9.625" hidden="1"/>
    <col min="3525" max="3525" width="9.5" hidden="1"/>
    <col min="3526" max="3526" width="8.625" hidden="1"/>
    <col min="3527" max="3527" width="10.625" hidden="1"/>
    <col min="3528" max="3529" width="8.625" hidden="1"/>
    <col min="3530" max="3533" width="10.125" hidden="1"/>
    <col min="3534" max="3534" width="8.625" hidden="1"/>
    <col min="3535" max="3535" width="10.125" hidden="1"/>
    <col min="3536" max="3537" width="8.625" hidden="1"/>
    <col min="3538" max="3539" width="9.625" hidden="1"/>
    <col min="3540" max="3540" width="10" hidden="1"/>
    <col min="3541" max="3541" width="9.625" hidden="1"/>
    <col min="3542" max="3542" width="8.625" hidden="1"/>
    <col min="3543" max="3543" width="9.625" hidden="1"/>
    <col min="3544" max="3545" width="8.625" hidden="1"/>
    <col min="3546" max="3546" width="9.125" hidden="1"/>
    <col min="3547" max="3547" width="9.5" hidden="1"/>
    <col min="3548" max="3548" width="10.5" hidden="1"/>
    <col min="3549" max="3549" width="9.5" hidden="1"/>
    <col min="3550" max="3550" width="8.625" hidden="1"/>
    <col min="3551" max="3551" width="11.125" hidden="1"/>
    <col min="3552" max="3553" width="8.625" hidden="1"/>
    <col min="3554" max="3554" width="9.125" hidden="1"/>
    <col min="3555" max="3557" width="9.625" hidden="1"/>
    <col min="3558" max="3558" width="8.625" hidden="1"/>
    <col min="3559" max="3559" width="10.125" hidden="1"/>
    <col min="3560" max="3561" width="8.625" hidden="1"/>
    <col min="3562" max="3562" width="30.125" hidden="1"/>
    <col min="3563" max="3563" width="2.625" hidden="1"/>
    <col min="3564" max="3564" width="18.625" hidden="1"/>
    <col min="3565" max="3565" width="1.625" hidden="1"/>
    <col min="3566" max="3763" width="8.625" hidden="1"/>
    <col min="3764" max="3764" width="0.625" hidden="1"/>
    <col min="3765" max="3765" width="6.625" hidden="1"/>
    <col min="3766" max="3766" width="50.125" hidden="1"/>
    <col min="3767" max="3767" width="0.125" hidden="1"/>
    <col min="3768" max="3769" width="8.625" hidden="1"/>
    <col min="3770" max="3770" width="10.625" hidden="1"/>
    <col min="3771" max="3771" width="10" hidden="1"/>
    <col min="3772" max="3772" width="11.625" hidden="1"/>
    <col min="3773" max="3775" width="10.625" hidden="1"/>
    <col min="3776" max="3776" width="9.125" hidden="1"/>
    <col min="3777" max="3778" width="9.625" hidden="1"/>
    <col min="3779" max="3779" width="9.5" hidden="1"/>
    <col min="3780" max="3780" width="9.625" hidden="1"/>
    <col min="3781" max="3781" width="9.5" hidden="1"/>
    <col min="3782" max="3782" width="8.625" hidden="1"/>
    <col min="3783" max="3783" width="10.625" hidden="1"/>
    <col min="3784" max="3785" width="8.625" hidden="1"/>
    <col min="3786" max="3789" width="10.125" hidden="1"/>
    <col min="3790" max="3790" width="8.625" hidden="1"/>
    <col min="3791" max="3791" width="10.125" hidden="1"/>
    <col min="3792" max="3793" width="8.625" hidden="1"/>
    <col min="3794" max="3795" width="9.625" hidden="1"/>
    <col min="3796" max="3796" width="10" hidden="1"/>
    <col min="3797" max="3797" width="9.625" hidden="1"/>
    <col min="3798" max="3798" width="8.625" hidden="1"/>
    <col min="3799" max="3799" width="9.625" hidden="1"/>
    <col min="3800" max="3801" width="8.625" hidden="1"/>
    <col min="3802" max="3802" width="9.125" hidden="1"/>
    <col min="3803" max="3803" width="9.5" hidden="1"/>
    <col min="3804" max="3804" width="10.5" hidden="1"/>
    <col min="3805" max="3805" width="9.5" hidden="1"/>
    <col min="3806" max="3806" width="8.625" hidden="1"/>
    <col min="3807" max="3807" width="11.125" hidden="1"/>
    <col min="3808" max="3809" width="8.625" hidden="1"/>
    <col min="3810" max="3810" width="9.125" hidden="1"/>
    <col min="3811" max="3813" width="9.625" hidden="1"/>
    <col min="3814" max="3814" width="8.625" hidden="1"/>
    <col min="3815" max="3815" width="10.125" hidden="1"/>
    <col min="3816" max="3817" width="8.625" hidden="1"/>
    <col min="3818" max="3818" width="30.125" hidden="1"/>
    <col min="3819" max="3819" width="2.625" hidden="1"/>
    <col min="3820" max="3820" width="18.625" hidden="1"/>
    <col min="3821" max="3821" width="1.625" hidden="1"/>
    <col min="3822" max="4019" width="8.625" hidden="1"/>
    <col min="4020" max="4020" width="0.625" hidden="1"/>
    <col min="4021" max="4021" width="6.625" hidden="1"/>
    <col min="4022" max="4022" width="50.125" hidden="1"/>
    <col min="4023" max="4023" width="0.125" hidden="1"/>
    <col min="4024" max="4025" width="8.625" hidden="1"/>
    <col min="4026" max="4026" width="10.625" hidden="1"/>
    <col min="4027" max="4027" width="10" hidden="1"/>
    <col min="4028" max="4028" width="11.625" hidden="1"/>
    <col min="4029" max="4031" width="10.625" hidden="1"/>
    <col min="4032" max="4032" width="9.125" hidden="1"/>
    <col min="4033" max="4034" width="9.625" hidden="1"/>
    <col min="4035" max="4035" width="9.5" hidden="1"/>
    <col min="4036" max="4036" width="9.625" hidden="1"/>
    <col min="4037" max="4037" width="9.5" hidden="1"/>
    <col min="4038" max="4038" width="8.625" hidden="1"/>
    <col min="4039" max="4039" width="10.625" hidden="1"/>
    <col min="4040" max="4041" width="8.625" hidden="1"/>
    <col min="4042" max="4045" width="10.125" hidden="1"/>
    <col min="4046" max="4046" width="8.625" hidden="1"/>
    <col min="4047" max="4047" width="10.125" hidden="1"/>
    <col min="4048" max="4049" width="8.625" hidden="1"/>
    <col min="4050" max="4051" width="9.625" hidden="1"/>
    <col min="4052" max="4052" width="10" hidden="1"/>
    <col min="4053" max="4053" width="9.625" hidden="1"/>
    <col min="4054" max="4054" width="8.625" hidden="1"/>
    <col min="4055" max="4055" width="9.625" hidden="1"/>
    <col min="4056" max="4057" width="8.625" hidden="1"/>
    <col min="4058" max="4058" width="9.125" hidden="1"/>
    <col min="4059" max="4059" width="9.5" hidden="1"/>
    <col min="4060" max="4060" width="10.5" hidden="1"/>
    <col min="4061" max="4061" width="9.5" hidden="1"/>
    <col min="4062" max="4062" width="8.625" hidden="1"/>
    <col min="4063" max="4063" width="11.125" hidden="1"/>
    <col min="4064" max="4065" width="8.625" hidden="1"/>
    <col min="4066" max="4066" width="9.125" hidden="1"/>
    <col min="4067" max="4069" width="9.625" hidden="1"/>
    <col min="4070" max="4070" width="8.625" hidden="1"/>
    <col min="4071" max="4071" width="10.125" hidden="1"/>
    <col min="4072" max="4073" width="8.625" hidden="1"/>
    <col min="4074" max="4074" width="30.125" hidden="1"/>
    <col min="4075" max="4075" width="2.625" hidden="1"/>
    <col min="4076" max="4076" width="18.625" hidden="1"/>
    <col min="4077" max="4077" width="1.625" hidden="1"/>
    <col min="4078" max="4275" width="8.625" hidden="1"/>
    <col min="4276" max="4276" width="0.625" hidden="1"/>
    <col min="4277" max="4277" width="6.625" hidden="1"/>
    <col min="4278" max="4278" width="50.125" hidden="1"/>
    <col min="4279" max="4279" width="0.125" hidden="1"/>
    <col min="4280" max="4281" width="8.625" hidden="1"/>
    <col min="4282" max="4282" width="10.625" hidden="1"/>
    <col min="4283" max="4283" width="10" hidden="1"/>
    <col min="4284" max="4284" width="11.625" hidden="1"/>
    <col min="4285" max="4287" width="10.625" hidden="1"/>
    <col min="4288" max="4288" width="9.125" hidden="1"/>
    <col min="4289" max="4290" width="9.625" hidden="1"/>
    <col min="4291" max="4291" width="9.5" hidden="1"/>
    <col min="4292" max="4292" width="9.625" hidden="1"/>
    <col min="4293" max="4293" width="9.5" hidden="1"/>
    <col min="4294" max="4294" width="8.625" hidden="1"/>
    <col min="4295" max="4295" width="10.625" hidden="1"/>
    <col min="4296" max="4297" width="8.625" hidden="1"/>
    <col min="4298" max="4301" width="10.125" hidden="1"/>
    <col min="4302" max="4302" width="8.625" hidden="1"/>
    <col min="4303" max="4303" width="10.125" hidden="1"/>
    <col min="4304" max="4305" width="8.625" hidden="1"/>
    <col min="4306" max="4307" width="9.625" hidden="1"/>
    <col min="4308" max="4308" width="10" hidden="1"/>
    <col min="4309" max="4309" width="9.625" hidden="1"/>
    <col min="4310" max="4310" width="8.625" hidden="1"/>
    <col min="4311" max="4311" width="9.625" hidden="1"/>
    <col min="4312" max="4313" width="8.625" hidden="1"/>
    <col min="4314" max="4314" width="9.125" hidden="1"/>
    <col min="4315" max="4315" width="9.5" hidden="1"/>
    <col min="4316" max="4316" width="10.5" hidden="1"/>
    <col min="4317" max="4317" width="9.5" hidden="1"/>
    <col min="4318" max="4318" width="8.625" hidden="1"/>
    <col min="4319" max="4319" width="11.125" hidden="1"/>
    <col min="4320" max="4321" width="8.625" hidden="1"/>
    <col min="4322" max="4322" width="9.125" hidden="1"/>
    <col min="4323" max="4325" width="9.625" hidden="1"/>
    <col min="4326" max="4326" width="8.625" hidden="1"/>
    <col min="4327" max="4327" width="10.125" hidden="1"/>
    <col min="4328" max="4329" width="8.625" hidden="1"/>
    <col min="4330" max="4330" width="30.125" hidden="1"/>
    <col min="4331" max="4331" width="2.625" hidden="1"/>
    <col min="4332" max="4332" width="18.625" hidden="1"/>
    <col min="4333" max="4333" width="1.625" hidden="1"/>
    <col min="4334" max="4531" width="8.625" hidden="1"/>
    <col min="4532" max="4532" width="0.625" hidden="1"/>
    <col min="4533" max="4533" width="6.625" hidden="1"/>
    <col min="4534" max="4534" width="50.125" hidden="1"/>
    <col min="4535" max="4535" width="0.125" hidden="1"/>
    <col min="4536" max="4537" width="8.625" hidden="1"/>
    <col min="4538" max="4538" width="10.625" hidden="1"/>
    <col min="4539" max="4539" width="10" hidden="1"/>
    <col min="4540" max="4540" width="11.625" hidden="1"/>
    <col min="4541" max="4543" width="10.625" hidden="1"/>
    <col min="4544" max="4544" width="9.125" hidden="1"/>
    <col min="4545" max="4546" width="9.625" hidden="1"/>
    <col min="4547" max="4547" width="9.5" hidden="1"/>
    <col min="4548" max="4548" width="9.625" hidden="1"/>
    <col min="4549" max="4549" width="9.5" hidden="1"/>
    <col min="4550" max="4550" width="8.625" hidden="1"/>
    <col min="4551" max="4551" width="10.625" hidden="1"/>
    <col min="4552" max="4553" width="8.625" hidden="1"/>
    <col min="4554" max="4557" width="10.125" hidden="1"/>
    <col min="4558" max="4558" width="8.625" hidden="1"/>
    <col min="4559" max="4559" width="10.125" hidden="1"/>
    <col min="4560" max="4561" width="8.625" hidden="1"/>
    <col min="4562" max="4563" width="9.625" hidden="1"/>
    <col min="4564" max="4564" width="10" hidden="1"/>
    <col min="4565" max="4565" width="9.625" hidden="1"/>
    <col min="4566" max="4566" width="8.625" hidden="1"/>
    <col min="4567" max="4567" width="9.625" hidden="1"/>
    <col min="4568" max="4569" width="8.625" hidden="1"/>
    <col min="4570" max="4570" width="9.125" hidden="1"/>
    <col min="4571" max="4571" width="9.5" hidden="1"/>
    <col min="4572" max="4572" width="10.5" hidden="1"/>
    <col min="4573" max="4573" width="9.5" hidden="1"/>
    <col min="4574" max="4574" width="8.625" hidden="1"/>
    <col min="4575" max="4575" width="11.125" hidden="1"/>
    <col min="4576" max="4577" width="8.625" hidden="1"/>
    <col min="4578" max="4578" width="9.125" hidden="1"/>
    <col min="4579" max="4581" width="9.625" hidden="1"/>
    <col min="4582" max="4582" width="8.625" hidden="1"/>
    <col min="4583" max="4583" width="10.125" hidden="1"/>
    <col min="4584" max="4585" width="8.625" hidden="1"/>
    <col min="4586" max="4586" width="30.125" hidden="1"/>
    <col min="4587" max="4587" width="2.625" hidden="1"/>
    <col min="4588" max="4588" width="18.625" hidden="1"/>
    <col min="4589" max="4589" width="1.625" hidden="1"/>
    <col min="4590" max="4787" width="8.625" hidden="1"/>
    <col min="4788" max="4788" width="0.625" hidden="1"/>
    <col min="4789" max="4789" width="6.625" hidden="1"/>
    <col min="4790" max="4790" width="50.125" hidden="1"/>
    <col min="4791" max="4791" width="0.125" hidden="1"/>
    <col min="4792" max="4793" width="8.625" hidden="1"/>
    <col min="4794" max="4794" width="10.625" hidden="1"/>
    <col min="4795" max="4795" width="10" hidden="1"/>
    <col min="4796" max="4796" width="11.625" hidden="1"/>
    <col min="4797" max="4799" width="10.625" hidden="1"/>
    <col min="4800" max="4800" width="9.125" hidden="1"/>
    <col min="4801" max="4802" width="9.625" hidden="1"/>
    <col min="4803" max="4803" width="9.5" hidden="1"/>
    <col min="4804" max="4804" width="9.625" hidden="1"/>
    <col min="4805" max="4805" width="9.5" hidden="1"/>
    <col min="4806" max="4806" width="8.625" hidden="1"/>
    <col min="4807" max="4807" width="10.625" hidden="1"/>
    <col min="4808" max="4809" width="8.625" hidden="1"/>
    <col min="4810" max="4813" width="10.125" hidden="1"/>
    <col min="4814" max="4814" width="8.625" hidden="1"/>
    <col min="4815" max="4815" width="10.125" hidden="1"/>
    <col min="4816" max="4817" width="8.625" hidden="1"/>
    <col min="4818" max="4819" width="9.625" hidden="1"/>
    <col min="4820" max="4820" width="10" hidden="1"/>
    <col min="4821" max="4821" width="9.625" hidden="1"/>
    <col min="4822" max="4822" width="8.625" hidden="1"/>
    <col min="4823" max="4823" width="9.625" hidden="1"/>
    <col min="4824" max="4825" width="8.625" hidden="1"/>
    <col min="4826" max="4826" width="9.125" hidden="1"/>
    <col min="4827" max="4827" width="9.5" hidden="1"/>
    <col min="4828" max="4828" width="10.5" hidden="1"/>
    <col min="4829" max="4829" width="9.5" hidden="1"/>
    <col min="4830" max="4830" width="8.625" hidden="1"/>
    <col min="4831" max="4831" width="11.125" hidden="1"/>
    <col min="4832" max="4833" width="8.625" hidden="1"/>
    <col min="4834" max="4834" width="9.125" hidden="1"/>
    <col min="4835" max="4837" width="9.625" hidden="1"/>
    <col min="4838" max="4838" width="8.625" hidden="1"/>
    <col min="4839" max="4839" width="10.125" hidden="1"/>
    <col min="4840" max="4841" width="8.625" hidden="1"/>
    <col min="4842" max="4842" width="30.125" hidden="1"/>
    <col min="4843" max="4843" width="2.625" hidden="1"/>
    <col min="4844" max="4844" width="18.625" hidden="1"/>
    <col min="4845" max="4845" width="1.625" hidden="1"/>
    <col min="4846" max="5043" width="8.625" hidden="1"/>
    <col min="5044" max="5044" width="0.625" hidden="1"/>
    <col min="5045" max="5045" width="6.625" hidden="1"/>
    <col min="5046" max="5046" width="50.125" hidden="1"/>
    <col min="5047" max="5047" width="0.125" hidden="1"/>
    <col min="5048" max="5049" width="8.625" hidden="1"/>
    <col min="5050" max="5050" width="10.625" hidden="1"/>
    <col min="5051" max="5051" width="10" hidden="1"/>
    <col min="5052" max="5052" width="11.625" hidden="1"/>
    <col min="5053" max="5055" width="10.625" hidden="1"/>
    <col min="5056" max="5056" width="9.125" hidden="1"/>
    <col min="5057" max="5058" width="9.625" hidden="1"/>
    <col min="5059" max="5059" width="9.5" hidden="1"/>
    <col min="5060" max="5060" width="9.625" hidden="1"/>
    <col min="5061" max="5061" width="9.5" hidden="1"/>
    <col min="5062" max="5062" width="8.625" hidden="1"/>
    <col min="5063" max="5063" width="10.625" hidden="1"/>
    <col min="5064" max="5065" width="8.625" hidden="1"/>
    <col min="5066" max="5069" width="10.125" hidden="1"/>
    <col min="5070" max="5070" width="8.625" hidden="1"/>
    <col min="5071" max="5071" width="10.125" hidden="1"/>
    <col min="5072" max="5073" width="8.625" hidden="1"/>
    <col min="5074" max="5075" width="9.625" hidden="1"/>
    <col min="5076" max="5076" width="10" hidden="1"/>
    <col min="5077" max="5077" width="9.625" hidden="1"/>
    <col min="5078" max="5078" width="8.625" hidden="1"/>
    <col min="5079" max="5079" width="9.625" hidden="1"/>
    <col min="5080" max="5081" width="8.625" hidden="1"/>
    <col min="5082" max="5082" width="9.125" hidden="1"/>
    <col min="5083" max="5083" width="9.5" hidden="1"/>
    <col min="5084" max="5084" width="10.5" hidden="1"/>
    <col min="5085" max="5085" width="9.5" hidden="1"/>
    <col min="5086" max="5086" width="8.625" hidden="1"/>
    <col min="5087" max="5087" width="11.125" hidden="1"/>
    <col min="5088" max="5089" width="8.625" hidden="1"/>
    <col min="5090" max="5090" width="9.125" hidden="1"/>
    <col min="5091" max="5093" width="9.625" hidden="1"/>
    <col min="5094" max="5094" width="8.625" hidden="1"/>
    <col min="5095" max="5095" width="10.125" hidden="1"/>
    <col min="5096" max="5097" width="8.625" hidden="1"/>
    <col min="5098" max="5098" width="30.125" hidden="1"/>
    <col min="5099" max="5099" width="2.625" hidden="1"/>
    <col min="5100" max="5100" width="18.625" hidden="1"/>
    <col min="5101" max="5101" width="1.625" hidden="1"/>
    <col min="5102" max="5299" width="8.625" hidden="1"/>
    <col min="5300" max="5300" width="0.625" hidden="1"/>
    <col min="5301" max="5301" width="6.625" hidden="1"/>
    <col min="5302" max="5302" width="50.125" hidden="1"/>
    <col min="5303" max="5303" width="0.125" hidden="1"/>
    <col min="5304" max="5305" width="8.625" hidden="1"/>
    <col min="5306" max="5306" width="10.625" hidden="1"/>
    <col min="5307" max="5307" width="10" hidden="1"/>
    <col min="5308" max="5308" width="11.625" hidden="1"/>
    <col min="5309" max="5311" width="10.625" hidden="1"/>
    <col min="5312" max="5312" width="9.125" hidden="1"/>
    <col min="5313" max="5314" width="9.625" hidden="1"/>
    <col min="5315" max="5315" width="9.5" hidden="1"/>
    <col min="5316" max="5316" width="9.625" hidden="1"/>
    <col min="5317" max="5317" width="9.5" hidden="1"/>
    <col min="5318" max="5318" width="8.625" hidden="1"/>
    <col min="5319" max="5319" width="10.625" hidden="1"/>
    <col min="5320" max="5321" width="8.625" hidden="1"/>
    <col min="5322" max="5325" width="10.125" hidden="1"/>
    <col min="5326" max="5326" width="8.625" hidden="1"/>
    <col min="5327" max="5327" width="10.125" hidden="1"/>
    <col min="5328" max="5329" width="8.625" hidden="1"/>
    <col min="5330" max="5331" width="9.625" hidden="1"/>
    <col min="5332" max="5332" width="10" hidden="1"/>
    <col min="5333" max="5333" width="9.625" hidden="1"/>
    <col min="5334" max="5334" width="8.625" hidden="1"/>
    <col min="5335" max="5335" width="9.625" hidden="1"/>
    <col min="5336" max="5337" width="8.625" hidden="1"/>
    <col min="5338" max="5338" width="9.125" hidden="1"/>
    <col min="5339" max="5339" width="9.5" hidden="1"/>
    <col min="5340" max="5340" width="10.5" hidden="1"/>
    <col min="5341" max="5341" width="9.5" hidden="1"/>
    <col min="5342" max="5342" width="8.625" hidden="1"/>
    <col min="5343" max="5343" width="11.125" hidden="1"/>
    <col min="5344" max="5345" width="8.625" hidden="1"/>
    <col min="5346" max="5346" width="9.125" hidden="1"/>
    <col min="5347" max="5349" width="9.625" hidden="1"/>
    <col min="5350" max="5350" width="8.625" hidden="1"/>
    <col min="5351" max="5351" width="10.125" hidden="1"/>
    <col min="5352" max="5353" width="8.625" hidden="1"/>
    <col min="5354" max="5354" width="30.125" hidden="1"/>
    <col min="5355" max="5355" width="2.625" hidden="1"/>
    <col min="5356" max="5356" width="18.625" hidden="1"/>
    <col min="5357" max="5357" width="1.625" hidden="1"/>
    <col min="5358" max="5555" width="8.625" hidden="1"/>
    <col min="5556" max="5556" width="0.625" hidden="1"/>
    <col min="5557" max="5557" width="6.625" hidden="1"/>
    <col min="5558" max="5558" width="50.125" hidden="1"/>
    <col min="5559" max="5559" width="0.125" hidden="1"/>
    <col min="5560" max="5561" width="8.625" hidden="1"/>
    <col min="5562" max="5562" width="10.625" hidden="1"/>
    <col min="5563" max="5563" width="10" hidden="1"/>
    <col min="5564" max="5564" width="11.625" hidden="1"/>
    <col min="5565" max="5567" width="10.625" hidden="1"/>
    <col min="5568" max="5568" width="9.125" hidden="1"/>
    <col min="5569" max="5570" width="9.625" hidden="1"/>
    <col min="5571" max="5571" width="9.5" hidden="1"/>
    <col min="5572" max="5572" width="9.625" hidden="1"/>
    <col min="5573" max="5573" width="9.5" hidden="1"/>
    <col min="5574" max="5574" width="8.625" hidden="1"/>
    <col min="5575" max="5575" width="10.625" hidden="1"/>
    <col min="5576" max="5577" width="8.625" hidden="1"/>
    <col min="5578" max="5581" width="10.125" hidden="1"/>
    <col min="5582" max="5582" width="8.625" hidden="1"/>
    <col min="5583" max="5583" width="10.125" hidden="1"/>
    <col min="5584" max="5585" width="8.625" hidden="1"/>
    <col min="5586" max="5587" width="9.625" hidden="1"/>
    <col min="5588" max="5588" width="10" hidden="1"/>
    <col min="5589" max="5589" width="9.625" hidden="1"/>
    <col min="5590" max="5590" width="8.625" hidden="1"/>
    <col min="5591" max="5591" width="9.625" hidden="1"/>
    <col min="5592" max="5593" width="8.625" hidden="1"/>
    <col min="5594" max="5594" width="9.125" hidden="1"/>
    <col min="5595" max="5595" width="9.5" hidden="1"/>
    <col min="5596" max="5596" width="10.5" hidden="1"/>
    <col min="5597" max="5597" width="9.5" hidden="1"/>
    <col min="5598" max="5598" width="8.625" hidden="1"/>
    <col min="5599" max="5599" width="11.125" hidden="1"/>
    <col min="5600" max="5601" width="8.625" hidden="1"/>
    <col min="5602" max="5602" width="9.125" hidden="1"/>
    <col min="5603" max="5605" width="9.625" hidden="1"/>
    <col min="5606" max="5606" width="8.625" hidden="1"/>
    <col min="5607" max="5607" width="10.125" hidden="1"/>
    <col min="5608" max="5609" width="8.625" hidden="1"/>
    <col min="5610" max="5610" width="30.125" hidden="1"/>
    <col min="5611" max="5611" width="2.625" hidden="1"/>
    <col min="5612" max="5612" width="18.625" hidden="1"/>
    <col min="5613" max="5613" width="1.625" hidden="1"/>
    <col min="5614" max="5811" width="8.625" hidden="1"/>
    <col min="5812" max="5812" width="0.625" hidden="1"/>
    <col min="5813" max="5813" width="6.625" hidden="1"/>
    <col min="5814" max="5814" width="50.125" hidden="1"/>
    <col min="5815" max="5815" width="0.125" hidden="1"/>
    <col min="5816" max="5817" width="8.625" hidden="1"/>
    <col min="5818" max="5818" width="10.625" hidden="1"/>
    <col min="5819" max="5819" width="10" hidden="1"/>
    <col min="5820" max="5820" width="11.625" hidden="1"/>
    <col min="5821" max="5823" width="10.625" hidden="1"/>
    <col min="5824" max="5824" width="9.125" hidden="1"/>
    <col min="5825" max="5826" width="9.625" hidden="1"/>
    <col min="5827" max="5827" width="9.5" hidden="1"/>
    <col min="5828" max="5828" width="9.625" hidden="1"/>
    <col min="5829" max="5829" width="9.5" hidden="1"/>
    <col min="5830" max="5830" width="8.625" hidden="1"/>
    <col min="5831" max="5831" width="10.625" hidden="1"/>
    <col min="5832" max="5833" width="8.625" hidden="1"/>
    <col min="5834" max="5837" width="10.125" hidden="1"/>
    <col min="5838" max="5838" width="8.625" hidden="1"/>
    <col min="5839" max="5839" width="10.125" hidden="1"/>
    <col min="5840" max="5841" width="8.625" hidden="1"/>
    <col min="5842" max="5843" width="9.625" hidden="1"/>
    <col min="5844" max="5844" width="10" hidden="1"/>
    <col min="5845" max="5845" width="9.625" hidden="1"/>
    <col min="5846" max="5846" width="8.625" hidden="1"/>
    <col min="5847" max="5847" width="9.625" hidden="1"/>
    <col min="5848" max="5849" width="8.625" hidden="1"/>
    <col min="5850" max="5850" width="9.125" hidden="1"/>
    <col min="5851" max="5851" width="9.5" hidden="1"/>
    <col min="5852" max="5852" width="10.5" hidden="1"/>
    <col min="5853" max="5853" width="9.5" hidden="1"/>
    <col min="5854" max="5854" width="8.625" hidden="1"/>
    <col min="5855" max="5855" width="11.125" hidden="1"/>
    <col min="5856" max="5857" width="8.625" hidden="1"/>
    <col min="5858" max="5858" width="9.125" hidden="1"/>
    <col min="5859" max="5861" width="9.625" hidden="1"/>
    <col min="5862" max="5862" width="8.625" hidden="1"/>
    <col min="5863" max="5863" width="10.125" hidden="1"/>
    <col min="5864" max="5865" width="8.625" hidden="1"/>
    <col min="5866" max="5866" width="30.125" hidden="1"/>
    <col min="5867" max="5867" width="2.625" hidden="1"/>
    <col min="5868" max="5868" width="18.625" hidden="1"/>
    <col min="5869" max="5869" width="1.625" hidden="1"/>
    <col min="5870" max="6067" width="8.625" hidden="1"/>
    <col min="6068" max="6068" width="0.625" hidden="1"/>
    <col min="6069" max="6069" width="6.625" hidden="1"/>
    <col min="6070" max="6070" width="50.125" hidden="1"/>
    <col min="6071" max="6071" width="0.125" hidden="1"/>
    <col min="6072" max="6073" width="8.625" hidden="1"/>
    <col min="6074" max="6074" width="10.625" hidden="1"/>
    <col min="6075" max="6075" width="10" hidden="1"/>
    <col min="6076" max="6076" width="11.625" hidden="1"/>
    <col min="6077" max="6079" width="10.625" hidden="1"/>
    <col min="6080" max="6080" width="9.125" hidden="1"/>
    <col min="6081" max="6082" width="9.625" hidden="1"/>
    <col min="6083" max="6083" width="9.5" hidden="1"/>
    <col min="6084" max="6084" width="9.625" hidden="1"/>
    <col min="6085" max="6085" width="9.5" hidden="1"/>
    <col min="6086" max="6086" width="8.625" hidden="1"/>
    <col min="6087" max="6087" width="10.625" hidden="1"/>
    <col min="6088" max="6089" width="8.625" hidden="1"/>
    <col min="6090" max="6093" width="10.125" hidden="1"/>
    <col min="6094" max="6094" width="8.625" hidden="1"/>
    <col min="6095" max="6095" width="10.125" hidden="1"/>
    <col min="6096" max="6097" width="8.625" hidden="1"/>
    <col min="6098" max="6099" width="9.625" hidden="1"/>
    <col min="6100" max="6100" width="10" hidden="1"/>
    <col min="6101" max="6101" width="9.625" hidden="1"/>
    <col min="6102" max="6102" width="8.625" hidden="1"/>
    <col min="6103" max="6103" width="9.625" hidden="1"/>
    <col min="6104" max="6105" width="8.625" hidden="1"/>
    <col min="6106" max="6106" width="9.125" hidden="1"/>
    <col min="6107" max="6107" width="9.5" hidden="1"/>
    <col min="6108" max="6108" width="10.5" hidden="1"/>
    <col min="6109" max="6109" width="9.5" hidden="1"/>
    <col min="6110" max="6110" width="8.625" hidden="1"/>
    <col min="6111" max="6111" width="11.125" hidden="1"/>
    <col min="6112" max="6113" width="8.625" hidden="1"/>
    <col min="6114" max="6114" width="9.125" hidden="1"/>
    <col min="6115" max="6117" width="9.625" hidden="1"/>
    <col min="6118" max="6118" width="8.625" hidden="1"/>
    <col min="6119" max="6119" width="10.125" hidden="1"/>
    <col min="6120" max="6121" width="8.625" hidden="1"/>
    <col min="6122" max="6122" width="30.125" hidden="1"/>
    <col min="6123" max="6123" width="2.625" hidden="1"/>
    <col min="6124" max="6124" width="18.625" hidden="1"/>
    <col min="6125" max="6125" width="1.625" hidden="1"/>
    <col min="6126" max="6323" width="8.625" hidden="1"/>
    <col min="6324" max="6324" width="0.625" hidden="1"/>
    <col min="6325" max="6325" width="6.625" hidden="1"/>
    <col min="6326" max="6326" width="50.125" hidden="1"/>
    <col min="6327" max="6327" width="0.125" hidden="1"/>
    <col min="6328" max="6329" width="8.625" hidden="1"/>
    <col min="6330" max="6330" width="10.625" hidden="1"/>
    <col min="6331" max="6331" width="10" hidden="1"/>
    <col min="6332" max="6332" width="11.625" hidden="1"/>
    <col min="6333" max="6335" width="10.625" hidden="1"/>
    <col min="6336" max="6336" width="9.125" hidden="1"/>
    <col min="6337" max="6338" width="9.625" hidden="1"/>
    <col min="6339" max="6339" width="9.5" hidden="1"/>
    <col min="6340" max="6340" width="9.625" hidden="1"/>
    <col min="6341" max="6341" width="9.5" hidden="1"/>
    <col min="6342" max="6342" width="8.625" hidden="1"/>
    <col min="6343" max="6343" width="10.625" hidden="1"/>
    <col min="6344" max="6345" width="8.625" hidden="1"/>
    <col min="6346" max="6349" width="10.125" hidden="1"/>
    <col min="6350" max="6350" width="8.625" hidden="1"/>
    <col min="6351" max="6351" width="10.125" hidden="1"/>
    <col min="6352" max="6353" width="8.625" hidden="1"/>
    <col min="6354" max="6355" width="9.625" hidden="1"/>
    <col min="6356" max="6356" width="10" hidden="1"/>
    <col min="6357" max="6357" width="9.625" hidden="1"/>
    <col min="6358" max="6358" width="8.625" hidden="1"/>
    <col min="6359" max="6359" width="9.625" hidden="1"/>
    <col min="6360" max="6361" width="8.625" hidden="1"/>
    <col min="6362" max="6362" width="9.125" hidden="1"/>
    <col min="6363" max="6363" width="9.5" hidden="1"/>
    <col min="6364" max="6364" width="10.5" hidden="1"/>
    <col min="6365" max="6365" width="9.5" hidden="1"/>
    <col min="6366" max="6366" width="8.625" hidden="1"/>
    <col min="6367" max="6367" width="11.125" hidden="1"/>
    <col min="6368" max="6369" width="8.625" hidden="1"/>
    <col min="6370" max="6370" width="9.125" hidden="1"/>
    <col min="6371" max="6373" width="9.625" hidden="1"/>
    <col min="6374" max="6374" width="8.625" hidden="1"/>
    <col min="6375" max="6375" width="10.125" hidden="1"/>
    <col min="6376" max="6377" width="8.625" hidden="1"/>
    <col min="6378" max="6378" width="30.125" hidden="1"/>
    <col min="6379" max="6379" width="2.625" hidden="1"/>
    <col min="6380" max="6380" width="18.625" hidden="1"/>
    <col min="6381" max="6381" width="1.625" hidden="1"/>
    <col min="6382" max="6579" width="8.625" hidden="1"/>
    <col min="6580" max="6580" width="0.625" hidden="1"/>
    <col min="6581" max="6581" width="6.625" hidden="1"/>
    <col min="6582" max="6582" width="50.125" hidden="1"/>
    <col min="6583" max="6583" width="0.125" hidden="1"/>
    <col min="6584" max="6585" width="8.625" hidden="1"/>
    <col min="6586" max="6586" width="10.625" hidden="1"/>
    <col min="6587" max="6587" width="10" hidden="1"/>
    <col min="6588" max="6588" width="11.625" hidden="1"/>
    <col min="6589" max="6591" width="10.625" hidden="1"/>
    <col min="6592" max="6592" width="9.125" hidden="1"/>
    <col min="6593" max="6594" width="9.625" hidden="1"/>
    <col min="6595" max="6595" width="9.5" hidden="1"/>
    <col min="6596" max="6596" width="9.625" hidden="1"/>
    <col min="6597" max="6597" width="9.5" hidden="1"/>
    <col min="6598" max="6598" width="8.625" hidden="1"/>
    <col min="6599" max="6599" width="10.625" hidden="1"/>
    <col min="6600" max="6601" width="8.625" hidden="1"/>
    <col min="6602" max="6605" width="10.125" hidden="1"/>
    <col min="6606" max="6606" width="8.625" hidden="1"/>
    <col min="6607" max="6607" width="10.125" hidden="1"/>
    <col min="6608" max="6609" width="8.625" hidden="1"/>
    <col min="6610" max="6611" width="9.625" hidden="1"/>
    <col min="6612" max="6612" width="10" hidden="1"/>
    <col min="6613" max="6613" width="9.625" hidden="1"/>
    <col min="6614" max="6614" width="8.625" hidden="1"/>
    <col min="6615" max="6615" width="9.625" hidden="1"/>
    <col min="6616" max="6617" width="8.625" hidden="1"/>
    <col min="6618" max="6618" width="9.125" hidden="1"/>
    <col min="6619" max="6619" width="9.5" hidden="1"/>
    <col min="6620" max="6620" width="10.5" hidden="1"/>
    <col min="6621" max="6621" width="9.5" hidden="1"/>
    <col min="6622" max="6622" width="8.625" hidden="1"/>
    <col min="6623" max="6623" width="11.125" hidden="1"/>
    <col min="6624" max="6625" width="8.625" hidden="1"/>
    <col min="6626" max="6626" width="9.125" hidden="1"/>
    <col min="6627" max="6629" width="9.625" hidden="1"/>
    <col min="6630" max="6630" width="8.625" hidden="1"/>
    <col min="6631" max="6631" width="10.125" hidden="1"/>
    <col min="6632" max="6633" width="8.625" hidden="1"/>
    <col min="6634" max="6634" width="30.125" hidden="1"/>
    <col min="6635" max="6635" width="2.625" hidden="1"/>
    <col min="6636" max="6636" width="18.625" hidden="1"/>
    <col min="6637" max="6637" width="1.625" hidden="1"/>
    <col min="6638" max="6835" width="8.625" hidden="1"/>
    <col min="6836" max="6836" width="0.625" hidden="1"/>
    <col min="6837" max="6837" width="6.625" hidden="1"/>
    <col min="6838" max="6838" width="50.125" hidden="1"/>
    <col min="6839" max="6839" width="0.125" hidden="1"/>
    <col min="6840" max="6841" width="8.625" hidden="1"/>
    <col min="6842" max="6842" width="10.625" hidden="1"/>
    <col min="6843" max="6843" width="10" hidden="1"/>
    <col min="6844" max="6844" width="11.625" hidden="1"/>
    <col min="6845" max="6847" width="10.625" hidden="1"/>
    <col min="6848" max="6848" width="9.125" hidden="1"/>
    <col min="6849" max="6850" width="9.625" hidden="1"/>
    <col min="6851" max="6851" width="9.5" hidden="1"/>
    <col min="6852" max="6852" width="9.625" hidden="1"/>
    <col min="6853" max="6853" width="9.5" hidden="1"/>
    <col min="6854" max="6854" width="8.625" hidden="1"/>
    <col min="6855" max="6855" width="10.625" hidden="1"/>
    <col min="6856" max="6857" width="8.625" hidden="1"/>
    <col min="6858" max="6861" width="10.125" hidden="1"/>
    <col min="6862" max="6862" width="8.625" hidden="1"/>
    <col min="6863" max="6863" width="10.125" hidden="1"/>
    <col min="6864" max="6865" width="8.625" hidden="1"/>
    <col min="6866" max="6867" width="9.625" hidden="1"/>
    <col min="6868" max="6868" width="10" hidden="1"/>
    <col min="6869" max="6869" width="9.625" hidden="1"/>
    <col min="6870" max="6870" width="8.625" hidden="1"/>
    <col min="6871" max="6871" width="9.625" hidden="1"/>
    <col min="6872" max="6873" width="8.625" hidden="1"/>
    <col min="6874" max="6874" width="9.125" hidden="1"/>
    <col min="6875" max="6875" width="9.5" hidden="1"/>
    <col min="6876" max="6876" width="10.5" hidden="1"/>
    <col min="6877" max="6877" width="9.5" hidden="1"/>
    <col min="6878" max="6878" width="8.625" hidden="1"/>
    <col min="6879" max="6879" width="11.125" hidden="1"/>
    <col min="6880" max="6881" width="8.625" hidden="1"/>
    <col min="6882" max="6882" width="9.125" hidden="1"/>
    <col min="6883" max="6885" width="9.625" hidden="1"/>
    <col min="6886" max="6886" width="8.625" hidden="1"/>
    <col min="6887" max="6887" width="10.125" hidden="1"/>
    <col min="6888" max="6889" width="8.625" hidden="1"/>
    <col min="6890" max="6890" width="30.125" hidden="1"/>
    <col min="6891" max="6891" width="2.625" hidden="1"/>
    <col min="6892" max="6892" width="18.625" hidden="1"/>
    <col min="6893" max="6893" width="1.625" hidden="1"/>
    <col min="6894" max="7091" width="8.625" hidden="1"/>
    <col min="7092" max="7092" width="0.625" hidden="1"/>
    <col min="7093" max="7093" width="6.625" hidden="1"/>
    <col min="7094" max="7094" width="50.125" hidden="1"/>
    <col min="7095" max="7095" width="0.125" hidden="1"/>
    <col min="7096" max="7097" width="8.625" hidden="1"/>
    <col min="7098" max="7098" width="10.625" hidden="1"/>
    <col min="7099" max="7099" width="10" hidden="1"/>
    <col min="7100" max="7100" width="11.625" hidden="1"/>
    <col min="7101" max="7103" width="10.625" hidden="1"/>
    <col min="7104" max="7104" width="9.125" hidden="1"/>
    <col min="7105" max="7106" width="9.625" hidden="1"/>
    <col min="7107" max="7107" width="9.5" hidden="1"/>
    <col min="7108" max="7108" width="9.625" hidden="1"/>
    <col min="7109" max="7109" width="9.5" hidden="1"/>
    <col min="7110" max="7110" width="8.625" hidden="1"/>
    <col min="7111" max="7111" width="10.625" hidden="1"/>
    <col min="7112" max="7113" width="8.625" hidden="1"/>
    <col min="7114" max="7117" width="10.125" hidden="1"/>
    <col min="7118" max="7118" width="8.625" hidden="1"/>
    <col min="7119" max="7119" width="10.125" hidden="1"/>
    <col min="7120" max="7121" width="8.625" hidden="1"/>
    <col min="7122" max="7123" width="9.625" hidden="1"/>
    <col min="7124" max="7124" width="10" hidden="1"/>
    <col min="7125" max="7125" width="9.625" hidden="1"/>
    <col min="7126" max="7126" width="8.625" hidden="1"/>
    <col min="7127" max="7127" width="9.625" hidden="1"/>
    <col min="7128" max="7129" width="8.625" hidden="1"/>
    <col min="7130" max="7130" width="9.125" hidden="1"/>
    <col min="7131" max="7131" width="9.5" hidden="1"/>
    <col min="7132" max="7132" width="10.5" hidden="1"/>
    <col min="7133" max="7133" width="9.5" hidden="1"/>
    <col min="7134" max="7134" width="8.625" hidden="1"/>
    <col min="7135" max="7135" width="11.125" hidden="1"/>
    <col min="7136" max="7137" width="8.625" hidden="1"/>
    <col min="7138" max="7138" width="9.125" hidden="1"/>
    <col min="7139" max="7141" width="9.625" hidden="1"/>
    <col min="7142" max="7142" width="8.625" hidden="1"/>
    <col min="7143" max="7143" width="10.125" hidden="1"/>
    <col min="7144" max="7145" width="8.625" hidden="1"/>
    <col min="7146" max="7146" width="30.125" hidden="1"/>
    <col min="7147" max="7147" width="2.625" hidden="1"/>
    <col min="7148" max="7148" width="18.625" hidden="1"/>
    <col min="7149" max="7149" width="1.625" hidden="1"/>
    <col min="7150" max="7347" width="8.625" hidden="1"/>
    <col min="7348" max="7348" width="0.625" hidden="1"/>
    <col min="7349" max="7349" width="6.625" hidden="1"/>
    <col min="7350" max="7350" width="50.125" hidden="1"/>
    <col min="7351" max="7351" width="0.125" hidden="1"/>
    <col min="7352" max="7353" width="8.625" hidden="1"/>
    <col min="7354" max="7354" width="10.625" hidden="1"/>
    <col min="7355" max="7355" width="10" hidden="1"/>
    <col min="7356" max="7356" width="11.625" hidden="1"/>
    <col min="7357" max="7359" width="10.625" hidden="1"/>
    <col min="7360" max="7360" width="9.125" hidden="1"/>
    <col min="7361" max="7362" width="9.625" hidden="1"/>
    <col min="7363" max="7363" width="9.5" hidden="1"/>
    <col min="7364" max="7364" width="9.625" hidden="1"/>
    <col min="7365" max="7365" width="9.5" hidden="1"/>
    <col min="7366" max="7366" width="8.625" hidden="1"/>
    <col min="7367" max="7367" width="10.625" hidden="1"/>
    <col min="7368" max="7369" width="8.625" hidden="1"/>
    <col min="7370" max="7373" width="10.125" hidden="1"/>
    <col min="7374" max="7374" width="8.625" hidden="1"/>
    <col min="7375" max="7375" width="10.125" hidden="1"/>
    <col min="7376" max="7377" width="8.625" hidden="1"/>
    <col min="7378" max="7379" width="9.625" hidden="1"/>
    <col min="7380" max="7380" width="10" hidden="1"/>
    <col min="7381" max="7381" width="9.625" hidden="1"/>
    <col min="7382" max="7382" width="8.625" hidden="1"/>
    <col min="7383" max="7383" width="9.625" hidden="1"/>
    <col min="7384" max="7385" width="8.625" hidden="1"/>
    <col min="7386" max="7386" width="9.125" hidden="1"/>
    <col min="7387" max="7387" width="9.5" hidden="1"/>
    <col min="7388" max="7388" width="10.5" hidden="1"/>
    <col min="7389" max="7389" width="9.5" hidden="1"/>
    <col min="7390" max="7390" width="8.625" hidden="1"/>
    <col min="7391" max="7391" width="11.125" hidden="1"/>
    <col min="7392" max="7393" width="8.625" hidden="1"/>
    <col min="7394" max="7394" width="9.125" hidden="1"/>
    <col min="7395" max="7397" width="9.625" hidden="1"/>
    <col min="7398" max="7398" width="8.625" hidden="1"/>
    <col min="7399" max="7399" width="10.125" hidden="1"/>
    <col min="7400" max="7401" width="8.625" hidden="1"/>
    <col min="7402" max="7402" width="30.125" hidden="1"/>
    <col min="7403" max="7403" width="2.625" hidden="1"/>
    <col min="7404" max="7404" width="18.625" hidden="1"/>
    <col min="7405" max="7405" width="1.625" hidden="1"/>
    <col min="7406" max="7603" width="8.625" hidden="1"/>
    <col min="7604" max="7604" width="0.625" hidden="1"/>
    <col min="7605" max="7605" width="6.625" hidden="1"/>
    <col min="7606" max="7606" width="50.125" hidden="1"/>
    <col min="7607" max="7607" width="0.125" hidden="1"/>
    <col min="7608" max="7609" width="8.625" hidden="1"/>
    <col min="7610" max="7610" width="10.625" hidden="1"/>
    <col min="7611" max="7611" width="10" hidden="1"/>
    <col min="7612" max="7612" width="11.625" hidden="1"/>
    <col min="7613" max="7615" width="10.625" hidden="1"/>
    <col min="7616" max="7616" width="9.125" hidden="1"/>
    <col min="7617" max="7618" width="9.625" hidden="1"/>
    <col min="7619" max="7619" width="9.5" hidden="1"/>
    <col min="7620" max="7620" width="9.625" hidden="1"/>
    <col min="7621" max="7621" width="9.5" hidden="1"/>
    <col min="7622" max="7622" width="8.625" hidden="1"/>
    <col min="7623" max="7623" width="10.625" hidden="1"/>
    <col min="7624" max="7625" width="8.625" hidden="1"/>
    <col min="7626" max="7629" width="10.125" hidden="1"/>
    <col min="7630" max="7630" width="8.625" hidden="1"/>
    <col min="7631" max="7631" width="10.125" hidden="1"/>
    <col min="7632" max="7633" width="8.625" hidden="1"/>
    <col min="7634" max="7635" width="9.625" hidden="1"/>
    <col min="7636" max="7636" width="10" hidden="1"/>
    <col min="7637" max="7637" width="9.625" hidden="1"/>
    <col min="7638" max="7638" width="8.625" hidden="1"/>
    <col min="7639" max="7639" width="9.625" hidden="1"/>
    <col min="7640" max="7641" width="8.625" hidden="1"/>
    <col min="7642" max="7642" width="9.125" hidden="1"/>
    <col min="7643" max="7643" width="9.5" hidden="1"/>
    <col min="7644" max="7644" width="10.5" hidden="1"/>
    <col min="7645" max="7645" width="9.5" hidden="1"/>
    <col min="7646" max="7646" width="8.625" hidden="1"/>
    <col min="7647" max="7647" width="11.125" hidden="1"/>
    <col min="7648" max="7649" width="8.625" hidden="1"/>
    <col min="7650" max="7650" width="9.125" hidden="1"/>
    <col min="7651" max="7653" width="9.625" hidden="1"/>
    <col min="7654" max="7654" width="8.625" hidden="1"/>
    <col min="7655" max="7655" width="10.125" hidden="1"/>
    <col min="7656" max="7657" width="8.625" hidden="1"/>
    <col min="7658" max="7658" width="30.125" hidden="1"/>
    <col min="7659" max="7659" width="2.625" hidden="1"/>
    <col min="7660" max="7660" width="18.625" hidden="1"/>
    <col min="7661" max="7661" width="1.625" hidden="1"/>
    <col min="7662" max="7859" width="8.625" hidden="1"/>
    <col min="7860" max="7860" width="0.625" hidden="1"/>
    <col min="7861" max="7861" width="6.625" hidden="1"/>
    <col min="7862" max="7862" width="50.125" hidden="1"/>
    <col min="7863" max="7863" width="0.125" hidden="1"/>
    <col min="7864" max="7865" width="8.625" hidden="1"/>
    <col min="7866" max="7866" width="10.625" hidden="1"/>
    <col min="7867" max="7867" width="10" hidden="1"/>
    <col min="7868" max="7868" width="11.625" hidden="1"/>
    <col min="7869" max="7871" width="10.625" hidden="1"/>
    <col min="7872" max="7872" width="9.125" hidden="1"/>
    <col min="7873" max="7874" width="9.625" hidden="1"/>
    <col min="7875" max="7875" width="9.5" hidden="1"/>
    <col min="7876" max="7876" width="9.625" hidden="1"/>
    <col min="7877" max="7877" width="9.5" hidden="1"/>
    <col min="7878" max="7878" width="8.625" hidden="1"/>
    <col min="7879" max="7879" width="10.625" hidden="1"/>
    <col min="7880" max="7881" width="8.625" hidden="1"/>
    <col min="7882" max="7885" width="10.125" hidden="1"/>
    <col min="7886" max="7886" width="8.625" hidden="1"/>
    <col min="7887" max="7887" width="10.125" hidden="1"/>
    <col min="7888" max="7889" width="8.625" hidden="1"/>
    <col min="7890" max="7891" width="9.625" hidden="1"/>
    <col min="7892" max="7892" width="10" hidden="1"/>
    <col min="7893" max="7893" width="9.625" hidden="1"/>
    <col min="7894" max="7894" width="8.625" hidden="1"/>
    <col min="7895" max="7895" width="9.625" hidden="1"/>
    <col min="7896" max="7897" width="8.625" hidden="1"/>
    <col min="7898" max="7898" width="9.125" hidden="1"/>
    <col min="7899" max="7899" width="9.5" hidden="1"/>
    <col min="7900" max="7900" width="10.5" hidden="1"/>
    <col min="7901" max="7901" width="9.5" hidden="1"/>
    <col min="7902" max="7902" width="8.625" hidden="1"/>
    <col min="7903" max="7903" width="11.125" hidden="1"/>
    <col min="7904" max="7905" width="8.625" hidden="1"/>
    <col min="7906" max="7906" width="9.125" hidden="1"/>
    <col min="7907" max="7909" width="9.625" hidden="1"/>
    <col min="7910" max="7910" width="8.625" hidden="1"/>
    <col min="7911" max="7911" width="10.125" hidden="1"/>
    <col min="7912" max="7913" width="8.625" hidden="1"/>
    <col min="7914" max="7914" width="30.125" hidden="1"/>
    <col min="7915" max="7915" width="2.625" hidden="1"/>
    <col min="7916" max="7916" width="18.625" hidden="1"/>
    <col min="7917" max="7917" width="1.625" hidden="1"/>
    <col min="7918" max="8115" width="8.625" hidden="1"/>
    <col min="8116" max="8116" width="0.625" hidden="1"/>
    <col min="8117" max="8117" width="6.625" hidden="1"/>
    <col min="8118" max="8118" width="50.125" hidden="1"/>
    <col min="8119" max="8119" width="0.125" hidden="1"/>
    <col min="8120" max="8121" width="8.625" hidden="1"/>
    <col min="8122" max="8122" width="10.625" hidden="1"/>
    <col min="8123" max="8123" width="10" hidden="1"/>
    <col min="8124" max="8124" width="11.625" hidden="1"/>
    <col min="8125" max="8127" width="10.625" hidden="1"/>
    <col min="8128" max="8128" width="9.125" hidden="1"/>
    <col min="8129" max="8130" width="9.625" hidden="1"/>
    <col min="8131" max="8131" width="9.5" hidden="1"/>
    <col min="8132" max="8132" width="9.625" hidden="1"/>
    <col min="8133" max="8133" width="9.5" hidden="1"/>
    <col min="8134" max="8134" width="8.625" hidden="1"/>
    <col min="8135" max="8135" width="10.625" hidden="1"/>
    <col min="8136" max="8137" width="8.625" hidden="1"/>
    <col min="8138" max="8141" width="10.125" hidden="1"/>
    <col min="8142" max="8142" width="8.625" hidden="1"/>
    <col min="8143" max="8143" width="10.125" hidden="1"/>
    <col min="8144" max="8145" width="8.625" hidden="1"/>
    <col min="8146" max="8147" width="9.625" hidden="1"/>
    <col min="8148" max="8148" width="10" hidden="1"/>
    <col min="8149" max="8149" width="9.625" hidden="1"/>
    <col min="8150" max="8150" width="8.625" hidden="1"/>
    <col min="8151" max="8151" width="9.625" hidden="1"/>
    <col min="8152" max="8153" width="8.625" hidden="1"/>
    <col min="8154" max="8154" width="9.125" hidden="1"/>
    <col min="8155" max="8155" width="9.5" hidden="1"/>
    <col min="8156" max="8156" width="10.5" hidden="1"/>
    <col min="8157" max="8157" width="9.5" hidden="1"/>
    <col min="8158" max="8158" width="8.625" hidden="1"/>
    <col min="8159" max="8159" width="11.125" hidden="1"/>
    <col min="8160" max="8161" width="8.625" hidden="1"/>
    <col min="8162" max="8162" width="9.125" hidden="1"/>
    <col min="8163" max="8165" width="9.625" hidden="1"/>
    <col min="8166" max="8166" width="8.625" hidden="1"/>
    <col min="8167" max="8167" width="10.125" hidden="1"/>
    <col min="8168" max="8169" width="8.625" hidden="1"/>
    <col min="8170" max="8170" width="30.125" hidden="1"/>
    <col min="8171" max="8171" width="2.625" hidden="1"/>
    <col min="8172" max="8172" width="18.625" hidden="1"/>
    <col min="8173" max="8173" width="1.625" hidden="1"/>
    <col min="8174" max="8371" width="8.625" hidden="1"/>
    <col min="8372" max="8372" width="0.625" hidden="1"/>
    <col min="8373" max="8373" width="6.625" hidden="1"/>
    <col min="8374" max="8374" width="50.125" hidden="1"/>
    <col min="8375" max="8375" width="0.125" hidden="1"/>
    <col min="8376" max="8377" width="8.625" hidden="1"/>
    <col min="8378" max="8378" width="10.625" hidden="1"/>
    <col min="8379" max="8379" width="10" hidden="1"/>
    <col min="8380" max="8380" width="11.625" hidden="1"/>
    <col min="8381" max="8383" width="10.625" hidden="1"/>
    <col min="8384" max="8384" width="9.125" hidden="1"/>
    <col min="8385" max="8386" width="9.625" hidden="1"/>
    <col min="8387" max="8387" width="9.5" hidden="1"/>
    <col min="8388" max="8388" width="9.625" hidden="1"/>
    <col min="8389" max="8389" width="9.5" hidden="1"/>
    <col min="8390" max="8390" width="8.625" hidden="1"/>
    <col min="8391" max="8391" width="10.625" hidden="1"/>
    <col min="8392" max="8393" width="8.625" hidden="1"/>
    <col min="8394" max="8397" width="10.125" hidden="1"/>
    <col min="8398" max="8398" width="8.625" hidden="1"/>
    <col min="8399" max="8399" width="10.125" hidden="1"/>
    <col min="8400" max="8401" width="8.625" hidden="1"/>
    <col min="8402" max="8403" width="9.625" hidden="1"/>
    <col min="8404" max="8404" width="10" hidden="1"/>
    <col min="8405" max="8405" width="9.625" hidden="1"/>
    <col min="8406" max="8406" width="8.625" hidden="1"/>
    <col min="8407" max="8407" width="9.625" hidden="1"/>
    <col min="8408" max="8409" width="8.625" hidden="1"/>
    <col min="8410" max="8410" width="9.125" hidden="1"/>
    <col min="8411" max="8411" width="9.5" hidden="1"/>
    <col min="8412" max="8412" width="10.5" hidden="1"/>
    <col min="8413" max="8413" width="9.5" hidden="1"/>
    <col min="8414" max="8414" width="8.625" hidden="1"/>
    <col min="8415" max="8415" width="11.125" hidden="1"/>
    <col min="8416" max="8417" width="8.625" hidden="1"/>
    <col min="8418" max="8418" width="9.125" hidden="1"/>
    <col min="8419" max="8421" width="9.625" hidden="1"/>
    <col min="8422" max="8422" width="8.625" hidden="1"/>
    <col min="8423" max="8423" width="10.125" hidden="1"/>
    <col min="8424" max="8425" width="8.625" hidden="1"/>
    <col min="8426" max="8426" width="30.125" hidden="1"/>
    <col min="8427" max="8427" width="2.625" hidden="1"/>
    <col min="8428" max="8428" width="18.625" hidden="1"/>
    <col min="8429" max="8429" width="1.625" hidden="1"/>
    <col min="8430" max="8627" width="8.625" hidden="1"/>
    <col min="8628" max="8628" width="0.625" hidden="1"/>
    <col min="8629" max="8629" width="6.625" hidden="1"/>
    <col min="8630" max="8630" width="50.125" hidden="1"/>
    <col min="8631" max="8631" width="0.125" hidden="1"/>
    <col min="8632" max="8633" width="8.625" hidden="1"/>
    <col min="8634" max="8634" width="10.625" hidden="1"/>
    <col min="8635" max="8635" width="10" hidden="1"/>
    <col min="8636" max="8636" width="11.625" hidden="1"/>
    <col min="8637" max="8639" width="10.625" hidden="1"/>
    <col min="8640" max="8640" width="9.125" hidden="1"/>
    <col min="8641" max="8642" width="9.625" hidden="1"/>
    <col min="8643" max="8643" width="9.5" hidden="1"/>
    <col min="8644" max="8644" width="9.625" hidden="1"/>
    <col min="8645" max="8645" width="9.5" hidden="1"/>
    <col min="8646" max="8646" width="8.625" hidden="1"/>
    <col min="8647" max="8647" width="10.625" hidden="1"/>
    <col min="8648" max="8649" width="8.625" hidden="1"/>
    <col min="8650" max="8653" width="10.125" hidden="1"/>
    <col min="8654" max="8654" width="8.625" hidden="1"/>
    <col min="8655" max="8655" width="10.125" hidden="1"/>
    <col min="8656" max="8657" width="8.625" hidden="1"/>
    <col min="8658" max="8659" width="9.625" hidden="1"/>
    <col min="8660" max="8660" width="10" hidden="1"/>
    <col min="8661" max="8661" width="9.625" hidden="1"/>
    <col min="8662" max="8662" width="8.625" hidden="1"/>
    <col min="8663" max="8663" width="9.625" hidden="1"/>
    <col min="8664" max="8665" width="8.625" hidden="1"/>
    <col min="8666" max="8666" width="9.125" hidden="1"/>
    <col min="8667" max="8667" width="9.5" hidden="1"/>
    <col min="8668" max="8668" width="10.5" hidden="1"/>
    <col min="8669" max="8669" width="9.5" hidden="1"/>
    <col min="8670" max="8670" width="8.625" hidden="1"/>
    <col min="8671" max="8671" width="11.125" hidden="1"/>
    <col min="8672" max="8673" width="8.625" hidden="1"/>
    <col min="8674" max="8674" width="9.125" hidden="1"/>
    <col min="8675" max="8677" width="9.625" hidden="1"/>
    <col min="8678" max="8678" width="8.625" hidden="1"/>
    <col min="8679" max="8679" width="10.125" hidden="1"/>
    <col min="8680" max="8681" width="8.625" hidden="1"/>
    <col min="8682" max="8682" width="30.125" hidden="1"/>
    <col min="8683" max="8683" width="2.625" hidden="1"/>
    <col min="8684" max="8684" width="18.625" hidden="1"/>
    <col min="8685" max="8685" width="1.625" hidden="1"/>
    <col min="8686" max="8883" width="8.625" hidden="1"/>
    <col min="8884" max="8884" width="0.625" hidden="1"/>
    <col min="8885" max="8885" width="6.625" hidden="1"/>
    <col min="8886" max="8886" width="50.125" hidden="1"/>
    <col min="8887" max="8887" width="0.125" hidden="1"/>
    <col min="8888" max="8889" width="8.625" hidden="1"/>
    <col min="8890" max="8890" width="10.625" hidden="1"/>
    <col min="8891" max="8891" width="10" hidden="1"/>
    <col min="8892" max="8892" width="11.625" hidden="1"/>
    <col min="8893" max="8895" width="10.625" hidden="1"/>
    <col min="8896" max="8896" width="9.125" hidden="1"/>
    <col min="8897" max="8898" width="9.625" hidden="1"/>
    <col min="8899" max="8899" width="9.5" hidden="1"/>
    <col min="8900" max="8900" width="9.625" hidden="1"/>
    <col min="8901" max="8901" width="9.5" hidden="1"/>
    <col min="8902" max="8902" width="8.625" hidden="1"/>
    <col min="8903" max="8903" width="10.625" hidden="1"/>
    <col min="8904" max="8905" width="8.625" hidden="1"/>
    <col min="8906" max="8909" width="10.125" hidden="1"/>
    <col min="8910" max="8910" width="8.625" hidden="1"/>
    <col min="8911" max="8911" width="10.125" hidden="1"/>
    <col min="8912" max="8913" width="8.625" hidden="1"/>
    <col min="8914" max="8915" width="9.625" hidden="1"/>
    <col min="8916" max="8916" width="10" hidden="1"/>
    <col min="8917" max="8917" width="9.625" hidden="1"/>
    <col min="8918" max="8918" width="8.625" hidden="1"/>
    <col min="8919" max="8919" width="9.625" hidden="1"/>
    <col min="8920" max="8921" width="8.625" hidden="1"/>
    <col min="8922" max="8922" width="9.125" hidden="1"/>
    <col min="8923" max="8923" width="9.5" hidden="1"/>
    <col min="8924" max="8924" width="10.5" hidden="1"/>
    <col min="8925" max="8925" width="9.5" hidden="1"/>
    <col min="8926" max="8926" width="8.625" hidden="1"/>
    <col min="8927" max="8927" width="11.125" hidden="1"/>
    <col min="8928" max="8929" width="8.625" hidden="1"/>
    <col min="8930" max="8930" width="9.125" hidden="1"/>
    <col min="8931" max="8933" width="9.625" hidden="1"/>
    <col min="8934" max="8934" width="8.625" hidden="1"/>
    <col min="8935" max="8935" width="10.125" hidden="1"/>
    <col min="8936" max="8937" width="8.625" hidden="1"/>
    <col min="8938" max="8938" width="30.125" hidden="1"/>
    <col min="8939" max="8939" width="2.625" hidden="1"/>
    <col min="8940" max="8940" width="18.625" hidden="1"/>
    <col min="8941" max="8941" width="1.625" hidden="1"/>
    <col min="8942" max="9139" width="8.625" hidden="1"/>
    <col min="9140" max="9140" width="0.625" hidden="1"/>
    <col min="9141" max="9141" width="6.625" hidden="1"/>
    <col min="9142" max="9142" width="50.125" hidden="1"/>
    <col min="9143" max="9143" width="0.125" hidden="1"/>
    <col min="9144" max="9145" width="8.625" hidden="1"/>
    <col min="9146" max="9146" width="10.625" hidden="1"/>
    <col min="9147" max="9147" width="10" hidden="1"/>
    <col min="9148" max="9148" width="11.625" hidden="1"/>
    <col min="9149" max="9151" width="10.625" hidden="1"/>
    <col min="9152" max="9152" width="9.125" hidden="1"/>
    <col min="9153" max="9154" width="9.625" hidden="1"/>
    <col min="9155" max="9155" width="9.5" hidden="1"/>
    <col min="9156" max="9156" width="9.625" hidden="1"/>
    <col min="9157" max="9157" width="9.5" hidden="1"/>
    <col min="9158" max="9158" width="8.625" hidden="1"/>
    <col min="9159" max="9159" width="10.625" hidden="1"/>
    <col min="9160" max="9161" width="8.625" hidden="1"/>
    <col min="9162" max="9165" width="10.125" hidden="1"/>
    <col min="9166" max="9166" width="8.625" hidden="1"/>
    <col min="9167" max="9167" width="10.125" hidden="1"/>
    <col min="9168" max="9169" width="8.625" hidden="1"/>
    <col min="9170" max="9171" width="9.625" hidden="1"/>
    <col min="9172" max="9172" width="10" hidden="1"/>
    <col min="9173" max="9173" width="9.625" hidden="1"/>
    <col min="9174" max="9174" width="8.625" hidden="1"/>
    <col min="9175" max="9175" width="9.625" hidden="1"/>
    <col min="9176" max="9177" width="8.625" hidden="1"/>
    <col min="9178" max="9178" width="9.125" hidden="1"/>
    <col min="9179" max="9179" width="9.5" hidden="1"/>
    <col min="9180" max="9180" width="10.5" hidden="1"/>
    <col min="9181" max="9181" width="9.5" hidden="1"/>
    <col min="9182" max="9182" width="8.625" hidden="1"/>
    <col min="9183" max="9183" width="11.125" hidden="1"/>
    <col min="9184" max="9185" width="8.625" hidden="1"/>
    <col min="9186" max="9186" width="9.125" hidden="1"/>
    <col min="9187" max="9189" width="9.625" hidden="1"/>
    <col min="9190" max="9190" width="8.625" hidden="1"/>
    <col min="9191" max="9191" width="10.125" hidden="1"/>
    <col min="9192" max="9193" width="8.625" hidden="1"/>
    <col min="9194" max="9194" width="30.125" hidden="1"/>
    <col min="9195" max="9195" width="2.625" hidden="1"/>
    <col min="9196" max="9196" width="18.625" hidden="1"/>
    <col min="9197" max="9197" width="1.625" hidden="1"/>
    <col min="9198" max="9395" width="8.625" hidden="1"/>
    <col min="9396" max="9396" width="0.625" hidden="1"/>
    <col min="9397" max="9397" width="6.625" hidden="1"/>
    <col min="9398" max="9398" width="50.125" hidden="1"/>
    <col min="9399" max="9399" width="0.125" hidden="1"/>
    <col min="9400" max="9401" width="8.625" hidden="1"/>
    <col min="9402" max="9402" width="10.625" hidden="1"/>
    <col min="9403" max="9403" width="10" hidden="1"/>
    <col min="9404" max="9404" width="11.625" hidden="1"/>
    <col min="9405" max="9407" width="10.625" hidden="1"/>
    <col min="9408" max="9408" width="9.125" hidden="1"/>
    <col min="9409" max="9410" width="9.625" hidden="1"/>
    <col min="9411" max="9411" width="9.5" hidden="1"/>
    <col min="9412" max="9412" width="9.625" hidden="1"/>
    <col min="9413" max="9413" width="9.5" hidden="1"/>
    <col min="9414" max="9414" width="8.625" hidden="1"/>
    <col min="9415" max="9415" width="10.625" hidden="1"/>
    <col min="9416" max="9417" width="8.625" hidden="1"/>
    <col min="9418" max="9421" width="10.125" hidden="1"/>
    <col min="9422" max="9422" width="8.625" hidden="1"/>
    <col min="9423" max="9423" width="10.125" hidden="1"/>
    <col min="9424" max="9425" width="8.625" hidden="1"/>
    <col min="9426" max="9427" width="9.625" hidden="1"/>
    <col min="9428" max="9428" width="10" hidden="1"/>
    <col min="9429" max="9429" width="9.625" hidden="1"/>
    <col min="9430" max="9430" width="8.625" hidden="1"/>
    <col min="9431" max="9431" width="9.625" hidden="1"/>
    <col min="9432" max="9433" width="8.625" hidden="1"/>
    <col min="9434" max="9434" width="9.125" hidden="1"/>
    <col min="9435" max="9435" width="9.5" hidden="1"/>
    <col min="9436" max="9436" width="10.5" hidden="1"/>
    <col min="9437" max="9437" width="9.5" hidden="1"/>
    <col min="9438" max="9438" width="8.625" hidden="1"/>
    <col min="9439" max="9439" width="11.125" hidden="1"/>
    <col min="9440" max="9441" width="8.625" hidden="1"/>
    <col min="9442" max="9442" width="9.125" hidden="1"/>
    <col min="9443" max="9445" width="9.625" hidden="1"/>
    <col min="9446" max="9446" width="8.625" hidden="1"/>
    <col min="9447" max="9447" width="10.125" hidden="1"/>
    <col min="9448" max="9449" width="8.625" hidden="1"/>
    <col min="9450" max="9450" width="30.125" hidden="1"/>
    <col min="9451" max="9451" width="2.625" hidden="1"/>
    <col min="9452" max="9452" width="18.625" hidden="1"/>
    <col min="9453" max="9453" width="1.625" hidden="1"/>
    <col min="9454" max="9651" width="8.625" hidden="1"/>
    <col min="9652" max="9652" width="0.625" hidden="1"/>
    <col min="9653" max="9653" width="6.625" hidden="1"/>
    <col min="9654" max="9654" width="50.125" hidden="1"/>
    <col min="9655" max="9655" width="0.125" hidden="1"/>
    <col min="9656" max="9657" width="8.625" hidden="1"/>
    <col min="9658" max="9658" width="10.625" hidden="1"/>
    <col min="9659" max="9659" width="10" hidden="1"/>
    <col min="9660" max="9660" width="11.625" hidden="1"/>
    <col min="9661" max="9663" width="10.625" hidden="1"/>
    <col min="9664" max="9664" width="9.125" hidden="1"/>
    <col min="9665" max="9666" width="9.625" hidden="1"/>
    <col min="9667" max="9667" width="9.5" hidden="1"/>
    <col min="9668" max="9668" width="9.625" hidden="1"/>
    <col min="9669" max="9669" width="9.5" hidden="1"/>
    <col min="9670" max="9670" width="8.625" hidden="1"/>
    <col min="9671" max="9671" width="10.625" hidden="1"/>
    <col min="9672" max="9673" width="8.625" hidden="1"/>
    <col min="9674" max="9677" width="10.125" hidden="1"/>
    <col min="9678" max="9678" width="8.625" hidden="1"/>
    <col min="9679" max="9679" width="10.125" hidden="1"/>
    <col min="9680" max="9681" width="8.625" hidden="1"/>
    <col min="9682" max="9683" width="9.625" hidden="1"/>
    <col min="9684" max="9684" width="10" hidden="1"/>
    <col min="9685" max="9685" width="9.625" hidden="1"/>
    <col min="9686" max="9686" width="8.625" hidden="1"/>
    <col min="9687" max="9687" width="9.625" hidden="1"/>
    <col min="9688" max="9689" width="8.625" hidden="1"/>
    <col min="9690" max="9690" width="9.125" hidden="1"/>
    <col min="9691" max="9691" width="9.5" hidden="1"/>
    <col min="9692" max="9692" width="10.5" hidden="1"/>
    <col min="9693" max="9693" width="9.5" hidden="1"/>
    <col min="9694" max="9694" width="8.625" hidden="1"/>
    <col min="9695" max="9695" width="11.125" hidden="1"/>
    <col min="9696" max="9697" width="8.625" hidden="1"/>
    <col min="9698" max="9698" width="9.125" hidden="1"/>
    <col min="9699" max="9701" width="9.625" hidden="1"/>
    <col min="9702" max="9702" width="8.625" hidden="1"/>
    <col min="9703" max="9703" width="10.125" hidden="1"/>
    <col min="9704" max="9705" width="8.625" hidden="1"/>
    <col min="9706" max="9706" width="30.125" hidden="1"/>
    <col min="9707" max="9707" width="2.625" hidden="1"/>
    <col min="9708" max="9708" width="18.625" hidden="1"/>
    <col min="9709" max="9709" width="1.625" hidden="1"/>
    <col min="9710" max="9907" width="8.625" hidden="1"/>
    <col min="9908" max="9908" width="0.625" hidden="1"/>
    <col min="9909" max="9909" width="6.625" hidden="1"/>
    <col min="9910" max="9910" width="50.125" hidden="1"/>
    <col min="9911" max="9911" width="0.125" hidden="1"/>
    <col min="9912" max="9913" width="8.625" hidden="1"/>
    <col min="9914" max="9914" width="10.625" hidden="1"/>
    <col min="9915" max="9915" width="10" hidden="1"/>
    <col min="9916" max="9916" width="11.625" hidden="1"/>
    <col min="9917" max="9919" width="10.625" hidden="1"/>
    <col min="9920" max="9920" width="9.125" hidden="1"/>
    <col min="9921" max="9922" width="9.625" hidden="1"/>
    <col min="9923" max="9923" width="9.5" hidden="1"/>
    <col min="9924" max="9924" width="9.625" hidden="1"/>
    <col min="9925" max="9925" width="9.5" hidden="1"/>
    <col min="9926" max="9926" width="8.625" hidden="1"/>
    <col min="9927" max="9927" width="10.625" hidden="1"/>
    <col min="9928" max="9929" width="8.625" hidden="1"/>
    <col min="9930" max="9933" width="10.125" hidden="1"/>
    <col min="9934" max="9934" width="8.625" hidden="1"/>
    <col min="9935" max="9935" width="10.125" hidden="1"/>
    <col min="9936" max="9937" width="8.625" hidden="1"/>
    <col min="9938" max="9939" width="9.625" hidden="1"/>
    <col min="9940" max="9940" width="10" hidden="1"/>
    <col min="9941" max="9941" width="9.625" hidden="1"/>
    <col min="9942" max="9942" width="8.625" hidden="1"/>
    <col min="9943" max="9943" width="9.625" hidden="1"/>
    <col min="9944" max="9945" width="8.625" hidden="1"/>
    <col min="9946" max="9946" width="9.125" hidden="1"/>
    <col min="9947" max="9947" width="9.5" hidden="1"/>
    <col min="9948" max="9948" width="10.5" hidden="1"/>
    <col min="9949" max="9949" width="9.5" hidden="1"/>
    <col min="9950" max="9950" width="8.625" hidden="1"/>
    <col min="9951" max="9951" width="11.125" hidden="1"/>
    <col min="9952" max="9953" width="8.625" hidden="1"/>
    <col min="9954" max="9954" width="9.125" hidden="1"/>
    <col min="9955" max="9957" width="9.625" hidden="1"/>
    <col min="9958" max="9958" width="8.625" hidden="1"/>
    <col min="9959" max="9959" width="10.125" hidden="1"/>
    <col min="9960" max="9961" width="8.625" hidden="1"/>
    <col min="9962" max="9962" width="30.125" hidden="1"/>
    <col min="9963" max="9963" width="2.625" hidden="1"/>
    <col min="9964" max="9964" width="18.625" hidden="1"/>
    <col min="9965" max="9965" width="1.625" hidden="1"/>
    <col min="9966" max="10163" width="8.625" hidden="1"/>
    <col min="10164" max="10164" width="0.625" hidden="1"/>
    <col min="10165" max="10165" width="6.625" hidden="1"/>
    <col min="10166" max="10166" width="50.125" hidden="1"/>
    <col min="10167" max="10167" width="0.125" hidden="1"/>
    <col min="10168" max="10169" width="8.625" hidden="1"/>
    <col min="10170" max="10170" width="10.625" hidden="1"/>
    <col min="10171" max="10171" width="10" hidden="1"/>
    <col min="10172" max="10172" width="11.625" hidden="1"/>
    <col min="10173" max="10175" width="10.625" hidden="1"/>
    <col min="10176" max="10176" width="9.125" hidden="1"/>
    <col min="10177" max="10178" width="9.625" hidden="1"/>
    <col min="10179" max="10179" width="9.5" hidden="1"/>
    <col min="10180" max="10180" width="9.625" hidden="1"/>
    <col min="10181" max="10181" width="9.5" hidden="1"/>
    <col min="10182" max="10182" width="8.625" hidden="1"/>
    <col min="10183" max="10183" width="10.625" hidden="1"/>
    <col min="10184" max="10185" width="8.625" hidden="1"/>
    <col min="10186" max="10189" width="10.125" hidden="1"/>
    <col min="10190" max="10190" width="8.625" hidden="1"/>
    <col min="10191" max="10191" width="10.125" hidden="1"/>
    <col min="10192" max="10193" width="8.625" hidden="1"/>
    <col min="10194" max="10195" width="9.625" hidden="1"/>
    <col min="10196" max="10196" width="10" hidden="1"/>
    <col min="10197" max="10197" width="9.625" hidden="1"/>
    <col min="10198" max="10198" width="8.625" hidden="1"/>
    <col min="10199" max="10199" width="9.625" hidden="1"/>
    <col min="10200" max="10201" width="8.625" hidden="1"/>
    <col min="10202" max="10202" width="9.125" hidden="1"/>
    <col min="10203" max="10203" width="9.5" hidden="1"/>
    <col min="10204" max="10204" width="10.5" hidden="1"/>
    <col min="10205" max="10205" width="9.5" hidden="1"/>
    <col min="10206" max="10206" width="8.625" hidden="1"/>
    <col min="10207" max="10207" width="11.125" hidden="1"/>
    <col min="10208" max="10209" width="8.625" hidden="1"/>
    <col min="10210" max="10210" width="9.125" hidden="1"/>
    <col min="10211" max="10213" width="9.625" hidden="1"/>
    <col min="10214" max="10214" width="8.625" hidden="1"/>
    <col min="10215" max="10215" width="10.125" hidden="1"/>
    <col min="10216" max="10217" width="8.625" hidden="1"/>
    <col min="10218" max="10218" width="30.125" hidden="1"/>
    <col min="10219" max="10219" width="2.625" hidden="1"/>
    <col min="10220" max="10220" width="18.625" hidden="1"/>
    <col min="10221" max="10221" width="1.625" hidden="1"/>
    <col min="10222" max="10419" width="8.625" hidden="1"/>
    <col min="10420" max="10420" width="0.625" hidden="1"/>
    <col min="10421" max="10421" width="6.625" hidden="1"/>
    <col min="10422" max="10422" width="50.125" hidden="1"/>
    <col min="10423" max="10423" width="0.125" hidden="1"/>
    <col min="10424" max="10425" width="8.625" hidden="1"/>
    <col min="10426" max="10426" width="10.625" hidden="1"/>
    <col min="10427" max="10427" width="10" hidden="1"/>
    <col min="10428" max="10428" width="11.625" hidden="1"/>
    <col min="10429" max="10431" width="10.625" hidden="1"/>
    <col min="10432" max="10432" width="9.125" hidden="1"/>
    <col min="10433" max="10434" width="9.625" hidden="1"/>
    <col min="10435" max="10435" width="9.5" hidden="1"/>
    <col min="10436" max="10436" width="9.625" hidden="1"/>
    <col min="10437" max="10437" width="9.5" hidden="1"/>
    <col min="10438" max="10438" width="8.625" hidden="1"/>
    <col min="10439" max="10439" width="10.625" hidden="1"/>
    <col min="10440" max="10441" width="8.625" hidden="1"/>
    <col min="10442" max="10445" width="10.125" hidden="1"/>
    <col min="10446" max="10446" width="8.625" hidden="1"/>
    <col min="10447" max="10447" width="10.125" hidden="1"/>
    <col min="10448" max="10449" width="8.625" hidden="1"/>
    <col min="10450" max="10451" width="9.625" hidden="1"/>
    <col min="10452" max="10452" width="10" hidden="1"/>
    <col min="10453" max="10453" width="9.625" hidden="1"/>
    <col min="10454" max="10454" width="8.625" hidden="1"/>
    <col min="10455" max="10455" width="9.625" hidden="1"/>
    <col min="10456" max="10457" width="8.625" hidden="1"/>
    <col min="10458" max="10458" width="9.125" hidden="1"/>
    <col min="10459" max="10459" width="9.5" hidden="1"/>
    <col min="10460" max="10460" width="10.5" hidden="1"/>
    <col min="10461" max="10461" width="9.5" hidden="1"/>
    <col min="10462" max="10462" width="8.625" hidden="1"/>
    <col min="10463" max="10463" width="11.125" hidden="1"/>
    <col min="10464" max="10465" width="8.625" hidden="1"/>
    <col min="10466" max="10466" width="9.125" hidden="1"/>
    <col min="10467" max="10469" width="9.625" hidden="1"/>
    <col min="10470" max="10470" width="8.625" hidden="1"/>
    <col min="10471" max="10471" width="10.125" hidden="1"/>
    <col min="10472" max="10473" width="8.625" hidden="1"/>
    <col min="10474" max="10474" width="30.125" hidden="1"/>
    <col min="10475" max="10475" width="2.625" hidden="1"/>
    <col min="10476" max="10476" width="18.625" hidden="1"/>
    <col min="10477" max="10477" width="1.625" hidden="1"/>
    <col min="10478" max="10675" width="8.625" hidden="1"/>
    <col min="10676" max="10676" width="0.625" hidden="1"/>
    <col min="10677" max="10677" width="6.625" hidden="1"/>
    <col min="10678" max="10678" width="50.125" hidden="1"/>
    <col min="10679" max="10679" width="0.125" hidden="1"/>
    <col min="10680" max="10681" width="8.625" hidden="1"/>
    <col min="10682" max="10682" width="10.625" hidden="1"/>
    <col min="10683" max="10683" width="10" hidden="1"/>
    <col min="10684" max="10684" width="11.625" hidden="1"/>
    <col min="10685" max="10687" width="10.625" hidden="1"/>
    <col min="10688" max="10688" width="9.125" hidden="1"/>
    <col min="10689" max="10690" width="9.625" hidden="1"/>
    <col min="10691" max="10691" width="9.5" hidden="1"/>
    <col min="10692" max="10692" width="9.625" hidden="1"/>
    <col min="10693" max="10693" width="9.5" hidden="1"/>
    <col min="10694" max="10694" width="8.625" hidden="1"/>
    <col min="10695" max="10695" width="10.625" hidden="1"/>
    <col min="10696" max="10697" width="8.625" hidden="1"/>
    <col min="10698" max="10701" width="10.125" hidden="1"/>
    <col min="10702" max="10702" width="8.625" hidden="1"/>
    <col min="10703" max="10703" width="10.125" hidden="1"/>
    <col min="10704" max="10705" width="8.625" hidden="1"/>
    <col min="10706" max="10707" width="9.625" hidden="1"/>
    <col min="10708" max="10708" width="10" hidden="1"/>
    <col min="10709" max="10709" width="9.625" hidden="1"/>
    <col min="10710" max="10710" width="8.625" hidden="1"/>
    <col min="10711" max="10711" width="9.625" hidden="1"/>
    <col min="10712" max="10713" width="8.625" hidden="1"/>
    <col min="10714" max="10714" width="9.125" hidden="1"/>
    <col min="10715" max="10715" width="9.5" hidden="1"/>
    <col min="10716" max="10716" width="10.5" hidden="1"/>
    <col min="10717" max="10717" width="9.5" hidden="1"/>
    <col min="10718" max="10718" width="8.625" hidden="1"/>
    <col min="10719" max="10719" width="11.125" hidden="1"/>
    <col min="10720" max="10721" width="8.625" hidden="1"/>
    <col min="10722" max="10722" width="9.125" hidden="1"/>
    <col min="10723" max="10725" width="9.625" hidden="1"/>
    <col min="10726" max="10726" width="8.625" hidden="1"/>
    <col min="10727" max="10727" width="10.125" hidden="1"/>
    <col min="10728" max="10729" width="8.625" hidden="1"/>
    <col min="10730" max="10730" width="30.125" hidden="1"/>
    <col min="10731" max="10731" width="2.625" hidden="1"/>
    <col min="10732" max="10732" width="18.625" hidden="1"/>
    <col min="10733" max="10733" width="1.625" hidden="1"/>
    <col min="10734" max="10931" width="8.625" hidden="1"/>
    <col min="10932" max="10932" width="0.625" hidden="1"/>
    <col min="10933" max="10933" width="6.625" hidden="1"/>
    <col min="10934" max="10934" width="50.125" hidden="1"/>
    <col min="10935" max="10935" width="0.125" hidden="1"/>
    <col min="10936" max="10937" width="8.625" hidden="1"/>
    <col min="10938" max="10938" width="10.625" hidden="1"/>
    <col min="10939" max="10939" width="10" hidden="1"/>
    <col min="10940" max="10940" width="11.625" hidden="1"/>
    <col min="10941" max="10943" width="10.625" hidden="1"/>
    <col min="10944" max="10944" width="9.125" hidden="1"/>
    <col min="10945" max="10946" width="9.625" hidden="1"/>
    <col min="10947" max="10947" width="9.5" hidden="1"/>
    <col min="10948" max="10948" width="9.625" hidden="1"/>
    <col min="10949" max="10949" width="9.5" hidden="1"/>
    <col min="10950" max="10950" width="8.625" hidden="1"/>
    <col min="10951" max="10951" width="10.625" hidden="1"/>
    <col min="10952" max="10953" width="8.625" hidden="1"/>
    <col min="10954" max="10957" width="10.125" hidden="1"/>
    <col min="10958" max="10958" width="8.625" hidden="1"/>
    <col min="10959" max="10959" width="10.125" hidden="1"/>
    <col min="10960" max="10961" width="8.625" hidden="1"/>
    <col min="10962" max="10963" width="9.625" hidden="1"/>
    <col min="10964" max="10964" width="10" hidden="1"/>
    <col min="10965" max="10965" width="9.625" hidden="1"/>
    <col min="10966" max="10966" width="8.625" hidden="1"/>
    <col min="10967" max="10967" width="9.625" hidden="1"/>
    <col min="10968" max="10969" width="8.625" hidden="1"/>
    <col min="10970" max="10970" width="9.125" hidden="1"/>
    <col min="10971" max="10971" width="9.5" hidden="1"/>
    <col min="10972" max="10972" width="10.5" hidden="1"/>
    <col min="10973" max="10973" width="9.5" hidden="1"/>
    <col min="10974" max="10974" width="8.625" hidden="1"/>
    <col min="10975" max="10975" width="11.125" hidden="1"/>
    <col min="10976" max="10977" width="8.625" hidden="1"/>
    <col min="10978" max="10978" width="9.125" hidden="1"/>
    <col min="10979" max="10981" width="9.625" hidden="1"/>
    <col min="10982" max="10982" width="8.625" hidden="1"/>
    <col min="10983" max="10983" width="10.125" hidden="1"/>
    <col min="10984" max="10985" width="8.625" hidden="1"/>
    <col min="10986" max="10986" width="30.125" hidden="1"/>
    <col min="10987" max="10987" width="2.625" hidden="1"/>
    <col min="10988" max="10988" width="18.625" hidden="1"/>
    <col min="10989" max="10989" width="1.625" hidden="1"/>
    <col min="10990" max="11187" width="8.625" hidden="1"/>
    <col min="11188" max="11188" width="0.625" hidden="1"/>
    <col min="11189" max="11189" width="6.625" hidden="1"/>
    <col min="11190" max="11190" width="50.125" hidden="1"/>
    <col min="11191" max="11191" width="0.125" hidden="1"/>
    <col min="11192" max="11193" width="8.625" hidden="1"/>
    <col min="11194" max="11194" width="10.625" hidden="1"/>
    <col min="11195" max="11195" width="10" hidden="1"/>
    <col min="11196" max="11196" width="11.625" hidden="1"/>
    <col min="11197" max="11199" width="10.625" hidden="1"/>
    <col min="11200" max="11200" width="9.125" hidden="1"/>
    <col min="11201" max="11202" width="9.625" hidden="1"/>
    <col min="11203" max="11203" width="9.5" hidden="1"/>
    <col min="11204" max="11204" width="9.625" hidden="1"/>
    <col min="11205" max="11205" width="9.5" hidden="1"/>
    <col min="11206" max="11206" width="8.625" hidden="1"/>
    <col min="11207" max="11207" width="10.625" hidden="1"/>
    <col min="11208" max="11209" width="8.625" hidden="1"/>
    <col min="11210" max="11213" width="10.125" hidden="1"/>
    <col min="11214" max="11214" width="8.625" hidden="1"/>
    <col min="11215" max="11215" width="10.125" hidden="1"/>
    <col min="11216" max="11217" width="8.625" hidden="1"/>
    <col min="11218" max="11219" width="9.625" hidden="1"/>
    <col min="11220" max="11220" width="10" hidden="1"/>
    <col min="11221" max="11221" width="9.625" hidden="1"/>
    <col min="11222" max="11222" width="8.625" hidden="1"/>
    <col min="11223" max="11223" width="9.625" hidden="1"/>
    <col min="11224" max="11225" width="8.625" hidden="1"/>
    <col min="11226" max="11226" width="9.125" hidden="1"/>
    <col min="11227" max="11227" width="9.5" hidden="1"/>
    <col min="11228" max="11228" width="10.5" hidden="1"/>
    <col min="11229" max="11229" width="9.5" hidden="1"/>
    <col min="11230" max="11230" width="8.625" hidden="1"/>
    <col min="11231" max="11231" width="11.125" hidden="1"/>
    <col min="11232" max="11233" width="8.625" hidden="1"/>
    <col min="11234" max="11234" width="9.125" hidden="1"/>
    <col min="11235" max="11237" width="9.625" hidden="1"/>
    <col min="11238" max="11238" width="8.625" hidden="1"/>
    <col min="11239" max="11239" width="10.125" hidden="1"/>
    <col min="11240" max="11241" width="8.625" hidden="1"/>
    <col min="11242" max="11242" width="30.125" hidden="1"/>
    <col min="11243" max="11243" width="2.625" hidden="1"/>
    <col min="11244" max="11244" width="18.625" hidden="1"/>
    <col min="11245" max="11245" width="1.625" hidden="1"/>
    <col min="11246" max="11443" width="8.625" hidden="1"/>
    <col min="11444" max="11444" width="0.625" hidden="1"/>
    <col min="11445" max="11445" width="6.625" hidden="1"/>
    <col min="11446" max="11446" width="50.125" hidden="1"/>
    <col min="11447" max="11447" width="0.125" hidden="1"/>
    <col min="11448" max="11449" width="8.625" hidden="1"/>
    <col min="11450" max="11450" width="10.625" hidden="1"/>
    <col min="11451" max="11451" width="10" hidden="1"/>
    <col min="11452" max="11452" width="11.625" hidden="1"/>
    <col min="11453" max="11455" width="10.625" hidden="1"/>
    <col min="11456" max="11456" width="9.125" hidden="1"/>
    <col min="11457" max="11458" width="9.625" hidden="1"/>
    <col min="11459" max="11459" width="9.5" hidden="1"/>
    <col min="11460" max="11460" width="9.625" hidden="1"/>
    <col min="11461" max="11461" width="9.5" hidden="1"/>
    <col min="11462" max="11462" width="8.625" hidden="1"/>
    <col min="11463" max="11463" width="10.625" hidden="1"/>
    <col min="11464" max="11465" width="8.625" hidden="1"/>
    <col min="11466" max="11469" width="10.125" hidden="1"/>
    <col min="11470" max="11470" width="8.625" hidden="1"/>
    <col min="11471" max="11471" width="10.125" hidden="1"/>
    <col min="11472" max="11473" width="8.625" hidden="1"/>
    <col min="11474" max="11475" width="9.625" hidden="1"/>
    <col min="11476" max="11476" width="10" hidden="1"/>
    <col min="11477" max="11477" width="9.625" hidden="1"/>
    <col min="11478" max="11478" width="8.625" hidden="1"/>
    <col min="11479" max="11479" width="9.625" hidden="1"/>
    <col min="11480" max="11481" width="8.625" hidden="1"/>
    <col min="11482" max="11482" width="9.125" hidden="1"/>
    <col min="11483" max="11483" width="9.5" hidden="1"/>
    <col min="11484" max="11484" width="10.5" hidden="1"/>
    <col min="11485" max="11485" width="9.5" hidden="1"/>
    <col min="11486" max="11486" width="8.625" hidden="1"/>
    <col min="11487" max="11487" width="11.125" hidden="1"/>
    <col min="11488" max="11489" width="8.625" hidden="1"/>
    <col min="11490" max="11490" width="9.125" hidden="1"/>
    <col min="11491" max="11493" width="9.625" hidden="1"/>
    <col min="11494" max="11494" width="8.625" hidden="1"/>
    <col min="11495" max="11495" width="10.125" hidden="1"/>
    <col min="11496" max="11497" width="8.625" hidden="1"/>
    <col min="11498" max="11498" width="30.125" hidden="1"/>
    <col min="11499" max="11499" width="2.625" hidden="1"/>
    <col min="11500" max="11500" width="18.625" hidden="1"/>
    <col min="11501" max="11501" width="1.625" hidden="1"/>
    <col min="11502" max="11699" width="8.625" hidden="1"/>
    <col min="11700" max="11700" width="0.625" hidden="1"/>
    <col min="11701" max="11701" width="6.625" hidden="1"/>
    <col min="11702" max="11702" width="50.125" hidden="1"/>
    <col min="11703" max="11703" width="0.125" hidden="1"/>
    <col min="11704" max="11705" width="8.625" hidden="1"/>
    <col min="11706" max="11706" width="10.625" hidden="1"/>
    <col min="11707" max="11707" width="10" hidden="1"/>
    <col min="11708" max="11708" width="11.625" hidden="1"/>
    <col min="11709" max="11711" width="10.625" hidden="1"/>
    <col min="11712" max="11712" width="9.125" hidden="1"/>
    <col min="11713" max="11714" width="9.625" hidden="1"/>
    <col min="11715" max="11715" width="9.5" hidden="1"/>
    <col min="11716" max="11716" width="9.625" hidden="1"/>
    <col min="11717" max="11717" width="9.5" hidden="1"/>
    <col min="11718" max="11718" width="8.625" hidden="1"/>
    <col min="11719" max="11719" width="10.625" hidden="1"/>
    <col min="11720" max="11721" width="8.625" hidden="1"/>
    <col min="11722" max="11725" width="10.125" hidden="1"/>
    <col min="11726" max="11726" width="8.625" hidden="1"/>
    <col min="11727" max="11727" width="10.125" hidden="1"/>
    <col min="11728" max="11729" width="8.625" hidden="1"/>
    <col min="11730" max="11731" width="9.625" hidden="1"/>
    <col min="11732" max="11732" width="10" hidden="1"/>
    <col min="11733" max="11733" width="9.625" hidden="1"/>
    <col min="11734" max="11734" width="8.625" hidden="1"/>
    <col min="11735" max="11735" width="9.625" hidden="1"/>
    <col min="11736" max="11737" width="8.625" hidden="1"/>
    <col min="11738" max="11738" width="9.125" hidden="1"/>
    <col min="11739" max="11739" width="9.5" hidden="1"/>
    <col min="11740" max="11740" width="10.5" hidden="1"/>
    <col min="11741" max="11741" width="9.5" hidden="1"/>
    <col min="11742" max="11742" width="8.625" hidden="1"/>
    <col min="11743" max="11743" width="11.125" hidden="1"/>
    <col min="11744" max="11745" width="8.625" hidden="1"/>
    <col min="11746" max="11746" width="9.125" hidden="1"/>
    <col min="11747" max="11749" width="9.625" hidden="1"/>
    <col min="11750" max="11750" width="8.625" hidden="1"/>
    <col min="11751" max="11751" width="10.125" hidden="1"/>
    <col min="11752" max="11753" width="8.625" hidden="1"/>
    <col min="11754" max="11754" width="30.125" hidden="1"/>
    <col min="11755" max="11755" width="2.625" hidden="1"/>
    <col min="11756" max="11756" width="18.625" hidden="1"/>
    <col min="11757" max="11757" width="1.625" hidden="1"/>
    <col min="11758" max="11955" width="8.625" hidden="1"/>
    <col min="11956" max="11956" width="0.625" hidden="1"/>
    <col min="11957" max="11957" width="6.625" hidden="1"/>
    <col min="11958" max="11958" width="50.125" hidden="1"/>
    <col min="11959" max="11959" width="0.125" hidden="1"/>
    <col min="11960" max="11961" width="8.625" hidden="1"/>
    <col min="11962" max="11962" width="10.625" hidden="1"/>
    <col min="11963" max="11963" width="10" hidden="1"/>
    <col min="11964" max="11964" width="11.625" hidden="1"/>
    <col min="11965" max="11967" width="10.625" hidden="1"/>
    <col min="11968" max="11968" width="9.125" hidden="1"/>
    <col min="11969" max="11970" width="9.625" hidden="1"/>
    <col min="11971" max="11971" width="9.5" hidden="1"/>
    <col min="11972" max="11972" width="9.625" hidden="1"/>
    <col min="11973" max="11973" width="9.5" hidden="1"/>
    <col min="11974" max="11974" width="8.625" hidden="1"/>
    <col min="11975" max="11975" width="10.625" hidden="1"/>
    <col min="11976" max="11977" width="8.625" hidden="1"/>
    <col min="11978" max="11981" width="10.125" hidden="1"/>
    <col min="11982" max="11982" width="8.625" hidden="1"/>
    <col min="11983" max="11983" width="10.125" hidden="1"/>
    <col min="11984" max="11985" width="8.625" hidden="1"/>
    <col min="11986" max="11987" width="9.625" hidden="1"/>
    <col min="11988" max="11988" width="10" hidden="1"/>
    <col min="11989" max="11989" width="9.625" hidden="1"/>
    <col min="11990" max="11990" width="8.625" hidden="1"/>
    <col min="11991" max="11991" width="9.625" hidden="1"/>
    <col min="11992" max="11993" width="8.625" hidden="1"/>
    <col min="11994" max="11994" width="9.125" hidden="1"/>
    <col min="11995" max="11995" width="9.5" hidden="1"/>
    <col min="11996" max="11996" width="10.5" hidden="1"/>
    <col min="11997" max="11997" width="9.5" hidden="1"/>
    <col min="11998" max="11998" width="8.625" hidden="1"/>
    <col min="11999" max="11999" width="11.125" hidden="1"/>
    <col min="12000" max="12001" width="8.625" hidden="1"/>
    <col min="12002" max="12002" width="9.125" hidden="1"/>
    <col min="12003" max="12005" width="9.625" hidden="1"/>
    <col min="12006" max="12006" width="8.625" hidden="1"/>
    <col min="12007" max="12007" width="10.125" hidden="1"/>
    <col min="12008" max="12009" width="8.625" hidden="1"/>
    <col min="12010" max="12010" width="30.125" hidden="1"/>
    <col min="12011" max="12011" width="2.625" hidden="1"/>
    <col min="12012" max="12012" width="18.625" hidden="1"/>
    <col min="12013" max="12013" width="1.625" hidden="1"/>
    <col min="12014" max="12211" width="8.625" hidden="1"/>
    <col min="12212" max="12212" width="0.625" hidden="1"/>
    <col min="12213" max="12213" width="6.625" hidden="1"/>
    <col min="12214" max="12214" width="50.125" hidden="1"/>
    <col min="12215" max="12215" width="0.125" hidden="1"/>
    <col min="12216" max="12217" width="8.625" hidden="1"/>
    <col min="12218" max="12218" width="10.625" hidden="1"/>
    <col min="12219" max="12219" width="10" hidden="1"/>
    <col min="12220" max="12220" width="11.625" hidden="1"/>
    <col min="12221" max="12223" width="10.625" hidden="1"/>
    <col min="12224" max="12224" width="9.125" hidden="1"/>
    <col min="12225" max="12226" width="9.625" hidden="1"/>
    <col min="12227" max="12227" width="9.5" hidden="1"/>
    <col min="12228" max="12228" width="9.625" hidden="1"/>
    <col min="12229" max="12229" width="9.5" hidden="1"/>
    <col min="12230" max="12230" width="8.625" hidden="1"/>
    <col min="12231" max="12231" width="10.625" hidden="1"/>
    <col min="12232" max="12233" width="8.625" hidden="1"/>
    <col min="12234" max="12237" width="10.125" hidden="1"/>
    <col min="12238" max="12238" width="8.625" hidden="1"/>
    <col min="12239" max="12239" width="10.125" hidden="1"/>
    <col min="12240" max="12241" width="8.625" hidden="1"/>
    <col min="12242" max="12243" width="9.625" hidden="1"/>
    <col min="12244" max="12244" width="10" hidden="1"/>
    <col min="12245" max="12245" width="9.625" hidden="1"/>
    <col min="12246" max="12246" width="8.625" hidden="1"/>
    <col min="12247" max="12247" width="9.625" hidden="1"/>
    <col min="12248" max="12249" width="8.625" hidden="1"/>
    <col min="12250" max="12250" width="9.125" hidden="1"/>
    <col min="12251" max="12251" width="9.5" hidden="1"/>
    <col min="12252" max="12252" width="10.5" hidden="1"/>
    <col min="12253" max="12253" width="9.5" hidden="1"/>
    <col min="12254" max="12254" width="8.625" hidden="1"/>
    <col min="12255" max="12255" width="11.125" hidden="1"/>
    <col min="12256" max="12257" width="8.625" hidden="1"/>
    <col min="12258" max="12258" width="9.125" hidden="1"/>
    <col min="12259" max="12261" width="9.625" hidden="1"/>
    <col min="12262" max="12262" width="8.625" hidden="1"/>
    <col min="12263" max="12263" width="10.125" hidden="1"/>
    <col min="12264" max="12265" width="8.625" hidden="1"/>
    <col min="12266" max="12266" width="30.125" hidden="1"/>
    <col min="12267" max="12267" width="2.625" hidden="1"/>
    <col min="12268" max="12268" width="18.625" hidden="1"/>
    <col min="12269" max="12269" width="1.625" hidden="1"/>
    <col min="12270" max="12467" width="8.625" hidden="1"/>
    <col min="12468" max="12468" width="0.625" hidden="1"/>
    <col min="12469" max="12469" width="6.625" hidden="1"/>
    <col min="12470" max="12470" width="50.125" hidden="1"/>
    <col min="12471" max="12471" width="0.125" hidden="1"/>
    <col min="12472" max="12473" width="8.625" hidden="1"/>
    <col min="12474" max="12474" width="10.625" hidden="1"/>
    <col min="12475" max="12475" width="10" hidden="1"/>
    <col min="12476" max="12476" width="11.625" hidden="1"/>
    <col min="12477" max="12479" width="10.625" hidden="1"/>
    <col min="12480" max="12480" width="9.125" hidden="1"/>
    <col min="12481" max="12482" width="9.625" hidden="1"/>
    <col min="12483" max="12483" width="9.5" hidden="1"/>
    <col min="12484" max="12484" width="9.625" hidden="1"/>
    <col min="12485" max="12485" width="9.5" hidden="1"/>
    <col min="12486" max="12486" width="8.625" hidden="1"/>
    <col min="12487" max="12487" width="10.625" hidden="1"/>
    <col min="12488" max="12489" width="8.625" hidden="1"/>
    <col min="12490" max="12493" width="10.125" hidden="1"/>
    <col min="12494" max="12494" width="8.625" hidden="1"/>
    <col min="12495" max="12495" width="10.125" hidden="1"/>
    <col min="12496" max="12497" width="8.625" hidden="1"/>
    <col min="12498" max="12499" width="9.625" hidden="1"/>
    <col min="12500" max="12500" width="10" hidden="1"/>
    <col min="12501" max="12501" width="9.625" hidden="1"/>
    <col min="12502" max="12502" width="8.625" hidden="1"/>
    <col min="12503" max="12503" width="9.625" hidden="1"/>
    <col min="12504" max="12505" width="8.625" hidden="1"/>
    <col min="12506" max="12506" width="9.125" hidden="1"/>
    <col min="12507" max="12507" width="9.5" hidden="1"/>
    <col min="12508" max="12508" width="10.5" hidden="1"/>
    <col min="12509" max="12509" width="9.5" hidden="1"/>
    <col min="12510" max="12510" width="8.625" hidden="1"/>
    <col min="12511" max="12511" width="11.125" hidden="1"/>
    <col min="12512" max="12513" width="8.625" hidden="1"/>
    <col min="12514" max="12514" width="9.125" hidden="1"/>
    <col min="12515" max="12517" width="9.625" hidden="1"/>
    <col min="12518" max="12518" width="8.625" hidden="1"/>
    <col min="12519" max="12519" width="10.125" hidden="1"/>
    <col min="12520" max="12521" width="8.625" hidden="1"/>
    <col min="12522" max="12522" width="30.125" hidden="1"/>
    <col min="12523" max="12523" width="2.625" hidden="1"/>
    <col min="12524" max="12524" width="18.625" hidden="1"/>
    <col min="12525" max="12525" width="1.625" hidden="1"/>
    <col min="12526" max="12723" width="8.625" hidden="1"/>
    <col min="12724" max="12724" width="0.625" hidden="1"/>
    <col min="12725" max="12725" width="6.625" hidden="1"/>
    <col min="12726" max="12726" width="50.125" hidden="1"/>
    <col min="12727" max="12727" width="0.125" hidden="1"/>
    <col min="12728" max="12729" width="8.625" hidden="1"/>
    <col min="12730" max="12730" width="10.625" hidden="1"/>
    <col min="12731" max="12731" width="10" hidden="1"/>
    <col min="12732" max="12732" width="11.625" hidden="1"/>
    <col min="12733" max="12735" width="10.625" hidden="1"/>
    <col min="12736" max="12736" width="9.125" hidden="1"/>
    <col min="12737" max="12738" width="9.625" hidden="1"/>
    <col min="12739" max="12739" width="9.5" hidden="1"/>
    <col min="12740" max="12740" width="9.625" hidden="1"/>
    <col min="12741" max="12741" width="9.5" hidden="1"/>
    <col min="12742" max="12742" width="8.625" hidden="1"/>
    <col min="12743" max="12743" width="10.625" hidden="1"/>
    <col min="12744" max="12745" width="8.625" hidden="1"/>
    <col min="12746" max="12749" width="10.125" hidden="1"/>
    <col min="12750" max="12750" width="8.625" hidden="1"/>
    <col min="12751" max="12751" width="10.125" hidden="1"/>
    <col min="12752" max="12753" width="8.625" hidden="1"/>
    <col min="12754" max="12755" width="9.625" hidden="1"/>
    <col min="12756" max="12756" width="10" hidden="1"/>
    <col min="12757" max="12757" width="9.625" hidden="1"/>
    <col min="12758" max="12758" width="8.625" hidden="1"/>
    <col min="12759" max="12759" width="9.625" hidden="1"/>
    <col min="12760" max="12761" width="8.625" hidden="1"/>
    <col min="12762" max="12762" width="9.125" hidden="1"/>
    <col min="12763" max="12763" width="9.5" hidden="1"/>
    <col min="12764" max="12764" width="10.5" hidden="1"/>
    <col min="12765" max="12765" width="9.5" hidden="1"/>
    <col min="12766" max="12766" width="8.625" hidden="1"/>
    <col min="12767" max="12767" width="11.125" hidden="1"/>
    <col min="12768" max="12769" width="8.625" hidden="1"/>
    <col min="12770" max="12770" width="9.125" hidden="1"/>
    <col min="12771" max="12773" width="9.625" hidden="1"/>
    <col min="12774" max="12774" width="8.625" hidden="1"/>
    <col min="12775" max="12775" width="10.125" hidden="1"/>
    <col min="12776" max="12777" width="8.625" hidden="1"/>
    <col min="12778" max="12778" width="30.125" hidden="1"/>
    <col min="12779" max="12779" width="2.625" hidden="1"/>
    <col min="12780" max="12780" width="18.625" hidden="1"/>
    <col min="12781" max="12781" width="1.625" hidden="1"/>
    <col min="12782" max="12979" width="8.625" hidden="1"/>
    <col min="12980" max="12980" width="0.625" hidden="1"/>
    <col min="12981" max="12981" width="6.625" hidden="1"/>
    <col min="12982" max="12982" width="50.125" hidden="1"/>
    <col min="12983" max="12983" width="0.125" hidden="1"/>
    <col min="12984" max="12985" width="8.625" hidden="1"/>
    <col min="12986" max="12986" width="10.625" hidden="1"/>
    <col min="12987" max="12987" width="10" hidden="1"/>
    <col min="12988" max="12988" width="11.625" hidden="1"/>
    <col min="12989" max="12991" width="10.625" hidden="1"/>
    <col min="12992" max="12992" width="9.125" hidden="1"/>
    <col min="12993" max="12994" width="9.625" hidden="1"/>
    <col min="12995" max="12995" width="9.5" hidden="1"/>
    <col min="12996" max="12996" width="9.625" hidden="1"/>
    <col min="12997" max="12997" width="9.5" hidden="1"/>
    <col min="12998" max="12998" width="8.625" hidden="1"/>
    <col min="12999" max="12999" width="10.625" hidden="1"/>
    <col min="13000" max="13001" width="8.625" hidden="1"/>
    <col min="13002" max="13005" width="10.125" hidden="1"/>
    <col min="13006" max="13006" width="8.625" hidden="1"/>
    <col min="13007" max="13007" width="10.125" hidden="1"/>
    <col min="13008" max="13009" width="8.625" hidden="1"/>
    <col min="13010" max="13011" width="9.625" hidden="1"/>
    <col min="13012" max="13012" width="10" hidden="1"/>
    <col min="13013" max="13013" width="9.625" hidden="1"/>
    <col min="13014" max="13014" width="8.625" hidden="1"/>
    <col min="13015" max="13015" width="9.625" hidden="1"/>
    <col min="13016" max="13017" width="8.625" hidden="1"/>
    <col min="13018" max="13018" width="9.125" hidden="1"/>
    <col min="13019" max="13019" width="9.5" hidden="1"/>
    <col min="13020" max="13020" width="10.5" hidden="1"/>
    <col min="13021" max="13021" width="9.5" hidden="1"/>
    <col min="13022" max="13022" width="8.625" hidden="1"/>
    <col min="13023" max="13023" width="11.125" hidden="1"/>
    <col min="13024" max="13025" width="8.625" hidden="1"/>
    <col min="13026" max="13026" width="9.125" hidden="1"/>
    <col min="13027" max="13029" width="9.625" hidden="1"/>
    <col min="13030" max="13030" width="8.625" hidden="1"/>
    <col min="13031" max="13031" width="10.125" hidden="1"/>
    <col min="13032" max="13033" width="8.625" hidden="1"/>
    <col min="13034" max="13034" width="30.125" hidden="1"/>
    <col min="13035" max="13035" width="2.625" hidden="1"/>
    <col min="13036" max="13036" width="18.625" hidden="1"/>
    <col min="13037" max="13037" width="1.625" hidden="1"/>
    <col min="13038" max="13235" width="8.625" hidden="1"/>
    <col min="13236" max="13236" width="0.625" hidden="1"/>
    <col min="13237" max="13237" width="6.625" hidden="1"/>
    <col min="13238" max="13238" width="50.125" hidden="1"/>
    <col min="13239" max="13239" width="0.125" hidden="1"/>
    <col min="13240" max="13241" width="8.625" hidden="1"/>
    <col min="13242" max="13242" width="10.625" hidden="1"/>
    <col min="13243" max="13243" width="10" hidden="1"/>
    <col min="13244" max="13244" width="11.625" hidden="1"/>
    <col min="13245" max="13247" width="10.625" hidden="1"/>
    <col min="13248" max="13248" width="9.125" hidden="1"/>
    <col min="13249" max="13250" width="9.625" hidden="1"/>
    <col min="13251" max="13251" width="9.5" hidden="1"/>
    <col min="13252" max="13252" width="9.625" hidden="1"/>
    <col min="13253" max="13253" width="9.5" hidden="1"/>
    <col min="13254" max="13254" width="8.625" hidden="1"/>
    <col min="13255" max="13255" width="10.625" hidden="1"/>
    <col min="13256" max="13257" width="8.625" hidden="1"/>
    <col min="13258" max="13261" width="10.125" hidden="1"/>
    <col min="13262" max="13262" width="8.625" hidden="1"/>
    <col min="13263" max="13263" width="10.125" hidden="1"/>
    <col min="13264" max="13265" width="8.625" hidden="1"/>
    <col min="13266" max="13267" width="9.625" hidden="1"/>
    <col min="13268" max="13268" width="10" hidden="1"/>
    <col min="13269" max="13269" width="9.625" hidden="1"/>
    <col min="13270" max="13270" width="8.625" hidden="1"/>
    <col min="13271" max="13271" width="9.625" hidden="1"/>
    <col min="13272" max="13273" width="8.625" hidden="1"/>
    <col min="13274" max="13274" width="9.125" hidden="1"/>
    <col min="13275" max="13275" width="9.5" hidden="1"/>
    <col min="13276" max="13276" width="10.5" hidden="1"/>
    <col min="13277" max="13277" width="9.5" hidden="1"/>
    <col min="13278" max="13278" width="8.625" hidden="1"/>
    <col min="13279" max="13279" width="11.125" hidden="1"/>
    <col min="13280" max="13281" width="8.625" hidden="1"/>
    <col min="13282" max="13282" width="9.125" hidden="1"/>
    <col min="13283" max="13285" width="9.625" hidden="1"/>
    <col min="13286" max="13286" width="8.625" hidden="1"/>
    <col min="13287" max="13287" width="10.125" hidden="1"/>
    <col min="13288" max="13289" width="8.625" hidden="1"/>
    <col min="13290" max="13290" width="30.125" hidden="1"/>
    <col min="13291" max="13291" width="2.625" hidden="1"/>
    <col min="13292" max="13292" width="18.625" hidden="1"/>
    <col min="13293" max="13293" width="1.625" hidden="1"/>
    <col min="13294" max="13491" width="8.625" hidden="1"/>
    <col min="13492" max="13492" width="0.625" hidden="1"/>
    <col min="13493" max="13493" width="6.625" hidden="1"/>
    <col min="13494" max="13494" width="50.125" hidden="1"/>
    <col min="13495" max="13495" width="0.125" hidden="1"/>
    <col min="13496" max="13497" width="8.625" hidden="1"/>
    <col min="13498" max="13498" width="10.625" hidden="1"/>
    <col min="13499" max="13499" width="10" hidden="1"/>
    <col min="13500" max="13500" width="11.625" hidden="1"/>
    <col min="13501" max="13503" width="10.625" hidden="1"/>
    <col min="13504" max="13504" width="9.125" hidden="1"/>
    <col min="13505" max="13506" width="9.625" hidden="1"/>
    <col min="13507" max="13507" width="9.5" hidden="1"/>
    <col min="13508" max="13508" width="9.625" hidden="1"/>
    <col min="13509" max="13509" width="9.5" hidden="1"/>
    <col min="13510" max="13510" width="8.625" hidden="1"/>
    <col min="13511" max="13511" width="10.625" hidden="1"/>
    <col min="13512" max="13513" width="8.625" hidden="1"/>
    <col min="13514" max="13517" width="10.125" hidden="1"/>
    <col min="13518" max="13518" width="8.625" hidden="1"/>
    <col min="13519" max="13519" width="10.125" hidden="1"/>
    <col min="13520" max="13521" width="8.625" hidden="1"/>
    <col min="13522" max="13523" width="9.625" hidden="1"/>
    <col min="13524" max="13524" width="10" hidden="1"/>
    <col min="13525" max="13525" width="9.625" hidden="1"/>
    <col min="13526" max="13526" width="8.625" hidden="1"/>
    <col min="13527" max="13527" width="9.625" hidden="1"/>
    <col min="13528" max="13529" width="8.625" hidden="1"/>
    <col min="13530" max="13530" width="9.125" hidden="1"/>
    <col min="13531" max="13531" width="9.5" hidden="1"/>
    <col min="13532" max="13532" width="10.5" hidden="1"/>
    <col min="13533" max="13533" width="9.5" hidden="1"/>
    <col min="13534" max="13534" width="8.625" hidden="1"/>
    <col min="13535" max="13535" width="11.125" hidden="1"/>
    <col min="13536" max="13537" width="8.625" hidden="1"/>
    <col min="13538" max="13538" width="9.125" hidden="1"/>
    <col min="13539" max="13541" width="9.625" hidden="1"/>
    <col min="13542" max="13542" width="8.625" hidden="1"/>
    <col min="13543" max="13543" width="10.125" hidden="1"/>
    <col min="13544" max="13545" width="8.625" hidden="1"/>
    <col min="13546" max="13546" width="30.125" hidden="1"/>
    <col min="13547" max="13547" width="2.625" hidden="1"/>
    <col min="13548" max="13548" width="18.625" hidden="1"/>
    <col min="13549" max="13549" width="1.625" hidden="1"/>
    <col min="13550" max="13747" width="8.625" hidden="1"/>
    <col min="13748" max="13748" width="0.625" hidden="1"/>
    <col min="13749" max="13749" width="6.625" hidden="1"/>
    <col min="13750" max="13750" width="50.125" hidden="1"/>
    <col min="13751" max="13751" width="0.125" hidden="1"/>
    <col min="13752" max="13753" width="8.625" hidden="1"/>
    <col min="13754" max="13754" width="10.625" hidden="1"/>
    <col min="13755" max="13755" width="10" hidden="1"/>
    <col min="13756" max="13756" width="11.625" hidden="1"/>
    <col min="13757" max="13759" width="10.625" hidden="1"/>
    <col min="13760" max="13760" width="9.125" hidden="1"/>
    <col min="13761" max="13762" width="9.625" hidden="1"/>
    <col min="13763" max="13763" width="9.5" hidden="1"/>
    <col min="13764" max="13764" width="9.625" hidden="1"/>
    <col min="13765" max="13765" width="9.5" hidden="1"/>
    <col min="13766" max="13766" width="8.625" hidden="1"/>
    <col min="13767" max="13767" width="10.625" hidden="1"/>
    <col min="13768" max="13769" width="8.625" hidden="1"/>
    <col min="13770" max="13773" width="10.125" hidden="1"/>
    <col min="13774" max="13774" width="8.625" hidden="1"/>
    <col min="13775" max="13775" width="10.125" hidden="1"/>
    <col min="13776" max="13777" width="8.625" hidden="1"/>
    <col min="13778" max="13779" width="9.625" hidden="1"/>
    <col min="13780" max="13780" width="10" hidden="1"/>
    <col min="13781" max="13781" width="9.625" hidden="1"/>
    <col min="13782" max="13782" width="8.625" hidden="1"/>
    <col min="13783" max="13783" width="9.625" hidden="1"/>
    <col min="13784" max="13785" width="8.625" hidden="1"/>
    <col min="13786" max="13786" width="9.125" hidden="1"/>
    <col min="13787" max="13787" width="9.5" hidden="1"/>
    <col min="13788" max="13788" width="10.5" hidden="1"/>
    <col min="13789" max="13789" width="9.5" hidden="1"/>
    <col min="13790" max="13790" width="8.625" hidden="1"/>
    <col min="13791" max="13791" width="11.125" hidden="1"/>
    <col min="13792" max="13793" width="8.625" hidden="1"/>
    <col min="13794" max="13794" width="9.125" hidden="1"/>
    <col min="13795" max="13797" width="9.625" hidden="1"/>
    <col min="13798" max="13798" width="8.625" hidden="1"/>
    <col min="13799" max="13799" width="10.125" hidden="1"/>
    <col min="13800" max="13801" width="8.625" hidden="1"/>
    <col min="13802" max="13802" width="30.125" hidden="1"/>
    <col min="13803" max="13803" width="2.625" hidden="1"/>
    <col min="13804" max="13804" width="18.625" hidden="1"/>
    <col min="13805" max="13805" width="1.625" hidden="1"/>
    <col min="13806" max="14003" width="8.625" hidden="1"/>
    <col min="14004" max="14004" width="0.625" hidden="1"/>
    <col min="14005" max="14005" width="6.625" hidden="1"/>
    <col min="14006" max="14006" width="50.125" hidden="1"/>
    <col min="14007" max="14007" width="0.125" hidden="1"/>
    <col min="14008" max="14009" width="8.625" hidden="1"/>
    <col min="14010" max="14010" width="10.625" hidden="1"/>
    <col min="14011" max="14011" width="10" hidden="1"/>
    <col min="14012" max="14012" width="11.625" hidden="1"/>
    <col min="14013" max="14015" width="10.625" hidden="1"/>
    <col min="14016" max="14016" width="9.125" hidden="1"/>
    <col min="14017" max="14018" width="9.625" hidden="1"/>
    <col min="14019" max="14019" width="9.5" hidden="1"/>
    <col min="14020" max="14020" width="9.625" hidden="1"/>
    <col min="14021" max="14021" width="9.5" hidden="1"/>
    <col min="14022" max="14022" width="8.625" hidden="1"/>
    <col min="14023" max="14023" width="10.625" hidden="1"/>
    <col min="14024" max="14025" width="8.625" hidden="1"/>
    <col min="14026" max="14029" width="10.125" hidden="1"/>
    <col min="14030" max="14030" width="8.625" hidden="1"/>
    <col min="14031" max="14031" width="10.125" hidden="1"/>
    <col min="14032" max="14033" width="8.625" hidden="1"/>
    <col min="14034" max="14035" width="9.625" hidden="1"/>
    <col min="14036" max="14036" width="10" hidden="1"/>
    <col min="14037" max="14037" width="9.625" hidden="1"/>
    <col min="14038" max="14038" width="8.625" hidden="1"/>
    <col min="14039" max="14039" width="9.625" hidden="1"/>
    <col min="14040" max="14041" width="8.625" hidden="1"/>
    <col min="14042" max="14042" width="9.125" hidden="1"/>
    <col min="14043" max="14043" width="9.5" hidden="1"/>
    <col min="14044" max="14044" width="10.5" hidden="1"/>
    <col min="14045" max="14045" width="9.5" hidden="1"/>
    <col min="14046" max="14046" width="8.625" hidden="1"/>
    <col min="14047" max="14047" width="11.125" hidden="1"/>
    <col min="14048" max="14049" width="8.625" hidden="1"/>
    <col min="14050" max="14050" width="9.125" hidden="1"/>
    <col min="14051" max="14053" width="9.625" hidden="1"/>
    <col min="14054" max="14054" width="8.625" hidden="1"/>
    <col min="14055" max="14055" width="10.125" hidden="1"/>
    <col min="14056" max="14057" width="8.625" hidden="1"/>
    <col min="14058" max="14058" width="30.125" hidden="1"/>
    <col min="14059" max="14059" width="2.625" hidden="1"/>
    <col min="14060" max="14060" width="18.625" hidden="1"/>
    <col min="14061" max="14061" width="1.625" hidden="1"/>
    <col min="14062" max="14259" width="8.625" hidden="1"/>
    <col min="14260" max="14260" width="0.625" hidden="1"/>
    <col min="14261" max="14261" width="6.625" hidden="1"/>
    <col min="14262" max="14262" width="50.125" hidden="1"/>
    <col min="14263" max="14263" width="0.125" hidden="1"/>
    <col min="14264" max="14265" width="8.625" hidden="1"/>
    <col min="14266" max="14266" width="10.625" hidden="1"/>
    <col min="14267" max="14267" width="10" hidden="1"/>
    <col min="14268" max="14268" width="11.625" hidden="1"/>
    <col min="14269" max="14271" width="10.625" hidden="1"/>
    <col min="14272" max="14272" width="9.125" hidden="1"/>
    <col min="14273" max="14274" width="9.625" hidden="1"/>
    <col min="14275" max="14275" width="9.5" hidden="1"/>
    <col min="14276" max="14276" width="9.625" hidden="1"/>
    <col min="14277" max="14277" width="9.5" hidden="1"/>
    <col min="14278" max="14278" width="8.625" hidden="1"/>
    <col min="14279" max="14279" width="10.625" hidden="1"/>
    <col min="14280" max="14281" width="8.625" hidden="1"/>
    <col min="14282" max="14285" width="10.125" hidden="1"/>
    <col min="14286" max="14286" width="8.625" hidden="1"/>
    <col min="14287" max="14287" width="10.125" hidden="1"/>
    <col min="14288" max="14289" width="8.625" hidden="1"/>
    <col min="14290" max="14291" width="9.625" hidden="1"/>
    <col min="14292" max="14292" width="10" hidden="1"/>
    <col min="14293" max="14293" width="9.625" hidden="1"/>
    <col min="14294" max="14294" width="8.625" hidden="1"/>
    <col min="14295" max="14295" width="9.625" hidden="1"/>
    <col min="14296" max="14297" width="8.625" hidden="1"/>
    <col min="14298" max="14298" width="9.125" hidden="1"/>
    <col min="14299" max="14299" width="9.5" hidden="1"/>
    <col min="14300" max="14300" width="10.5" hidden="1"/>
    <col min="14301" max="14301" width="9.5" hidden="1"/>
    <col min="14302" max="14302" width="8.625" hidden="1"/>
    <col min="14303" max="14303" width="11.125" hidden="1"/>
    <col min="14304" max="14305" width="8.625" hidden="1"/>
    <col min="14306" max="14306" width="9.125" hidden="1"/>
    <col min="14307" max="14309" width="9.625" hidden="1"/>
    <col min="14310" max="14310" width="8.625" hidden="1"/>
    <col min="14311" max="14311" width="10.125" hidden="1"/>
    <col min="14312" max="14313" width="8.625" hidden="1"/>
    <col min="14314" max="14314" width="30.125" hidden="1"/>
    <col min="14315" max="14315" width="2.625" hidden="1"/>
    <col min="14316" max="14316" width="18.625" hidden="1"/>
    <col min="14317" max="14317" width="1.625" hidden="1"/>
    <col min="14318" max="14515" width="8.625" hidden="1"/>
    <col min="14516" max="14516" width="0.625" hidden="1"/>
    <col min="14517" max="14517" width="6.625" hidden="1"/>
    <col min="14518" max="14518" width="50.125" hidden="1"/>
    <col min="14519" max="14519" width="0.125" hidden="1"/>
    <col min="14520" max="14521" width="8.625" hidden="1"/>
    <col min="14522" max="14522" width="10.625" hidden="1"/>
    <col min="14523" max="14523" width="10" hidden="1"/>
    <col min="14524" max="14524" width="11.625" hidden="1"/>
    <col min="14525" max="14527" width="10.625" hidden="1"/>
    <col min="14528" max="14528" width="9.125" hidden="1"/>
    <col min="14529" max="14530" width="9.625" hidden="1"/>
    <col min="14531" max="14531" width="9.5" hidden="1"/>
    <col min="14532" max="14532" width="9.625" hidden="1"/>
    <col min="14533" max="14533" width="9.5" hidden="1"/>
    <col min="14534" max="14534" width="8.625" hidden="1"/>
    <col min="14535" max="14535" width="10.625" hidden="1"/>
    <col min="14536" max="14537" width="8.625" hidden="1"/>
    <col min="14538" max="14541" width="10.125" hidden="1"/>
    <col min="14542" max="14542" width="8.625" hidden="1"/>
    <col min="14543" max="14543" width="10.125" hidden="1"/>
    <col min="14544" max="14545" width="8.625" hidden="1"/>
    <col min="14546" max="14547" width="9.625" hidden="1"/>
    <col min="14548" max="14548" width="10" hidden="1"/>
    <col min="14549" max="14549" width="9.625" hidden="1"/>
    <col min="14550" max="14550" width="8.625" hidden="1"/>
    <col min="14551" max="14551" width="9.625" hidden="1"/>
    <col min="14552" max="14553" width="8.625" hidden="1"/>
    <col min="14554" max="14554" width="9.125" hidden="1"/>
    <col min="14555" max="14555" width="9.5" hidden="1"/>
    <col min="14556" max="14556" width="10.5" hidden="1"/>
    <col min="14557" max="14557" width="9.5" hidden="1"/>
    <col min="14558" max="14558" width="8.625" hidden="1"/>
    <col min="14559" max="14559" width="11.125" hidden="1"/>
    <col min="14560" max="14561" width="8.625" hidden="1"/>
    <col min="14562" max="14562" width="9.125" hidden="1"/>
    <col min="14563" max="14565" width="9.625" hidden="1"/>
    <col min="14566" max="14566" width="8.625" hidden="1"/>
    <col min="14567" max="14567" width="10.125" hidden="1"/>
    <col min="14568" max="14569" width="8.625" hidden="1"/>
    <col min="14570" max="14570" width="30.125" hidden="1"/>
    <col min="14571" max="14571" width="2.625" hidden="1"/>
    <col min="14572" max="14572" width="18.625" hidden="1"/>
    <col min="14573" max="14573" width="1.625" hidden="1"/>
    <col min="14574" max="14771" width="8.625" hidden="1"/>
    <col min="14772" max="14772" width="0.625" hidden="1"/>
    <col min="14773" max="14773" width="6.625" hidden="1"/>
    <col min="14774" max="14774" width="50.125" hidden="1"/>
    <col min="14775" max="14775" width="0.125" hidden="1"/>
    <col min="14776" max="14777" width="8.625" hidden="1"/>
    <col min="14778" max="14778" width="10.625" hidden="1"/>
    <col min="14779" max="14779" width="10" hidden="1"/>
    <col min="14780" max="14780" width="11.625" hidden="1"/>
    <col min="14781" max="14783" width="10.625" hidden="1"/>
    <col min="14784" max="14784" width="9.125" hidden="1"/>
    <col min="14785" max="14786" width="9.625" hidden="1"/>
    <col min="14787" max="14787" width="9.5" hidden="1"/>
    <col min="14788" max="14788" width="9.625" hidden="1"/>
    <col min="14789" max="14789" width="9.5" hidden="1"/>
    <col min="14790" max="14790" width="8.625" hidden="1"/>
    <col min="14791" max="14791" width="10.625" hidden="1"/>
    <col min="14792" max="14793" width="8.625" hidden="1"/>
    <col min="14794" max="14797" width="10.125" hidden="1"/>
    <col min="14798" max="14798" width="8.625" hidden="1"/>
    <col min="14799" max="14799" width="10.125" hidden="1"/>
    <col min="14800" max="14801" width="8.625" hidden="1"/>
    <col min="14802" max="14803" width="9.625" hidden="1"/>
    <col min="14804" max="14804" width="10" hidden="1"/>
    <col min="14805" max="14805" width="9.625" hidden="1"/>
    <col min="14806" max="14806" width="8.625" hidden="1"/>
    <col min="14807" max="14807" width="9.625" hidden="1"/>
    <col min="14808" max="14809" width="8.625" hidden="1"/>
    <col min="14810" max="14810" width="9.125" hidden="1"/>
    <col min="14811" max="14811" width="9.5" hidden="1"/>
    <col min="14812" max="14812" width="10.5" hidden="1"/>
    <col min="14813" max="14813" width="9.5" hidden="1"/>
    <col min="14814" max="14814" width="8.625" hidden="1"/>
    <col min="14815" max="14815" width="11.125" hidden="1"/>
    <col min="14816" max="14817" width="8.625" hidden="1"/>
    <col min="14818" max="14818" width="9.125" hidden="1"/>
    <col min="14819" max="14821" width="9.625" hidden="1"/>
    <col min="14822" max="14822" width="8.625" hidden="1"/>
    <col min="14823" max="14823" width="10.125" hidden="1"/>
    <col min="14824" max="14825" width="8.625" hidden="1"/>
    <col min="14826" max="14826" width="30.125" hidden="1"/>
    <col min="14827" max="14827" width="2.625" hidden="1"/>
    <col min="14828" max="14828" width="18.625" hidden="1"/>
    <col min="14829" max="14829" width="1.625" hidden="1"/>
    <col min="14830" max="15027" width="8.625" hidden="1"/>
    <col min="15028" max="15028" width="0.625" hidden="1"/>
    <col min="15029" max="15029" width="6.625" hidden="1"/>
    <col min="15030" max="15030" width="50.125" hidden="1"/>
    <col min="15031" max="15031" width="0.125" hidden="1"/>
    <col min="15032" max="15033" width="8.625" hidden="1"/>
    <col min="15034" max="15034" width="10.625" hidden="1"/>
    <col min="15035" max="15035" width="10" hidden="1"/>
    <col min="15036" max="15036" width="11.625" hidden="1"/>
    <col min="15037" max="15039" width="10.625" hidden="1"/>
    <col min="15040" max="15040" width="9.125" hidden="1"/>
    <col min="15041" max="15042" width="9.625" hidden="1"/>
    <col min="15043" max="15043" width="9.5" hidden="1"/>
    <col min="15044" max="15044" width="9.625" hidden="1"/>
    <col min="15045" max="15045" width="9.5" hidden="1"/>
    <col min="15046" max="15046" width="8.625" hidden="1"/>
    <col min="15047" max="15047" width="10.625" hidden="1"/>
    <col min="15048" max="15049" width="8.625" hidden="1"/>
    <col min="15050" max="15053" width="10.125" hidden="1"/>
    <col min="15054" max="15054" width="8.625" hidden="1"/>
    <col min="15055" max="15055" width="10.125" hidden="1"/>
    <col min="15056" max="15057" width="8.625" hidden="1"/>
    <col min="15058" max="15059" width="9.625" hidden="1"/>
    <col min="15060" max="15060" width="10" hidden="1"/>
    <col min="15061" max="15061" width="9.625" hidden="1"/>
    <col min="15062" max="15062" width="8.625" hidden="1"/>
    <col min="15063" max="15063" width="9.625" hidden="1"/>
    <col min="15064" max="15065" width="8.625" hidden="1"/>
    <col min="15066" max="15066" width="9.125" hidden="1"/>
    <col min="15067" max="15067" width="9.5" hidden="1"/>
    <col min="15068" max="15068" width="10.5" hidden="1"/>
    <col min="15069" max="15069" width="9.5" hidden="1"/>
    <col min="15070" max="15070" width="8.625" hidden="1"/>
    <col min="15071" max="15071" width="11.125" hidden="1"/>
    <col min="15072" max="15073" width="8.625" hidden="1"/>
    <col min="15074" max="15074" width="9.125" hidden="1"/>
    <col min="15075" max="15077" width="9.625" hidden="1"/>
    <col min="15078" max="15078" width="8.625" hidden="1"/>
    <col min="15079" max="15079" width="10.125" hidden="1"/>
    <col min="15080" max="15081" width="8.625" hidden="1"/>
    <col min="15082" max="15082" width="30.125" hidden="1"/>
    <col min="15083" max="15083" width="2.625" hidden="1"/>
    <col min="15084" max="15084" width="18.625" hidden="1"/>
    <col min="15085" max="15085" width="1.625" hidden="1"/>
    <col min="15086" max="15283" width="8.625" hidden="1"/>
    <col min="15284" max="15284" width="0.625" hidden="1"/>
    <col min="15285" max="15285" width="6.625" hidden="1"/>
    <col min="15286" max="15286" width="50.125" hidden="1"/>
    <col min="15287" max="15287" width="0.125" hidden="1"/>
    <col min="15288" max="15289" width="8.625" hidden="1"/>
    <col min="15290" max="15290" width="10.625" hidden="1"/>
    <col min="15291" max="15291" width="10" hidden="1"/>
    <col min="15292" max="15292" width="11.625" hidden="1"/>
    <col min="15293" max="15295" width="10.625" hidden="1"/>
    <col min="15296" max="15296" width="9.125" hidden="1"/>
    <col min="15297" max="15298" width="9.625" hidden="1"/>
    <col min="15299" max="15299" width="9.5" hidden="1"/>
    <col min="15300" max="15300" width="9.625" hidden="1"/>
    <col min="15301" max="15301" width="9.5" hidden="1"/>
    <col min="15302" max="15302" width="8.625" hidden="1"/>
    <col min="15303" max="15303" width="10.625" hidden="1"/>
    <col min="15304" max="15305" width="8.625" hidden="1"/>
    <col min="15306" max="15309" width="10.125" hidden="1"/>
    <col min="15310" max="15310" width="8.625" hidden="1"/>
    <col min="15311" max="15311" width="10.125" hidden="1"/>
    <col min="15312" max="15313" width="8.625" hidden="1"/>
    <col min="15314" max="15315" width="9.625" hidden="1"/>
    <col min="15316" max="15316" width="10" hidden="1"/>
    <col min="15317" max="15317" width="9.625" hidden="1"/>
    <col min="15318" max="15318" width="8.625" hidden="1"/>
    <col min="15319" max="15319" width="9.625" hidden="1"/>
    <col min="15320" max="15321" width="8.625" hidden="1"/>
    <col min="15322" max="15322" width="9.125" hidden="1"/>
    <col min="15323" max="15323" width="9.5" hidden="1"/>
    <col min="15324" max="15324" width="10.5" hidden="1"/>
    <col min="15325" max="15325" width="9.5" hidden="1"/>
    <col min="15326" max="15326" width="8.625" hidden="1"/>
    <col min="15327" max="15327" width="11.125" hidden="1"/>
    <col min="15328" max="15329" width="8.625" hidden="1"/>
    <col min="15330" max="15330" width="9.125" hidden="1"/>
    <col min="15331" max="15333" width="9.625" hidden="1"/>
    <col min="15334" max="15334" width="8.625" hidden="1"/>
    <col min="15335" max="15335" width="10.125" hidden="1"/>
    <col min="15336" max="15337" width="8.625" hidden="1"/>
    <col min="15338" max="15338" width="30.125" hidden="1"/>
    <col min="15339" max="15339" width="2.625" hidden="1"/>
    <col min="15340" max="15340" width="18.625" hidden="1"/>
    <col min="15341" max="15341" width="1.625" hidden="1"/>
    <col min="15342" max="15539" width="8.625" hidden="1"/>
    <col min="15540" max="15540" width="0.625" hidden="1"/>
    <col min="15541" max="15541" width="6.625" hidden="1"/>
    <col min="15542" max="15542" width="50.125" hidden="1"/>
    <col min="15543" max="15543" width="0.125" hidden="1"/>
    <col min="15544" max="15545" width="8.625" hidden="1"/>
    <col min="15546" max="15546" width="10.625" hidden="1"/>
    <col min="15547" max="15547" width="10" hidden="1"/>
    <col min="15548" max="15548" width="11.625" hidden="1"/>
    <col min="15549" max="15551" width="10.625" hidden="1"/>
    <col min="15552" max="15552" width="9.125" hidden="1"/>
    <col min="15553" max="15554" width="9.625" hidden="1"/>
    <col min="15555" max="15555" width="9.5" hidden="1"/>
    <col min="15556" max="15556" width="9.625" hidden="1"/>
    <col min="15557" max="15557" width="9.5" hidden="1"/>
    <col min="15558" max="15558" width="8.625" hidden="1"/>
    <col min="15559" max="15559" width="10.625" hidden="1"/>
    <col min="15560" max="15561" width="8.625" hidden="1"/>
    <col min="15562" max="15565" width="10.125" hidden="1"/>
    <col min="15566" max="15566" width="8.625" hidden="1"/>
    <col min="15567" max="15567" width="10.125" hidden="1"/>
    <col min="15568" max="15569" width="8.625" hidden="1"/>
    <col min="15570" max="15571" width="9.625" hidden="1"/>
    <col min="15572" max="15572" width="10" hidden="1"/>
    <col min="15573" max="15573" width="9.625" hidden="1"/>
    <col min="15574" max="15574" width="8.625" hidden="1"/>
    <col min="15575" max="15575" width="9.625" hidden="1"/>
    <col min="15576" max="15577" width="8.625" hidden="1"/>
    <col min="15578" max="15578" width="9.125" hidden="1"/>
    <col min="15579" max="15579" width="9.5" hidden="1"/>
    <col min="15580" max="15580" width="10.5" hidden="1"/>
    <col min="15581" max="15581" width="9.5" hidden="1"/>
    <col min="15582" max="15582" width="8.625" hidden="1"/>
    <col min="15583" max="15583" width="11.125" hidden="1"/>
    <col min="15584" max="15585" width="8.625" hidden="1"/>
    <col min="15586" max="15586" width="9.125" hidden="1"/>
    <col min="15587" max="15589" width="9.625" hidden="1"/>
    <col min="15590" max="15590" width="8.625" hidden="1"/>
    <col min="15591" max="15591" width="10.125" hidden="1"/>
    <col min="15592" max="15593" width="8.625" hidden="1"/>
    <col min="15594" max="15594" width="30.125" hidden="1"/>
    <col min="15595" max="15595" width="2.625" hidden="1"/>
    <col min="15596" max="15596" width="18.625" hidden="1"/>
    <col min="15597" max="15597" width="1.625" hidden="1"/>
    <col min="15598" max="15795" width="8.625" hidden="1"/>
    <col min="15796" max="15796" width="0.625" hidden="1"/>
    <col min="15797" max="15797" width="6.625" hidden="1"/>
    <col min="15798" max="15798" width="50.125" hidden="1"/>
    <col min="15799" max="15799" width="0.125" hidden="1"/>
    <col min="15800" max="15801" width="8.625" hidden="1"/>
    <col min="15802" max="15802" width="10.625" hidden="1"/>
    <col min="15803" max="15803" width="10" hidden="1"/>
    <col min="15804" max="15804" width="11.625" hidden="1"/>
    <col min="15805" max="15807" width="10.625" hidden="1"/>
    <col min="15808" max="15808" width="9.125" hidden="1"/>
    <col min="15809" max="15810" width="9.625" hidden="1"/>
    <col min="15811" max="15811" width="9.5" hidden="1"/>
    <col min="15812" max="15812" width="9.625" hidden="1"/>
    <col min="15813" max="15813" width="9.5" hidden="1"/>
    <col min="15814" max="15814" width="8.625" hidden="1"/>
    <col min="15815" max="15815" width="10.625" hidden="1"/>
    <col min="15816" max="15817" width="8.625" hidden="1"/>
    <col min="15818" max="15821" width="10.125" hidden="1"/>
    <col min="15822" max="15822" width="8.625" hidden="1"/>
    <col min="15823" max="15823" width="10.125" hidden="1"/>
    <col min="15824" max="15825" width="8.625" hidden="1"/>
    <col min="15826" max="15827" width="9.625" hidden="1"/>
    <col min="15828" max="15828" width="10" hidden="1"/>
    <col min="15829" max="15829" width="9.625" hidden="1"/>
    <col min="15830" max="15830" width="8.625" hidden="1"/>
    <col min="15831" max="15831" width="9.625" hidden="1"/>
    <col min="15832" max="15833" width="8.625" hidden="1"/>
    <col min="15834" max="15834" width="9.125" hidden="1"/>
    <col min="15835" max="15835" width="9.5" hidden="1"/>
    <col min="15836" max="15836" width="10.5" hidden="1"/>
    <col min="15837" max="15837" width="9.5" hidden="1"/>
    <col min="15838" max="15838" width="8.625" hidden="1"/>
    <col min="15839" max="15839" width="11.125" hidden="1"/>
    <col min="15840" max="15841" width="8.625" hidden="1"/>
    <col min="15842" max="15842" width="9.125" hidden="1"/>
    <col min="15843" max="15845" width="9.625" hidden="1"/>
    <col min="15846" max="15846" width="8.625" hidden="1"/>
    <col min="15847" max="15847" width="10.125" hidden="1"/>
    <col min="15848" max="15849" width="8.625" hidden="1"/>
    <col min="15850" max="15850" width="30.125" hidden="1"/>
    <col min="15851" max="15851" width="2.625" hidden="1"/>
    <col min="15852" max="15852" width="18.625" hidden="1"/>
    <col min="15853" max="15853" width="1.625" hidden="1"/>
    <col min="15854" max="16051" width="8.625" hidden="1"/>
    <col min="16052" max="16052" width="0.625" hidden="1"/>
    <col min="16053" max="16053" width="6.625" hidden="1"/>
    <col min="16054" max="16054" width="50.125" hidden="1"/>
    <col min="16055" max="16055" width="0.125" hidden="1"/>
    <col min="16056" max="16057" width="8.625" hidden="1"/>
    <col min="16058" max="16058" width="10.625" hidden="1"/>
    <col min="16059" max="16059" width="10" hidden="1"/>
    <col min="16060" max="16060" width="11.625" hidden="1"/>
    <col min="16061" max="16063" width="10.625" hidden="1"/>
    <col min="16064" max="16064" width="9.125" hidden="1"/>
    <col min="16065" max="16066" width="9.625" hidden="1"/>
    <col min="16067" max="16067" width="9.5" hidden="1"/>
    <col min="16068" max="16068" width="9.625" hidden="1"/>
    <col min="16069" max="16069" width="9.5" hidden="1"/>
    <col min="16070" max="16070" width="8.625" hidden="1"/>
    <col min="16071" max="16071" width="10.625" hidden="1"/>
    <col min="16072" max="16073" width="8.625" hidden="1"/>
    <col min="16074" max="16077" width="10.125" hidden="1"/>
    <col min="16078" max="16078" width="8.625" hidden="1"/>
    <col min="16079" max="16079" width="10.125" hidden="1"/>
    <col min="16080" max="16081" width="8.625" hidden="1"/>
    <col min="16082" max="16083" width="9.625" hidden="1"/>
    <col min="16084" max="16084" width="10" hidden="1"/>
    <col min="16085" max="16085" width="9.625" hidden="1"/>
    <col min="16086" max="16086" width="8.625" hidden="1"/>
    <col min="16087" max="16087" width="9.625" hidden="1"/>
    <col min="16088" max="16089" width="8.625" hidden="1"/>
    <col min="16090" max="16090" width="9.125" hidden="1"/>
    <col min="16091" max="16091" width="9.5" hidden="1"/>
    <col min="16092" max="16092" width="10.5" hidden="1"/>
    <col min="16093" max="16093" width="9.5" hidden="1"/>
    <col min="16094" max="16094" width="8.625" hidden="1"/>
    <col min="16095" max="16095" width="11.125" hidden="1"/>
    <col min="16096" max="16097" width="8.625" hidden="1"/>
    <col min="16098" max="16098" width="9.125" hidden="1"/>
    <col min="16099" max="16101" width="9.625" hidden="1"/>
    <col min="16102" max="16102" width="8.625" hidden="1"/>
    <col min="16103" max="16103" width="10.125" hidden="1"/>
    <col min="16104" max="16105" width="8.625" hidden="1"/>
    <col min="16106" max="16106" width="30.125" hidden="1"/>
    <col min="16107" max="16107" width="2.625" hidden="1"/>
    <col min="16108" max="16108" width="18.625" hidden="1"/>
    <col min="16109" max="16109" width="1.625" hidden="1"/>
    <col min="16110" max="16384" width="8.625" hidden="1"/>
  </cols>
  <sheetData>
    <row r="1" spans="1:44" ht="20.25">
      <c r="B1" s="62" t="s">
        <v>7548</v>
      </c>
      <c r="C1" s="61"/>
      <c r="D1" s="61"/>
      <c r="E1" s="61"/>
      <c r="F1" s="61"/>
      <c r="G1" s="61"/>
      <c r="H1" s="61"/>
      <c r="I1" s="61"/>
      <c r="J1" s="61"/>
      <c r="K1" s="61"/>
      <c r="L1" s="61"/>
      <c r="M1" s="61"/>
      <c r="N1" s="61" t="str">
        <f>Validation!B3</f>
        <v>Thames Water</v>
      </c>
      <c r="O1" s="61"/>
      <c r="P1" s="62" t="s">
        <v>94</v>
      </c>
      <c r="AG1" s="62" t="s">
        <v>7548</v>
      </c>
      <c r="AH1" s="61"/>
      <c r="AI1" s="61"/>
      <c r="AJ1" s="61"/>
      <c r="AK1" s="61"/>
      <c r="AL1" s="61"/>
      <c r="AM1" s="61"/>
      <c r="AN1" s="61"/>
      <c r="AO1" s="61"/>
      <c r="AP1" s="61"/>
      <c r="AQ1" s="61"/>
      <c r="AR1" s="61"/>
    </row>
    <row r="2" spans="1:44" ht="15" thickBot="1">
      <c r="B2" s="68" t="s">
        <v>80</v>
      </c>
      <c r="AG2" s="68" t="s">
        <v>80</v>
      </c>
    </row>
    <row r="3" spans="1:44" ht="70.349999999999994" customHeight="1" thickBot="1">
      <c r="A3" s="553"/>
      <c r="B3" s="896" t="s">
        <v>4255</v>
      </c>
      <c r="C3" s="854" t="s">
        <v>2</v>
      </c>
      <c r="D3" s="855" t="s">
        <v>2690</v>
      </c>
      <c r="E3" s="855" t="s">
        <v>3</v>
      </c>
      <c r="F3" s="1116" t="s">
        <v>99</v>
      </c>
      <c r="G3" s="160" t="s">
        <v>7549</v>
      </c>
      <c r="H3" s="301" t="s">
        <v>7550</v>
      </c>
      <c r="I3" s="1274" t="s">
        <v>7551</v>
      </c>
      <c r="J3" s="301" t="s">
        <v>7552</v>
      </c>
      <c r="K3" s="301" t="s">
        <v>7553</v>
      </c>
      <c r="L3" s="301" t="s">
        <v>7554</v>
      </c>
      <c r="M3" s="161" t="s">
        <v>680</v>
      </c>
      <c r="N3" s="162" t="s">
        <v>3938</v>
      </c>
      <c r="O3" s="65"/>
      <c r="P3" s="162" t="s">
        <v>103</v>
      </c>
      <c r="Q3" s="553"/>
      <c r="S3" s="71" t="s">
        <v>107</v>
      </c>
      <c r="T3" s="1753"/>
      <c r="U3" s="1753"/>
      <c r="V3" s="1753"/>
      <c r="W3" s="583"/>
      <c r="X3" s="583"/>
      <c r="Z3" s="2194" t="s">
        <v>86</v>
      </c>
      <c r="AA3" s="66"/>
      <c r="AB3" s="71" t="s">
        <v>742</v>
      </c>
      <c r="AC3" s="2194"/>
      <c r="AD3" s="2194"/>
      <c r="AE3" s="66"/>
      <c r="AG3" s="2219" t="s">
        <v>4255</v>
      </c>
      <c r="AH3" s="853" t="s">
        <v>2</v>
      </c>
      <c r="AI3" s="855" t="s">
        <v>2690</v>
      </c>
      <c r="AJ3" s="855" t="s">
        <v>3</v>
      </c>
      <c r="AK3" s="1116" t="s">
        <v>99</v>
      </c>
      <c r="AL3" s="160" t="s">
        <v>7549</v>
      </c>
      <c r="AM3" s="301" t="s">
        <v>7550</v>
      </c>
      <c r="AN3" s="1274" t="s">
        <v>7551</v>
      </c>
      <c r="AO3" s="301" t="s">
        <v>7552</v>
      </c>
      <c r="AP3" s="301" t="s">
        <v>7553</v>
      </c>
      <c r="AQ3" s="301" t="s">
        <v>7554</v>
      </c>
      <c r="AR3" s="161" t="s">
        <v>680</v>
      </c>
    </row>
    <row r="4" spans="1:44" ht="15" thickBot="1">
      <c r="A4" s="553"/>
      <c r="B4" s="1117"/>
      <c r="C4" s="553"/>
      <c r="D4" s="553"/>
      <c r="E4" s="553"/>
      <c r="F4" s="553"/>
      <c r="G4" s="553"/>
      <c r="H4" s="553"/>
      <c r="I4" s="553"/>
      <c r="J4" s="553"/>
      <c r="K4" s="553"/>
      <c r="L4" s="553"/>
      <c r="M4" s="553"/>
      <c r="N4" s="1118"/>
      <c r="O4" s="515"/>
      <c r="Q4" s="553"/>
      <c r="R4" s="1701"/>
      <c r="S4" s="78" t="s">
        <v>108</v>
      </c>
      <c r="T4" s="553"/>
      <c r="U4" s="553"/>
      <c r="V4" s="553"/>
      <c r="AG4" s="1117"/>
      <c r="AH4" s="553"/>
      <c r="AI4" s="553"/>
      <c r="AJ4" s="553"/>
      <c r="AK4" s="553"/>
      <c r="AL4" s="553" t="s">
        <v>2304</v>
      </c>
      <c r="AM4" s="553" t="s">
        <v>7555</v>
      </c>
      <c r="AN4" s="553" t="s">
        <v>7556</v>
      </c>
      <c r="AO4" s="553" t="s">
        <v>2119</v>
      </c>
      <c r="AP4" s="553" t="s">
        <v>2096</v>
      </c>
      <c r="AQ4" s="553" t="s">
        <v>7557</v>
      </c>
      <c r="AR4" s="553" t="s">
        <v>7558</v>
      </c>
    </row>
    <row r="5" spans="1:44" ht="15" thickBot="1">
      <c r="A5" s="553"/>
      <c r="B5" s="2553" t="s">
        <v>745</v>
      </c>
      <c r="C5" s="2554"/>
      <c r="D5" s="553"/>
      <c r="E5" s="553"/>
      <c r="F5" s="553"/>
      <c r="G5" s="553"/>
      <c r="H5" s="553"/>
      <c r="I5" s="553"/>
      <c r="J5" s="553"/>
      <c r="K5" s="553"/>
      <c r="L5" s="553"/>
      <c r="M5" s="553"/>
      <c r="N5" s="1118"/>
      <c r="O5" s="515"/>
      <c r="Q5" s="553"/>
      <c r="R5" s="1701"/>
      <c r="S5" s="553"/>
      <c r="T5" s="553"/>
      <c r="U5" s="553"/>
      <c r="V5" s="553"/>
      <c r="AG5" s="2428" t="s">
        <v>745</v>
      </c>
      <c r="AH5" s="2552"/>
      <c r="AI5" s="553"/>
      <c r="AJ5" s="553"/>
      <c r="AK5" s="553"/>
      <c r="AL5" s="553"/>
      <c r="AM5" s="553"/>
      <c r="AN5" s="553"/>
      <c r="AO5" s="553"/>
      <c r="AP5" s="553"/>
      <c r="AQ5" s="553"/>
      <c r="AR5" s="553"/>
    </row>
    <row r="6" spans="1:44" ht="15.75" thickBot="1">
      <c r="B6" s="1739" t="s">
        <v>214</v>
      </c>
      <c r="C6" s="1740" t="s">
        <v>7559</v>
      </c>
      <c r="AG6" s="2219" t="s">
        <v>214</v>
      </c>
      <c r="AH6" s="904" t="s">
        <v>7559</v>
      </c>
    </row>
    <row r="7" spans="1:44" ht="15">
      <c r="B7" s="1754" t="s">
        <v>7560</v>
      </c>
      <c r="C7" s="1757" t="s">
        <v>869</v>
      </c>
      <c r="D7" s="1741" t="s">
        <v>7561</v>
      </c>
      <c r="E7" s="1762" t="s">
        <v>8</v>
      </c>
      <c r="F7" s="1763">
        <v>3</v>
      </c>
      <c r="G7" s="1124">
        <v>5.3813377062067243E-2</v>
      </c>
      <c r="H7" s="1125">
        <v>5.8201938738146151</v>
      </c>
      <c r="I7" s="1125">
        <v>0.93411220252914806</v>
      </c>
      <c r="J7" s="1125">
        <v>6.5317358266008467</v>
      </c>
      <c r="K7" s="1126">
        <v>1.6299167737706802E-2</v>
      </c>
      <c r="L7" s="1126">
        <v>0</v>
      </c>
      <c r="M7" s="1127">
        <f>SUM(G7:L7)</f>
        <v>13.356154447744384</v>
      </c>
      <c r="N7" s="1893"/>
      <c r="P7" s="25">
        <f xml:space="preserve"> IF( SUM( R7:Y7 ) = 0, 0, $S$4 )</f>
        <v>0</v>
      </c>
      <c r="Q7" s="1016"/>
      <c r="R7" s="66"/>
      <c r="S7" s="86">
        <f t="shared" ref="S7:X13" si="0" xml:space="preserve"> IF( ISNUMBER( G7 ), 0, 1 )</f>
        <v>0</v>
      </c>
      <c r="T7" s="86">
        <f t="shared" si="0"/>
        <v>0</v>
      </c>
      <c r="U7" s="86">
        <f t="shared" si="0"/>
        <v>0</v>
      </c>
      <c r="V7" s="86">
        <f t="shared" si="0"/>
        <v>0</v>
      </c>
      <c r="W7" s="86">
        <f t="shared" si="0"/>
        <v>0</v>
      </c>
      <c r="X7" s="86">
        <f t="shared" si="0"/>
        <v>0</v>
      </c>
      <c r="Y7" s="66"/>
      <c r="AG7" s="1119" t="s">
        <v>7560</v>
      </c>
      <c r="AH7" s="1120" t="s">
        <v>869</v>
      </c>
      <c r="AI7" s="1575" t="s">
        <v>7561</v>
      </c>
      <c r="AJ7" s="1122" t="s">
        <v>8</v>
      </c>
      <c r="AK7" s="1123">
        <v>3</v>
      </c>
      <c r="AL7" s="1124" t="str">
        <f>$D7&amp;AL$4</f>
        <v>BM102IR</v>
      </c>
      <c r="AM7" s="1125" t="str">
        <f t="shared" ref="AM7:AR14" si="1">$D7&amp;AM$4</f>
        <v>BM102PS</v>
      </c>
      <c r="AN7" s="1125" t="str">
        <f t="shared" si="1"/>
        <v>BM102RS</v>
      </c>
      <c r="AO7" s="1125" t="str">
        <f t="shared" si="1"/>
        <v>BM102BO</v>
      </c>
      <c r="AP7" s="1126" t="str">
        <f t="shared" si="1"/>
        <v>BM102AR</v>
      </c>
      <c r="AQ7" s="1126" t="str">
        <f t="shared" si="1"/>
        <v>BM102ASR</v>
      </c>
      <c r="AR7" s="1127" t="str">
        <f t="shared" si="1"/>
        <v>BM102WRTOT</v>
      </c>
    </row>
    <row r="8" spans="1:44" ht="15">
      <c r="B8" s="1755" t="s">
        <v>7562</v>
      </c>
      <c r="C8" s="1758" t="s">
        <v>7563</v>
      </c>
      <c r="D8" s="1742" t="s">
        <v>7564</v>
      </c>
      <c r="E8" s="1764" t="s">
        <v>8</v>
      </c>
      <c r="F8" s="1765">
        <v>3</v>
      </c>
      <c r="G8" s="1133">
        <v>0</v>
      </c>
      <c r="H8" s="1134">
        <v>-0.11507722281855</v>
      </c>
      <c r="I8" s="1134">
        <v>-6.9394159519457202E-3</v>
      </c>
      <c r="J8" s="1134">
        <v>0</v>
      </c>
      <c r="K8" s="1135">
        <v>0</v>
      </c>
      <c r="L8" s="1135">
        <v>0</v>
      </c>
      <c r="M8" s="1136">
        <f t="shared" ref="M8:M14" si="2">SUM(G8:L8)</f>
        <v>-0.12201663877049572</v>
      </c>
      <c r="N8" s="1894"/>
      <c r="P8" s="25">
        <f xml:space="preserve"> IF( SUM( R8:Y8 ) = 0, 0, $S$4 )</f>
        <v>0</v>
      </c>
      <c r="Q8" s="1016"/>
      <c r="R8" s="66"/>
      <c r="S8" s="86">
        <f t="shared" si="0"/>
        <v>0</v>
      </c>
      <c r="T8" s="86">
        <f t="shared" si="0"/>
        <v>0</v>
      </c>
      <c r="U8" s="86">
        <f t="shared" si="0"/>
        <v>0</v>
      </c>
      <c r="V8" s="86">
        <f t="shared" si="0"/>
        <v>0</v>
      </c>
      <c r="W8" s="86">
        <f t="shared" si="0"/>
        <v>0</v>
      </c>
      <c r="X8" s="86">
        <f t="shared" si="0"/>
        <v>0</v>
      </c>
      <c r="Y8" s="66"/>
      <c r="AG8" s="1128" t="s">
        <v>7562</v>
      </c>
      <c r="AH8" s="1129" t="s">
        <v>7563</v>
      </c>
      <c r="AI8" s="1576" t="s">
        <v>7564</v>
      </c>
      <c r="AJ8" s="1131" t="s">
        <v>8</v>
      </c>
      <c r="AK8" s="1132">
        <v>3</v>
      </c>
      <c r="AL8" s="1133" t="str">
        <f t="shared" ref="AL8:AL14" si="3">$D8&amp;AL$4</f>
        <v>BM836IR</v>
      </c>
      <c r="AM8" s="1134" t="str">
        <f t="shared" si="1"/>
        <v>BM836PS</v>
      </c>
      <c r="AN8" s="1134" t="str">
        <f t="shared" si="1"/>
        <v>BM836RS</v>
      </c>
      <c r="AO8" s="1134" t="str">
        <f t="shared" si="1"/>
        <v>BM836BO</v>
      </c>
      <c r="AP8" s="1135" t="str">
        <f t="shared" si="1"/>
        <v>BM836AR</v>
      </c>
      <c r="AQ8" s="1135" t="str">
        <f t="shared" si="1"/>
        <v>BM836ASR</v>
      </c>
      <c r="AR8" s="1136" t="str">
        <f t="shared" si="1"/>
        <v>BM836WRTOT</v>
      </c>
    </row>
    <row r="9" spans="1:44" ht="15">
      <c r="B9" s="1755" t="s">
        <v>7565</v>
      </c>
      <c r="C9" s="1758" t="s">
        <v>925</v>
      </c>
      <c r="D9" s="1742" t="s">
        <v>7566</v>
      </c>
      <c r="E9" s="1764" t="s">
        <v>8</v>
      </c>
      <c r="F9" s="1765">
        <v>3</v>
      </c>
      <c r="G9" s="1133">
        <v>0.12582989929951199</v>
      </c>
      <c r="H9" s="1134">
        <v>2.5131027110096982</v>
      </c>
      <c r="I9" s="1134">
        <v>6.990549961084E-2</v>
      </c>
      <c r="J9" s="1134">
        <v>0.77944632066086594</v>
      </c>
      <c r="K9" s="1135">
        <v>6.9905499610840001E-3</v>
      </c>
      <c r="L9" s="1135">
        <v>0</v>
      </c>
      <c r="M9" s="1136">
        <f t="shared" si="2"/>
        <v>3.4952749805420003</v>
      </c>
      <c r="N9" s="1894"/>
      <c r="P9" s="25">
        <f xml:space="preserve"> IF( SUM( R9:Y9 ) = 0, 0, $S$4 )</f>
        <v>0</v>
      </c>
      <c r="Q9" s="1016"/>
      <c r="R9" s="66"/>
      <c r="S9" s="86">
        <f t="shared" si="0"/>
        <v>0</v>
      </c>
      <c r="T9" s="86">
        <f t="shared" si="0"/>
        <v>0</v>
      </c>
      <c r="U9" s="86">
        <f t="shared" si="0"/>
        <v>0</v>
      </c>
      <c r="V9" s="86">
        <f t="shared" si="0"/>
        <v>0</v>
      </c>
      <c r="W9" s="86">
        <f t="shared" si="0"/>
        <v>0</v>
      </c>
      <c r="X9" s="86">
        <f t="shared" si="0"/>
        <v>0</v>
      </c>
      <c r="Y9" s="66"/>
      <c r="AG9" s="1128" t="s">
        <v>7565</v>
      </c>
      <c r="AH9" s="1129" t="s">
        <v>925</v>
      </c>
      <c r="AI9" s="1576" t="s">
        <v>7566</v>
      </c>
      <c r="AJ9" s="1131" t="s">
        <v>8</v>
      </c>
      <c r="AK9" s="1132">
        <v>3</v>
      </c>
      <c r="AL9" s="1133" t="str">
        <f t="shared" si="3"/>
        <v>BM817IR</v>
      </c>
      <c r="AM9" s="1134" t="str">
        <f t="shared" si="1"/>
        <v>BM817PS</v>
      </c>
      <c r="AN9" s="1134" t="str">
        <f t="shared" si="1"/>
        <v>BM817RS</v>
      </c>
      <c r="AO9" s="1134" t="str">
        <f t="shared" si="1"/>
        <v>BM817BO</v>
      </c>
      <c r="AP9" s="1135" t="str">
        <f t="shared" si="1"/>
        <v>BM817AR</v>
      </c>
      <c r="AQ9" s="1135" t="str">
        <f t="shared" si="1"/>
        <v>BM817ASR</v>
      </c>
      <c r="AR9" s="1136" t="str">
        <f t="shared" si="1"/>
        <v>BM817WRTOT</v>
      </c>
    </row>
    <row r="10" spans="1:44" ht="15">
      <c r="B10" s="1755" t="s">
        <v>7567</v>
      </c>
      <c r="C10" s="1758" t="s">
        <v>7568</v>
      </c>
      <c r="D10" s="1742" t="s">
        <v>7569</v>
      </c>
      <c r="E10" s="1764" t="s">
        <v>8</v>
      </c>
      <c r="F10" s="1765">
        <v>3</v>
      </c>
      <c r="G10" s="1133">
        <v>1.0665074718100824</v>
      </c>
      <c r="H10" s="1134">
        <v>18.083215405710718</v>
      </c>
      <c r="I10" s="1134">
        <v>1.1739611657477529</v>
      </c>
      <c r="J10" s="1134">
        <v>5.8605226448478662</v>
      </c>
      <c r="K10" s="1135">
        <v>0.119150289386329</v>
      </c>
      <c r="L10" s="1135">
        <v>0</v>
      </c>
      <c r="M10" s="1136">
        <f t="shared" si="2"/>
        <v>26.303356977502748</v>
      </c>
      <c r="N10" s="1894"/>
      <c r="P10" s="25">
        <f xml:space="preserve"> IF( SUM( R10:Y10 ) = 0, 0, $S$4 )</f>
        <v>0</v>
      </c>
      <c r="Q10" s="1016"/>
      <c r="R10" s="66"/>
      <c r="S10" s="86">
        <f t="shared" si="0"/>
        <v>0</v>
      </c>
      <c r="T10" s="86">
        <f t="shared" si="0"/>
        <v>0</v>
      </c>
      <c r="U10" s="86">
        <f t="shared" si="0"/>
        <v>0</v>
      </c>
      <c r="V10" s="86">
        <f t="shared" si="0"/>
        <v>0</v>
      </c>
      <c r="W10" s="86">
        <f t="shared" si="0"/>
        <v>0</v>
      </c>
      <c r="X10" s="86">
        <f t="shared" si="0"/>
        <v>0</v>
      </c>
      <c r="Y10" s="66"/>
      <c r="AG10" s="1128" t="s">
        <v>7567</v>
      </c>
      <c r="AH10" s="1129" t="s">
        <v>7568</v>
      </c>
      <c r="AI10" s="1576" t="s">
        <v>7569</v>
      </c>
      <c r="AJ10" s="1131" t="s">
        <v>8</v>
      </c>
      <c r="AK10" s="1132">
        <v>3</v>
      </c>
      <c r="AL10" s="1133" t="str">
        <f t="shared" si="3"/>
        <v>BM108IR</v>
      </c>
      <c r="AM10" s="1134" t="str">
        <f t="shared" si="1"/>
        <v>BM108PS</v>
      </c>
      <c r="AN10" s="1134" t="str">
        <f t="shared" si="1"/>
        <v>BM108RS</v>
      </c>
      <c r="AO10" s="1134" t="str">
        <f t="shared" si="1"/>
        <v>BM108BO</v>
      </c>
      <c r="AP10" s="1135" t="str">
        <f t="shared" si="1"/>
        <v>BM108AR</v>
      </c>
      <c r="AQ10" s="1135" t="str">
        <f t="shared" si="1"/>
        <v>BM108ASR</v>
      </c>
      <c r="AR10" s="1136" t="str">
        <f t="shared" si="1"/>
        <v>BM108WRTOT</v>
      </c>
    </row>
    <row r="11" spans="1:44" ht="15">
      <c r="B11" s="1755" t="s">
        <v>7570</v>
      </c>
      <c r="C11" s="1759" t="s">
        <v>7571</v>
      </c>
      <c r="D11" s="1742" t="s">
        <v>7572</v>
      </c>
      <c r="E11" s="1766" t="s">
        <v>8</v>
      </c>
      <c r="F11" s="1765">
        <v>3</v>
      </c>
      <c r="G11" s="1139">
        <v>0.60603354122117914</v>
      </c>
      <c r="H11" s="1134">
        <v>12.103836559389663</v>
      </c>
      <c r="I11" s="1140">
        <v>0.33668530067843289</v>
      </c>
      <c r="J11" s="1134">
        <v>3.7540411025645266</v>
      </c>
      <c r="K11" s="1135">
        <v>3.3668530067843289E-2</v>
      </c>
      <c r="L11" s="1135">
        <v>0</v>
      </c>
      <c r="M11" s="1136">
        <f t="shared" si="2"/>
        <v>16.834265033921646</v>
      </c>
      <c r="N11" s="1895"/>
      <c r="P11" s="25">
        <f xml:space="preserve"> IF( SUM( R11:Y11 ) = 0, 0, $S$4 )</f>
        <v>0</v>
      </c>
      <c r="Q11" s="1016"/>
      <c r="R11" s="66"/>
      <c r="S11" s="86">
        <f t="shared" si="0"/>
        <v>0</v>
      </c>
      <c r="T11" s="86">
        <f t="shared" si="0"/>
        <v>0</v>
      </c>
      <c r="U11" s="86">
        <f t="shared" si="0"/>
        <v>0</v>
      </c>
      <c r="V11" s="86">
        <f t="shared" si="0"/>
        <v>0</v>
      </c>
      <c r="W11" s="86">
        <f t="shared" si="0"/>
        <v>0</v>
      </c>
      <c r="X11" s="86">
        <f t="shared" si="0"/>
        <v>0</v>
      </c>
      <c r="Y11" s="66"/>
      <c r="AG11" s="1128" t="s">
        <v>7570</v>
      </c>
      <c r="AH11" s="1137" t="s">
        <v>7571</v>
      </c>
      <c r="AI11" s="1576" t="s">
        <v>7572</v>
      </c>
      <c r="AJ11" s="1138" t="s">
        <v>8</v>
      </c>
      <c r="AK11" s="1132">
        <v>3</v>
      </c>
      <c r="AL11" s="1139" t="str">
        <f t="shared" si="3"/>
        <v>BM110IR</v>
      </c>
      <c r="AM11" s="1134" t="str">
        <f t="shared" si="1"/>
        <v>BM110PS</v>
      </c>
      <c r="AN11" s="1140" t="str">
        <f t="shared" si="1"/>
        <v>BM110RS</v>
      </c>
      <c r="AO11" s="1134" t="str">
        <f t="shared" si="1"/>
        <v>BM110BO</v>
      </c>
      <c r="AP11" s="1135" t="str">
        <f t="shared" si="1"/>
        <v>BM110AR</v>
      </c>
      <c r="AQ11" s="1135" t="str">
        <f t="shared" si="1"/>
        <v>BM110ASR</v>
      </c>
      <c r="AR11" s="1136" t="str">
        <f t="shared" si="1"/>
        <v>BM110WRTOT</v>
      </c>
    </row>
    <row r="12" spans="1:44" ht="15">
      <c r="B12" s="1755" t="s">
        <v>7573</v>
      </c>
      <c r="C12" s="1760" t="s">
        <v>7574</v>
      </c>
      <c r="D12" s="1743" t="s">
        <v>7575</v>
      </c>
      <c r="E12" s="1767" t="s">
        <v>8</v>
      </c>
      <c r="F12" s="1768">
        <v>3</v>
      </c>
      <c r="G12" s="1746">
        <f>SUM(G7:G11)</f>
        <v>1.8521842893928406</v>
      </c>
      <c r="H12" s="1747">
        <f t="shared" ref="H12:L12" si="4">SUM(H7:H11)</f>
        <v>38.405271327106142</v>
      </c>
      <c r="I12" s="1747">
        <f t="shared" si="4"/>
        <v>2.5077247526142283</v>
      </c>
      <c r="J12" s="1747">
        <f t="shared" si="4"/>
        <v>16.925745894674108</v>
      </c>
      <c r="K12" s="1747">
        <f t="shared" si="4"/>
        <v>0.1761085371529631</v>
      </c>
      <c r="L12" s="1748">
        <f t="shared" si="4"/>
        <v>0</v>
      </c>
      <c r="M12" s="1136">
        <f t="shared" si="2"/>
        <v>59.867034800940282</v>
      </c>
      <c r="N12" s="1895"/>
      <c r="Q12" s="1016"/>
      <c r="R12" s="66"/>
      <c r="Y12" s="66"/>
      <c r="AG12" s="1128" t="s">
        <v>7573</v>
      </c>
      <c r="AH12" s="1141" t="s">
        <v>7574</v>
      </c>
      <c r="AI12" s="1577" t="s">
        <v>7575</v>
      </c>
      <c r="AJ12" s="1143" t="s">
        <v>8</v>
      </c>
      <c r="AK12" s="1144">
        <v>3</v>
      </c>
      <c r="AL12" s="1136" t="str">
        <f t="shared" si="3"/>
        <v>BM316IR</v>
      </c>
      <c r="AM12" s="1136" t="str">
        <f t="shared" si="1"/>
        <v>BM316PS</v>
      </c>
      <c r="AN12" s="1136" t="str">
        <f t="shared" si="1"/>
        <v>BM316RS</v>
      </c>
      <c r="AO12" s="1136" t="str">
        <f t="shared" si="1"/>
        <v>BM316BO</v>
      </c>
      <c r="AP12" s="1136" t="str">
        <f t="shared" si="1"/>
        <v>BM316AR</v>
      </c>
      <c r="AQ12" s="1136" t="str">
        <f t="shared" si="1"/>
        <v>BM316ASR</v>
      </c>
      <c r="AR12" s="1136" t="str">
        <f t="shared" si="1"/>
        <v>BM316WRTOT</v>
      </c>
    </row>
    <row r="13" spans="1:44" ht="15">
      <c r="B13" s="1755" t="s">
        <v>7576</v>
      </c>
      <c r="C13" s="1758" t="s">
        <v>526</v>
      </c>
      <c r="D13" s="1742" t="s">
        <v>7577</v>
      </c>
      <c r="E13" s="1767" t="s">
        <v>8</v>
      </c>
      <c r="F13" s="1768">
        <v>3</v>
      </c>
      <c r="G13" s="1139">
        <v>0.15186743999999999</v>
      </c>
      <c r="H13" s="1134">
        <v>3.0331302599999996</v>
      </c>
      <c r="I13" s="1140">
        <v>8.437080000000001E-2</v>
      </c>
      <c r="J13" s="1134">
        <v>0.94073442000000007</v>
      </c>
      <c r="K13" s="1134">
        <v>8.4370799999999996E-3</v>
      </c>
      <c r="L13" s="1749">
        <v>0</v>
      </c>
      <c r="M13" s="1136">
        <f t="shared" si="2"/>
        <v>4.21854</v>
      </c>
      <c r="N13" s="1895"/>
      <c r="P13" s="25">
        <f xml:space="preserve"> IF( SUM( R13:Y13 ) = 0, 0, $S$4 )</f>
        <v>0</v>
      </c>
      <c r="Q13" s="1016"/>
      <c r="R13" s="66"/>
      <c r="S13" s="86">
        <f t="shared" si="0"/>
        <v>0</v>
      </c>
      <c r="T13" s="86">
        <f t="shared" si="0"/>
        <v>0</v>
      </c>
      <c r="U13" s="86">
        <f t="shared" si="0"/>
        <v>0</v>
      </c>
      <c r="V13" s="86">
        <f t="shared" si="0"/>
        <v>0</v>
      </c>
      <c r="W13" s="86">
        <f t="shared" si="0"/>
        <v>0</v>
      </c>
      <c r="X13" s="86">
        <f t="shared" si="0"/>
        <v>0</v>
      </c>
      <c r="Y13" s="66"/>
      <c r="AG13" s="1128" t="s">
        <v>7576</v>
      </c>
      <c r="AH13" s="1129" t="s">
        <v>526</v>
      </c>
      <c r="AI13" s="1576" t="s">
        <v>7577</v>
      </c>
      <c r="AJ13" s="1143" t="s">
        <v>8</v>
      </c>
      <c r="AK13" s="1144">
        <v>3</v>
      </c>
      <c r="AL13" s="1139" t="str">
        <f t="shared" si="3"/>
        <v>FT00865IR</v>
      </c>
      <c r="AM13" s="1134" t="str">
        <f t="shared" si="1"/>
        <v>FT00865PS</v>
      </c>
      <c r="AN13" s="1140" t="str">
        <f t="shared" si="1"/>
        <v>FT00865RS</v>
      </c>
      <c r="AO13" s="1134" t="str">
        <f t="shared" si="1"/>
        <v>FT00865BO</v>
      </c>
      <c r="AP13" s="1135" t="str">
        <f t="shared" si="1"/>
        <v>FT00865AR</v>
      </c>
      <c r="AQ13" s="1135" t="str">
        <f t="shared" si="1"/>
        <v>FT00865ASR</v>
      </c>
      <c r="AR13" s="1136" t="str">
        <f t="shared" si="1"/>
        <v>FT00865WRTOT</v>
      </c>
    </row>
    <row r="14" spans="1:44" ht="23.25" thickBot="1">
      <c r="B14" s="1756" t="s">
        <v>7578</v>
      </c>
      <c r="C14" s="1761" t="s">
        <v>7579</v>
      </c>
      <c r="D14" s="1744" t="s">
        <v>7580</v>
      </c>
      <c r="E14" s="1769" t="s">
        <v>8</v>
      </c>
      <c r="F14" s="1770">
        <v>3</v>
      </c>
      <c r="G14" s="1750">
        <f>+G12+G13</f>
        <v>2.0040517293928408</v>
      </c>
      <c r="H14" s="1751">
        <f t="shared" ref="H14:L14" si="5">+H12+H13</f>
        <v>41.438401587106142</v>
      </c>
      <c r="I14" s="1751">
        <f t="shared" si="5"/>
        <v>2.5920955526142282</v>
      </c>
      <c r="J14" s="1751">
        <f t="shared" si="5"/>
        <v>17.866480314674106</v>
      </c>
      <c r="K14" s="1751">
        <f t="shared" si="5"/>
        <v>0.18454561715296308</v>
      </c>
      <c r="L14" s="1752">
        <f t="shared" si="5"/>
        <v>0</v>
      </c>
      <c r="M14" s="1150">
        <f t="shared" si="2"/>
        <v>64.085574800940279</v>
      </c>
      <c r="N14" s="1896"/>
      <c r="P14" s="1164" t="str">
        <f>IF(SUM(Y14:AA14)=0,0,$AD$14)</f>
        <v>Line 4V.8 does not equal line 4D.9 for water resources, please provide reasoning and reconciliation in your commentary</v>
      </c>
      <c r="Q14" s="1016"/>
      <c r="R14" s="66"/>
      <c r="Y14" s="66"/>
      <c r="Z14" s="86">
        <f xml:space="preserve"> IF( (AB14 - AC14) = 0, 0, 1 )</f>
        <v>1</v>
      </c>
      <c r="AA14" s="114"/>
      <c r="AB14" s="105">
        <f>ROUND(M14,3)</f>
        <v>64.085999999999999</v>
      </c>
      <c r="AC14" s="105">
        <f>ROUND('4D'!G15+'4D'!H15,3)</f>
        <v>59.866</v>
      </c>
      <c r="AD14" s="24" t="s">
        <v>7581</v>
      </c>
      <c r="AE14" s="114"/>
      <c r="AG14" s="1275" t="s">
        <v>7578</v>
      </c>
      <c r="AH14" s="1146" t="s">
        <v>7579</v>
      </c>
      <c r="AI14" s="1578" t="s">
        <v>7580</v>
      </c>
      <c r="AJ14" s="1148" t="s">
        <v>8</v>
      </c>
      <c r="AK14" s="1149">
        <v>3</v>
      </c>
      <c r="AL14" s="1150" t="str">
        <f t="shared" si="3"/>
        <v>BM319IR</v>
      </c>
      <c r="AM14" s="1150" t="str">
        <f t="shared" si="1"/>
        <v>BM319PS</v>
      </c>
      <c r="AN14" s="1150" t="str">
        <f t="shared" si="1"/>
        <v>BM319RS</v>
      </c>
      <c r="AO14" s="1150" t="str">
        <f t="shared" si="1"/>
        <v>BM319BO</v>
      </c>
      <c r="AP14" s="1150" t="str">
        <f t="shared" si="1"/>
        <v>BM319AR</v>
      </c>
      <c r="AQ14" s="1150" t="str">
        <f t="shared" si="1"/>
        <v>BM319ASR</v>
      </c>
      <c r="AR14" s="1150" t="str">
        <f t="shared" si="1"/>
        <v>BM319WRTOT</v>
      </c>
    </row>
    <row r="15" spans="1:44" ht="15.75" thickBot="1">
      <c r="B15" s="482"/>
      <c r="D15" s="482"/>
      <c r="Q15" s="1016"/>
      <c r="AG15" s="482"/>
      <c r="AI15" s="482"/>
    </row>
    <row r="16" spans="1:44" ht="27.75" thickBot="1">
      <c r="A16" s="553"/>
      <c r="B16" s="896" t="s">
        <v>4255</v>
      </c>
      <c r="C16" s="854" t="s">
        <v>2</v>
      </c>
      <c r="D16" s="855" t="s">
        <v>7582</v>
      </c>
      <c r="E16" s="855" t="s">
        <v>3</v>
      </c>
      <c r="F16" s="855" t="s">
        <v>99</v>
      </c>
      <c r="G16" s="160" t="s">
        <v>745</v>
      </c>
      <c r="H16" s="301" t="s">
        <v>7583</v>
      </c>
      <c r="I16" s="301" t="s">
        <v>2822</v>
      </c>
      <c r="J16" s="1274" t="s">
        <v>2823</v>
      </c>
      <c r="K16" s="162" t="s">
        <v>680</v>
      </c>
      <c r="AG16" s="896" t="s">
        <v>4255</v>
      </c>
      <c r="AH16" s="854" t="s">
        <v>2</v>
      </c>
      <c r="AI16" s="855" t="s">
        <v>7582</v>
      </c>
      <c r="AJ16" s="855" t="s">
        <v>3</v>
      </c>
      <c r="AK16" s="855" t="s">
        <v>99</v>
      </c>
      <c r="AL16" s="160" t="s">
        <v>745</v>
      </c>
      <c r="AM16" s="301" t="s">
        <v>7583</v>
      </c>
      <c r="AN16" s="301" t="s">
        <v>2822</v>
      </c>
      <c r="AO16" s="1274" t="s">
        <v>2823</v>
      </c>
      <c r="AP16" s="162" t="s">
        <v>680</v>
      </c>
    </row>
    <row r="17" spans="1:42" ht="15" thickBot="1">
      <c r="A17" s="553"/>
      <c r="B17" s="1117"/>
      <c r="C17" s="553"/>
      <c r="D17" s="1117"/>
      <c r="E17" s="553"/>
      <c r="F17" s="553"/>
      <c r="G17" s="553"/>
      <c r="H17" s="553"/>
      <c r="I17" s="553"/>
      <c r="J17" s="553"/>
      <c r="K17" s="553"/>
      <c r="AG17" s="1117"/>
      <c r="AH17" s="553"/>
      <c r="AI17" s="1117"/>
      <c r="AJ17" s="553"/>
      <c r="AK17" s="553"/>
      <c r="AL17" s="553" t="s">
        <v>7584</v>
      </c>
      <c r="AM17" s="553" t="s">
        <v>7585</v>
      </c>
      <c r="AN17" s="553" t="s">
        <v>7586</v>
      </c>
      <c r="AO17" s="553" t="s">
        <v>7587</v>
      </c>
      <c r="AP17" s="553" t="s">
        <v>7588</v>
      </c>
    </row>
    <row r="18" spans="1:42" ht="15.75" thickBot="1">
      <c r="B18" s="2219" t="s">
        <v>236</v>
      </c>
      <c r="C18" s="904" t="s">
        <v>7589</v>
      </c>
      <c r="D18" s="482"/>
      <c r="AG18" s="2219" t="s">
        <v>236</v>
      </c>
      <c r="AH18" s="904" t="s">
        <v>7589</v>
      </c>
      <c r="AI18" s="482"/>
    </row>
    <row r="19" spans="1:42" ht="15">
      <c r="B19" s="1754" t="s">
        <v>7590</v>
      </c>
      <c r="C19" s="1757" t="s">
        <v>7591</v>
      </c>
      <c r="D19" s="1741" t="s">
        <v>7592</v>
      </c>
      <c r="E19" s="1762" t="s">
        <v>8</v>
      </c>
      <c r="F19" s="1763">
        <v>3</v>
      </c>
      <c r="G19" s="1124">
        <v>7.4710790109294987</v>
      </c>
      <c r="H19" s="1125">
        <v>0.35741030074368152</v>
      </c>
      <c r="I19" s="1125">
        <v>23.720828643933505</v>
      </c>
      <c r="J19" s="1125">
        <v>20.536628713234528</v>
      </c>
      <c r="K19" s="1287">
        <f>SUM(G19:J19)</f>
        <v>52.085946668841217</v>
      </c>
      <c r="P19" s="25">
        <f xml:space="preserve"> IF( SUM( R19:Y19 ) = 0, 0, $S$4 )</f>
        <v>0</v>
      </c>
      <c r="Q19" s="1016"/>
      <c r="R19" s="66"/>
      <c r="S19" s="86">
        <f t="shared" ref="S19:V23" si="6" xml:space="preserve"> IF( ISNUMBER( G19 ), 0, 1 )</f>
        <v>0</v>
      </c>
      <c r="T19" s="86">
        <f t="shared" si="6"/>
        <v>0</v>
      </c>
      <c r="U19" s="86">
        <f t="shared" si="6"/>
        <v>0</v>
      </c>
      <c r="V19" s="86">
        <f t="shared" si="6"/>
        <v>0</v>
      </c>
      <c r="Y19" s="66"/>
      <c r="AG19" s="1119" t="s">
        <v>7590</v>
      </c>
      <c r="AH19" s="1120" t="s">
        <v>7591</v>
      </c>
      <c r="AI19" s="1575" t="s">
        <v>7592</v>
      </c>
      <c r="AJ19" s="1122" t="s">
        <v>8</v>
      </c>
      <c r="AK19" s="1123">
        <v>3</v>
      </c>
      <c r="AL19" s="1124" t="str">
        <f>$D19&amp;AL$17</f>
        <v>BM3010WR</v>
      </c>
      <c r="AM19" s="1125" t="str">
        <f t="shared" ref="AM19:AP23" si="7">$D19&amp;AM$17</f>
        <v>BM3010RWD</v>
      </c>
      <c r="AN19" s="1125" t="str">
        <f t="shared" si="7"/>
        <v>BM3010WT</v>
      </c>
      <c r="AO19" s="1125" t="str">
        <f t="shared" si="7"/>
        <v>BM3010TWD</v>
      </c>
      <c r="AP19" s="1287" t="str">
        <f t="shared" si="7"/>
        <v>BM3010CAW</v>
      </c>
    </row>
    <row r="20" spans="1:42" ht="15">
      <c r="B20" s="1755" t="s">
        <v>7593</v>
      </c>
      <c r="C20" s="1758" t="s">
        <v>7594</v>
      </c>
      <c r="D20" s="1742" t="s">
        <v>7595</v>
      </c>
      <c r="E20" s="1764" t="s">
        <v>8</v>
      </c>
      <c r="F20" s="1765">
        <v>3</v>
      </c>
      <c r="G20" s="1133">
        <v>5.1985811816265768</v>
      </c>
      <c r="H20" s="1134">
        <v>0.53145606858507288</v>
      </c>
      <c r="I20" s="1134">
        <v>7.8559747376230886</v>
      </c>
      <c r="J20" s="1134">
        <v>56.111313521869711</v>
      </c>
      <c r="K20" s="1288">
        <f>SUM(G20:J20)</f>
        <v>69.697325509704456</v>
      </c>
      <c r="P20" s="25">
        <f xml:space="preserve"> IF( SUM( R20:Y20 ) = 0, 0, $S$4 )</f>
        <v>0</v>
      </c>
      <c r="Q20" s="1016"/>
      <c r="R20" s="66"/>
      <c r="S20" s="86">
        <f t="shared" si="6"/>
        <v>0</v>
      </c>
      <c r="T20" s="86">
        <f t="shared" si="6"/>
        <v>0</v>
      </c>
      <c r="U20" s="86">
        <f t="shared" si="6"/>
        <v>0</v>
      </c>
      <c r="V20" s="86">
        <f t="shared" si="6"/>
        <v>0</v>
      </c>
      <c r="Y20" s="66"/>
      <c r="AG20" s="1128" t="s">
        <v>7593</v>
      </c>
      <c r="AH20" s="1129" t="s">
        <v>7594</v>
      </c>
      <c r="AI20" s="1576" t="s">
        <v>7595</v>
      </c>
      <c r="AJ20" s="1131" t="s">
        <v>8</v>
      </c>
      <c r="AK20" s="1132">
        <v>3</v>
      </c>
      <c r="AL20" s="1133" t="str">
        <f t="shared" ref="AL20:AL23" si="8">$D20&amp;AL$17</f>
        <v>BM3011WR</v>
      </c>
      <c r="AM20" s="1134" t="str">
        <f t="shared" si="7"/>
        <v>BM3011RWD</v>
      </c>
      <c r="AN20" s="1134" t="str">
        <f t="shared" si="7"/>
        <v>BM3011WT</v>
      </c>
      <c r="AO20" s="1134" t="str">
        <f t="shared" si="7"/>
        <v>BM3011TWD</v>
      </c>
      <c r="AP20" s="1288" t="str">
        <f t="shared" si="7"/>
        <v>BM3011CAW</v>
      </c>
    </row>
    <row r="21" spans="1:42" ht="15">
      <c r="B21" s="1755" t="s">
        <v>7596</v>
      </c>
      <c r="C21" s="1758" t="s">
        <v>7597</v>
      </c>
      <c r="D21" s="1742" t="s">
        <v>7598</v>
      </c>
      <c r="E21" s="1764" t="s">
        <v>6623</v>
      </c>
      <c r="F21" s="1765">
        <v>0</v>
      </c>
      <c r="G21" s="1151">
        <v>134.23716609935272</v>
      </c>
      <c r="H21" s="1152">
        <v>7.1797761021254463</v>
      </c>
      <c r="I21" s="1152">
        <v>476.39635573848653</v>
      </c>
      <c r="J21" s="1152">
        <v>359.07990206003552</v>
      </c>
      <c r="K21" s="1288">
        <f>SUM(G21:J21)</f>
        <v>976.89320000000021</v>
      </c>
      <c r="P21" s="25">
        <f xml:space="preserve"> IF( SUM( R21:Y21 ) = 0, 0, $S$4 )</f>
        <v>0</v>
      </c>
      <c r="Q21" s="1016"/>
      <c r="R21" s="66"/>
      <c r="S21" s="86">
        <f t="shared" si="6"/>
        <v>0</v>
      </c>
      <c r="T21" s="86">
        <f t="shared" si="6"/>
        <v>0</v>
      </c>
      <c r="U21" s="86">
        <f t="shared" si="6"/>
        <v>0</v>
      </c>
      <c r="V21" s="86">
        <f t="shared" si="6"/>
        <v>0</v>
      </c>
      <c r="Y21" s="66"/>
      <c r="AG21" s="1128" t="s">
        <v>7596</v>
      </c>
      <c r="AH21" s="1129" t="s">
        <v>7597</v>
      </c>
      <c r="AI21" s="1576" t="s">
        <v>7598</v>
      </c>
      <c r="AJ21" s="1764" t="s">
        <v>6623</v>
      </c>
      <c r="AK21" s="1132">
        <v>0</v>
      </c>
      <c r="AL21" s="1151" t="str">
        <f t="shared" si="8"/>
        <v>W3030WR</v>
      </c>
      <c r="AM21" s="1152" t="str">
        <f t="shared" si="7"/>
        <v>W3030RWD</v>
      </c>
      <c r="AN21" s="1152" t="str">
        <f t="shared" si="7"/>
        <v>W3030WT</v>
      </c>
      <c r="AO21" s="1152" t="str">
        <f t="shared" si="7"/>
        <v>W3030TWD</v>
      </c>
      <c r="AP21" s="1288" t="str">
        <f t="shared" si="7"/>
        <v>W3030CAW</v>
      </c>
    </row>
    <row r="22" spans="1:42" ht="15">
      <c r="B22" s="1755" t="s">
        <v>7599</v>
      </c>
      <c r="C22" s="1758" t="s">
        <v>7600</v>
      </c>
      <c r="D22" s="1742" t="s">
        <v>7601</v>
      </c>
      <c r="E22" s="1764" t="s">
        <v>6623</v>
      </c>
      <c r="F22" s="1765">
        <v>0</v>
      </c>
      <c r="G22" s="1151">
        <v>93.405892848689803</v>
      </c>
      <c r="H22" s="1152">
        <v>10.676064938858941</v>
      </c>
      <c r="I22" s="1152">
        <v>157.77516847980752</v>
      </c>
      <c r="J22" s="1152">
        <v>981.09798084378622</v>
      </c>
      <c r="K22" s="1288">
        <f>SUM(G22:J22)</f>
        <v>1242.9551071111425</v>
      </c>
      <c r="P22" s="25">
        <f xml:space="preserve"> IF( SUM( R22:Y22 ) = 0, 0, $S$4 )</f>
        <v>0</v>
      </c>
      <c r="Q22" s="1016"/>
      <c r="R22" s="66"/>
      <c r="S22" s="86">
        <f t="shared" si="6"/>
        <v>0</v>
      </c>
      <c r="T22" s="86">
        <f t="shared" si="6"/>
        <v>0</v>
      </c>
      <c r="U22" s="86">
        <f t="shared" si="6"/>
        <v>0</v>
      </c>
      <c r="V22" s="86">
        <f t="shared" si="6"/>
        <v>0</v>
      </c>
      <c r="Y22" s="66"/>
      <c r="AG22" s="1128" t="s">
        <v>7599</v>
      </c>
      <c r="AH22" s="1129" t="s">
        <v>7600</v>
      </c>
      <c r="AI22" s="1576" t="s">
        <v>7601</v>
      </c>
      <c r="AJ22" s="1764" t="s">
        <v>6623</v>
      </c>
      <c r="AK22" s="1132">
        <v>0</v>
      </c>
      <c r="AL22" s="1151" t="str">
        <f t="shared" si="8"/>
        <v>W3031WR</v>
      </c>
      <c r="AM22" s="1152" t="str">
        <f t="shared" si="7"/>
        <v>W3031RWD</v>
      </c>
      <c r="AN22" s="1152" t="str">
        <f t="shared" si="7"/>
        <v>W3031WT</v>
      </c>
      <c r="AO22" s="1152" t="str">
        <f t="shared" si="7"/>
        <v>W3031TWD</v>
      </c>
      <c r="AP22" s="1288" t="str">
        <f t="shared" si="7"/>
        <v>W3031CAW</v>
      </c>
    </row>
    <row r="23" spans="1:42" ht="15.75" thickBot="1">
      <c r="B23" s="1756" t="s">
        <v>7602</v>
      </c>
      <c r="C23" s="1771" t="s">
        <v>7603</v>
      </c>
      <c r="D23" s="1744" t="s">
        <v>7604</v>
      </c>
      <c r="E23" s="1769" t="s">
        <v>8</v>
      </c>
      <c r="F23" s="1770">
        <v>3</v>
      </c>
      <c r="G23" s="1153">
        <v>0</v>
      </c>
      <c r="H23" s="1154">
        <v>0</v>
      </c>
      <c r="I23" s="1154">
        <v>0</v>
      </c>
      <c r="J23" s="1154">
        <v>12.021999999999998</v>
      </c>
      <c r="K23" s="1289">
        <f>SUM(G23:J23)</f>
        <v>12.021999999999998</v>
      </c>
      <c r="P23" s="25">
        <f xml:space="preserve"> IF( SUM( R23:Y23 ) = 0, 0, $S$4 )</f>
        <v>0</v>
      </c>
      <c r="Q23" s="1016"/>
      <c r="R23" s="66"/>
      <c r="S23" s="86">
        <f t="shared" si="6"/>
        <v>0</v>
      </c>
      <c r="T23" s="86">
        <f t="shared" si="6"/>
        <v>0</v>
      </c>
      <c r="U23" s="86">
        <f t="shared" si="6"/>
        <v>0</v>
      </c>
      <c r="V23" s="86">
        <f t="shared" si="6"/>
        <v>0</v>
      </c>
      <c r="Y23" s="66"/>
      <c r="AG23" s="1145" t="s">
        <v>7602</v>
      </c>
      <c r="AH23" s="1276" t="s">
        <v>7603</v>
      </c>
      <c r="AI23" s="1275" t="s">
        <v>7604</v>
      </c>
      <c r="AJ23" s="1148" t="s">
        <v>8</v>
      </c>
      <c r="AK23" s="1275">
        <v>3</v>
      </c>
      <c r="AL23" s="1153" t="str">
        <f t="shared" si="8"/>
        <v>W3032WR</v>
      </c>
      <c r="AM23" s="1154" t="str">
        <f t="shared" si="7"/>
        <v>W3032RWD</v>
      </c>
      <c r="AN23" s="1154" t="str">
        <f t="shared" si="7"/>
        <v>W3032WT</v>
      </c>
      <c r="AO23" s="1154" t="str">
        <f t="shared" si="7"/>
        <v>W3032TWD</v>
      </c>
      <c r="AP23" s="1289" t="str">
        <f t="shared" si="7"/>
        <v>W3032CAW</v>
      </c>
    </row>
    <row r="24" spans="1:42" ht="15" thickBot="1">
      <c r="A24" s="553"/>
      <c r="B24" s="1117"/>
      <c r="C24" s="553"/>
      <c r="D24" s="1117"/>
      <c r="E24" s="553"/>
      <c r="F24" s="22"/>
      <c r="G24" s="1155"/>
      <c r="H24" s="1155"/>
      <c r="I24" s="1155"/>
      <c r="J24" s="1155"/>
      <c r="K24" s="553"/>
      <c r="AG24" s="1117"/>
      <c r="AH24" s="553"/>
      <c r="AI24" s="1117"/>
      <c r="AJ24" s="553"/>
      <c r="AK24" s="553"/>
      <c r="AL24" s="1155"/>
      <c r="AM24" s="1155"/>
      <c r="AN24" s="1155"/>
      <c r="AO24" s="1155"/>
      <c r="AP24" s="553"/>
    </row>
    <row r="25" spans="1:42" ht="15.75" thickBot="1">
      <c r="B25" s="2219" t="s">
        <v>362</v>
      </c>
      <c r="C25" s="904" t="s">
        <v>6290</v>
      </c>
      <c r="D25" s="482"/>
      <c r="F25" s="12"/>
      <c r="G25" s="105"/>
      <c r="H25" s="105"/>
      <c r="I25" s="105"/>
      <c r="J25" s="105"/>
      <c r="AG25" s="2219" t="s">
        <v>362</v>
      </c>
      <c r="AH25" s="904" t="s">
        <v>6290</v>
      </c>
      <c r="AI25" s="482"/>
      <c r="AL25" s="105"/>
      <c r="AM25" s="105"/>
      <c r="AN25" s="105"/>
      <c r="AO25" s="105"/>
    </row>
    <row r="26" spans="1:42" ht="15">
      <c r="B26" s="1755" t="s">
        <v>7605</v>
      </c>
      <c r="C26" s="1758" t="s">
        <v>7606</v>
      </c>
      <c r="D26" s="1741" t="s">
        <v>7607</v>
      </c>
      <c r="E26" s="1772" t="s">
        <v>8</v>
      </c>
      <c r="F26" s="1763">
        <v>3</v>
      </c>
      <c r="G26" s="1277">
        <v>0.36799999999999999</v>
      </c>
      <c r="H26" s="1125">
        <v>0</v>
      </c>
      <c r="I26" s="1278">
        <v>0</v>
      </c>
      <c r="J26" s="1125">
        <v>0</v>
      </c>
      <c r="K26" s="1705">
        <f>SUM(G26:J26)</f>
        <v>0.36799999999999999</v>
      </c>
      <c r="P26" s="25">
        <f xml:space="preserve"> IF( SUM( R26:Y26 ) = 0, 0, $S$4 )</f>
        <v>0</v>
      </c>
      <c r="Q26" s="1016"/>
      <c r="R26" s="66"/>
      <c r="S26" s="86">
        <f t="shared" ref="S26:V30" si="9" xml:space="preserve"> IF( ISNUMBER( G26 ), 0, 1 )</f>
        <v>0</v>
      </c>
      <c r="T26" s="86">
        <f t="shared" si="9"/>
        <v>0</v>
      </c>
      <c r="U26" s="86">
        <f t="shared" si="9"/>
        <v>0</v>
      </c>
      <c r="V26" s="86">
        <f t="shared" si="9"/>
        <v>0</v>
      </c>
      <c r="Y26" s="66"/>
      <c r="AG26" s="1128" t="s">
        <v>7605</v>
      </c>
      <c r="AH26" s="1129" t="s">
        <v>7606</v>
      </c>
      <c r="AI26" s="1122" t="s">
        <v>7607</v>
      </c>
      <c r="AJ26" s="1281" t="s">
        <v>8</v>
      </c>
      <c r="AK26" s="1123">
        <v>3</v>
      </c>
      <c r="AL26" s="1277" t="str">
        <f t="shared" ref="AL26:AP28" si="10">$D26&amp;AL$17</f>
        <v>W3033WR</v>
      </c>
      <c r="AM26" s="1125" t="str">
        <f t="shared" si="10"/>
        <v>W3033RWD</v>
      </c>
      <c r="AN26" s="1278" t="str">
        <f t="shared" si="10"/>
        <v>W3033WT</v>
      </c>
      <c r="AO26" s="1125" t="str">
        <f t="shared" si="10"/>
        <v>W3033TWD</v>
      </c>
      <c r="AP26" s="1705" t="str">
        <f t="shared" si="10"/>
        <v>W3033CAW</v>
      </c>
    </row>
    <row r="27" spans="1:42" ht="15">
      <c r="B27" s="1755" t="s">
        <v>7608</v>
      </c>
      <c r="C27" s="1758" t="s">
        <v>7609</v>
      </c>
      <c r="D27" s="1742" t="s">
        <v>7610</v>
      </c>
      <c r="E27" s="1766" t="s">
        <v>8</v>
      </c>
      <c r="F27" s="1765">
        <v>3</v>
      </c>
      <c r="G27" s="1139">
        <v>12.748676</v>
      </c>
      <c r="H27" s="1134">
        <v>0</v>
      </c>
      <c r="I27" s="1140">
        <v>0</v>
      </c>
      <c r="J27" s="1134">
        <v>0</v>
      </c>
      <c r="K27" s="1288">
        <f>SUM(G27:J27)</f>
        <v>12.748676</v>
      </c>
      <c r="P27" s="25">
        <f xml:space="preserve"> IF( SUM( R27:Y27 ) = 0, 0, $S$4 )</f>
        <v>0</v>
      </c>
      <c r="Q27" s="1016"/>
      <c r="R27" s="66"/>
      <c r="S27" s="86">
        <f t="shared" si="9"/>
        <v>0</v>
      </c>
      <c r="T27" s="86">
        <f t="shared" si="9"/>
        <v>0</v>
      </c>
      <c r="U27" s="86">
        <f t="shared" si="9"/>
        <v>0</v>
      </c>
      <c r="V27" s="86">
        <f t="shared" si="9"/>
        <v>0</v>
      </c>
      <c r="Y27" s="66"/>
      <c r="AG27" s="1128" t="s">
        <v>7608</v>
      </c>
      <c r="AH27" s="1129" t="s">
        <v>7609</v>
      </c>
      <c r="AI27" s="1131" t="s">
        <v>7610</v>
      </c>
      <c r="AJ27" s="1138" t="s">
        <v>8</v>
      </c>
      <c r="AK27" s="1132">
        <v>3</v>
      </c>
      <c r="AL27" s="1139" t="str">
        <f t="shared" si="10"/>
        <v>W3034WR</v>
      </c>
      <c r="AM27" s="1134" t="str">
        <f t="shared" si="10"/>
        <v>W3034RWD</v>
      </c>
      <c r="AN27" s="1140" t="str">
        <f t="shared" si="10"/>
        <v>W3034WT</v>
      </c>
      <c r="AO27" s="1134" t="str">
        <f t="shared" si="10"/>
        <v>W3034TWD</v>
      </c>
      <c r="AP27" s="1288" t="str">
        <f t="shared" si="10"/>
        <v>W3034CAW</v>
      </c>
    </row>
    <row r="28" spans="1:42" ht="23.25" thickBot="1">
      <c r="B28" s="1756" t="s">
        <v>7611</v>
      </c>
      <c r="C28" s="1761" t="s">
        <v>7612</v>
      </c>
      <c r="D28" s="1744" t="s">
        <v>7613</v>
      </c>
      <c r="E28" s="1769" t="s">
        <v>8</v>
      </c>
      <c r="F28" s="1770">
        <v>3</v>
      </c>
      <c r="G28" s="1153">
        <v>0</v>
      </c>
      <c r="H28" s="1154">
        <v>0</v>
      </c>
      <c r="I28" s="1154">
        <v>0</v>
      </c>
      <c r="J28" s="1154">
        <v>0</v>
      </c>
      <c r="K28" s="1289">
        <f>SUM(G28:J28)</f>
        <v>0</v>
      </c>
      <c r="P28" s="1164" t="str">
        <f>IF(SUM(R28:Y28)&lt;&gt;0,S4,IF(SUM(Y28:AA28)=0,0,$AD$28))</f>
        <v>Lines 4V.14 to 4V.16 do not equal Table 4D.3 please provide reasoning and reconciliation in your commentary</v>
      </c>
      <c r="Q28" s="1016"/>
      <c r="R28" s="66"/>
      <c r="S28" s="86">
        <f t="shared" si="9"/>
        <v>0</v>
      </c>
      <c r="T28" s="86">
        <f t="shared" si="9"/>
        <v>0</v>
      </c>
      <c r="U28" s="86">
        <f t="shared" si="9"/>
        <v>0</v>
      </c>
      <c r="V28" s="86">
        <f t="shared" si="9"/>
        <v>0</v>
      </c>
      <c r="Y28" s="66"/>
      <c r="Z28" s="86">
        <f xml:space="preserve"> IF( (AB28 - AC28) = 0, 0, 1 )</f>
        <v>1</v>
      </c>
      <c r="AA28" s="114"/>
      <c r="AB28" s="105">
        <f>ROUND(+K28+K27+K26,3)</f>
        <v>13.117000000000001</v>
      </c>
      <c r="AC28" s="105">
        <f>ROUND(+'4D'!M9,3)</f>
        <v>13.116</v>
      </c>
      <c r="AD28" s="24" t="s">
        <v>7614</v>
      </c>
      <c r="AE28" s="114"/>
      <c r="AG28" s="1145" t="s">
        <v>7611</v>
      </c>
      <c r="AH28" s="1146" t="s">
        <v>7612</v>
      </c>
      <c r="AI28" s="1275" t="s">
        <v>7613</v>
      </c>
      <c r="AJ28" s="1148" t="s">
        <v>8</v>
      </c>
      <c r="AK28" s="1275">
        <v>3</v>
      </c>
      <c r="AL28" s="1153" t="str">
        <f t="shared" si="10"/>
        <v>W3035WR</v>
      </c>
      <c r="AM28" s="1154" t="str">
        <f t="shared" si="10"/>
        <v>W3035RWD</v>
      </c>
      <c r="AN28" s="1154" t="str">
        <f t="shared" si="10"/>
        <v>W3035WT</v>
      </c>
      <c r="AO28" s="1154" t="str">
        <f t="shared" si="10"/>
        <v>W3035TWD</v>
      </c>
      <c r="AP28" s="1289" t="str">
        <f t="shared" si="10"/>
        <v>W3035CAW</v>
      </c>
    </row>
    <row r="29" spans="1:42" ht="15" thickBot="1">
      <c r="A29" s="553"/>
      <c r="B29" s="1117"/>
      <c r="C29" s="553"/>
      <c r="D29" s="1117"/>
      <c r="E29" s="22"/>
      <c r="F29" s="22"/>
      <c r="G29" s="1155"/>
      <c r="H29" s="1155"/>
      <c r="I29" s="1155"/>
      <c r="J29" s="1155"/>
      <c r="K29" s="553"/>
      <c r="AG29" s="1117"/>
      <c r="AH29" s="553"/>
      <c r="AI29" s="1117"/>
      <c r="AJ29" s="553"/>
      <c r="AK29" s="553"/>
      <c r="AL29" s="1155"/>
      <c r="AM29" s="1155"/>
      <c r="AN29" s="1155"/>
      <c r="AO29" s="1155"/>
      <c r="AP29" s="553"/>
    </row>
    <row r="30" spans="1:42" ht="15.75" thickBot="1">
      <c r="B30" s="1756" t="s">
        <v>7615</v>
      </c>
      <c r="C30" s="1761" t="s">
        <v>7616</v>
      </c>
      <c r="D30" s="1745" t="s">
        <v>7617</v>
      </c>
      <c r="E30" s="1773" t="s">
        <v>8</v>
      </c>
      <c r="F30" s="1774">
        <v>3</v>
      </c>
      <c r="G30" s="1279">
        <v>0</v>
      </c>
      <c r="H30" s="1280">
        <v>0</v>
      </c>
      <c r="I30" s="1280">
        <v>0</v>
      </c>
      <c r="J30" s="1280">
        <v>0</v>
      </c>
      <c r="K30" s="1706">
        <f>SUM(G30:J30)</f>
        <v>0</v>
      </c>
      <c r="P30" s="25">
        <f xml:space="preserve"> IF( SUM( R30:Y30 ) = 0, 0, $S$4 )</f>
        <v>0</v>
      </c>
      <c r="Q30" s="1016"/>
      <c r="R30" s="66"/>
      <c r="S30" s="86">
        <f t="shared" si="9"/>
        <v>0</v>
      </c>
      <c r="T30" s="86">
        <f t="shared" si="9"/>
        <v>0</v>
      </c>
      <c r="U30" s="86">
        <f t="shared" si="9"/>
        <v>0</v>
      </c>
      <c r="V30" s="86">
        <f t="shared" si="9"/>
        <v>0</v>
      </c>
      <c r="Y30" s="66"/>
      <c r="AG30" s="1145" t="s">
        <v>7615</v>
      </c>
      <c r="AH30" s="1146" t="s">
        <v>7616</v>
      </c>
      <c r="AI30" s="1579" t="s">
        <v>7617</v>
      </c>
      <c r="AJ30" s="1282" t="s">
        <v>8</v>
      </c>
      <c r="AK30" s="1283">
        <v>3</v>
      </c>
      <c r="AL30" s="1279" t="str">
        <f t="shared" ref="AL30:AP30" si="11">$D30&amp;AL$17</f>
        <v>W3036WR</v>
      </c>
      <c r="AM30" s="1280" t="str">
        <f t="shared" si="11"/>
        <v>W3036RWD</v>
      </c>
      <c r="AN30" s="1280" t="str">
        <f t="shared" si="11"/>
        <v>W3036WT</v>
      </c>
      <c r="AO30" s="1280" t="str">
        <f t="shared" si="11"/>
        <v>W3036TWD</v>
      </c>
      <c r="AP30" s="1706" t="str">
        <f t="shared" si="11"/>
        <v>W3036CAW</v>
      </c>
    </row>
    <row r="31" spans="1:42" ht="14.25">
      <c r="A31" s="553"/>
      <c r="B31" s="1117"/>
      <c r="C31" s="553"/>
      <c r="D31" s="553"/>
      <c r="E31" s="553"/>
      <c r="F31" s="553"/>
      <c r="G31" s="1155"/>
      <c r="H31" s="1155"/>
      <c r="I31" s="1155"/>
      <c r="J31" s="1155"/>
      <c r="K31" s="553"/>
    </row>
    <row r="32" spans="1:42" ht="15">
      <c r="A32" s="753"/>
      <c r="B32" s="2512" t="s">
        <v>275</v>
      </c>
      <c r="C32" s="2512"/>
      <c r="D32" s="882"/>
      <c r="E32" s="883"/>
      <c r="F32" s="884"/>
      <c r="N32" s="65"/>
      <c r="O32" s="65"/>
      <c r="P32" s="65"/>
      <c r="Q32" s="1016"/>
      <c r="U32" s="65"/>
      <c r="V32" s="65"/>
    </row>
    <row r="33" spans="1:23" ht="15">
      <c r="A33" s="753"/>
      <c r="B33" s="881"/>
      <c r="C33" s="887"/>
      <c r="D33" s="882"/>
      <c r="E33" s="883"/>
      <c r="F33" s="884"/>
      <c r="G33" s="2148"/>
      <c r="H33" s="2148"/>
      <c r="I33" s="2148"/>
      <c r="J33" s="2148"/>
      <c r="K33" s="2148"/>
      <c r="L33" s="2148"/>
      <c r="M33" s="2148"/>
      <c r="N33" s="65"/>
      <c r="O33" s="65"/>
      <c r="P33" s="65"/>
      <c r="Q33" s="1016"/>
      <c r="U33" s="65"/>
      <c r="V33" s="65"/>
    </row>
    <row r="34" spans="1:23" ht="15">
      <c r="A34" s="1039"/>
      <c r="B34" s="1062"/>
      <c r="C34" s="959" t="s">
        <v>249</v>
      </c>
      <c r="D34" s="828"/>
      <c r="E34" s="1039"/>
      <c r="F34" s="1039"/>
      <c r="G34" s="1039"/>
      <c r="H34" s="1039"/>
      <c r="I34" s="1039"/>
      <c r="J34" s="1039"/>
      <c r="K34" s="1039"/>
      <c r="L34" s="1039"/>
      <c r="M34" s="1039"/>
      <c r="N34" s="1039"/>
      <c r="O34" s="1039"/>
      <c r="P34" s="1039"/>
      <c r="Q34" s="1039"/>
      <c r="R34" s="1707"/>
      <c r="S34" s="1115"/>
      <c r="T34" s="1115"/>
      <c r="U34" s="1115"/>
      <c r="V34" s="1115"/>
      <c r="W34" s="1115"/>
    </row>
    <row r="35" spans="1:23" ht="15">
      <c r="A35" s="1016"/>
      <c r="B35" s="1016"/>
      <c r="C35" s="1016"/>
      <c r="D35" s="1016"/>
      <c r="E35" s="1016"/>
      <c r="F35" s="1016"/>
      <c r="G35" s="1016"/>
      <c r="H35" s="1016"/>
      <c r="I35" s="1016"/>
      <c r="J35" s="1016"/>
      <c r="K35" s="1016"/>
      <c r="L35" s="1016"/>
      <c r="M35" s="1016"/>
      <c r="N35" s="1016"/>
      <c r="O35" s="1016"/>
      <c r="P35" s="1016"/>
      <c r="Q35" s="1016"/>
      <c r="R35" s="1703"/>
      <c r="S35" s="1016"/>
      <c r="T35" s="1016"/>
      <c r="U35" s="1016"/>
      <c r="V35" s="1016"/>
      <c r="W35" s="1016"/>
    </row>
    <row r="36" spans="1:23" ht="14.25" customHeight="1">
      <c r="A36" s="1041"/>
      <c r="B36" s="829"/>
      <c r="C36" s="1064" t="s">
        <v>4621</v>
      </c>
      <c r="D36" s="1041"/>
      <c r="E36" s="1041"/>
      <c r="F36" s="1041"/>
      <c r="G36" s="1041"/>
      <c r="H36" s="1041"/>
      <c r="I36" s="1041"/>
      <c r="J36" s="1041"/>
      <c r="K36" s="1041"/>
      <c r="L36" s="1041"/>
      <c r="M36" s="1041"/>
      <c r="N36" s="1041"/>
      <c r="O36" s="1041"/>
      <c r="P36" s="1041"/>
      <c r="Q36" s="1041"/>
      <c r="R36" s="1704"/>
      <c r="S36" s="1041"/>
      <c r="T36" s="1041"/>
      <c r="U36" s="1041"/>
      <c r="V36" s="1041"/>
      <c r="W36" s="1041"/>
    </row>
    <row r="37" spans="1:23" ht="14.25" customHeight="1">
      <c r="B37" s="482"/>
    </row>
    <row r="38" spans="1:23" ht="14.25" customHeight="1" thickBot="1">
      <c r="B38" s="482"/>
    </row>
    <row r="39" spans="1:23" ht="14.25" customHeight="1" thickBot="1">
      <c r="B39" s="1166" t="s">
        <v>251</v>
      </c>
      <c r="C39" s="133"/>
      <c r="D39" s="134"/>
      <c r="E39" s="134"/>
      <c r="F39" s="134"/>
      <c r="G39" s="134"/>
      <c r="H39" s="134"/>
      <c r="I39" s="134"/>
      <c r="J39" s="140"/>
    </row>
    <row r="40" spans="1:23" ht="14.25" customHeight="1">
      <c r="B40" s="482"/>
    </row>
    <row r="41" spans="1:23" ht="14.25" hidden="1"/>
    <row r="42" spans="1:23" ht="14.25" hidden="1"/>
    <row r="43" spans="1:23" ht="14.25" hidden="1"/>
    <row r="44" spans="1:23" ht="14.25" hidden="1"/>
    <row r="45" spans="1:23" ht="14.25" hidden="1"/>
    <row r="46" spans="1:23" ht="14.25" hidden="1"/>
    <row r="47" spans="1:23" ht="14.25" hidden="1"/>
    <row r="48" spans="1:23" ht="14.25" hidden="1"/>
    <row r="49" ht="14.25" hidden="1"/>
    <row r="50" ht="14.25" hidden="1"/>
    <row r="51" ht="14.25" hidden="1"/>
    <row r="52" ht="14.25" hidden="1"/>
    <row r="53" ht="14.25" hidden="1"/>
    <row r="54" ht="14.25" hidden="1"/>
    <row r="55" ht="14.25" hidden="1"/>
    <row r="56" ht="14.25" hidden="1"/>
    <row r="57" ht="14.25" hidden="1"/>
    <row r="58" ht="14.25" hidden="1"/>
    <row r="59" ht="14.25" hidden="1"/>
    <row r="60" ht="14.25" hidden="1"/>
    <row r="61" ht="14.25" hidden="1"/>
    <row r="62" ht="14.25" hidden="1"/>
    <row r="63" ht="14.25" hidden="1"/>
    <row r="64"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sheetData>
  <mergeCells count="3">
    <mergeCell ref="AG5:AH5"/>
    <mergeCell ref="B32:C32"/>
    <mergeCell ref="B5:C5"/>
  </mergeCells>
  <conditionalFormatting sqref="P7:P11">
    <cfRule type="cellIs" dxfId="17" priority="4" operator="equal">
      <formula>0</formula>
    </cfRule>
  </conditionalFormatting>
  <conditionalFormatting sqref="P13:P14">
    <cfRule type="cellIs" dxfId="16" priority="1" operator="equal">
      <formula>0</formula>
    </cfRule>
  </conditionalFormatting>
  <conditionalFormatting sqref="P19:P23">
    <cfRule type="cellIs" dxfId="15" priority="3" operator="equal">
      <formula>0</formula>
    </cfRule>
  </conditionalFormatting>
  <conditionalFormatting sqref="P26:P28 P30">
    <cfRule type="cellIs" dxfId="14"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pageSetUpPr fitToPage="1"/>
  </sheetPr>
  <dimension ref="A1:AX51"/>
  <sheetViews>
    <sheetView showGridLines="0" zoomScale="80" zoomScaleNormal="80" workbookViewId="0"/>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313" hidden="1" customWidth="1"/>
    <col min="21" max="28" width="4.125" hidden="1" customWidth="1"/>
    <col min="29" max="29" width="1.625" style="1313" hidden="1" customWidth="1"/>
    <col min="30" max="30" width="8.125" hidden="1" customWidth="1"/>
    <col min="31" max="31" width="1.625" style="1313" hidden="1" customWidth="1"/>
    <col min="32" max="33" width="8.625" hidden="1" customWidth="1"/>
    <col min="34" max="34" width="68.625" hidden="1" customWidth="1"/>
    <col min="35" max="35" width="1.5" style="1313" hidden="1" customWidth="1"/>
    <col min="36" max="37" width="8.625" hidden="1" customWidth="1"/>
    <col min="38" max="38" width="51.125" hidden="1" customWidth="1"/>
    <col min="39" max="39" width="4.125" hidden="1" customWidth="1"/>
    <col min="40" max="41" width="8.625" hidden="1" customWidth="1"/>
    <col min="42" max="43" width="13" hidden="1" customWidth="1"/>
    <col min="44" max="44" width="13.125" hidden="1" customWidth="1"/>
    <col min="45" max="45" width="13.625" hidden="1" customWidth="1"/>
    <col min="46" max="47" width="12.5" hidden="1" customWidth="1"/>
    <col min="48" max="48" width="13.125" hidden="1" customWidth="1"/>
    <col min="49" max="49" width="14.125" hidden="1" customWidth="1"/>
    <col min="50" max="50" width="13.125" hidden="1" customWidth="1"/>
    <col min="51" max="16384" width="8.625" hidden="1"/>
  </cols>
  <sheetData>
    <row r="1" spans="2:50" ht="20.25">
      <c r="B1" s="62" t="s">
        <v>7618</v>
      </c>
      <c r="C1" s="61"/>
      <c r="D1" s="61"/>
      <c r="E1" s="61"/>
      <c r="F1" s="61"/>
      <c r="G1" s="61"/>
      <c r="H1" s="61"/>
      <c r="I1" s="61"/>
      <c r="J1" s="61"/>
      <c r="K1" s="61"/>
      <c r="L1" s="61"/>
      <c r="M1" s="61"/>
      <c r="N1" s="61"/>
      <c r="O1" s="61"/>
      <c r="P1" s="61" t="str">
        <f>Validation!B3</f>
        <v>Thames Water</v>
      </c>
      <c r="Q1" s="61"/>
      <c r="R1" s="62" t="s">
        <v>94</v>
      </c>
      <c r="AK1" s="62" t="s">
        <v>7618</v>
      </c>
      <c r="AL1" s="61"/>
      <c r="AM1" s="61"/>
      <c r="AN1" s="61"/>
      <c r="AO1" s="61"/>
      <c r="AP1" s="61"/>
      <c r="AQ1" s="61"/>
      <c r="AR1" s="61"/>
      <c r="AS1" s="61"/>
      <c r="AT1" s="61"/>
      <c r="AU1" s="61"/>
      <c r="AV1" s="61"/>
      <c r="AW1" s="61"/>
      <c r="AX1" s="61"/>
    </row>
    <row r="2" spans="2:50" ht="15" thickBot="1">
      <c r="B2" s="68" t="s">
        <v>80</v>
      </c>
      <c r="AK2" s="68" t="s">
        <v>80</v>
      </c>
    </row>
    <row r="3" spans="2:50" ht="41.25" thickBot="1">
      <c r="B3" s="896" t="s">
        <v>4255</v>
      </c>
      <c r="C3" s="854" t="s">
        <v>2</v>
      </c>
      <c r="D3" s="855" t="s">
        <v>2690</v>
      </c>
      <c r="E3" s="855" t="s">
        <v>3</v>
      </c>
      <c r="F3" s="855" t="s">
        <v>99</v>
      </c>
      <c r="G3" s="160" t="s">
        <v>7619</v>
      </c>
      <c r="H3" s="301" t="s">
        <v>7620</v>
      </c>
      <c r="I3" s="301" t="s">
        <v>7621</v>
      </c>
      <c r="J3" s="301" t="s">
        <v>7622</v>
      </c>
      <c r="K3" s="301" t="s">
        <v>7623</v>
      </c>
      <c r="L3" s="1274" t="s">
        <v>7624</v>
      </c>
      <c r="M3" s="1274" t="s">
        <v>7625</v>
      </c>
      <c r="N3" s="301" t="s">
        <v>91</v>
      </c>
      <c r="O3" s="161" t="s">
        <v>680</v>
      </c>
      <c r="P3" s="1182" t="s">
        <v>3938</v>
      </c>
      <c r="Q3" s="65"/>
      <c r="R3" s="1182" t="s">
        <v>103</v>
      </c>
      <c r="S3" s="553"/>
      <c r="U3" s="71" t="s">
        <v>107</v>
      </c>
      <c r="V3" s="583"/>
      <c r="W3" s="583"/>
      <c r="X3" s="583"/>
      <c r="Y3" s="583"/>
      <c r="Z3" s="583"/>
      <c r="AA3" s="583"/>
      <c r="AB3" s="583"/>
      <c r="AD3" s="2194" t="s">
        <v>86</v>
      </c>
      <c r="AE3" s="66"/>
      <c r="AF3" s="71" t="s">
        <v>742</v>
      </c>
      <c r="AG3" s="2194"/>
      <c r="AH3" s="2194"/>
      <c r="AI3" s="66"/>
      <c r="AK3" s="896" t="s">
        <v>4255</v>
      </c>
      <c r="AL3" s="854" t="s">
        <v>2</v>
      </c>
      <c r="AM3" s="855" t="s">
        <v>2690</v>
      </c>
      <c r="AN3" s="855" t="s">
        <v>3</v>
      </c>
      <c r="AO3" s="855" t="s">
        <v>99</v>
      </c>
      <c r="AP3" s="160" t="s">
        <v>7619</v>
      </c>
      <c r="AQ3" s="301" t="s">
        <v>7620</v>
      </c>
      <c r="AR3" s="301" t="s">
        <v>7621</v>
      </c>
      <c r="AS3" s="301" t="s">
        <v>7622</v>
      </c>
      <c r="AT3" s="301" t="s">
        <v>7623</v>
      </c>
      <c r="AU3" s="1274" t="s">
        <v>7624</v>
      </c>
      <c r="AV3" s="1274" t="s">
        <v>7625</v>
      </c>
      <c r="AW3" s="301" t="s">
        <v>91</v>
      </c>
      <c r="AX3" s="161" t="s">
        <v>680</v>
      </c>
    </row>
    <row r="4" spans="2:50" ht="15" thickBot="1">
      <c r="B4" s="482"/>
      <c r="L4" s="553"/>
      <c r="M4" s="553"/>
      <c r="P4" s="1118"/>
      <c r="Q4" s="515"/>
      <c r="S4" s="553"/>
      <c r="T4" s="1701"/>
      <c r="U4" s="78" t="s">
        <v>108</v>
      </c>
      <c r="V4" s="553"/>
      <c r="W4" s="553"/>
      <c r="X4" s="553"/>
      <c r="Y4" s="553"/>
      <c r="AK4" s="482"/>
      <c r="AU4" s="553"/>
      <c r="AV4" s="553"/>
    </row>
    <row r="5" spans="2:50" ht="15" thickBot="1">
      <c r="B5" s="2553" t="s">
        <v>7626</v>
      </c>
      <c r="C5" s="2554"/>
      <c r="P5" s="1118"/>
      <c r="Q5" s="515"/>
      <c r="S5" s="553"/>
      <c r="T5" s="1701"/>
      <c r="U5" s="553"/>
      <c r="V5" s="553"/>
      <c r="W5" s="553"/>
      <c r="X5" s="553"/>
      <c r="Y5" s="553"/>
      <c r="AK5" s="2428" t="s">
        <v>7626</v>
      </c>
      <c r="AL5" s="2552"/>
    </row>
    <row r="6" spans="2:50" ht="15.75" thickBot="1">
      <c r="B6" s="1775" t="s">
        <v>214</v>
      </c>
      <c r="C6" s="1776" t="s">
        <v>7627</v>
      </c>
      <c r="AK6" s="2219" t="s">
        <v>214</v>
      </c>
      <c r="AL6" s="904" t="s">
        <v>7627</v>
      </c>
    </row>
    <row r="7" spans="2:50" ht="15">
      <c r="B7" s="1754" t="s">
        <v>7628</v>
      </c>
      <c r="C7" s="1757" t="s">
        <v>869</v>
      </c>
      <c r="D7" s="1777"/>
      <c r="E7" s="1762" t="s">
        <v>8</v>
      </c>
      <c r="F7" s="1763">
        <v>3</v>
      </c>
      <c r="G7" s="1124">
        <v>-0.13833413385986956</v>
      </c>
      <c r="H7" s="1125">
        <v>-0.76083773622928252</v>
      </c>
      <c r="I7" s="1125">
        <v>-3.9701896417782558</v>
      </c>
      <c r="J7" s="1125">
        <v>-6.6538718386597253</v>
      </c>
      <c r="K7" s="1125">
        <v>-2.3101800354598216</v>
      </c>
      <c r="L7" s="1125">
        <v>0</v>
      </c>
      <c r="M7" s="1125">
        <v>0</v>
      </c>
      <c r="N7" s="1125">
        <v>0</v>
      </c>
      <c r="O7" s="2053">
        <f>SUM(G7:N7)</f>
        <v>-13.833413385986955</v>
      </c>
      <c r="P7" s="1897"/>
      <c r="R7" s="25">
        <f xml:space="preserve"> IF( SUM( T7:AB7 ) = 0, 0, $U$4 )</f>
        <v>0</v>
      </c>
      <c r="S7" s="1016"/>
      <c r="T7" s="66"/>
      <c r="U7" s="86">
        <f>IF(Validation!$H$3=1,0,IF(ISNUMBER(G7),0,1))</f>
        <v>0</v>
      </c>
      <c r="V7" s="86">
        <f>IF(Validation!$H$3=1,0,IF(ISNUMBER(H7),0,1))</f>
        <v>0</v>
      </c>
      <c r="W7" s="86">
        <f>IF(Validation!$H$3=1,0,IF(ISNUMBER(I7),0,1))</f>
        <v>0</v>
      </c>
      <c r="X7" s="86">
        <f>IF(Validation!$H$3=1,0,IF(ISNUMBER(J7),0,1))</f>
        <v>0</v>
      </c>
      <c r="Y7" s="86">
        <f>IF(Validation!$H$3=1,0,IF(ISNUMBER(K7),0,1))</f>
        <v>0</v>
      </c>
      <c r="Z7" s="86">
        <f>IF(Validation!$H$3=1,0,IF(ISNUMBER(L7),0,1))</f>
        <v>0</v>
      </c>
      <c r="AA7" s="86">
        <f>IF(Validation!$H$3=1,0,IF(ISNUMBER(M7),0,1))</f>
        <v>0</v>
      </c>
      <c r="AB7" s="86">
        <f>IF(Validation!$H$3=1,0,IF(ISNUMBER(N7),0,1))</f>
        <v>0</v>
      </c>
      <c r="AC7" s="66"/>
      <c r="AK7" s="1119" t="s">
        <v>7628</v>
      </c>
      <c r="AL7" s="1120" t="s">
        <v>869</v>
      </c>
      <c r="AM7" s="1121"/>
      <c r="AN7" s="1122" t="s">
        <v>8</v>
      </c>
      <c r="AO7" s="1123">
        <v>3</v>
      </c>
      <c r="AP7" s="1124" t="s">
        <v>7629</v>
      </c>
      <c r="AQ7" s="1125" t="s">
        <v>7630</v>
      </c>
      <c r="AR7" s="1125" t="s">
        <v>7631</v>
      </c>
      <c r="AS7" s="1156" t="s">
        <v>7632</v>
      </c>
      <c r="AT7" s="1156" t="s">
        <v>7633</v>
      </c>
      <c r="AU7" s="1125" t="s">
        <v>7634</v>
      </c>
      <c r="AV7" s="1125" t="s">
        <v>7635</v>
      </c>
      <c r="AW7" s="1125" t="s">
        <v>7636</v>
      </c>
      <c r="AX7" s="1580" t="s">
        <v>7637</v>
      </c>
    </row>
    <row r="8" spans="2:50" ht="15">
      <c r="B8" s="1755" t="s">
        <v>7638</v>
      </c>
      <c r="C8" s="1758" t="s">
        <v>877</v>
      </c>
      <c r="D8" s="1778"/>
      <c r="E8" s="1764" t="s">
        <v>8</v>
      </c>
      <c r="F8" s="1765">
        <v>3</v>
      </c>
      <c r="G8" s="1133">
        <v>-9.6316363998604299E-2</v>
      </c>
      <c r="H8" s="1134">
        <v>-0.52974000199232363</v>
      </c>
      <c r="I8" s="1134">
        <v>-2.7642796467599431</v>
      </c>
      <c r="J8" s="1134">
        <v>-4.6328171083328664</v>
      </c>
      <c r="K8" s="1134">
        <v>-1.6084832787766918</v>
      </c>
      <c r="L8" s="1134">
        <v>0</v>
      </c>
      <c r="M8" s="1134">
        <v>0</v>
      </c>
      <c r="N8" s="1134">
        <v>0</v>
      </c>
      <c r="O8" s="2054">
        <f t="shared" ref="O8:O14" si="0">SUM(G8:N8)</f>
        <v>-9.6316363998604295</v>
      </c>
      <c r="P8" s="1898"/>
      <c r="R8" s="25">
        <f xml:space="preserve"> IF( SUM( T8:AB8 ) = 0, 0, $U$4 )</f>
        <v>0</v>
      </c>
      <c r="S8" s="1016"/>
      <c r="T8" s="66"/>
      <c r="U8" s="86">
        <f>IF(Validation!$H$3=1,0,IF(ISNUMBER(G8),0,1))</f>
        <v>0</v>
      </c>
      <c r="V8" s="86">
        <f>IF(Validation!$H$3=1,0,IF(ISNUMBER(H8),0,1))</f>
        <v>0</v>
      </c>
      <c r="W8" s="86">
        <f>IF(Validation!$H$3=1,0,IF(ISNUMBER(I8),0,1))</f>
        <v>0</v>
      </c>
      <c r="X8" s="86">
        <f>IF(Validation!$H$3=1,0,IF(ISNUMBER(J8),0,1))</f>
        <v>0</v>
      </c>
      <c r="Y8" s="86">
        <f>IF(Validation!$H$3=1,0,IF(ISNUMBER(K8),0,1))</f>
        <v>0</v>
      </c>
      <c r="Z8" s="86">
        <f>IF(Validation!$H$3=1,0,IF(ISNUMBER(L8),0,1))</f>
        <v>0</v>
      </c>
      <c r="AA8" s="86">
        <f>IF(Validation!$H$3=1,0,IF(ISNUMBER(M8),0,1))</f>
        <v>0</v>
      </c>
      <c r="AB8" s="86">
        <f>IF(Validation!$H$3=1,0,IF(ISNUMBER(N8),0,1))</f>
        <v>0</v>
      </c>
      <c r="AC8" s="66"/>
      <c r="AK8" s="1128" t="s">
        <v>7638</v>
      </c>
      <c r="AL8" s="1129" t="s">
        <v>877</v>
      </c>
      <c r="AM8" s="1130"/>
      <c r="AN8" s="1131" t="s">
        <v>8</v>
      </c>
      <c r="AO8" s="1132">
        <v>3</v>
      </c>
      <c r="AP8" s="1133" t="s">
        <v>7639</v>
      </c>
      <c r="AQ8" s="1134" t="s">
        <v>7640</v>
      </c>
      <c r="AR8" s="1134" t="s">
        <v>7641</v>
      </c>
      <c r="AS8" s="1157" t="s">
        <v>7642</v>
      </c>
      <c r="AT8" s="1157" t="s">
        <v>7643</v>
      </c>
      <c r="AU8" s="1134" t="s">
        <v>7644</v>
      </c>
      <c r="AV8" s="1134" t="s">
        <v>7645</v>
      </c>
      <c r="AW8" s="1134" t="s">
        <v>7646</v>
      </c>
      <c r="AX8" s="1581" t="s">
        <v>7647</v>
      </c>
    </row>
    <row r="9" spans="2:50" ht="15">
      <c r="B9" s="1755" t="s">
        <v>7648</v>
      </c>
      <c r="C9" s="1758" t="s">
        <v>925</v>
      </c>
      <c r="D9" s="1778"/>
      <c r="E9" s="1764" t="s">
        <v>8</v>
      </c>
      <c r="F9" s="1765">
        <v>3</v>
      </c>
      <c r="G9" s="1133">
        <v>9.0049227963410014E-2</v>
      </c>
      <c r="H9" s="1134">
        <v>0.49527075379875507</v>
      </c>
      <c r="I9" s="1134">
        <v>2.5844128425498671</v>
      </c>
      <c r="J9" s="1134">
        <v>4.3313678650400211</v>
      </c>
      <c r="K9" s="1134">
        <v>1.5038221069889472</v>
      </c>
      <c r="L9" s="1134">
        <v>0</v>
      </c>
      <c r="M9" s="1134">
        <v>0</v>
      </c>
      <c r="N9" s="1134">
        <v>0</v>
      </c>
      <c r="O9" s="2054">
        <f t="shared" si="0"/>
        <v>9.0049227963410008</v>
      </c>
      <c r="P9" s="1898"/>
      <c r="R9" s="25">
        <f xml:space="preserve"> IF( SUM( T9:AB9 ) = 0, 0, $U$4 )</f>
        <v>0</v>
      </c>
      <c r="S9" s="1016"/>
      <c r="T9" s="66"/>
      <c r="U9" s="86">
        <f>IF(Validation!$H$3=1,0,IF(ISNUMBER(G9),0,1))</f>
        <v>0</v>
      </c>
      <c r="V9" s="86">
        <f>IF(Validation!$H$3=1,0,IF(ISNUMBER(H9),0,1))</f>
        <v>0</v>
      </c>
      <c r="W9" s="86">
        <f>IF(Validation!$H$3=1,0,IF(ISNUMBER(I9),0,1))</f>
        <v>0</v>
      </c>
      <c r="X9" s="86">
        <f>IF(Validation!$H$3=1,0,IF(ISNUMBER(J9),0,1))</f>
        <v>0</v>
      </c>
      <c r="Y9" s="86">
        <f>IF(Validation!$H$3=1,0,IF(ISNUMBER(K9),0,1))</f>
        <v>0</v>
      </c>
      <c r="Z9" s="86">
        <f>IF(Validation!$H$3=1,0,IF(ISNUMBER(L9),0,1))</f>
        <v>0</v>
      </c>
      <c r="AA9" s="86">
        <f>IF(Validation!$H$3=1,0,IF(ISNUMBER(M9),0,1))</f>
        <v>0</v>
      </c>
      <c r="AB9" s="86">
        <f>IF(Validation!$H$3=1,0,IF(ISNUMBER(N9),0,1))</f>
        <v>0</v>
      </c>
      <c r="AC9" s="66"/>
      <c r="AK9" s="1128" t="s">
        <v>7648</v>
      </c>
      <c r="AL9" s="1129" t="s">
        <v>925</v>
      </c>
      <c r="AM9" s="1130"/>
      <c r="AN9" s="1131" t="s">
        <v>8</v>
      </c>
      <c r="AO9" s="1132">
        <v>3</v>
      </c>
      <c r="AP9" s="1133" t="s">
        <v>7649</v>
      </c>
      <c r="AQ9" s="1134" t="s">
        <v>7650</v>
      </c>
      <c r="AR9" s="1134" t="s">
        <v>7651</v>
      </c>
      <c r="AS9" s="1157" t="s">
        <v>7652</v>
      </c>
      <c r="AT9" s="1157" t="s">
        <v>7653</v>
      </c>
      <c r="AU9" s="1134" t="s">
        <v>7654</v>
      </c>
      <c r="AV9" s="1134" t="s">
        <v>7655</v>
      </c>
      <c r="AW9" s="1134" t="s">
        <v>7656</v>
      </c>
      <c r="AX9" s="1581" t="s">
        <v>7657</v>
      </c>
    </row>
    <row r="10" spans="2:50" ht="15">
      <c r="B10" s="1755" t="s">
        <v>7658</v>
      </c>
      <c r="C10" s="1758" t="s">
        <v>7568</v>
      </c>
      <c r="D10" s="1778"/>
      <c r="E10" s="1764" t="s">
        <v>8</v>
      </c>
      <c r="F10" s="1765">
        <v>3</v>
      </c>
      <c r="G10" s="1133">
        <v>0.43565896109923496</v>
      </c>
      <c r="H10" s="1134">
        <v>2.3961242860457923</v>
      </c>
      <c r="I10" s="1134">
        <v>12.503412183548042</v>
      </c>
      <c r="J10" s="1134">
        <v>20.9551960288732</v>
      </c>
      <c r="K10" s="1134">
        <v>7.2755046503572238</v>
      </c>
      <c r="L10" s="1134">
        <v>0</v>
      </c>
      <c r="M10" s="1134">
        <v>0</v>
      </c>
      <c r="N10" s="1134">
        <v>0</v>
      </c>
      <c r="O10" s="2054">
        <f t="shared" si="0"/>
        <v>43.565896109923486</v>
      </c>
      <c r="P10" s="1898"/>
      <c r="R10" s="25">
        <f xml:space="preserve"> IF( SUM( T10:AB10 ) = 0, 0, $U$4 )</f>
        <v>0</v>
      </c>
      <c r="S10" s="1016"/>
      <c r="T10" s="66"/>
      <c r="U10" s="86">
        <f>IF(Validation!$H$3=1,0,IF(ISNUMBER(G10),0,1))</f>
        <v>0</v>
      </c>
      <c r="V10" s="86">
        <f>IF(Validation!$H$3=1,0,IF(ISNUMBER(H10),0,1))</f>
        <v>0</v>
      </c>
      <c r="W10" s="86">
        <f>IF(Validation!$H$3=1,0,IF(ISNUMBER(I10),0,1))</f>
        <v>0</v>
      </c>
      <c r="X10" s="86">
        <f>IF(Validation!$H$3=1,0,IF(ISNUMBER(J10),0,1))</f>
        <v>0</v>
      </c>
      <c r="Y10" s="86">
        <f>IF(Validation!$H$3=1,0,IF(ISNUMBER(K10),0,1))</f>
        <v>0</v>
      </c>
      <c r="Z10" s="86">
        <f>IF(Validation!$H$3=1,0,IF(ISNUMBER(L10),0,1))</f>
        <v>0</v>
      </c>
      <c r="AA10" s="86">
        <f>IF(Validation!$H$3=1,0,IF(ISNUMBER(M10),0,1))</f>
        <v>0</v>
      </c>
      <c r="AB10" s="86">
        <f>IF(Validation!$H$3=1,0,IF(ISNUMBER(N10),0,1))</f>
        <v>0</v>
      </c>
      <c r="AC10" s="66"/>
      <c r="AK10" s="1128" t="s">
        <v>7658</v>
      </c>
      <c r="AL10" s="1129" t="s">
        <v>7568</v>
      </c>
      <c r="AM10" s="1130"/>
      <c r="AN10" s="1131" t="s">
        <v>8</v>
      </c>
      <c r="AO10" s="1132">
        <v>3</v>
      </c>
      <c r="AP10" s="1133" t="s">
        <v>7659</v>
      </c>
      <c r="AQ10" s="1134" t="s">
        <v>7660</v>
      </c>
      <c r="AR10" s="1134" t="s">
        <v>7661</v>
      </c>
      <c r="AS10" s="1157" t="s">
        <v>7662</v>
      </c>
      <c r="AT10" s="1157" t="s">
        <v>7663</v>
      </c>
      <c r="AU10" s="1134" t="s">
        <v>7664</v>
      </c>
      <c r="AV10" s="1134" t="s">
        <v>7665</v>
      </c>
      <c r="AW10" s="1134" t="s">
        <v>7666</v>
      </c>
      <c r="AX10" s="1581" t="s">
        <v>7667</v>
      </c>
    </row>
    <row r="11" spans="2:50" ht="15">
      <c r="B11" s="1755" t="s">
        <v>7668</v>
      </c>
      <c r="C11" s="1759" t="s">
        <v>7571</v>
      </c>
      <c r="D11" s="1778"/>
      <c r="E11" s="1766" t="s">
        <v>8</v>
      </c>
      <c r="F11" s="1765">
        <v>3</v>
      </c>
      <c r="G11" s="1133">
        <v>6.6804854390369303E-2</v>
      </c>
      <c r="H11" s="1134">
        <v>0.36742669914703119</v>
      </c>
      <c r="I11" s="1134">
        <v>1.9172993210035989</v>
      </c>
      <c r="J11" s="1134">
        <v>3.2133134961767635</v>
      </c>
      <c r="K11" s="1134">
        <v>1.1156410683191675</v>
      </c>
      <c r="L11" s="1134">
        <v>0</v>
      </c>
      <c r="M11" s="1134">
        <v>0</v>
      </c>
      <c r="N11" s="1134">
        <v>0</v>
      </c>
      <c r="O11" s="2054">
        <f t="shared" si="0"/>
        <v>6.6804854390369304</v>
      </c>
      <c r="P11" s="1898"/>
      <c r="R11" s="25">
        <f xml:space="preserve"> IF( SUM( T11:AB11 ) = 0, 0, $U$4 )</f>
        <v>0</v>
      </c>
      <c r="S11" s="1016"/>
      <c r="T11" s="66"/>
      <c r="U11" s="86">
        <f>IF(Validation!$H$3=1,0,IF(ISNUMBER(G11),0,1))</f>
        <v>0</v>
      </c>
      <c r="V11" s="86">
        <f>IF(Validation!$H$3=1,0,IF(ISNUMBER(H11),0,1))</f>
        <v>0</v>
      </c>
      <c r="W11" s="86">
        <f>IF(Validation!$H$3=1,0,IF(ISNUMBER(I11),0,1))</f>
        <v>0</v>
      </c>
      <c r="X11" s="86">
        <f>IF(Validation!$H$3=1,0,IF(ISNUMBER(J11),0,1))</f>
        <v>0</v>
      </c>
      <c r="Y11" s="86">
        <f>IF(Validation!$H$3=1,0,IF(ISNUMBER(K11),0,1))</f>
        <v>0</v>
      </c>
      <c r="Z11" s="86">
        <f>IF(Validation!$H$3=1,0,IF(ISNUMBER(L11),0,1))</f>
        <v>0</v>
      </c>
      <c r="AA11" s="86">
        <f>IF(Validation!$H$3=1,0,IF(ISNUMBER(M11),0,1))</f>
        <v>0</v>
      </c>
      <c r="AB11" s="86">
        <f>IF(Validation!$H$3=1,0,IF(ISNUMBER(N11),0,1))</f>
        <v>0</v>
      </c>
      <c r="AC11" s="66"/>
      <c r="AK11" s="1128" t="s">
        <v>7668</v>
      </c>
      <c r="AL11" s="1137" t="s">
        <v>7571</v>
      </c>
      <c r="AM11" s="1130"/>
      <c r="AN11" s="1138" t="s">
        <v>8</v>
      </c>
      <c r="AO11" s="1132">
        <v>3</v>
      </c>
      <c r="AP11" s="1133" t="s">
        <v>7669</v>
      </c>
      <c r="AQ11" s="1134" t="s">
        <v>7670</v>
      </c>
      <c r="AR11" s="1134" t="s">
        <v>7671</v>
      </c>
      <c r="AS11" s="1157" t="s">
        <v>7672</v>
      </c>
      <c r="AT11" s="1157" t="s">
        <v>7673</v>
      </c>
      <c r="AU11" s="1134" t="s">
        <v>7674</v>
      </c>
      <c r="AV11" s="1134" t="s">
        <v>7675</v>
      </c>
      <c r="AW11" s="1134" t="s">
        <v>7676</v>
      </c>
      <c r="AX11" s="1581" t="s">
        <v>7677</v>
      </c>
    </row>
    <row r="12" spans="2:50" ht="15">
      <c r="B12" s="1755" t="s">
        <v>7678</v>
      </c>
      <c r="C12" s="1760" t="s">
        <v>7574</v>
      </c>
      <c r="D12" s="1779"/>
      <c r="E12" s="1767" t="s">
        <v>8</v>
      </c>
      <c r="F12" s="1768">
        <v>3</v>
      </c>
      <c r="G12" s="1746">
        <f>SUM(G7:G11)</f>
        <v>0.35786254559454045</v>
      </c>
      <c r="H12" s="1747">
        <f t="shared" ref="H12:N12" si="1">SUM(H7:H11)</f>
        <v>1.9682440007699724</v>
      </c>
      <c r="I12" s="1747">
        <f t="shared" si="1"/>
        <v>10.270655058563309</v>
      </c>
      <c r="J12" s="1747">
        <f t="shared" ref="J12" si="2">SUM(J7:J11)</f>
        <v>17.213188443097394</v>
      </c>
      <c r="K12" s="1747">
        <f t="shared" si="1"/>
        <v>5.9763045114288245</v>
      </c>
      <c r="L12" s="1747">
        <f t="shared" si="1"/>
        <v>0</v>
      </c>
      <c r="M12" s="1747">
        <f t="shared" si="1"/>
        <v>0</v>
      </c>
      <c r="N12" s="1747">
        <f t="shared" si="1"/>
        <v>0</v>
      </c>
      <c r="O12" s="2054">
        <f t="shared" si="0"/>
        <v>35.786254559454036</v>
      </c>
      <c r="P12" s="1898"/>
      <c r="S12" s="1016"/>
      <c r="T12" s="66"/>
      <c r="U12" s="113"/>
      <c r="V12" s="113"/>
      <c r="W12" s="113"/>
      <c r="X12" s="113"/>
      <c r="Y12" s="113"/>
      <c r="Z12" s="113"/>
      <c r="AA12" s="113"/>
      <c r="AB12" s="113"/>
      <c r="AC12" s="66"/>
      <c r="AK12" s="1128" t="s">
        <v>7678</v>
      </c>
      <c r="AL12" s="1141" t="s">
        <v>7574</v>
      </c>
      <c r="AM12" s="1142"/>
      <c r="AN12" s="1143" t="s">
        <v>8</v>
      </c>
      <c r="AO12" s="1144">
        <v>3</v>
      </c>
      <c r="AP12" s="1136" t="s">
        <v>7679</v>
      </c>
      <c r="AQ12" s="1136" t="s">
        <v>7680</v>
      </c>
      <c r="AR12" s="1136" t="s">
        <v>7681</v>
      </c>
      <c r="AS12" s="1136" t="s">
        <v>7682</v>
      </c>
      <c r="AT12" s="1136" t="s">
        <v>7683</v>
      </c>
      <c r="AU12" s="1136" t="s">
        <v>7684</v>
      </c>
      <c r="AV12" s="1136" t="s">
        <v>7685</v>
      </c>
      <c r="AW12" s="1136" t="s">
        <v>7686</v>
      </c>
      <c r="AX12" s="1581" t="s">
        <v>7687</v>
      </c>
    </row>
    <row r="13" spans="2:50" ht="15">
      <c r="B13" s="1755" t="s">
        <v>7688</v>
      </c>
      <c r="C13" s="1758" t="s">
        <v>526</v>
      </c>
      <c r="D13" s="1778"/>
      <c r="E13" s="1767" t="s">
        <v>8</v>
      </c>
      <c r="F13" s="1768">
        <v>3</v>
      </c>
      <c r="G13" s="1133">
        <v>0.30136653584280304</v>
      </c>
      <c r="H13" s="1134">
        <v>1.6575159471354168</v>
      </c>
      <c r="I13" s="1134">
        <v>8.6492195786884469</v>
      </c>
      <c r="J13" s="1134">
        <v>14.495730374038828</v>
      </c>
      <c r="K13" s="1134">
        <v>5.0328211485748113</v>
      </c>
      <c r="L13" s="1134">
        <v>0</v>
      </c>
      <c r="M13" s="1134">
        <v>0</v>
      </c>
      <c r="N13" s="1134">
        <v>0</v>
      </c>
      <c r="O13" s="2054">
        <f t="shared" si="0"/>
        <v>30.136653584280307</v>
      </c>
      <c r="P13" s="1899"/>
      <c r="R13" s="25">
        <f xml:space="preserve"> IF( SUM( T13:AB13 ) = 0, 0, $U$4 )</f>
        <v>0</v>
      </c>
      <c r="S13" s="1016"/>
      <c r="T13" s="66"/>
      <c r="U13" s="86">
        <f>IF(Validation!$H$3=1,0,IF(ISNUMBER(G13),0,1))</f>
        <v>0</v>
      </c>
      <c r="V13" s="86">
        <f>IF(Validation!$H$3=1,0,IF(ISNUMBER(H13),0,1))</f>
        <v>0</v>
      </c>
      <c r="W13" s="86">
        <f>IF(Validation!$H$3=1,0,IF(ISNUMBER(I13),0,1))</f>
        <v>0</v>
      </c>
      <c r="X13" s="86">
        <f>IF(Validation!$H$3=1,0,IF(ISNUMBER(J13),0,1))</f>
        <v>0</v>
      </c>
      <c r="Y13" s="86">
        <f>IF(Validation!$H$3=1,0,IF(ISNUMBER(K13),0,1))</f>
        <v>0</v>
      </c>
      <c r="Z13" s="86">
        <f>IF(Validation!$H$3=1,0,IF(ISNUMBER(L13),0,1))</f>
        <v>0</v>
      </c>
      <c r="AA13" s="86">
        <f>IF(Validation!$H$3=1,0,IF(ISNUMBER(M13),0,1))</f>
        <v>0</v>
      </c>
      <c r="AB13" s="86">
        <f>IF(Validation!$H$3=1,0,IF(ISNUMBER(N13),0,1))</f>
        <v>0</v>
      </c>
      <c r="AC13" s="66"/>
      <c r="AK13" s="1128" t="s">
        <v>7688</v>
      </c>
      <c r="AL13" s="1129" t="s">
        <v>526</v>
      </c>
      <c r="AM13" s="1130"/>
      <c r="AN13" s="1143" t="s">
        <v>8</v>
      </c>
      <c r="AO13" s="1144">
        <v>3</v>
      </c>
      <c r="AP13" s="1133" t="s">
        <v>7689</v>
      </c>
      <c r="AQ13" s="1134" t="s">
        <v>7690</v>
      </c>
      <c r="AR13" s="1134" t="s">
        <v>7691</v>
      </c>
      <c r="AS13" s="1134" t="s">
        <v>7692</v>
      </c>
      <c r="AT13" s="1157" t="s">
        <v>7693</v>
      </c>
      <c r="AU13" s="1134" t="s">
        <v>7694</v>
      </c>
      <c r="AV13" s="1134" t="s">
        <v>7695</v>
      </c>
      <c r="AW13" s="1134" t="s">
        <v>7696</v>
      </c>
      <c r="AX13" s="1581" t="s">
        <v>7697</v>
      </c>
    </row>
    <row r="14" spans="2:50" ht="22.5" customHeight="1" thickBot="1">
      <c r="B14" s="1756" t="s">
        <v>7698</v>
      </c>
      <c r="C14" s="1761" t="s">
        <v>7579</v>
      </c>
      <c r="D14" s="1780"/>
      <c r="E14" s="1769" t="s">
        <v>8</v>
      </c>
      <c r="F14" s="1770">
        <v>3</v>
      </c>
      <c r="G14" s="1750">
        <f>+G12+G13</f>
        <v>0.65922908143734349</v>
      </c>
      <c r="H14" s="1751">
        <f t="shared" ref="H14:N14" si="3">+H12+H13</f>
        <v>3.6257599479053892</v>
      </c>
      <c r="I14" s="1751">
        <f t="shared" si="3"/>
        <v>18.919874637251755</v>
      </c>
      <c r="J14" s="1751">
        <f t="shared" ref="J14" si="4">+J12+J13</f>
        <v>31.708918817136222</v>
      </c>
      <c r="K14" s="1751">
        <f t="shared" si="3"/>
        <v>11.009125660003637</v>
      </c>
      <c r="L14" s="1751">
        <f t="shared" si="3"/>
        <v>0</v>
      </c>
      <c r="M14" s="1751">
        <f t="shared" si="3"/>
        <v>0</v>
      </c>
      <c r="N14" s="1751">
        <f t="shared" si="3"/>
        <v>0</v>
      </c>
      <c r="O14" s="2055">
        <f t="shared" si="0"/>
        <v>65.922908143734347</v>
      </c>
      <c r="P14" s="1900"/>
      <c r="R14" s="1164" t="str">
        <f>IF(SUM(AC14:AE14)=0,0,$AH$14)</f>
        <v>Line 4W.8 does not equal line 4E.9 for sludge treatment, please provide reasoning and reconciliation in your commentary</v>
      </c>
      <c r="S14" s="1016"/>
      <c r="T14" s="66"/>
      <c r="U14" s="113"/>
      <c r="V14" s="113"/>
      <c r="W14" s="113"/>
      <c r="X14" s="113"/>
      <c r="Y14" s="113"/>
      <c r="Z14" s="113"/>
      <c r="AA14" s="113"/>
      <c r="AB14" s="113"/>
      <c r="AC14" s="66"/>
      <c r="AD14" s="86">
        <f xml:space="preserve"> IF( (AF14 - AG14) = 0, 0, 1 )</f>
        <v>1</v>
      </c>
      <c r="AE14" s="114"/>
      <c r="AF14" s="105">
        <f>ROUND(O14,3)</f>
        <v>65.923000000000002</v>
      </c>
      <c r="AG14" s="105">
        <f>ROUND('4E'!M15,3)</f>
        <v>35.786999999999999</v>
      </c>
      <c r="AH14" s="24" t="s">
        <v>7699</v>
      </c>
      <c r="AI14" s="114"/>
      <c r="AK14" s="1145" t="s">
        <v>7698</v>
      </c>
      <c r="AL14" s="1146" t="s">
        <v>7579</v>
      </c>
      <c r="AM14" s="1147"/>
      <c r="AN14" s="1148" t="s">
        <v>8</v>
      </c>
      <c r="AO14" s="1149">
        <v>3</v>
      </c>
      <c r="AP14" s="1150" t="s">
        <v>7700</v>
      </c>
      <c r="AQ14" s="1150" t="s">
        <v>7701</v>
      </c>
      <c r="AR14" s="1150" t="s">
        <v>7702</v>
      </c>
      <c r="AS14" s="1150" t="s">
        <v>7703</v>
      </c>
      <c r="AT14" s="1150" t="s">
        <v>7704</v>
      </c>
      <c r="AU14" s="1150" t="s">
        <v>7705</v>
      </c>
      <c r="AV14" s="1150" t="s">
        <v>7706</v>
      </c>
      <c r="AW14" s="1150" t="s">
        <v>7707</v>
      </c>
      <c r="AX14" s="1582" t="s">
        <v>7708</v>
      </c>
    </row>
    <row r="15" spans="2:50" ht="22.5" customHeight="1" thickBot="1">
      <c r="B15" s="482"/>
      <c r="O15" s="105"/>
      <c r="AK15" s="482"/>
      <c r="AX15" s="105"/>
    </row>
    <row r="16" spans="2:50" ht="15.75" thickBot="1">
      <c r="B16" s="2219" t="s">
        <v>236</v>
      </c>
      <c r="C16" s="904" t="s">
        <v>7709</v>
      </c>
      <c r="O16" s="105"/>
      <c r="AK16" s="2219" t="s">
        <v>236</v>
      </c>
      <c r="AL16" s="904" t="s">
        <v>7709</v>
      </c>
      <c r="AX16" s="105"/>
    </row>
    <row r="17" spans="2:50" ht="15">
      <c r="B17" s="1754" t="s">
        <v>7710</v>
      </c>
      <c r="C17" s="1757" t="s">
        <v>869</v>
      </c>
      <c r="D17" s="1777"/>
      <c r="E17" s="1762" t="s">
        <v>8</v>
      </c>
      <c r="F17" s="1763">
        <v>3</v>
      </c>
      <c r="G17" s="1124">
        <v>0</v>
      </c>
      <c r="H17" s="1125">
        <v>4.1014227276641333E-3</v>
      </c>
      <c r="I17" s="1125">
        <v>1.3420973520441819E-2</v>
      </c>
      <c r="J17" s="1125">
        <v>2.0405980729355962E-2</v>
      </c>
      <c r="K17" s="1125">
        <v>0</v>
      </c>
      <c r="L17" s="1125">
        <v>0</v>
      </c>
      <c r="M17" s="1125">
        <v>0</v>
      </c>
      <c r="N17" s="1125">
        <v>0</v>
      </c>
      <c r="O17" s="2053">
        <f t="shared" ref="O17:O24" si="5">SUM(G17:N17)</f>
        <v>3.7928376977461917E-2</v>
      </c>
      <c r="P17" s="1897"/>
      <c r="R17" s="25">
        <f xml:space="preserve"> IF( SUM( T17:AB17 ) = 0, 0, $U$4 )</f>
        <v>0</v>
      </c>
      <c r="S17" s="1016"/>
      <c r="T17" s="66"/>
      <c r="U17" s="86">
        <f>IF(Validation!$H$3=1,0,IF(ISNUMBER(G17),0,1))</f>
        <v>0</v>
      </c>
      <c r="V17" s="86">
        <f>IF(Validation!$H$3=1,0,IF(ISNUMBER(H17),0,1))</f>
        <v>0</v>
      </c>
      <c r="W17" s="86">
        <f>IF(Validation!$H$3=1,0,IF(ISNUMBER(I17),0,1))</f>
        <v>0</v>
      </c>
      <c r="X17" s="86">
        <f>IF(Validation!$H$3=1,0,IF(ISNUMBER(J17),0,1))</f>
        <v>0</v>
      </c>
      <c r="Y17" s="86">
        <f>IF(Validation!$H$3=1,0,IF(ISNUMBER(K17),0,1))</f>
        <v>0</v>
      </c>
      <c r="Z17" s="86">
        <f>IF(Validation!$H$3=1,0,IF(ISNUMBER(L17),0,1))</f>
        <v>0</v>
      </c>
      <c r="AA17" s="86">
        <f>IF(Validation!$H$3=1,0,IF(ISNUMBER(M17),0,1))</f>
        <v>0</v>
      </c>
      <c r="AB17" s="86">
        <f>IF(Validation!$H$3=1,0,IF(ISNUMBER(N17),0,1))</f>
        <v>0</v>
      </c>
      <c r="AC17" s="66"/>
      <c r="AK17" s="1119" t="s">
        <v>7710</v>
      </c>
      <c r="AL17" s="1120" t="s">
        <v>869</v>
      </c>
      <c r="AM17" s="1121"/>
      <c r="AN17" s="1122" t="s">
        <v>8</v>
      </c>
      <c r="AO17" s="1123">
        <v>3</v>
      </c>
      <c r="AP17" s="1124" t="s">
        <v>7711</v>
      </c>
      <c r="AQ17" s="1125" t="s">
        <v>7712</v>
      </c>
      <c r="AR17" s="1125" t="s">
        <v>7713</v>
      </c>
      <c r="AS17" s="1125" t="s">
        <v>7714</v>
      </c>
      <c r="AT17" s="1156" t="s">
        <v>7715</v>
      </c>
      <c r="AU17" s="1125" t="s">
        <v>7716</v>
      </c>
      <c r="AV17" s="1125" t="s">
        <v>7717</v>
      </c>
      <c r="AW17" s="1125" t="s">
        <v>7718</v>
      </c>
      <c r="AX17" s="1580" t="s">
        <v>7719</v>
      </c>
    </row>
    <row r="18" spans="2:50" ht="15">
      <c r="B18" s="1755" t="s">
        <v>7720</v>
      </c>
      <c r="C18" s="1758" t="s">
        <v>877</v>
      </c>
      <c r="D18" s="1778"/>
      <c r="E18" s="1764" t="s">
        <v>8</v>
      </c>
      <c r="F18" s="1765">
        <v>3</v>
      </c>
      <c r="G18" s="1133">
        <v>0</v>
      </c>
      <c r="H18" s="1134">
        <v>-8.5756449852303226E-2</v>
      </c>
      <c r="I18" s="1134">
        <v>-0.28061848755842483</v>
      </c>
      <c r="J18" s="1134">
        <v>-0.4266676661492827</v>
      </c>
      <c r="K18" s="1134">
        <v>0</v>
      </c>
      <c r="L18" s="1134">
        <v>0</v>
      </c>
      <c r="M18" s="1134">
        <v>0</v>
      </c>
      <c r="N18" s="1134">
        <v>0</v>
      </c>
      <c r="O18" s="2054">
        <f t="shared" si="5"/>
        <v>-0.79304260356001077</v>
      </c>
      <c r="P18" s="1898"/>
      <c r="R18" s="25">
        <f xml:space="preserve"> IF( SUM( T18:AB18 ) = 0, 0, $U$4 )</f>
        <v>0</v>
      </c>
      <c r="S18" s="1016"/>
      <c r="T18" s="66"/>
      <c r="U18" s="86">
        <f>IF(Validation!$H$3=1,0,IF(ISNUMBER(G18),0,1))</f>
        <v>0</v>
      </c>
      <c r="V18" s="86">
        <f>IF(Validation!$H$3=1,0,IF(ISNUMBER(H18),0,1))</f>
        <v>0</v>
      </c>
      <c r="W18" s="86">
        <f>IF(Validation!$H$3=1,0,IF(ISNUMBER(I18),0,1))</f>
        <v>0</v>
      </c>
      <c r="X18" s="86">
        <f>IF(Validation!$H$3=1,0,IF(ISNUMBER(J18),0,1))</f>
        <v>0</v>
      </c>
      <c r="Y18" s="86">
        <f>IF(Validation!$H$3=1,0,IF(ISNUMBER(K18),0,1))</f>
        <v>0</v>
      </c>
      <c r="Z18" s="86">
        <f>IF(Validation!$H$3=1,0,IF(ISNUMBER(L18),0,1))</f>
        <v>0</v>
      </c>
      <c r="AA18" s="86">
        <f>IF(Validation!$H$3=1,0,IF(ISNUMBER(M18),0,1))</f>
        <v>0</v>
      </c>
      <c r="AB18" s="86">
        <f>IF(Validation!$H$3=1,0,IF(ISNUMBER(N18),0,1))</f>
        <v>0</v>
      </c>
      <c r="AC18" s="66"/>
      <c r="AK18" s="1128" t="s">
        <v>7720</v>
      </c>
      <c r="AL18" s="1129" t="s">
        <v>877</v>
      </c>
      <c r="AM18" s="1130"/>
      <c r="AN18" s="1131" t="s">
        <v>8</v>
      </c>
      <c r="AO18" s="1132">
        <v>3</v>
      </c>
      <c r="AP18" s="1133" t="s">
        <v>7721</v>
      </c>
      <c r="AQ18" s="1134" t="s">
        <v>7722</v>
      </c>
      <c r="AR18" s="1134" t="s">
        <v>7723</v>
      </c>
      <c r="AS18" s="1134" t="s">
        <v>7724</v>
      </c>
      <c r="AT18" s="1157" t="s">
        <v>7725</v>
      </c>
      <c r="AU18" s="1134" t="s">
        <v>7726</v>
      </c>
      <c r="AV18" s="1134" t="s">
        <v>7727</v>
      </c>
      <c r="AW18" s="1134" t="s">
        <v>7728</v>
      </c>
      <c r="AX18" s="1581" t="s">
        <v>7729</v>
      </c>
    </row>
    <row r="19" spans="2:50" ht="15">
      <c r="B19" s="1755" t="s">
        <v>7730</v>
      </c>
      <c r="C19" s="1758" t="s">
        <v>925</v>
      </c>
      <c r="D19" s="1778"/>
      <c r="E19" s="1764" t="s">
        <v>8</v>
      </c>
      <c r="F19" s="1765">
        <v>3</v>
      </c>
      <c r="G19" s="1133">
        <v>0</v>
      </c>
      <c r="H19" s="1134">
        <v>9.203047235764672E-2</v>
      </c>
      <c r="I19" s="1134">
        <v>0.30114879996512162</v>
      </c>
      <c r="J19" s="1134">
        <v>0.45788307378723175</v>
      </c>
      <c r="K19" s="1134">
        <v>0</v>
      </c>
      <c r="L19" s="1134">
        <v>0</v>
      </c>
      <c r="M19" s="1134">
        <v>0</v>
      </c>
      <c r="N19" s="1134">
        <v>0</v>
      </c>
      <c r="O19" s="2054">
        <f t="shared" si="5"/>
        <v>0.85106234611000009</v>
      </c>
      <c r="P19" s="1898"/>
      <c r="R19" s="25">
        <f xml:space="preserve"> IF( SUM( T19:AB19 ) = 0, 0, $U$4 )</f>
        <v>0</v>
      </c>
      <c r="S19" s="1016"/>
      <c r="T19" s="66"/>
      <c r="U19" s="86">
        <f>IF(Validation!$H$3=1,0,IF(ISNUMBER(G19),0,1))</f>
        <v>0</v>
      </c>
      <c r="V19" s="86">
        <f>IF(Validation!$H$3=1,0,IF(ISNUMBER(H19),0,1))</f>
        <v>0</v>
      </c>
      <c r="W19" s="86">
        <f>IF(Validation!$H$3=1,0,IF(ISNUMBER(I19),0,1))</f>
        <v>0</v>
      </c>
      <c r="X19" s="86">
        <f>IF(Validation!$H$3=1,0,IF(ISNUMBER(J19),0,1))</f>
        <v>0</v>
      </c>
      <c r="Y19" s="86">
        <f>IF(Validation!$H$3=1,0,IF(ISNUMBER(K19),0,1))</f>
        <v>0</v>
      </c>
      <c r="Z19" s="86">
        <f>IF(Validation!$H$3=1,0,IF(ISNUMBER(L19),0,1))</f>
        <v>0</v>
      </c>
      <c r="AA19" s="86">
        <f>IF(Validation!$H$3=1,0,IF(ISNUMBER(M19),0,1))</f>
        <v>0</v>
      </c>
      <c r="AB19" s="86">
        <f>IF(Validation!$H$3=1,0,IF(ISNUMBER(N19),0,1))</f>
        <v>0</v>
      </c>
      <c r="AC19" s="66"/>
      <c r="AK19" s="1128" t="s">
        <v>7730</v>
      </c>
      <c r="AL19" s="1129" t="s">
        <v>925</v>
      </c>
      <c r="AM19" s="1130"/>
      <c r="AN19" s="1131" t="s">
        <v>8</v>
      </c>
      <c r="AO19" s="1132">
        <v>3</v>
      </c>
      <c r="AP19" s="1133" t="s">
        <v>7731</v>
      </c>
      <c r="AQ19" s="1134" t="s">
        <v>7732</v>
      </c>
      <c r="AR19" s="1134" t="s">
        <v>7733</v>
      </c>
      <c r="AS19" s="1134" t="s">
        <v>7734</v>
      </c>
      <c r="AT19" s="1157" t="s">
        <v>7735</v>
      </c>
      <c r="AU19" s="1134" t="s">
        <v>7736</v>
      </c>
      <c r="AV19" s="1134" t="s">
        <v>7737</v>
      </c>
      <c r="AW19" s="1134" t="s">
        <v>7738</v>
      </c>
      <c r="AX19" s="1581" t="s">
        <v>7739</v>
      </c>
    </row>
    <row r="20" spans="2:50" ht="15">
      <c r="B20" s="1755" t="s">
        <v>7740</v>
      </c>
      <c r="C20" s="1758" t="s">
        <v>7568</v>
      </c>
      <c r="D20" s="1778"/>
      <c r="E20" s="1764" t="s">
        <v>8</v>
      </c>
      <c r="F20" s="1765">
        <v>3</v>
      </c>
      <c r="G20" s="1133">
        <v>0.47251890999999996</v>
      </c>
      <c r="H20" s="1134">
        <v>1.6127563270206304</v>
      </c>
      <c r="I20" s="1134">
        <v>5.2773784603754175</v>
      </c>
      <c r="J20" s="1134">
        <v>8.024014278838532</v>
      </c>
      <c r="K20" s="1134">
        <v>1.2011406200000001</v>
      </c>
      <c r="L20" s="1134">
        <v>0</v>
      </c>
      <c r="M20" s="1134">
        <v>0</v>
      </c>
      <c r="N20" s="1134">
        <v>0</v>
      </c>
      <c r="O20" s="2054">
        <f t="shared" si="5"/>
        <v>16.587808596234581</v>
      </c>
      <c r="P20" s="1898"/>
      <c r="R20" s="25">
        <f xml:space="preserve"> IF( SUM( T20:AB20 ) = 0, 0, $U$4 )</f>
        <v>0</v>
      </c>
      <c r="S20" s="1016"/>
      <c r="T20" s="66"/>
      <c r="U20" s="86">
        <f>IF(Validation!$H$3=1,0,IF(ISNUMBER(G20),0,1))</f>
        <v>0</v>
      </c>
      <c r="V20" s="86">
        <f>IF(Validation!$H$3=1,0,IF(ISNUMBER(H20),0,1))</f>
        <v>0</v>
      </c>
      <c r="W20" s="86">
        <f>IF(Validation!$H$3=1,0,IF(ISNUMBER(I20),0,1))</f>
        <v>0</v>
      </c>
      <c r="X20" s="86">
        <f>IF(Validation!$H$3=1,0,IF(ISNUMBER(J20),0,1))</f>
        <v>0</v>
      </c>
      <c r="Y20" s="86">
        <f>IF(Validation!$H$3=1,0,IF(ISNUMBER(K20),0,1))</f>
        <v>0</v>
      </c>
      <c r="Z20" s="86">
        <f>IF(Validation!$H$3=1,0,IF(ISNUMBER(L20),0,1))</f>
        <v>0</v>
      </c>
      <c r="AA20" s="86">
        <f>IF(Validation!$H$3=1,0,IF(ISNUMBER(M20),0,1))</f>
        <v>0</v>
      </c>
      <c r="AB20" s="86">
        <f>IF(Validation!$H$3=1,0,IF(ISNUMBER(N20),0,1))</f>
        <v>0</v>
      </c>
      <c r="AC20" s="66"/>
      <c r="AK20" s="1128" t="s">
        <v>7740</v>
      </c>
      <c r="AL20" s="1129" t="s">
        <v>7568</v>
      </c>
      <c r="AM20" s="1130"/>
      <c r="AN20" s="1131" t="s">
        <v>8</v>
      </c>
      <c r="AO20" s="1132">
        <v>3</v>
      </c>
      <c r="AP20" s="1133" t="s">
        <v>7741</v>
      </c>
      <c r="AQ20" s="1134" t="s">
        <v>7742</v>
      </c>
      <c r="AR20" s="1134" t="s">
        <v>7743</v>
      </c>
      <c r="AS20" s="1134" t="s">
        <v>7744</v>
      </c>
      <c r="AT20" s="1157" t="s">
        <v>7745</v>
      </c>
      <c r="AU20" s="1134" t="s">
        <v>7746</v>
      </c>
      <c r="AV20" s="1134" t="s">
        <v>7747</v>
      </c>
      <c r="AW20" s="1134" t="s">
        <v>7748</v>
      </c>
      <c r="AX20" s="1581" t="s">
        <v>7749</v>
      </c>
    </row>
    <row r="21" spans="2:50" ht="15">
      <c r="B21" s="1755" t="s">
        <v>7750</v>
      </c>
      <c r="C21" s="1759" t="s">
        <v>7571</v>
      </c>
      <c r="D21" s="1778"/>
      <c r="E21" s="1766" t="s">
        <v>8</v>
      </c>
      <c r="F21" s="1765">
        <v>3</v>
      </c>
      <c r="G21" s="1133">
        <v>0</v>
      </c>
      <c r="H21" s="1134">
        <v>0.27505570711868965</v>
      </c>
      <c r="I21" s="1134">
        <v>0.90005727451282447</v>
      </c>
      <c r="J21" s="1134">
        <v>1.3684962101333999</v>
      </c>
      <c r="K21" s="1134">
        <v>0</v>
      </c>
      <c r="L21" s="1134">
        <v>0</v>
      </c>
      <c r="M21" s="1134">
        <v>0</v>
      </c>
      <c r="N21" s="1134">
        <v>0</v>
      </c>
      <c r="O21" s="2054">
        <f t="shared" si="5"/>
        <v>2.5436091917649142</v>
      </c>
      <c r="P21" s="1898"/>
      <c r="R21" s="25">
        <f xml:space="preserve"> IF( SUM( T21:AB21 ) = 0, 0, $U$4 )</f>
        <v>0</v>
      </c>
      <c r="S21" s="1016"/>
      <c r="T21" s="66"/>
      <c r="U21" s="86">
        <f>IF(Validation!$H$3=1,0,IF(ISNUMBER(G21),0,1))</f>
        <v>0</v>
      </c>
      <c r="V21" s="86">
        <f>IF(Validation!$H$3=1,0,IF(ISNUMBER(H21),0,1))</f>
        <v>0</v>
      </c>
      <c r="W21" s="86">
        <f>IF(Validation!$H$3=1,0,IF(ISNUMBER(I21),0,1))</f>
        <v>0</v>
      </c>
      <c r="X21" s="86">
        <f>IF(Validation!$H$3=1,0,IF(ISNUMBER(J21),0,1))</f>
        <v>0</v>
      </c>
      <c r="Y21" s="86">
        <f>IF(Validation!$H$3=1,0,IF(ISNUMBER(K21),0,1))</f>
        <v>0</v>
      </c>
      <c r="Z21" s="86">
        <f>IF(Validation!$H$3=1,0,IF(ISNUMBER(L21),0,1))</f>
        <v>0</v>
      </c>
      <c r="AA21" s="86">
        <f>IF(Validation!$H$3=1,0,IF(ISNUMBER(M21),0,1))</f>
        <v>0</v>
      </c>
      <c r="AB21" s="86">
        <f>IF(Validation!$H$3=1,0,IF(ISNUMBER(N21),0,1))</f>
        <v>0</v>
      </c>
      <c r="AC21" s="66"/>
      <c r="AK21" s="1128" t="s">
        <v>7750</v>
      </c>
      <c r="AL21" s="1137" t="s">
        <v>7571</v>
      </c>
      <c r="AM21" s="1130"/>
      <c r="AN21" s="1138" t="s">
        <v>8</v>
      </c>
      <c r="AO21" s="1132">
        <v>3</v>
      </c>
      <c r="AP21" s="1133" t="s">
        <v>7751</v>
      </c>
      <c r="AQ21" s="1134" t="s">
        <v>7752</v>
      </c>
      <c r="AR21" s="1134" t="s">
        <v>7753</v>
      </c>
      <c r="AS21" s="1134" t="s">
        <v>7754</v>
      </c>
      <c r="AT21" s="1157" t="s">
        <v>7755</v>
      </c>
      <c r="AU21" s="1134" t="s">
        <v>7756</v>
      </c>
      <c r="AV21" s="1134" t="s">
        <v>7757</v>
      </c>
      <c r="AW21" s="1134" t="s">
        <v>7758</v>
      </c>
      <c r="AX21" s="1581" t="s">
        <v>7759</v>
      </c>
    </row>
    <row r="22" spans="2:50" ht="15">
      <c r="B22" s="1755" t="s">
        <v>7760</v>
      </c>
      <c r="C22" s="1760" t="s">
        <v>7574</v>
      </c>
      <c r="D22" s="1779"/>
      <c r="E22" s="1767" t="s">
        <v>8</v>
      </c>
      <c r="F22" s="1768">
        <v>3</v>
      </c>
      <c r="G22" s="1746">
        <f>SUM(G17:G21)</f>
        <v>0.47251890999999996</v>
      </c>
      <c r="H22" s="1747">
        <f t="shared" ref="H22:N22" si="6">SUM(H17:H21)</f>
        <v>1.8981874793723277</v>
      </c>
      <c r="I22" s="1747">
        <f t="shared" si="6"/>
        <v>6.2113870208153807</v>
      </c>
      <c r="J22" s="1747">
        <f t="shared" ref="J22" si="7">SUM(J17:J21)</f>
        <v>9.4441318773392382</v>
      </c>
      <c r="K22" s="1747">
        <f t="shared" si="6"/>
        <v>1.2011406200000001</v>
      </c>
      <c r="L22" s="1747">
        <f t="shared" si="6"/>
        <v>0</v>
      </c>
      <c r="M22" s="1747">
        <f t="shared" si="6"/>
        <v>0</v>
      </c>
      <c r="N22" s="1747">
        <f t="shared" si="6"/>
        <v>0</v>
      </c>
      <c r="O22" s="2054">
        <f t="shared" si="5"/>
        <v>19.227365907526949</v>
      </c>
      <c r="P22" s="1898"/>
      <c r="S22" s="1016"/>
      <c r="T22" s="66"/>
      <c r="U22" s="113"/>
      <c r="V22" s="113"/>
      <c r="W22" s="113"/>
      <c r="X22" s="113"/>
      <c r="Y22" s="113"/>
      <c r="Z22" s="113"/>
      <c r="AA22" s="113"/>
      <c r="AB22" s="113"/>
      <c r="AC22" s="66"/>
      <c r="AK22" s="1128" t="s">
        <v>7760</v>
      </c>
      <c r="AL22" s="1141" t="s">
        <v>7574</v>
      </c>
      <c r="AM22" s="1142"/>
      <c r="AN22" s="1143" t="s">
        <v>8</v>
      </c>
      <c r="AO22" s="1144">
        <v>3</v>
      </c>
      <c r="AP22" s="1136" t="s">
        <v>7761</v>
      </c>
      <c r="AQ22" s="1136" t="s">
        <v>7762</v>
      </c>
      <c r="AR22" s="1136" t="s">
        <v>7763</v>
      </c>
      <c r="AS22" s="1136" t="s">
        <v>7764</v>
      </c>
      <c r="AT22" s="1136" t="s">
        <v>7765</v>
      </c>
      <c r="AU22" s="1136" t="s">
        <v>7766</v>
      </c>
      <c r="AV22" s="1136" t="s">
        <v>7767</v>
      </c>
      <c r="AW22" s="1136" t="s">
        <v>7768</v>
      </c>
      <c r="AX22" s="1581" t="s">
        <v>7769</v>
      </c>
    </row>
    <row r="23" spans="2:50" ht="15">
      <c r="B23" s="1755" t="s">
        <v>7770</v>
      </c>
      <c r="C23" s="1758" t="s">
        <v>526</v>
      </c>
      <c r="D23" s="1778"/>
      <c r="E23" s="1767" t="s">
        <v>8</v>
      </c>
      <c r="F23" s="1768">
        <v>3</v>
      </c>
      <c r="G23" s="1133">
        <v>0.39695777006559191</v>
      </c>
      <c r="H23" s="1134">
        <v>1.599314696310389</v>
      </c>
      <c r="I23" s="1134">
        <v>5.233393779494584</v>
      </c>
      <c r="J23" s="1134">
        <v>7.9571375691070019</v>
      </c>
      <c r="K23" s="1134">
        <v>1.0090645939448277</v>
      </c>
      <c r="L23" s="1134">
        <v>0</v>
      </c>
      <c r="M23" s="1134">
        <v>0</v>
      </c>
      <c r="N23" s="1134">
        <v>0</v>
      </c>
      <c r="O23" s="2054">
        <f t="shared" si="5"/>
        <v>16.195868408922394</v>
      </c>
      <c r="P23" s="1899"/>
      <c r="R23" s="25">
        <f xml:space="preserve"> IF( SUM( T23:AB23 ) = 0, 0, $U$4 )</f>
        <v>0</v>
      </c>
      <c r="S23" s="1016"/>
      <c r="T23" s="66"/>
      <c r="U23" s="86">
        <f>IF(Validation!$H$3=1,0,IF(ISNUMBER(G23),0,1))</f>
        <v>0</v>
      </c>
      <c r="V23" s="86">
        <f>IF(Validation!$H$3=1,0,IF(ISNUMBER(H23),0,1))</f>
        <v>0</v>
      </c>
      <c r="W23" s="86">
        <f>IF(Validation!$H$3=1,0,IF(ISNUMBER(I23),0,1))</f>
        <v>0</v>
      </c>
      <c r="X23" s="86">
        <f>IF(Validation!$H$3=1,0,IF(ISNUMBER(J23),0,1))</f>
        <v>0</v>
      </c>
      <c r="Y23" s="86">
        <f>IF(Validation!$H$3=1,0,IF(ISNUMBER(K23),0,1))</f>
        <v>0</v>
      </c>
      <c r="Z23" s="86">
        <f>IF(Validation!$H$3=1,0,IF(ISNUMBER(L23),0,1))</f>
        <v>0</v>
      </c>
      <c r="AA23" s="86">
        <f>IF(Validation!$H$3=1,0,IF(ISNUMBER(M23),0,1))</f>
        <v>0</v>
      </c>
      <c r="AB23" s="86">
        <f>IF(Validation!$H$3=1,0,IF(ISNUMBER(N23),0,1))</f>
        <v>0</v>
      </c>
      <c r="AC23" s="66"/>
      <c r="AK23" s="1128" t="s">
        <v>7770</v>
      </c>
      <c r="AL23" s="1129" t="s">
        <v>526</v>
      </c>
      <c r="AM23" s="1130"/>
      <c r="AN23" s="1143" t="s">
        <v>8</v>
      </c>
      <c r="AO23" s="1144">
        <v>3</v>
      </c>
      <c r="AP23" s="1133" t="s">
        <v>7771</v>
      </c>
      <c r="AQ23" s="1134" t="s">
        <v>7772</v>
      </c>
      <c r="AR23" s="1134" t="s">
        <v>7773</v>
      </c>
      <c r="AS23" s="1134" t="s">
        <v>7774</v>
      </c>
      <c r="AT23" s="1157" t="s">
        <v>7775</v>
      </c>
      <c r="AU23" s="1134" t="s">
        <v>7776</v>
      </c>
      <c r="AV23" s="1134" t="s">
        <v>7777</v>
      </c>
      <c r="AW23" s="1134" t="s">
        <v>7778</v>
      </c>
      <c r="AX23" s="1581" t="s">
        <v>7779</v>
      </c>
    </row>
    <row r="24" spans="2:50" ht="23.25" thickBot="1">
      <c r="B24" s="1756" t="s">
        <v>7780</v>
      </c>
      <c r="C24" s="1761" t="s">
        <v>7579</v>
      </c>
      <c r="D24" s="1780"/>
      <c r="E24" s="1769" t="s">
        <v>8</v>
      </c>
      <c r="F24" s="1770">
        <v>3</v>
      </c>
      <c r="G24" s="1750">
        <f>+G22+G23</f>
        <v>0.86947668006559187</v>
      </c>
      <c r="H24" s="1751">
        <f t="shared" ref="H24:N24" si="8">+H22+H23</f>
        <v>3.4975021756827167</v>
      </c>
      <c r="I24" s="1751">
        <f t="shared" si="8"/>
        <v>11.444780800309964</v>
      </c>
      <c r="J24" s="1751">
        <f t="shared" ref="J24" si="9">+J22+J23</f>
        <v>17.401269446446239</v>
      </c>
      <c r="K24" s="1751">
        <f t="shared" si="8"/>
        <v>2.2102052139448278</v>
      </c>
      <c r="L24" s="1751">
        <f t="shared" si="8"/>
        <v>0</v>
      </c>
      <c r="M24" s="1751">
        <f t="shared" si="8"/>
        <v>0</v>
      </c>
      <c r="N24" s="1751">
        <f t="shared" si="8"/>
        <v>0</v>
      </c>
      <c r="O24" s="2055">
        <f t="shared" si="5"/>
        <v>35.423234316449332</v>
      </c>
      <c r="P24" s="1900"/>
      <c r="R24" s="1164" t="str">
        <f>IF(SUM(AC24:AE24)=0,0,$AH$14)</f>
        <v>Line 4W.8 does not equal line 4E.9 for sludge treatment, please provide reasoning and reconciliation in your commentary</v>
      </c>
      <c r="S24" s="1016"/>
      <c r="T24" s="66"/>
      <c r="U24" s="113"/>
      <c r="V24" s="113"/>
      <c r="W24" s="113"/>
      <c r="X24" s="113"/>
      <c r="Y24" s="113"/>
      <c r="Z24" s="113"/>
      <c r="AA24" s="113"/>
      <c r="AB24" s="113"/>
      <c r="AC24" s="66"/>
      <c r="AD24" s="86">
        <f xml:space="preserve"> IF( (AF24 - AG24) = 0, 0, 1 )</f>
        <v>1</v>
      </c>
      <c r="AE24" s="114"/>
      <c r="AF24" s="105">
        <f>ROUND(O24,3)</f>
        <v>35.423000000000002</v>
      </c>
      <c r="AG24" s="105">
        <f>ROUND('4E'!N15,3)</f>
        <v>19.228000000000002</v>
      </c>
      <c r="AH24" s="24" t="s">
        <v>7781</v>
      </c>
      <c r="AI24" s="114"/>
      <c r="AK24" s="1145" t="s">
        <v>7780</v>
      </c>
      <c r="AL24" s="1146" t="s">
        <v>7579</v>
      </c>
      <c r="AM24" s="1147"/>
      <c r="AN24" s="1148" t="s">
        <v>8</v>
      </c>
      <c r="AO24" s="1149">
        <v>3</v>
      </c>
      <c r="AP24" s="1150" t="s">
        <v>7782</v>
      </c>
      <c r="AQ24" s="1150" t="s">
        <v>7783</v>
      </c>
      <c r="AR24" s="1150" t="s">
        <v>7784</v>
      </c>
      <c r="AS24" s="1150" t="s">
        <v>7785</v>
      </c>
      <c r="AT24" s="1150" t="s">
        <v>7786</v>
      </c>
      <c r="AU24" s="1150" t="s">
        <v>7787</v>
      </c>
      <c r="AV24" s="1150" t="s">
        <v>7788</v>
      </c>
      <c r="AW24" s="1150" t="s">
        <v>7789</v>
      </c>
      <c r="AX24" s="1582" t="s">
        <v>7790</v>
      </c>
    </row>
    <row r="25" spans="2:50"/>
    <row r="26" spans="2:50" ht="20.25">
      <c r="B26" s="62" t="s">
        <v>7791</v>
      </c>
      <c r="C26" s="61"/>
      <c r="D26" s="61"/>
      <c r="E26" s="61"/>
      <c r="F26" s="61"/>
      <c r="G26" s="61"/>
      <c r="H26" s="61"/>
      <c r="I26" s="61"/>
      <c r="J26" s="61"/>
      <c r="AK26" s="62" t="s">
        <v>7791</v>
      </c>
      <c r="AL26" s="61"/>
      <c r="AM26" s="61"/>
      <c r="AN26" s="61"/>
      <c r="AO26" s="61"/>
      <c r="AP26" s="61"/>
      <c r="AQ26" s="61"/>
      <c r="AR26" s="61"/>
      <c r="AS26" s="61"/>
    </row>
    <row r="27" spans="2:50" ht="15" thickBot="1">
      <c r="B27" s="68"/>
      <c r="AK27" s="68"/>
    </row>
    <row r="28" spans="2:50" ht="41.25" thickBot="1">
      <c r="B28" s="896" t="s">
        <v>4255</v>
      </c>
      <c r="C28" s="854" t="s">
        <v>2</v>
      </c>
      <c r="D28" s="855" t="s">
        <v>7582</v>
      </c>
      <c r="E28" s="855" t="s">
        <v>3</v>
      </c>
      <c r="F28" s="855" t="s">
        <v>99</v>
      </c>
      <c r="G28" s="1268" t="s">
        <v>7792</v>
      </c>
      <c r="H28" s="1270" t="s">
        <v>7793</v>
      </c>
      <c r="I28" s="1271" t="s">
        <v>749</v>
      </c>
      <c r="J28" s="161" t="s">
        <v>680</v>
      </c>
      <c r="AK28" s="896" t="s">
        <v>4255</v>
      </c>
      <c r="AL28" s="854" t="s">
        <v>2</v>
      </c>
      <c r="AM28" s="855" t="s">
        <v>7582</v>
      </c>
      <c r="AN28" s="855" t="s">
        <v>3</v>
      </c>
      <c r="AO28" s="855" t="s">
        <v>99</v>
      </c>
      <c r="AP28" s="1268" t="s">
        <v>7792</v>
      </c>
      <c r="AQ28" s="1270" t="s">
        <v>7793</v>
      </c>
      <c r="AR28" s="1271" t="s">
        <v>749</v>
      </c>
      <c r="AS28" s="161" t="s">
        <v>680</v>
      </c>
    </row>
    <row r="29" spans="2:50" ht="15" thickBot="1">
      <c r="B29" s="482"/>
      <c r="AK29" s="482"/>
    </row>
    <row r="30" spans="2:50" ht="15.75" thickBot="1">
      <c r="B30" s="2219" t="s">
        <v>362</v>
      </c>
      <c r="C30" s="904" t="s">
        <v>7559</v>
      </c>
      <c r="AK30" s="2219" t="s">
        <v>236</v>
      </c>
      <c r="AL30" s="904" t="s">
        <v>7559</v>
      </c>
    </row>
    <row r="31" spans="2:50" ht="15">
      <c r="B31" s="1755" t="s">
        <v>7794</v>
      </c>
      <c r="C31" s="1758" t="s">
        <v>7591</v>
      </c>
      <c r="D31" s="1778"/>
      <c r="E31" s="1762" t="s">
        <v>8</v>
      </c>
      <c r="F31" s="1763">
        <v>3</v>
      </c>
      <c r="G31" s="1124">
        <v>30.851778288079135</v>
      </c>
      <c r="H31" s="1125">
        <v>37.491572682267638</v>
      </c>
      <c r="I31" s="1125">
        <v>17.160539380151725</v>
      </c>
      <c r="J31" s="1287">
        <f t="shared" ref="J31:J36" si="10">+SUM(G31:I31)</f>
        <v>85.503890350498494</v>
      </c>
      <c r="P31" s="1897"/>
      <c r="R31" s="25">
        <f xml:space="preserve"> IF( SUM( T31:AB31 ) = 0, 0, $U$4 )</f>
        <v>0</v>
      </c>
      <c r="S31" s="1016"/>
      <c r="T31" s="66"/>
      <c r="U31" s="86">
        <f>IF(Validation!$H$3=1,0,IF(ISNUMBER(G31),0,1))</f>
        <v>0</v>
      </c>
      <c r="V31" s="86">
        <f>IF(Validation!$H$3=1,0,IF(ISNUMBER(H31),0,1))</f>
        <v>0</v>
      </c>
      <c r="W31" s="86">
        <f>IF(Validation!$H$3=1,0,IF(ISNUMBER(I31),0,1))</f>
        <v>0</v>
      </c>
      <c r="X31" s="113"/>
      <c r="Y31" s="113"/>
      <c r="Z31" s="113"/>
      <c r="AA31" s="113"/>
      <c r="AB31" s="113"/>
      <c r="AC31" s="66"/>
      <c r="AK31" s="1128" t="s">
        <v>7794</v>
      </c>
      <c r="AL31" s="1129" t="s">
        <v>7591</v>
      </c>
      <c r="AM31" s="1574"/>
      <c r="AN31" s="1122" t="s">
        <v>8</v>
      </c>
      <c r="AO31" s="1122">
        <v>3</v>
      </c>
      <c r="AP31" s="1124" t="s">
        <v>7795</v>
      </c>
      <c r="AQ31" s="1125" t="s">
        <v>7796</v>
      </c>
      <c r="AR31" s="1125" t="s">
        <v>7797</v>
      </c>
      <c r="AS31" s="1287" t="s">
        <v>7798</v>
      </c>
    </row>
    <row r="32" spans="2:50" ht="15">
      <c r="B32" s="1755" t="s">
        <v>7799</v>
      </c>
      <c r="C32" s="1758" t="s">
        <v>7594</v>
      </c>
      <c r="D32" s="1778"/>
      <c r="E32" s="1764" t="s">
        <v>8</v>
      </c>
      <c r="F32" s="1765">
        <v>3</v>
      </c>
      <c r="G32" s="1133">
        <v>19.699234084856759</v>
      </c>
      <c r="H32" s="1134">
        <v>14.267674972712772</v>
      </c>
      <c r="I32" s="1134">
        <v>6.703525139801485</v>
      </c>
      <c r="J32" s="1288">
        <f t="shared" si="10"/>
        <v>40.670434197371016</v>
      </c>
      <c r="P32" s="1898"/>
      <c r="R32" s="25">
        <f xml:space="preserve"> IF( SUM( T32:AB32 ) = 0, 0, $U$4 )</f>
        <v>0</v>
      </c>
      <c r="S32" s="1016"/>
      <c r="T32" s="66"/>
      <c r="U32" s="86">
        <f>IF(Validation!$H$3=1,0,IF(ISNUMBER(G32),0,1))</f>
        <v>0</v>
      </c>
      <c r="V32" s="86">
        <f>IF(Validation!$H$3=1,0,IF(ISNUMBER(H32),0,1))</f>
        <v>0</v>
      </c>
      <c r="W32" s="86">
        <f>IF(Validation!$H$3=1,0,IF(ISNUMBER(I32),0,1))</f>
        <v>0</v>
      </c>
      <c r="X32" s="113"/>
      <c r="Y32" s="113"/>
      <c r="Z32" s="113"/>
      <c r="AA32" s="113"/>
      <c r="AB32" s="113"/>
      <c r="AC32" s="66"/>
      <c r="AK32" s="1128" t="s">
        <v>7799</v>
      </c>
      <c r="AL32" s="1129" t="s">
        <v>7594</v>
      </c>
      <c r="AM32" s="1130"/>
      <c r="AN32" s="1131" t="s">
        <v>8</v>
      </c>
      <c r="AO32" s="1132">
        <v>3</v>
      </c>
      <c r="AP32" s="1133" t="s">
        <v>7800</v>
      </c>
      <c r="AQ32" s="1134" t="s">
        <v>7801</v>
      </c>
      <c r="AR32" s="1134" t="s">
        <v>7802</v>
      </c>
      <c r="AS32" s="1288" t="s">
        <v>7803</v>
      </c>
    </row>
    <row r="33" spans="1:45" ht="15">
      <c r="B33" s="1755" t="s">
        <v>7804</v>
      </c>
      <c r="C33" s="1758" t="s">
        <v>7805</v>
      </c>
      <c r="D33" s="1778"/>
      <c r="E33" s="1764" t="s">
        <v>6623</v>
      </c>
      <c r="F33" s="1765">
        <v>0</v>
      </c>
      <c r="G33" s="1151">
        <v>557.26912596960688</v>
      </c>
      <c r="H33" s="1152">
        <v>711.38244272147892</v>
      </c>
      <c r="I33" s="1152">
        <v>416.29523130891408</v>
      </c>
      <c r="J33" s="2116">
        <f t="shared" si="10"/>
        <v>1684.9467999999997</v>
      </c>
      <c r="P33" s="1898"/>
      <c r="R33" s="25">
        <f xml:space="preserve"> IF( SUM( T33:AB33 ) = 0, 0, $U$4 )</f>
        <v>0</v>
      </c>
      <c r="S33" s="1016"/>
      <c r="T33" s="66"/>
      <c r="U33" s="86">
        <f>IF(Validation!$H$3=1,0,IF(ISNUMBER(G33),0,1))</f>
        <v>0</v>
      </c>
      <c r="V33" s="86">
        <f>IF(Validation!$H$3=1,0,IF(ISNUMBER(H33),0,1))</f>
        <v>0</v>
      </c>
      <c r="W33" s="86">
        <f>IF(Validation!$H$3=1,0,IF(ISNUMBER(I33),0,1))</f>
        <v>0</v>
      </c>
      <c r="X33" s="113"/>
      <c r="Y33" s="113"/>
      <c r="Z33" s="113"/>
      <c r="AA33" s="113"/>
      <c r="AB33" s="113"/>
      <c r="AC33" s="66"/>
      <c r="AK33" s="1128" t="s">
        <v>7804</v>
      </c>
      <c r="AL33" s="1129" t="s">
        <v>7805</v>
      </c>
      <c r="AM33" s="1130"/>
      <c r="AN33" s="1131" t="s">
        <v>11</v>
      </c>
      <c r="AO33" s="1132">
        <v>0</v>
      </c>
      <c r="AP33" s="1151" t="s">
        <v>7806</v>
      </c>
      <c r="AQ33" s="1152" t="s">
        <v>7807</v>
      </c>
      <c r="AR33" s="1152" t="s">
        <v>7808</v>
      </c>
      <c r="AS33" s="1288" t="s">
        <v>7809</v>
      </c>
    </row>
    <row r="34" spans="1:45" ht="15">
      <c r="B34" s="1755" t="s">
        <v>7810</v>
      </c>
      <c r="C34" s="1758" t="s">
        <v>7811</v>
      </c>
      <c r="D34" s="1778"/>
      <c r="E34" s="1764" t="s">
        <v>6623</v>
      </c>
      <c r="F34" s="1765">
        <v>0</v>
      </c>
      <c r="G34" s="1151">
        <v>355.82308605467108</v>
      </c>
      <c r="H34" s="1152">
        <v>270.72146479587542</v>
      </c>
      <c r="I34" s="1152">
        <v>162.61992043714574</v>
      </c>
      <c r="J34" s="2116">
        <f t="shared" si="10"/>
        <v>789.16447128769232</v>
      </c>
      <c r="P34" s="1898"/>
      <c r="R34" s="25">
        <f xml:space="preserve"> IF( SUM( T34:AB34 ) = 0, 0, $U$4 )</f>
        <v>0</v>
      </c>
      <c r="S34" s="1016"/>
      <c r="T34" s="66"/>
      <c r="U34" s="86">
        <f>IF(Validation!$H$3=1,0,IF(ISNUMBER(G34),0,1))</f>
        <v>0</v>
      </c>
      <c r="V34" s="86">
        <f>IF(Validation!$H$3=1,0,IF(ISNUMBER(H34),0,1))</f>
        <v>0</v>
      </c>
      <c r="W34" s="86">
        <f>IF(Validation!$H$3=1,0,IF(ISNUMBER(I34),0,1))</f>
        <v>0</v>
      </c>
      <c r="X34" s="113"/>
      <c r="Y34" s="113"/>
      <c r="Z34" s="113"/>
      <c r="AA34" s="113"/>
      <c r="AB34" s="113"/>
      <c r="AC34" s="66"/>
      <c r="AK34" s="1128" t="s">
        <v>7810</v>
      </c>
      <c r="AL34" s="1129" t="s">
        <v>7811</v>
      </c>
      <c r="AM34" s="1130"/>
      <c r="AN34" s="1131" t="s">
        <v>11</v>
      </c>
      <c r="AO34" s="1132">
        <v>0</v>
      </c>
      <c r="AP34" s="1151" t="s">
        <v>7812</v>
      </c>
      <c r="AQ34" s="1152" t="s">
        <v>7813</v>
      </c>
      <c r="AR34" s="1152" t="s">
        <v>7814</v>
      </c>
      <c r="AS34" s="1288" t="s">
        <v>7815</v>
      </c>
    </row>
    <row r="35" spans="1:45" ht="15.75" thickBot="1">
      <c r="B35" s="1755" t="s">
        <v>7816</v>
      </c>
      <c r="C35" s="1759" t="s">
        <v>7817</v>
      </c>
      <c r="D35" s="1778"/>
      <c r="E35" s="1766" t="s">
        <v>8</v>
      </c>
      <c r="F35" s="1765">
        <v>3</v>
      </c>
      <c r="G35" s="1139">
        <v>1.5458179599999999</v>
      </c>
      <c r="H35" s="1134">
        <v>0</v>
      </c>
      <c r="I35" s="1140">
        <v>0</v>
      </c>
      <c r="J35" s="1288">
        <f t="shared" si="10"/>
        <v>1.5458179599999999</v>
      </c>
      <c r="P35" s="1900"/>
      <c r="R35" s="25">
        <f xml:space="preserve"> IF( SUM( T35:AB35 ) = 0, 0, $U$4 )</f>
        <v>0</v>
      </c>
      <c r="S35" s="1016"/>
      <c r="T35" s="66"/>
      <c r="U35" s="86">
        <f>IF(Validation!$H$3=1,0,IF(ISNUMBER(G35),0,1))</f>
        <v>0</v>
      </c>
      <c r="V35" s="86">
        <f>IF(Validation!$H$3=1,0,IF(ISNUMBER(H35),0,1))</f>
        <v>0</v>
      </c>
      <c r="W35" s="86">
        <f>IF(Validation!$H$3=1,0,IF(ISNUMBER(I35),0,1))</f>
        <v>0</v>
      </c>
      <c r="X35" s="113"/>
      <c r="Y35" s="113"/>
      <c r="Z35" s="113"/>
      <c r="AA35" s="113"/>
      <c r="AB35" s="113"/>
      <c r="AC35" s="66"/>
      <c r="AK35" s="1128" t="s">
        <v>7816</v>
      </c>
      <c r="AL35" s="1137" t="s">
        <v>7817</v>
      </c>
      <c r="AM35" s="1130"/>
      <c r="AN35" s="1138" t="s">
        <v>12</v>
      </c>
      <c r="AO35" s="1132">
        <v>0</v>
      </c>
      <c r="AP35" s="1158" t="s">
        <v>7818</v>
      </c>
      <c r="AQ35" s="1152" t="s">
        <v>7819</v>
      </c>
      <c r="AR35" s="1159" t="s">
        <v>7820</v>
      </c>
      <c r="AS35" s="1288" t="s">
        <v>7821</v>
      </c>
    </row>
    <row r="36" spans="1:45" ht="15" thickBot="1">
      <c r="B36" s="1756" t="s">
        <v>7822</v>
      </c>
      <c r="C36" s="1761" t="s">
        <v>7823</v>
      </c>
      <c r="D36" s="1780"/>
      <c r="E36" s="1769" t="s">
        <v>8</v>
      </c>
      <c r="F36" s="1770">
        <v>3</v>
      </c>
      <c r="G36" s="1153">
        <v>0</v>
      </c>
      <c r="H36" s="1154">
        <v>0</v>
      </c>
      <c r="I36" s="1154">
        <v>0.11253004000000001</v>
      </c>
      <c r="J36" s="1289">
        <f t="shared" si="10"/>
        <v>0.11253004000000001</v>
      </c>
      <c r="AK36" s="1145" t="s">
        <v>7822</v>
      </c>
      <c r="AL36" s="1146" t="s">
        <v>7823</v>
      </c>
      <c r="AM36" s="1147"/>
      <c r="AN36" s="1148" t="s">
        <v>12</v>
      </c>
      <c r="AO36" s="1149">
        <v>0</v>
      </c>
      <c r="AP36" s="1160" t="s">
        <v>7824</v>
      </c>
      <c r="AQ36" s="1161" t="s">
        <v>7825</v>
      </c>
      <c r="AR36" s="1161" t="s">
        <v>7826</v>
      </c>
      <c r="AS36" s="1289" t="s">
        <v>7827</v>
      </c>
    </row>
    <row r="37" spans="1:45" ht="15" thickBot="1">
      <c r="A37" s="553"/>
      <c r="B37" s="1117"/>
      <c r="C37" s="553"/>
      <c r="D37" s="553"/>
      <c r="E37" s="553"/>
      <c r="F37" s="553"/>
      <c r="G37" s="1155"/>
      <c r="H37" s="1155"/>
      <c r="I37" s="1155"/>
      <c r="J37" s="553"/>
      <c r="AK37" s="1117"/>
      <c r="AL37" s="553"/>
      <c r="AM37" s="553"/>
      <c r="AN37" s="553"/>
      <c r="AO37" s="553"/>
      <c r="AP37" s="553"/>
      <c r="AQ37" s="553"/>
      <c r="AR37" s="553"/>
      <c r="AS37" s="553"/>
    </row>
    <row r="38" spans="1:45" ht="15.75" thickBot="1">
      <c r="B38" s="2219" t="s">
        <v>419</v>
      </c>
      <c r="C38" s="1011" t="s">
        <v>6290</v>
      </c>
      <c r="G38" s="105"/>
      <c r="H38" s="105"/>
      <c r="I38" s="105"/>
      <c r="AK38" s="2219" t="s">
        <v>419</v>
      </c>
      <c r="AL38" s="1011" t="s">
        <v>6290</v>
      </c>
    </row>
    <row r="39" spans="1:45" ht="15">
      <c r="B39" s="1755" t="s">
        <v>7828</v>
      </c>
      <c r="C39" s="1757" t="s">
        <v>7606</v>
      </c>
      <c r="D39" s="1777"/>
      <c r="E39" s="1772" t="s">
        <v>8</v>
      </c>
      <c r="F39" s="1763">
        <v>3</v>
      </c>
      <c r="G39" s="1277">
        <v>0.854321</v>
      </c>
      <c r="H39" s="1125">
        <v>0</v>
      </c>
      <c r="I39" s="1278">
        <v>0</v>
      </c>
      <c r="J39" s="1287">
        <f>+SUM(G39:I39)</f>
        <v>0.854321</v>
      </c>
      <c r="P39" s="1901"/>
      <c r="R39" s="25">
        <f xml:space="preserve"> IF( SUM( T39:AB39 ) = 0, 0, $U$4 )</f>
        <v>0</v>
      </c>
      <c r="S39" s="1016"/>
      <c r="T39" s="66"/>
      <c r="U39" s="86">
        <f>IF(Validation!$H$3=1,0,IF(ISNUMBER(G39),0,1))</f>
        <v>0</v>
      </c>
      <c r="V39" s="86">
        <f>IF(Validation!$H$3=1,0,IF(ISNUMBER(H39),0,1))</f>
        <v>0</v>
      </c>
      <c r="W39" s="86">
        <f>IF(Validation!$H$3=1,0,IF(ISNUMBER(I39),0,1))</f>
        <v>0</v>
      </c>
      <c r="X39" s="113"/>
      <c r="Y39" s="113"/>
      <c r="Z39" s="113"/>
      <c r="AA39" s="113"/>
      <c r="AB39" s="113"/>
      <c r="AC39" s="66"/>
      <c r="AK39" s="1128" t="s">
        <v>7828</v>
      </c>
      <c r="AL39" s="1120" t="s">
        <v>7606</v>
      </c>
      <c r="AM39" s="1121"/>
      <c r="AN39" s="1281" t="s">
        <v>12</v>
      </c>
      <c r="AO39" s="1123">
        <v>0</v>
      </c>
      <c r="AP39" s="1284" t="s">
        <v>7829</v>
      </c>
      <c r="AQ39" s="1285" t="s">
        <v>7830</v>
      </c>
      <c r="AR39" s="1286" t="s">
        <v>7831</v>
      </c>
      <c r="AS39" s="1287" t="s">
        <v>7832</v>
      </c>
    </row>
    <row r="40" spans="1:45" ht="15">
      <c r="B40" s="1755" t="s">
        <v>7833</v>
      </c>
      <c r="C40" s="1758" t="s">
        <v>7834</v>
      </c>
      <c r="D40" s="1778"/>
      <c r="E40" s="1766" t="s">
        <v>8</v>
      </c>
      <c r="F40" s="1765">
        <v>3</v>
      </c>
      <c r="G40" s="1139">
        <v>0.573353</v>
      </c>
      <c r="H40" s="1134">
        <v>3.4482976499999998</v>
      </c>
      <c r="I40" s="1140">
        <v>0</v>
      </c>
      <c r="J40" s="1288">
        <f>+SUM(G40:I40)</f>
        <v>4.0216506499999998</v>
      </c>
      <c r="P40" s="1898"/>
      <c r="R40" s="25">
        <f xml:space="preserve"> IF( SUM( T40:AB40 ) = 0, 0, $U$4 )</f>
        <v>0</v>
      </c>
      <c r="S40" s="1016"/>
      <c r="T40" s="66"/>
      <c r="U40" s="86">
        <f>IF(Validation!$H$3=1,0,IF(ISNUMBER(G40),0,1))</f>
        <v>0</v>
      </c>
      <c r="V40" s="86">
        <f>IF(Validation!$H$3=1,0,IF(ISNUMBER(H40),0,1))</f>
        <v>0</v>
      </c>
      <c r="W40" s="86">
        <f>IF(Validation!$H$3=1,0,IF(ISNUMBER(I40),0,1))</f>
        <v>0</v>
      </c>
      <c r="X40" s="113"/>
      <c r="Y40" s="113"/>
      <c r="Z40" s="113"/>
      <c r="AA40" s="113"/>
      <c r="AB40" s="113"/>
      <c r="AC40" s="66"/>
      <c r="AK40" s="1128" t="s">
        <v>7833</v>
      </c>
      <c r="AL40" s="1129" t="s">
        <v>7834</v>
      </c>
      <c r="AM40" s="1130"/>
      <c r="AN40" s="1138" t="s">
        <v>12</v>
      </c>
      <c r="AO40" s="1132">
        <v>0</v>
      </c>
      <c r="AP40" s="1158" t="s">
        <v>7835</v>
      </c>
      <c r="AQ40" s="1152" t="s">
        <v>7836</v>
      </c>
      <c r="AR40" s="1159" t="s">
        <v>7837</v>
      </c>
      <c r="AS40" s="1288" t="s">
        <v>7838</v>
      </c>
    </row>
    <row r="41" spans="1:45" ht="23.25" thickBot="1">
      <c r="B41" s="1756" t="s">
        <v>7839</v>
      </c>
      <c r="C41" s="1761" t="s">
        <v>7612</v>
      </c>
      <c r="D41" s="1780"/>
      <c r="E41" s="1769" t="s">
        <v>8</v>
      </c>
      <c r="F41" s="1770">
        <v>3</v>
      </c>
      <c r="G41" s="1153">
        <v>0.30745133000000002</v>
      </c>
      <c r="H41" s="1154">
        <v>0.13003106145528115</v>
      </c>
      <c r="I41" s="1154">
        <v>3.2935808544718857E-2</v>
      </c>
      <c r="J41" s="1290">
        <f>+SUM(G41:I41)</f>
        <v>0.47041820000000001</v>
      </c>
      <c r="P41" s="1900"/>
      <c r="R41" s="1164" t="str">
        <f>IF(SUM(T41:AB41)&lt;&gt;0,$U$4,IF(SUM(AC41:AE41)=0,0,$AH$41))</f>
        <v>Lines 4W.23 to 4W.25 do not equal line 4E.3 please provide reasoning and reconciliation in your commentary</v>
      </c>
      <c r="S41" s="1016"/>
      <c r="T41" s="66"/>
      <c r="U41" s="86">
        <f>IF(Validation!$H$3=1,0,IF(ISNUMBER(G41),0,1))</f>
        <v>0</v>
      </c>
      <c r="V41" s="86">
        <f>IF(Validation!$H$3=1,0,IF(ISNUMBER(H41),0,1))</f>
        <v>0</v>
      </c>
      <c r="W41" s="86">
        <f>IF(Validation!$H$3=1,0,IF(ISNUMBER(I41),0,1))</f>
        <v>0</v>
      </c>
      <c r="X41" s="113"/>
      <c r="Y41" s="113"/>
      <c r="Z41" s="113"/>
      <c r="AA41" s="113"/>
      <c r="AB41" s="113"/>
      <c r="AC41" s="66"/>
      <c r="AD41" s="86">
        <f xml:space="preserve"> IF( (AF41 - AG41) = 0, 0, 1 )</f>
        <v>1</v>
      </c>
      <c r="AE41" s="114"/>
      <c r="AF41" s="105">
        <f>+J41+J40+J39</f>
        <v>5.3463898499999996</v>
      </c>
      <c r="AG41" s="105">
        <f>+'4E'!O9</f>
        <v>5.3409999999999993</v>
      </c>
      <c r="AH41" s="24" t="s">
        <v>7840</v>
      </c>
      <c r="AI41" s="114"/>
      <c r="AK41" s="1145" t="s">
        <v>7839</v>
      </c>
      <c r="AL41" s="1146" t="s">
        <v>7612</v>
      </c>
      <c r="AM41" s="1147"/>
      <c r="AN41" s="1148" t="s">
        <v>12</v>
      </c>
      <c r="AO41" s="1149">
        <v>0</v>
      </c>
      <c r="AP41" s="1160" t="s">
        <v>7841</v>
      </c>
      <c r="AQ41" s="1161" t="s">
        <v>7842</v>
      </c>
      <c r="AR41" s="1161" t="s">
        <v>7843</v>
      </c>
      <c r="AS41" s="1290" t="s">
        <v>7844</v>
      </c>
    </row>
    <row r="42" spans="1:45"/>
    <row r="43" spans="1:45" ht="15">
      <c r="B43" s="2512" t="s">
        <v>275</v>
      </c>
      <c r="C43" s="2512"/>
      <c r="D43" s="882"/>
      <c r="E43" s="883"/>
      <c r="F43" s="884"/>
    </row>
    <row r="44" spans="1:45">
      <c r="B44" s="881"/>
      <c r="C44" s="887"/>
      <c r="D44" s="882"/>
      <c r="E44" s="883"/>
      <c r="F44" s="884"/>
      <c r="G44" s="2148"/>
      <c r="H44" s="2148"/>
      <c r="I44" s="2148"/>
      <c r="J44" s="2148"/>
      <c r="K44" s="2148"/>
      <c r="L44" s="2148"/>
      <c r="M44" s="2148"/>
      <c r="N44" s="2148"/>
      <c r="O44" s="2148"/>
      <c r="P44" s="2029"/>
      <c r="Q44" s="2029"/>
      <c r="R44" s="1115"/>
      <c r="S44" s="1115"/>
      <c r="T44" s="1702"/>
      <c r="U44" s="1115"/>
      <c r="V44" s="1115"/>
      <c r="W44" s="65"/>
      <c r="X44" s="65"/>
    </row>
    <row r="45" spans="1:45" ht="15">
      <c r="B45" s="1062"/>
      <c r="C45" s="959" t="s">
        <v>249</v>
      </c>
      <c r="D45" s="828"/>
      <c r="E45" s="1039"/>
      <c r="F45" s="1039"/>
      <c r="G45" s="1039"/>
      <c r="H45" s="1039"/>
      <c r="I45" s="1039"/>
      <c r="J45" s="1039"/>
      <c r="K45" s="1039"/>
      <c r="L45" s="1039"/>
      <c r="M45" s="1039"/>
      <c r="N45" s="1039"/>
      <c r="O45" s="1039"/>
      <c r="P45" s="1039"/>
      <c r="Q45" s="1039"/>
      <c r="R45" s="1115"/>
      <c r="S45" s="1115"/>
      <c r="T45" s="1702"/>
      <c r="U45" s="1115"/>
      <c r="V45" s="1115"/>
      <c r="W45" s="1115"/>
      <c r="X45" s="1115"/>
    </row>
    <row r="46" spans="1:45" ht="15">
      <c r="B46" s="1016"/>
      <c r="C46" s="1016"/>
      <c r="D46" s="1016"/>
      <c r="E46" s="1016"/>
      <c r="F46" s="1016"/>
      <c r="G46" s="1016"/>
      <c r="H46" s="1016"/>
      <c r="I46" s="1016"/>
      <c r="J46" s="1016"/>
      <c r="K46" s="1016"/>
      <c r="L46" s="1016"/>
      <c r="M46" s="1016"/>
      <c r="N46" s="1016"/>
      <c r="O46" s="1016"/>
      <c r="P46" s="1016"/>
      <c r="Q46" s="1016"/>
      <c r="R46" s="1016"/>
      <c r="S46" s="1016"/>
      <c r="T46" s="1703"/>
      <c r="U46" s="1016"/>
      <c r="V46" s="1016"/>
      <c r="W46" s="1016"/>
      <c r="X46" s="1016"/>
    </row>
    <row r="47" spans="1:45" ht="15.75">
      <c r="B47" s="829"/>
      <c r="C47" s="1064" t="s">
        <v>4621</v>
      </c>
      <c r="D47" s="1041"/>
      <c r="E47" s="1041"/>
      <c r="F47" s="1041"/>
      <c r="G47" s="1041"/>
      <c r="H47" s="1041"/>
      <c r="I47" s="1041"/>
      <c r="J47" s="1041"/>
      <c r="K47" s="1041"/>
      <c r="L47" s="1041"/>
      <c r="M47" s="1041"/>
      <c r="N47" s="1041"/>
      <c r="O47" s="1041"/>
      <c r="P47" s="1041"/>
      <c r="Q47" s="1041"/>
      <c r="R47" s="1041"/>
      <c r="S47" s="1041"/>
      <c r="T47" s="1704"/>
      <c r="U47" s="1041"/>
      <c r="V47" s="1041"/>
      <c r="W47" s="1041"/>
      <c r="X47" s="1041"/>
    </row>
    <row r="48" spans="1:45">
      <c r="B48" s="482"/>
    </row>
    <row r="49" spans="2:11" ht="15" thickBot="1">
      <c r="B49" s="482"/>
    </row>
    <row r="50" spans="2:11" ht="21" thickBot="1">
      <c r="B50" s="1166" t="s">
        <v>251</v>
      </c>
      <c r="C50" s="133"/>
      <c r="D50" s="134"/>
      <c r="E50" s="134"/>
      <c r="F50" s="134"/>
      <c r="G50" s="134"/>
      <c r="H50" s="134"/>
      <c r="I50" s="134"/>
      <c r="J50" s="134"/>
      <c r="K50" s="140"/>
    </row>
    <row r="51" spans="2:11">
      <c r="B51" s="482"/>
    </row>
  </sheetData>
  <sheetProtection algorithmName="SHA-512" hashValue="47gjNLjstX7AYBeJPGOYdM3bgvVPBR4xNWEijf5M+ef1df2gKn4W9Jte9lcrSwVbHJK9lvhK2X5XgoT5g/r7wA==" saltValue="NDUS4BaUqBjAVeK4QeC9Kw==" spinCount="100000" sheet="1" objects="1" scenarios="1"/>
  <mergeCells count="3">
    <mergeCell ref="AK5:AL5"/>
    <mergeCell ref="B43:C43"/>
    <mergeCell ref="B5:C5"/>
  </mergeCells>
  <conditionalFormatting sqref="R7:R11">
    <cfRule type="cellIs" dxfId="13" priority="13" operator="equal">
      <formula>0</formula>
    </cfRule>
  </conditionalFormatting>
  <conditionalFormatting sqref="R13:R14">
    <cfRule type="cellIs" dxfId="12" priority="4" operator="equal">
      <formula>0</formula>
    </cfRule>
  </conditionalFormatting>
  <conditionalFormatting sqref="R17:R21">
    <cfRule type="cellIs" dxfId="11" priority="12" operator="equal">
      <formula>0</formula>
    </cfRule>
  </conditionalFormatting>
  <conditionalFormatting sqref="R23:R24">
    <cfRule type="cellIs" dxfId="10" priority="3" operator="equal">
      <formula>0</formula>
    </cfRule>
  </conditionalFormatting>
  <conditionalFormatting sqref="R31:R41">
    <cfRule type="cellIs" dxfId="9"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D120FE9-2124-4E89-945D-83E4E2F80054}">
            <xm:f>Validation!$H$3=1</xm:f>
            <x14:dxf>
              <fill>
                <patternFill>
                  <bgColor theme="2"/>
                </patternFill>
              </fill>
            </x14:dxf>
          </x14:cfRule>
          <xm:sqref>G12:P12 G14:P14 G22:P22 G24:P24</xm:sqref>
        </x14:conditionalFormatting>
        <x14:conditionalFormatting xmlns:xm="http://schemas.microsoft.com/office/excel/2006/main">
          <x14:cfRule type="expression" priority="8" id="{7396F4E3-32FD-4AFA-9F82-673E3B6D2D46}">
            <xm:f>Validation!$H$3=1</xm:f>
            <x14:dxf>
              <fill>
                <patternFill>
                  <bgColor theme="2"/>
                </patternFill>
              </fill>
            </x14:dxf>
          </x14:cfRule>
          <xm:sqref>J31:J36 J39:J41 O7:P11 O13:P13 O17:P21 O23:P23 P31:P35 P39:P41</xm:sqref>
        </x14:conditionalFormatting>
        <x14:conditionalFormatting xmlns:xm="http://schemas.microsoft.com/office/excel/2006/main">
          <x14:cfRule type="expression" priority="2" id="{E56CA0BD-A814-403B-9EA6-D67249440F94}">
            <xm:f>Validation!$H$3=1</xm:f>
            <x14:dxf>
              <fill>
                <patternFill>
                  <bgColor theme="2"/>
                </patternFill>
              </fill>
            </x14:dxf>
          </x14:cfRule>
          <xm:sqref>AP31:AS36 AP39:AS41</xm:sqref>
        </x14:conditionalFormatting>
        <x14:conditionalFormatting xmlns:xm="http://schemas.microsoft.com/office/excel/2006/main">
          <x14:cfRule type="expression" priority="1" id="{3A4D07F7-DE81-474A-9BBD-DC705D3898DD}">
            <xm:f>Validation!$H$3=1</xm:f>
            <x14:dxf>
              <fill>
                <patternFill>
                  <bgColor theme="2"/>
                </patternFill>
              </fill>
            </x14:dxf>
          </x14:cfRule>
          <xm:sqref>AP7:AX14 AP17:AX24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8">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1" spans="12:12" hidden="1"/>
    <row r="6" spans="12:12" ht="14.25" hidden="1" customHeight="1">
      <c r="L6">
        <f>IF(Validation!$H$3=1,0,IF(ISNUMBER(#REF!),0,1))</f>
        <v>1</v>
      </c>
    </row>
    <row r="35" spans="8:8" ht="14.25" hidden="1" customHeight="1">
      <c r="H35" t="s">
        <v>92</v>
      </c>
    </row>
  </sheetData>
  <sheetProtection algorithmName="SHA-512" hashValue="JjwVsS2Iuew5f6bmcQbbCBxnqwueOhYtasXDJcd5e9BZfNDYoAwGRralW5xnjHs23F4qNgmLD7NFJh4a1zzFlQ==" saltValue="RXP+UFUodKPjwdR7y00JH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76"/>
  <sheetViews>
    <sheetView showGridLines="0" zoomScale="80" zoomScaleNormal="80" workbookViewId="0"/>
  </sheetViews>
  <sheetFormatPr defaultColWidth="0" defaultRowHeight="14.25" zeroHeight="1"/>
  <cols>
    <col min="1" max="1" width="0.5" customWidth="1"/>
    <col min="2" max="2" width="4.125" customWidth="1"/>
    <col min="3" max="3" width="79.125" customWidth="1"/>
    <col min="4" max="4" width="0.125" hidden="1" customWidth="1"/>
    <col min="5" max="5" width="6.125" customWidth="1"/>
    <col min="6" max="6" width="11.125" customWidth="1"/>
    <col min="7" max="7" width="10.625" customWidth="1"/>
    <col min="8" max="8" width="6.62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20.25">
      <c r="A1" s="69" t="s">
        <v>236</v>
      </c>
      <c r="B1" s="61" t="s">
        <v>7845</v>
      </c>
      <c r="C1" s="61"/>
      <c r="D1" s="61"/>
      <c r="E1" s="61"/>
      <c r="F1" s="61" t="str">
        <f>Validation!B3</f>
        <v>Thames Water</v>
      </c>
      <c r="G1" s="61"/>
      <c r="H1" s="61"/>
      <c r="I1" s="64" t="s">
        <v>94</v>
      </c>
      <c r="J1" s="65"/>
      <c r="K1" s="66"/>
      <c r="L1" s="65"/>
      <c r="M1" s="66"/>
    </row>
    <row r="2" spans="1:13" ht="15" thickBot="1">
      <c r="A2" s="69"/>
      <c r="B2" s="68" t="s">
        <v>80</v>
      </c>
      <c r="C2" s="69"/>
      <c r="D2" s="69"/>
      <c r="E2" s="69"/>
      <c r="F2" s="69"/>
      <c r="G2" s="69"/>
      <c r="H2" s="65"/>
      <c r="I2" s="65"/>
      <c r="J2" s="65"/>
      <c r="K2" s="66"/>
      <c r="L2" s="65"/>
      <c r="M2" s="66"/>
    </row>
    <row r="3" spans="1:13" ht="15" thickBot="1">
      <c r="A3" s="69"/>
      <c r="B3" s="1178" t="s">
        <v>4255</v>
      </c>
      <c r="C3" s="854" t="s">
        <v>2</v>
      </c>
      <c r="D3" s="855" t="s">
        <v>2690</v>
      </c>
      <c r="E3" s="301" t="s">
        <v>98</v>
      </c>
      <c r="F3" s="159" t="s">
        <v>99</v>
      </c>
      <c r="G3" s="2220" t="s">
        <v>217</v>
      </c>
      <c r="H3" s="65"/>
      <c r="I3" s="1182" t="s">
        <v>103</v>
      </c>
      <c r="J3" s="65"/>
      <c r="K3" s="66"/>
      <c r="L3" s="1346" t="s">
        <v>107</v>
      </c>
      <c r="M3" s="66"/>
    </row>
    <row r="4" spans="1:13" ht="15.75" thickBot="1">
      <c r="A4" s="69"/>
      <c r="B4" s="464"/>
      <c r="D4" s="1179"/>
      <c r="E4" s="1179"/>
      <c r="F4" s="1179"/>
      <c r="H4" s="65"/>
      <c r="I4" s="65"/>
      <c r="J4" s="65"/>
      <c r="K4" s="66"/>
      <c r="L4" s="78" t="s">
        <v>108</v>
      </c>
      <c r="M4" s="66"/>
    </row>
    <row r="5" spans="1:13" ht="15" thickBot="1">
      <c r="A5" s="69"/>
      <c r="B5" s="1019" t="s">
        <v>214</v>
      </c>
      <c r="C5" s="77" t="s">
        <v>7846</v>
      </c>
      <c r="D5" s="464"/>
      <c r="E5" s="464"/>
      <c r="F5" s="464"/>
      <c r="H5" s="65"/>
      <c r="I5" s="65"/>
      <c r="J5" s="65"/>
      <c r="K5" s="66"/>
      <c r="L5" s="65"/>
      <c r="M5" s="66"/>
    </row>
    <row r="6" spans="1:13" ht="15">
      <c r="A6" s="69"/>
      <c r="B6" s="79" t="s">
        <v>6966</v>
      </c>
      <c r="C6" s="109" t="s">
        <v>7847</v>
      </c>
      <c r="D6" s="1629" t="s">
        <v>7848</v>
      </c>
      <c r="E6" s="81" t="s">
        <v>11</v>
      </c>
      <c r="F6" s="82">
        <v>0</v>
      </c>
      <c r="G6" s="1333">
        <v>9</v>
      </c>
      <c r="H6" s="65"/>
      <c r="I6" s="25">
        <f xml:space="preserve"> IF( SUM( K6:M6 ) = 0, 0, $L$4 )</f>
        <v>0</v>
      </c>
      <c r="J6" s="1016"/>
      <c r="K6" s="66"/>
      <c r="L6" s="86">
        <f>IF(Validation!$H$3=1,0,IF(ISNUMBER(G6),0,1))</f>
        <v>0</v>
      </c>
      <c r="M6" s="66"/>
    </row>
    <row r="7" spans="1:13" ht="15">
      <c r="A7" s="69"/>
      <c r="B7" s="87" t="s">
        <v>6967</v>
      </c>
      <c r="C7" s="80" t="s">
        <v>7849</v>
      </c>
      <c r="D7" s="1630" t="s">
        <v>7850</v>
      </c>
      <c r="E7" s="1316" t="s">
        <v>12</v>
      </c>
      <c r="F7" s="89">
        <v>3</v>
      </c>
      <c r="G7" s="529">
        <v>22801.078000000001</v>
      </c>
      <c r="H7" s="65"/>
      <c r="I7" s="25">
        <f t="shared" ref="I7:I11" si="0" xml:space="preserve"> IF( SUM( K7:M7 ) = 0, 0, $L$4 )</f>
        <v>0</v>
      </c>
      <c r="J7" s="1016"/>
      <c r="K7" s="66"/>
      <c r="L7" s="86">
        <f>IF(Validation!$H$3=1,0,IF(ISNUMBER(G7),0,1))</f>
        <v>0</v>
      </c>
      <c r="M7" s="66"/>
    </row>
    <row r="8" spans="1:13" ht="15">
      <c r="A8" s="69"/>
      <c r="B8" s="87" t="s">
        <v>7851</v>
      </c>
      <c r="C8" s="80" t="s">
        <v>7852</v>
      </c>
      <c r="D8" s="1630" t="s">
        <v>7853</v>
      </c>
      <c r="E8" s="88" t="s">
        <v>11</v>
      </c>
      <c r="F8" s="89">
        <v>0</v>
      </c>
      <c r="G8" s="1334">
        <v>9</v>
      </c>
      <c r="H8" s="65"/>
      <c r="I8" s="25">
        <f t="shared" si="0"/>
        <v>0</v>
      </c>
      <c r="J8" s="1016"/>
      <c r="K8" s="66"/>
      <c r="L8" s="86">
        <f>IF(Validation!$H$3=1,0,IF(ISNUMBER(G8),0,1))</f>
        <v>0</v>
      </c>
      <c r="M8" s="66"/>
    </row>
    <row r="9" spans="1:13" ht="15">
      <c r="A9" s="69"/>
      <c r="B9" s="87" t="s">
        <v>7854</v>
      </c>
      <c r="C9" s="80" t="s">
        <v>7855</v>
      </c>
      <c r="D9" s="1630" t="s">
        <v>7856</v>
      </c>
      <c r="E9" s="88" t="s">
        <v>11</v>
      </c>
      <c r="F9" s="89">
        <v>0</v>
      </c>
      <c r="G9" s="1334">
        <v>0</v>
      </c>
      <c r="H9" s="65"/>
      <c r="I9" s="25">
        <f t="shared" si="0"/>
        <v>0</v>
      </c>
      <c r="J9" s="1016"/>
      <c r="K9" s="66"/>
      <c r="L9" s="86">
        <f>IF(Validation!$H$3=1,0,IF(ISNUMBER(G9),0,1))</f>
        <v>0</v>
      </c>
      <c r="M9" s="66"/>
    </row>
    <row r="10" spans="1:13" ht="15">
      <c r="A10" s="69"/>
      <c r="B10" s="87" t="s">
        <v>7857</v>
      </c>
      <c r="C10" s="80" t="s">
        <v>7858</v>
      </c>
      <c r="D10" s="1630" t="s">
        <v>7859</v>
      </c>
      <c r="E10" s="88" t="s">
        <v>11</v>
      </c>
      <c r="F10" s="89">
        <v>0</v>
      </c>
      <c r="G10" s="1335">
        <v>0</v>
      </c>
      <c r="H10" s="65"/>
      <c r="I10" s="25">
        <f t="shared" si="0"/>
        <v>0</v>
      </c>
      <c r="J10" s="1016"/>
      <c r="K10" s="66"/>
      <c r="L10" s="86">
        <f>IF(Validation!$H$3=1,0,IF(ISNUMBER(G10),0,1))</f>
        <v>0</v>
      </c>
      <c r="M10" s="66"/>
    </row>
    <row r="11" spans="1:13" ht="15.75" thickBot="1">
      <c r="A11" s="69"/>
      <c r="B11" s="94" t="s">
        <v>7860</v>
      </c>
      <c r="C11" s="95" t="s">
        <v>7861</v>
      </c>
      <c r="D11" s="1631" t="s">
        <v>7862</v>
      </c>
      <c r="E11" s="96" t="s">
        <v>11</v>
      </c>
      <c r="F11" s="93">
        <v>0</v>
      </c>
      <c r="G11" s="1336">
        <v>0</v>
      </c>
      <c r="H11" s="65"/>
      <c r="I11" s="25">
        <f t="shared" si="0"/>
        <v>0</v>
      </c>
      <c r="J11" s="1016"/>
      <c r="K11" s="66"/>
      <c r="L11" s="86">
        <f>IF(Validation!$H$3=1,0,IF(ISNUMBER(G11),0,1))</f>
        <v>0</v>
      </c>
      <c r="M11" s="66"/>
    </row>
    <row r="12" spans="1:13" ht="15" thickBot="1">
      <c r="A12" s="69"/>
      <c r="B12" s="464"/>
      <c r="D12" s="1632"/>
      <c r="E12" s="464"/>
      <c r="F12" s="464"/>
      <c r="H12" s="65"/>
      <c r="I12" s="65"/>
      <c r="J12" s="65"/>
      <c r="K12" s="66"/>
      <c r="L12" s="65"/>
      <c r="M12" s="66"/>
    </row>
    <row r="13" spans="1:13" ht="15" thickBot="1">
      <c r="A13" s="69"/>
      <c r="B13" s="1019" t="s">
        <v>236</v>
      </c>
      <c r="C13" s="77" t="s">
        <v>7863</v>
      </c>
      <c r="D13" s="1632"/>
      <c r="E13" s="464"/>
      <c r="F13" s="464"/>
      <c r="H13" s="65"/>
      <c r="I13" s="65"/>
      <c r="J13" s="65"/>
      <c r="K13" s="66"/>
      <c r="L13" s="65"/>
      <c r="M13" s="66"/>
    </row>
    <row r="14" spans="1:13" ht="15">
      <c r="A14" s="69"/>
      <c r="B14" s="79" t="s">
        <v>6968</v>
      </c>
      <c r="C14" s="109" t="s">
        <v>7864</v>
      </c>
      <c r="D14" s="1629" t="s">
        <v>7865</v>
      </c>
      <c r="E14" s="81" t="s">
        <v>11</v>
      </c>
      <c r="F14" s="82">
        <v>0</v>
      </c>
      <c r="G14" s="1333">
        <v>0</v>
      </c>
      <c r="H14" s="65"/>
      <c r="I14" s="25">
        <f t="shared" ref="I14:I16" si="1" xml:space="preserve"> IF( SUM( K14:M14 ) = 0, 0, $L$4 )</f>
        <v>0</v>
      </c>
      <c r="J14" s="1016"/>
      <c r="K14" s="66"/>
      <c r="L14" s="86">
        <f>IF(Validation!$H$3=1,0,IF(ISNUMBER(G14),0,1))</f>
        <v>0</v>
      </c>
      <c r="M14" s="66"/>
    </row>
    <row r="15" spans="1:13" ht="15">
      <c r="A15" s="69"/>
      <c r="B15" s="87" t="s">
        <v>6969</v>
      </c>
      <c r="C15" s="80" t="s">
        <v>7866</v>
      </c>
      <c r="D15" s="1630" t="s">
        <v>7867</v>
      </c>
      <c r="E15" s="88" t="s">
        <v>11</v>
      </c>
      <c r="F15" s="89">
        <v>0</v>
      </c>
      <c r="G15" s="1334">
        <v>0</v>
      </c>
      <c r="H15" s="65"/>
      <c r="I15" s="25">
        <f t="shared" si="1"/>
        <v>0</v>
      </c>
      <c r="J15" s="1016"/>
      <c r="K15" s="66"/>
      <c r="L15" s="86">
        <f>IF(Validation!$H$3=1,0,IF(ISNUMBER(G15),0,1))</f>
        <v>0</v>
      </c>
      <c r="M15" s="66"/>
    </row>
    <row r="16" spans="1:13" ht="15.75" thickBot="1">
      <c r="A16" s="69"/>
      <c r="B16" s="94" t="s">
        <v>7868</v>
      </c>
      <c r="C16" s="95" t="s">
        <v>7869</v>
      </c>
      <c r="D16" s="1631" t="s">
        <v>7870</v>
      </c>
      <c r="E16" s="96" t="s">
        <v>11</v>
      </c>
      <c r="F16" s="93">
        <v>0</v>
      </c>
      <c r="G16" s="1336">
        <v>0</v>
      </c>
      <c r="H16" s="65"/>
      <c r="I16" s="25">
        <f t="shared" si="1"/>
        <v>0</v>
      </c>
      <c r="J16" s="1016"/>
      <c r="K16" s="66"/>
      <c r="L16" s="86">
        <f>IF(Validation!$H$3=1,0,IF(ISNUMBER(G16),0,1))</f>
        <v>0</v>
      </c>
      <c r="M16" s="66"/>
    </row>
    <row r="17" spans="1:13" ht="15" thickBot="1">
      <c r="A17" s="69"/>
      <c r="B17" s="464"/>
      <c r="D17" s="1632"/>
      <c r="E17" s="464"/>
      <c r="F17" s="464"/>
      <c r="H17" s="65"/>
      <c r="I17" s="65"/>
      <c r="J17" s="65"/>
      <c r="K17" s="66"/>
      <c r="L17" s="65"/>
      <c r="M17" s="66"/>
    </row>
    <row r="18" spans="1:13" ht="15" thickBot="1">
      <c r="A18" s="69"/>
      <c r="B18" s="1019" t="s">
        <v>362</v>
      </c>
      <c r="C18" s="77" t="s">
        <v>7871</v>
      </c>
      <c r="D18" s="1632"/>
      <c r="E18" s="464"/>
      <c r="F18" s="464"/>
      <c r="H18" s="65"/>
      <c r="I18" s="65"/>
      <c r="J18" s="65"/>
      <c r="K18" s="66"/>
      <c r="L18" s="65"/>
      <c r="M18" s="66"/>
    </row>
    <row r="19" spans="1:13" ht="15">
      <c r="A19" s="69"/>
      <c r="B19" s="79" t="s">
        <v>7872</v>
      </c>
      <c r="C19" s="1180" t="s">
        <v>7873</v>
      </c>
      <c r="D19" s="1629" t="s">
        <v>7874</v>
      </c>
      <c r="E19" s="81" t="s">
        <v>11</v>
      </c>
      <c r="F19" s="82">
        <v>0</v>
      </c>
      <c r="G19" s="1333">
        <v>0</v>
      </c>
      <c r="H19" s="65"/>
      <c r="I19" s="25">
        <f t="shared" ref="I19:I20" si="2" xml:space="preserve"> IF( SUM( K19:M19 ) = 0, 0, $L$4 )</f>
        <v>0</v>
      </c>
      <c r="J19" s="1016"/>
      <c r="K19" s="66"/>
      <c r="L19" s="86">
        <f>IF(Validation!$H$3=1,0,IF(ISNUMBER(G19),0,1))</f>
        <v>0</v>
      </c>
      <c r="M19" s="66"/>
    </row>
    <row r="20" spans="1:13" ht="15.75" thickBot="1">
      <c r="A20" s="69"/>
      <c r="B20" s="94" t="s">
        <v>7875</v>
      </c>
      <c r="C20" s="95" t="s">
        <v>7876</v>
      </c>
      <c r="D20" s="1631" t="s">
        <v>7877</v>
      </c>
      <c r="E20" s="96" t="s">
        <v>11</v>
      </c>
      <c r="F20" s="93">
        <v>0</v>
      </c>
      <c r="G20" s="1336">
        <v>0</v>
      </c>
      <c r="H20" s="65"/>
      <c r="I20" s="25">
        <f t="shared" si="2"/>
        <v>0</v>
      </c>
      <c r="J20" s="1016"/>
      <c r="K20" s="66"/>
      <c r="L20" s="86">
        <f>IF(Validation!$H$3=1,0,IF(ISNUMBER(G20),0,1))</f>
        <v>0</v>
      </c>
      <c r="M20" s="66"/>
    </row>
    <row r="21" spans="1:13" ht="15" thickBot="1">
      <c r="A21" s="69"/>
      <c r="B21" s="464"/>
      <c r="D21" s="1632"/>
      <c r="E21" s="464"/>
      <c r="F21" s="464"/>
      <c r="H21" s="65"/>
      <c r="I21" s="65"/>
      <c r="J21" s="65"/>
      <c r="K21" s="66"/>
      <c r="L21" s="65"/>
      <c r="M21" s="66"/>
    </row>
    <row r="22" spans="1:13" ht="15" thickBot="1">
      <c r="A22" s="69"/>
      <c r="B22" s="1019" t="s">
        <v>419</v>
      </c>
      <c r="C22" s="77" t="s">
        <v>7878</v>
      </c>
      <c r="D22" s="1632"/>
      <c r="E22" s="464"/>
      <c r="F22" s="464"/>
      <c r="H22" s="65"/>
      <c r="I22" s="65"/>
      <c r="J22" s="65"/>
      <c r="K22" s="66"/>
      <c r="L22" s="65"/>
      <c r="M22" s="66"/>
    </row>
    <row r="23" spans="1:13" ht="15">
      <c r="A23" s="69"/>
      <c r="B23" s="79" t="s">
        <v>7879</v>
      </c>
      <c r="C23" s="109" t="s">
        <v>7880</v>
      </c>
      <c r="D23" s="1629" t="s">
        <v>7881</v>
      </c>
      <c r="E23" s="81" t="s">
        <v>6893</v>
      </c>
      <c r="F23" s="82">
        <v>2</v>
      </c>
      <c r="G23" s="1337">
        <v>366.22</v>
      </c>
      <c r="H23" s="65"/>
      <c r="I23" s="25">
        <f t="shared" ref="I23:I27" si="3" xml:space="preserve"> IF( SUM( K23:M23 ) = 0, 0, $L$4 )</f>
        <v>0</v>
      </c>
      <c r="J23" s="1016"/>
      <c r="K23" s="66"/>
      <c r="L23" s="86">
        <f>IF(Validation!$H$3=1,0,IF(ISNUMBER(G23),0,1))</f>
        <v>0</v>
      </c>
      <c r="M23" s="66"/>
    </row>
    <row r="24" spans="1:13" ht="15">
      <c r="A24" s="69"/>
      <c r="B24" s="87" t="s">
        <v>7882</v>
      </c>
      <c r="C24" s="80" t="s">
        <v>7883</v>
      </c>
      <c r="D24" s="1630" t="s">
        <v>7884</v>
      </c>
      <c r="E24" s="88" t="s">
        <v>6893</v>
      </c>
      <c r="F24" s="89">
        <v>2</v>
      </c>
      <c r="G24" s="1338">
        <v>366.22</v>
      </c>
      <c r="H24" s="65"/>
      <c r="I24" s="25">
        <f t="shared" si="3"/>
        <v>0</v>
      </c>
      <c r="J24" s="1016"/>
      <c r="K24" s="66"/>
      <c r="L24" s="86">
        <f>IF(Validation!$H$3=1,0,IF(ISNUMBER(G24),0,1))</f>
        <v>0</v>
      </c>
      <c r="M24" s="66"/>
    </row>
    <row r="25" spans="1:13" ht="15">
      <c r="A25" s="69"/>
      <c r="B25" s="87" t="s">
        <v>7885</v>
      </c>
      <c r="C25" s="80" t="s">
        <v>7886</v>
      </c>
      <c r="D25" s="1630" t="s">
        <v>7887</v>
      </c>
      <c r="E25" s="88" t="s">
        <v>6893</v>
      </c>
      <c r="F25" s="89">
        <v>2</v>
      </c>
      <c r="G25" s="1338">
        <v>0</v>
      </c>
      <c r="H25" s="65"/>
      <c r="I25" s="25">
        <f t="shared" si="3"/>
        <v>0</v>
      </c>
      <c r="J25" s="1016"/>
      <c r="K25" s="66"/>
      <c r="L25" s="86">
        <f>IF(Validation!$H$3=1,0,IF(ISNUMBER(G25),0,1))</f>
        <v>0</v>
      </c>
      <c r="M25" s="66"/>
    </row>
    <row r="26" spans="1:13" ht="15">
      <c r="A26" s="69"/>
      <c r="B26" s="87" t="s">
        <v>7888</v>
      </c>
      <c r="C26" s="189" t="s">
        <v>7889</v>
      </c>
      <c r="D26" s="1630" t="s">
        <v>7890</v>
      </c>
      <c r="E26" s="88" t="s">
        <v>11</v>
      </c>
      <c r="F26" s="1181">
        <v>0</v>
      </c>
      <c r="G26" s="1335">
        <v>0</v>
      </c>
      <c r="H26" s="65"/>
      <c r="I26" s="25">
        <f t="shared" si="3"/>
        <v>0</v>
      </c>
      <c r="J26" s="1016"/>
      <c r="K26" s="66"/>
      <c r="L26" s="86">
        <f>IF(Validation!$H$3=1,0,IF(ISNUMBER(G26),0,1))</f>
        <v>0</v>
      </c>
      <c r="M26" s="66"/>
    </row>
    <row r="27" spans="1:13" ht="15.75" thickBot="1">
      <c r="A27" s="69"/>
      <c r="B27" s="94" t="s">
        <v>7891</v>
      </c>
      <c r="C27" s="95" t="s">
        <v>7892</v>
      </c>
      <c r="D27" s="1633" t="s">
        <v>7893</v>
      </c>
      <c r="E27" s="96" t="s">
        <v>11</v>
      </c>
      <c r="F27" s="93">
        <v>0</v>
      </c>
      <c r="G27" s="1336">
        <v>0</v>
      </c>
      <c r="H27" s="65"/>
      <c r="I27" s="25">
        <f t="shared" si="3"/>
        <v>0</v>
      </c>
      <c r="J27" s="1016"/>
      <c r="K27" s="66"/>
      <c r="L27" s="86">
        <f>IF(Validation!$H$3=1,0,IF(ISNUMBER(G27),0,1))</f>
        <v>0</v>
      </c>
      <c r="M27" s="66"/>
    </row>
    <row r="28" spans="1:13" ht="15" thickBot="1">
      <c r="A28" s="69"/>
      <c r="B28" s="464"/>
      <c r="D28" s="1632"/>
      <c r="E28" s="464"/>
      <c r="F28" s="464"/>
      <c r="H28" s="65"/>
      <c r="I28" s="65"/>
      <c r="J28" s="65"/>
      <c r="K28" s="66"/>
      <c r="L28" s="65"/>
      <c r="M28" s="66"/>
    </row>
    <row r="29" spans="1:13" ht="15" thickBot="1">
      <c r="A29" s="69"/>
      <c r="B29" s="1019" t="s">
        <v>493</v>
      </c>
      <c r="C29" s="77" t="s">
        <v>7894</v>
      </c>
      <c r="D29" s="1632"/>
      <c r="E29" s="464"/>
      <c r="F29" s="464"/>
      <c r="H29" s="65"/>
      <c r="I29" s="65"/>
      <c r="J29" s="65"/>
      <c r="K29" s="66"/>
      <c r="L29" s="65"/>
      <c r="M29" s="66"/>
    </row>
    <row r="30" spans="1:13" ht="15">
      <c r="A30" s="69"/>
      <c r="B30" s="79" t="s">
        <v>7895</v>
      </c>
      <c r="C30" s="109" t="s">
        <v>7896</v>
      </c>
      <c r="D30" s="1629" t="s">
        <v>7897</v>
      </c>
      <c r="E30" s="81" t="s">
        <v>6893</v>
      </c>
      <c r="F30" s="82">
        <v>2</v>
      </c>
      <c r="G30" s="1337">
        <v>29.56</v>
      </c>
      <c r="H30" s="65"/>
      <c r="I30" s="25">
        <f t="shared" ref="I30:I34" si="4" xml:space="preserve"> IF( SUM( K30:M30 ) = 0, 0, $L$4 )</f>
        <v>0</v>
      </c>
      <c r="J30" s="1016"/>
      <c r="K30" s="66"/>
      <c r="L30" s="86">
        <f>IF(Validation!$H$3=1,0,IF(ISNUMBER(G30),0,1))</f>
        <v>0</v>
      </c>
      <c r="M30" s="66"/>
    </row>
    <row r="31" spans="1:13" ht="15">
      <c r="A31" s="69"/>
      <c r="B31" s="87" t="s">
        <v>7898</v>
      </c>
      <c r="C31" s="80" t="s">
        <v>7899</v>
      </c>
      <c r="D31" s="1630" t="s">
        <v>7900</v>
      </c>
      <c r="E31" s="88" t="s">
        <v>6893</v>
      </c>
      <c r="F31" s="89">
        <v>2</v>
      </c>
      <c r="G31" s="1338">
        <v>29.56</v>
      </c>
      <c r="H31" s="65"/>
      <c r="I31" s="25">
        <f t="shared" si="4"/>
        <v>0</v>
      </c>
      <c r="J31" s="1016"/>
      <c r="K31" s="66"/>
      <c r="L31" s="86">
        <f>IF(Validation!$H$3=1,0,IF(ISNUMBER(G31),0,1))</f>
        <v>0</v>
      </c>
      <c r="M31" s="66"/>
    </row>
    <row r="32" spans="1:13" ht="15">
      <c r="A32" s="69"/>
      <c r="B32" s="87" t="s">
        <v>7901</v>
      </c>
      <c r="C32" s="80" t="s">
        <v>7902</v>
      </c>
      <c r="D32" s="1630" t="s">
        <v>7903</v>
      </c>
      <c r="E32" s="88" t="s">
        <v>6893</v>
      </c>
      <c r="F32" s="89">
        <v>2</v>
      </c>
      <c r="G32" s="1338">
        <v>0</v>
      </c>
      <c r="H32" s="65"/>
      <c r="I32" s="25">
        <f t="shared" si="4"/>
        <v>0</v>
      </c>
      <c r="J32" s="1016"/>
      <c r="K32" s="66"/>
      <c r="L32" s="86">
        <f>IF(Validation!$H$3=1,0,IF(ISNUMBER(G32),0,1))</f>
        <v>0</v>
      </c>
      <c r="M32" s="66"/>
    </row>
    <row r="33" spans="1:13" ht="15">
      <c r="A33" s="69"/>
      <c r="B33" s="87" t="s">
        <v>7904</v>
      </c>
      <c r="C33" s="189" t="s">
        <v>7905</v>
      </c>
      <c r="D33" s="1630" t="s">
        <v>7906</v>
      </c>
      <c r="E33" s="1291" t="s">
        <v>11</v>
      </c>
      <c r="F33" s="1181">
        <v>0</v>
      </c>
      <c r="G33" s="1335">
        <v>0</v>
      </c>
      <c r="H33" s="65"/>
      <c r="I33" s="25">
        <f t="shared" si="4"/>
        <v>0</v>
      </c>
      <c r="J33" s="1016"/>
      <c r="K33" s="66"/>
      <c r="L33" s="86">
        <f>IF(Validation!$H$3=1,0,IF(ISNUMBER(G33),0,1))</f>
        <v>0</v>
      </c>
      <c r="M33" s="66"/>
    </row>
    <row r="34" spans="1:13" ht="15.75" thickBot="1">
      <c r="A34" s="69"/>
      <c r="B34" s="94" t="s">
        <v>7907</v>
      </c>
      <c r="C34" s="95" t="s">
        <v>7908</v>
      </c>
      <c r="D34" s="1631" t="s">
        <v>7909</v>
      </c>
      <c r="E34" s="96" t="s">
        <v>11</v>
      </c>
      <c r="F34" s="93">
        <v>0</v>
      </c>
      <c r="G34" s="1336">
        <v>0</v>
      </c>
      <c r="H34" s="65"/>
      <c r="I34" s="25">
        <f t="shared" si="4"/>
        <v>0</v>
      </c>
      <c r="J34" s="1016"/>
      <c r="K34" s="66"/>
      <c r="L34" s="86">
        <f>IF(Validation!$H$3=1,0,IF(ISNUMBER(G34),0,1))</f>
        <v>0</v>
      </c>
      <c r="M34" s="66"/>
    </row>
    <row r="35" spans="1:13" ht="15" thickBot="1">
      <c r="A35" s="69"/>
      <c r="B35" s="464"/>
      <c r="D35" s="1632"/>
      <c r="E35" s="464"/>
      <c r="F35" s="464"/>
      <c r="H35" s="65"/>
      <c r="I35" s="65"/>
      <c r="J35" s="65"/>
      <c r="K35" s="66"/>
      <c r="L35" s="65"/>
      <c r="M35" s="66"/>
    </row>
    <row r="36" spans="1:13" ht="15" thickBot="1">
      <c r="A36" s="69"/>
      <c r="B36" s="1019" t="s">
        <v>1970</v>
      </c>
      <c r="C36" s="77" t="s">
        <v>7910</v>
      </c>
      <c r="D36" s="1632"/>
      <c r="E36" s="464"/>
      <c r="F36" s="464"/>
      <c r="H36" s="65"/>
      <c r="I36" s="65"/>
      <c r="J36" s="65"/>
      <c r="K36" s="66"/>
      <c r="L36" s="65"/>
      <c r="M36" s="66"/>
    </row>
    <row r="37" spans="1:13" ht="15">
      <c r="A37" s="69"/>
      <c r="B37" s="79" t="s">
        <v>7911</v>
      </c>
      <c r="C37" s="109" t="s">
        <v>7912</v>
      </c>
      <c r="D37" s="1629" t="s">
        <v>7913</v>
      </c>
      <c r="E37" s="81" t="s">
        <v>6893</v>
      </c>
      <c r="F37" s="82">
        <v>2</v>
      </c>
      <c r="G37" s="1337">
        <v>232.44</v>
      </c>
      <c r="H37" s="65"/>
      <c r="I37" s="25">
        <f t="shared" ref="I37:I41" si="5" xml:space="preserve"> IF( SUM( K37:M37 ) = 0, 0, $L$4 )</f>
        <v>0</v>
      </c>
      <c r="J37" s="1016"/>
      <c r="K37" s="66"/>
      <c r="L37" s="86">
        <f>IF(Validation!$H$3=1,0,IF(ISNUMBER(G37),0,1))</f>
        <v>0</v>
      </c>
      <c r="M37" s="66"/>
    </row>
    <row r="38" spans="1:13" ht="15">
      <c r="A38" s="69"/>
      <c r="B38" s="87" t="s">
        <v>7914</v>
      </c>
      <c r="C38" s="80" t="s">
        <v>7915</v>
      </c>
      <c r="D38" s="1630" t="s">
        <v>7916</v>
      </c>
      <c r="E38" s="88" t="s">
        <v>6893</v>
      </c>
      <c r="F38" s="89">
        <v>2</v>
      </c>
      <c r="G38" s="1338">
        <v>232.44</v>
      </c>
      <c r="H38" s="65"/>
      <c r="I38" s="25">
        <f t="shared" si="5"/>
        <v>0</v>
      </c>
      <c r="J38" s="1016"/>
      <c r="K38" s="66"/>
      <c r="L38" s="86">
        <f>IF(Validation!$H$3=1,0,IF(ISNUMBER(G38),0,1))</f>
        <v>0</v>
      </c>
      <c r="M38" s="66"/>
    </row>
    <row r="39" spans="1:13" ht="15">
      <c r="A39" s="69"/>
      <c r="B39" s="87" t="s">
        <v>7917</v>
      </c>
      <c r="C39" s="80" t="s">
        <v>7918</v>
      </c>
      <c r="D39" s="1630" t="s">
        <v>7919</v>
      </c>
      <c r="E39" s="88" t="s">
        <v>6893</v>
      </c>
      <c r="F39" s="89">
        <v>2</v>
      </c>
      <c r="G39" s="1338">
        <v>0</v>
      </c>
      <c r="H39" s="65"/>
      <c r="I39" s="25">
        <f t="shared" si="5"/>
        <v>0</v>
      </c>
      <c r="J39" s="1016"/>
      <c r="K39" s="66"/>
      <c r="L39" s="86">
        <f>IF(Validation!$H$3=1,0,IF(ISNUMBER(G39),0,1))</f>
        <v>0</v>
      </c>
      <c r="M39" s="66"/>
    </row>
    <row r="40" spans="1:13" ht="15">
      <c r="A40" s="69"/>
      <c r="B40" s="87" t="s">
        <v>7920</v>
      </c>
      <c r="C40" s="189" t="s">
        <v>7921</v>
      </c>
      <c r="D40" s="1630" t="s">
        <v>7922</v>
      </c>
      <c r="E40" s="1291" t="s">
        <v>11</v>
      </c>
      <c r="F40" s="1181">
        <v>0</v>
      </c>
      <c r="G40" s="1335">
        <v>0</v>
      </c>
      <c r="H40" s="65"/>
      <c r="I40" s="25">
        <f t="shared" si="5"/>
        <v>0</v>
      </c>
      <c r="J40" s="1016"/>
      <c r="K40" s="66"/>
      <c r="L40" s="86">
        <f>IF(Validation!$H$3=1,0,IF(ISNUMBER(G40),0,1))</f>
        <v>0</v>
      </c>
      <c r="M40" s="66"/>
    </row>
    <row r="41" spans="1:13" ht="15.75" thickBot="1">
      <c r="A41" s="69"/>
      <c r="B41" s="94" t="s">
        <v>7923</v>
      </c>
      <c r="C41" s="95" t="s">
        <v>7924</v>
      </c>
      <c r="D41" s="1631" t="s">
        <v>7925</v>
      </c>
      <c r="E41" s="96" t="s">
        <v>11</v>
      </c>
      <c r="F41" s="93">
        <v>0</v>
      </c>
      <c r="G41" s="1336">
        <v>0</v>
      </c>
      <c r="H41" s="65"/>
      <c r="I41" s="25">
        <f t="shared" si="5"/>
        <v>0</v>
      </c>
      <c r="J41" s="1016"/>
      <c r="K41" s="66"/>
      <c r="L41" s="86">
        <f>IF(Validation!$H$3=1,0,IF(ISNUMBER(G41),0,1))</f>
        <v>0</v>
      </c>
      <c r="M41" s="66"/>
    </row>
    <row r="42" spans="1:13">
      <c r="A42" s="69"/>
      <c r="B42" s="69"/>
      <c r="C42" s="69"/>
      <c r="D42" s="69"/>
      <c r="E42" s="69"/>
      <c r="F42" s="69"/>
      <c r="G42" s="69"/>
      <c r="H42" s="65"/>
      <c r="I42" s="65"/>
      <c r="J42" s="65"/>
      <c r="K42" s="66"/>
      <c r="L42" s="65"/>
      <c r="M42" s="66"/>
    </row>
    <row r="43" spans="1:13" ht="15">
      <c r="A43" s="69"/>
      <c r="B43" s="2512" t="s">
        <v>275</v>
      </c>
      <c r="C43" s="2512"/>
      <c r="D43" s="69"/>
      <c r="E43" s="69"/>
      <c r="F43" s="69"/>
      <c r="G43" s="69"/>
      <c r="H43" s="65"/>
      <c r="I43" s="65"/>
      <c r="J43" s="65"/>
      <c r="K43" s="66"/>
      <c r="L43" s="65"/>
      <c r="M43" s="66"/>
    </row>
    <row r="44" spans="1:13">
      <c r="A44" s="69"/>
      <c r="B44" s="881"/>
      <c r="C44" s="887"/>
      <c r="D44" s="69"/>
      <c r="E44" s="69"/>
      <c r="F44" s="69"/>
      <c r="G44" s="69"/>
      <c r="H44" s="65"/>
      <c r="I44" s="65"/>
      <c r="J44" s="65"/>
      <c r="K44" s="66"/>
      <c r="L44" s="65"/>
      <c r="M44" s="66"/>
    </row>
    <row r="45" spans="1:13" ht="15">
      <c r="A45" s="69"/>
      <c r="B45" s="1062"/>
      <c r="C45" s="959" t="s">
        <v>249</v>
      </c>
      <c r="D45" s="69"/>
      <c r="E45" s="69"/>
      <c r="F45" s="69"/>
      <c r="G45" s="69"/>
      <c r="H45" s="65"/>
      <c r="I45" s="65"/>
      <c r="J45" s="65"/>
      <c r="K45" s="66"/>
      <c r="L45" s="65"/>
      <c r="M45" s="66"/>
    </row>
    <row r="46" spans="1:13" ht="15">
      <c r="A46" s="69"/>
      <c r="B46" s="1016"/>
      <c r="C46" s="1016"/>
      <c r="D46" s="69"/>
      <c r="E46" s="69"/>
      <c r="F46" s="69"/>
      <c r="G46" s="69"/>
      <c r="H46" s="65"/>
      <c r="I46" s="65"/>
      <c r="J46" s="65"/>
      <c r="K46" s="66"/>
      <c r="L46" s="65"/>
      <c r="M46" s="66"/>
    </row>
    <row r="47" spans="1:13" ht="15.75">
      <c r="A47" s="69"/>
      <c r="B47" s="829"/>
      <c r="C47" s="1064" t="s">
        <v>4621</v>
      </c>
      <c r="D47" s="69"/>
      <c r="E47" s="69"/>
      <c r="F47" s="69"/>
      <c r="G47" s="69"/>
      <c r="H47" s="65"/>
      <c r="I47" s="65"/>
      <c r="J47" s="65"/>
      <c r="K47" s="66"/>
      <c r="L47" s="65"/>
      <c r="M47" s="66"/>
    </row>
    <row r="48" spans="1:13" ht="15" thickBot="1">
      <c r="A48" s="69"/>
      <c r="B48" s="69"/>
      <c r="C48" s="69"/>
      <c r="D48" s="69"/>
      <c r="E48" s="69"/>
      <c r="F48" s="69"/>
      <c r="G48" s="69"/>
      <c r="H48" s="65"/>
      <c r="I48" s="65"/>
      <c r="J48" s="65"/>
      <c r="K48" s="66"/>
      <c r="L48" s="65"/>
      <c r="M48" s="66"/>
    </row>
    <row r="49" spans="1:13" ht="16.5" thickBot="1">
      <c r="A49" s="69"/>
      <c r="B49" s="2383" t="e">
        <f ca="1" xml:space="preserve"> RIGHT(CELL("filename", $A$1), LEN(CELL("filename", $A$1)) - SEARCH("]", CELL("filename", $A$1)))&amp;" - Line definitions"</f>
        <v>#VALUE!</v>
      </c>
      <c r="C49" s="2430"/>
      <c r="D49" s="2430"/>
      <c r="E49" s="2430"/>
      <c r="F49" s="2430"/>
      <c r="G49" s="2431"/>
      <c r="H49" s="65"/>
      <c r="I49" s="65"/>
      <c r="J49" s="65"/>
      <c r="K49" s="66"/>
      <c r="L49" s="65"/>
      <c r="M49" s="66"/>
    </row>
    <row r="50" spans="1:13">
      <c r="A50" s="69"/>
      <c r="B50" s="1339" t="s">
        <v>6966</v>
      </c>
      <c r="C50" s="2564" t="s">
        <v>7926</v>
      </c>
      <c r="D50" s="2565"/>
      <c r="E50" s="2565"/>
      <c r="F50" s="2565"/>
      <c r="G50" s="2566"/>
      <c r="H50" s="65"/>
      <c r="I50" s="65"/>
      <c r="J50" s="65"/>
      <c r="K50" s="66"/>
      <c r="L50" s="65"/>
      <c r="M50" s="66"/>
    </row>
    <row r="51" spans="1:13">
      <c r="A51" s="69"/>
      <c r="B51" s="1340" t="s">
        <v>6967</v>
      </c>
      <c r="C51" s="2555" t="s">
        <v>7927</v>
      </c>
      <c r="D51" s="2556"/>
      <c r="E51" s="2556"/>
      <c r="F51" s="2556"/>
      <c r="G51" s="2557"/>
      <c r="H51" s="65"/>
      <c r="I51" s="65"/>
      <c r="J51" s="65"/>
      <c r="K51" s="66"/>
      <c r="L51" s="65"/>
      <c r="M51" s="66"/>
    </row>
    <row r="52" spans="1:13">
      <c r="A52" s="69"/>
      <c r="B52" s="1340" t="s">
        <v>7851</v>
      </c>
      <c r="C52" s="2555" t="s">
        <v>7928</v>
      </c>
      <c r="D52" s="2556"/>
      <c r="E52" s="2556"/>
      <c r="F52" s="2556"/>
      <c r="G52" s="2557"/>
      <c r="H52" s="65"/>
      <c r="I52" s="65"/>
      <c r="J52" s="65"/>
      <c r="K52" s="66"/>
      <c r="L52" s="65"/>
      <c r="M52" s="66"/>
    </row>
    <row r="53" spans="1:13">
      <c r="A53" s="69"/>
      <c r="B53" s="1340" t="s">
        <v>7854</v>
      </c>
      <c r="C53" s="2555" t="s">
        <v>7929</v>
      </c>
      <c r="D53" s="2556"/>
      <c r="E53" s="2556"/>
      <c r="F53" s="2556"/>
      <c r="G53" s="2557"/>
      <c r="H53" s="65"/>
      <c r="I53" s="65"/>
      <c r="J53" s="65"/>
      <c r="K53" s="66"/>
      <c r="L53" s="65"/>
      <c r="M53" s="66"/>
    </row>
    <row r="54" spans="1:13">
      <c r="A54" s="69"/>
      <c r="B54" s="1340" t="s">
        <v>7857</v>
      </c>
      <c r="C54" s="2561" t="s">
        <v>7930</v>
      </c>
      <c r="D54" s="2562"/>
      <c r="E54" s="2562"/>
      <c r="F54" s="2562"/>
      <c r="G54" s="2563"/>
      <c r="H54" s="65"/>
      <c r="I54" s="65"/>
      <c r="J54" s="65"/>
      <c r="K54" s="66"/>
      <c r="L54" s="65"/>
      <c r="M54" s="66"/>
    </row>
    <row r="55" spans="1:13">
      <c r="A55" s="69"/>
      <c r="B55" s="1340" t="s">
        <v>7860</v>
      </c>
      <c r="C55" s="2561" t="s">
        <v>7931</v>
      </c>
      <c r="D55" s="2562"/>
      <c r="E55" s="2562"/>
      <c r="F55" s="2562"/>
      <c r="G55" s="2563"/>
      <c r="H55" s="65"/>
      <c r="I55" s="65"/>
      <c r="J55" s="65"/>
      <c r="K55" s="66"/>
      <c r="L55" s="65"/>
      <c r="M55" s="66"/>
    </row>
    <row r="56" spans="1:13">
      <c r="A56" s="69"/>
      <c r="B56" s="1340" t="s">
        <v>6968</v>
      </c>
      <c r="C56" s="2561" t="s">
        <v>7932</v>
      </c>
      <c r="D56" s="2562"/>
      <c r="E56" s="2562"/>
      <c r="F56" s="2562"/>
      <c r="G56" s="2563"/>
      <c r="H56" s="65"/>
      <c r="I56" s="65"/>
      <c r="J56" s="65"/>
      <c r="K56" s="66"/>
      <c r="L56" s="65"/>
      <c r="M56" s="66"/>
    </row>
    <row r="57" spans="1:13">
      <c r="A57" s="69"/>
      <c r="B57" s="1340" t="s">
        <v>6969</v>
      </c>
      <c r="C57" s="2555" t="s">
        <v>7933</v>
      </c>
      <c r="D57" s="2556"/>
      <c r="E57" s="2556"/>
      <c r="F57" s="2556"/>
      <c r="G57" s="2557"/>
      <c r="H57" s="65"/>
      <c r="I57" s="65"/>
      <c r="J57" s="65"/>
      <c r="K57" s="66"/>
      <c r="L57" s="65"/>
      <c r="M57" s="66"/>
    </row>
    <row r="58" spans="1:13">
      <c r="A58" s="69"/>
      <c r="B58" s="1340" t="s">
        <v>7868</v>
      </c>
      <c r="C58" s="2555" t="s">
        <v>7934</v>
      </c>
      <c r="D58" s="2556"/>
      <c r="E58" s="2556"/>
      <c r="F58" s="2556"/>
      <c r="G58" s="2557"/>
      <c r="H58" s="65"/>
      <c r="I58" s="65"/>
      <c r="J58" s="65"/>
      <c r="K58" s="66"/>
      <c r="L58" s="65"/>
      <c r="M58" s="66"/>
    </row>
    <row r="59" spans="1:13">
      <c r="A59" s="69"/>
      <c r="B59" s="1340" t="s">
        <v>7872</v>
      </c>
      <c r="C59" s="2555" t="s">
        <v>7935</v>
      </c>
      <c r="D59" s="2556"/>
      <c r="E59" s="2556"/>
      <c r="F59" s="2556"/>
      <c r="G59" s="2557"/>
      <c r="H59" s="65"/>
      <c r="I59" s="65"/>
      <c r="J59" s="65"/>
      <c r="K59" s="66"/>
      <c r="L59" s="65"/>
      <c r="M59" s="66"/>
    </row>
    <row r="60" spans="1:13">
      <c r="A60" s="69"/>
      <c r="B60" s="1340" t="s">
        <v>7875</v>
      </c>
      <c r="C60" s="2561" t="s">
        <v>7936</v>
      </c>
      <c r="D60" s="2562"/>
      <c r="E60" s="2562"/>
      <c r="F60" s="2562"/>
      <c r="G60" s="2563"/>
      <c r="H60" s="65"/>
      <c r="I60" s="65"/>
      <c r="J60" s="65"/>
      <c r="K60" s="66"/>
      <c r="L60" s="65"/>
      <c r="M60" s="66"/>
    </row>
    <row r="61" spans="1:13">
      <c r="A61" s="69"/>
      <c r="B61" s="1340" t="s">
        <v>7879</v>
      </c>
      <c r="C61" s="2561" t="s">
        <v>7937</v>
      </c>
      <c r="D61" s="2562"/>
      <c r="E61" s="2562"/>
      <c r="F61" s="2562"/>
      <c r="G61" s="2563"/>
      <c r="H61" s="65"/>
      <c r="I61" s="65"/>
      <c r="J61" s="65"/>
      <c r="K61" s="66"/>
      <c r="L61" s="65"/>
      <c r="M61" s="66"/>
    </row>
    <row r="62" spans="1:13">
      <c r="A62" s="69"/>
      <c r="B62" s="1340" t="s">
        <v>7882</v>
      </c>
      <c r="C62" s="2555" t="s">
        <v>7938</v>
      </c>
      <c r="D62" s="2556"/>
      <c r="E62" s="2556"/>
      <c r="F62" s="2556"/>
      <c r="G62" s="2557"/>
      <c r="H62" s="65"/>
      <c r="I62" s="65"/>
      <c r="J62" s="65"/>
      <c r="K62" s="66"/>
      <c r="L62" s="65"/>
      <c r="M62" s="66"/>
    </row>
    <row r="63" spans="1:13">
      <c r="A63" s="69"/>
      <c r="B63" s="1340" t="s">
        <v>7885</v>
      </c>
      <c r="C63" s="2555" t="s">
        <v>7939</v>
      </c>
      <c r="D63" s="2556"/>
      <c r="E63" s="2556"/>
      <c r="F63" s="2556"/>
      <c r="G63" s="2557"/>
      <c r="H63" s="65"/>
      <c r="I63" s="65"/>
      <c r="J63" s="65"/>
      <c r="K63" s="66"/>
      <c r="L63" s="65"/>
      <c r="M63" s="66"/>
    </row>
    <row r="64" spans="1:13">
      <c r="A64" s="69"/>
      <c r="B64" s="1340" t="s">
        <v>7888</v>
      </c>
      <c r="C64" s="2555" t="s">
        <v>7940</v>
      </c>
      <c r="D64" s="2556"/>
      <c r="E64" s="2556"/>
      <c r="F64" s="2556"/>
      <c r="G64" s="2557"/>
      <c r="H64" s="65"/>
      <c r="I64" s="65"/>
      <c r="J64" s="65"/>
      <c r="K64" s="66"/>
      <c r="L64" s="65"/>
      <c r="M64" s="66"/>
    </row>
    <row r="65" spans="1:13">
      <c r="A65" s="69"/>
      <c r="B65" s="1340" t="s">
        <v>7891</v>
      </c>
      <c r="C65" s="2561" t="s">
        <v>7941</v>
      </c>
      <c r="D65" s="2562"/>
      <c r="E65" s="2562"/>
      <c r="F65" s="2562"/>
      <c r="G65" s="2563"/>
      <c r="H65" s="65"/>
      <c r="I65" s="65"/>
      <c r="J65" s="65"/>
      <c r="K65" s="66"/>
      <c r="L65" s="65"/>
      <c r="M65" s="66"/>
    </row>
    <row r="66" spans="1:13">
      <c r="A66" s="69"/>
      <c r="B66" s="1340" t="s">
        <v>7895</v>
      </c>
      <c r="C66" s="2555" t="s">
        <v>7942</v>
      </c>
      <c r="D66" s="2556"/>
      <c r="E66" s="2556"/>
      <c r="F66" s="2556"/>
      <c r="G66" s="2557"/>
      <c r="H66" s="65"/>
      <c r="I66" s="65"/>
      <c r="J66" s="65"/>
      <c r="K66" s="66"/>
      <c r="L66" s="65"/>
      <c r="M66" s="66"/>
    </row>
    <row r="67" spans="1:13">
      <c r="A67" s="69"/>
      <c r="B67" s="1340" t="s">
        <v>7898</v>
      </c>
      <c r="C67" s="2555" t="s">
        <v>7943</v>
      </c>
      <c r="D67" s="2556"/>
      <c r="E67" s="2556"/>
      <c r="F67" s="2556"/>
      <c r="G67" s="2557"/>
      <c r="H67" s="65"/>
      <c r="I67" s="65"/>
      <c r="J67" s="65"/>
      <c r="K67" s="66"/>
      <c r="L67" s="65"/>
      <c r="M67" s="66"/>
    </row>
    <row r="68" spans="1:13">
      <c r="A68" s="69"/>
      <c r="B68" s="1340" t="s">
        <v>7901</v>
      </c>
      <c r="C68" s="2555" t="s">
        <v>7944</v>
      </c>
      <c r="D68" s="2556"/>
      <c r="E68" s="2556"/>
      <c r="F68" s="2556"/>
      <c r="G68" s="2557"/>
      <c r="H68" s="65"/>
      <c r="I68" s="65"/>
      <c r="J68" s="65"/>
      <c r="K68" s="66"/>
      <c r="L68" s="65"/>
      <c r="M68" s="66"/>
    </row>
    <row r="69" spans="1:13">
      <c r="A69" s="69"/>
      <c r="B69" s="1340" t="s">
        <v>7904</v>
      </c>
      <c r="C69" s="2555" t="s">
        <v>7945</v>
      </c>
      <c r="D69" s="2556"/>
      <c r="E69" s="2556"/>
      <c r="F69" s="2556"/>
      <c r="G69" s="2557"/>
      <c r="H69" s="65"/>
      <c r="I69" s="65"/>
      <c r="J69" s="65"/>
      <c r="K69" s="66"/>
      <c r="L69" s="65"/>
      <c r="M69" s="66"/>
    </row>
    <row r="70" spans="1:13">
      <c r="A70" s="69"/>
      <c r="B70" s="1340" t="s">
        <v>7907</v>
      </c>
      <c r="C70" s="2555" t="s">
        <v>7946</v>
      </c>
      <c r="D70" s="2556"/>
      <c r="E70" s="2556"/>
      <c r="F70" s="2556"/>
      <c r="G70" s="2557"/>
      <c r="H70" s="65"/>
      <c r="I70" s="65"/>
      <c r="J70" s="65"/>
      <c r="K70" s="66"/>
      <c r="L70" s="65"/>
      <c r="M70" s="66"/>
    </row>
    <row r="71" spans="1:13">
      <c r="A71" s="69"/>
      <c r="B71" s="1340" t="s">
        <v>7911</v>
      </c>
      <c r="C71" s="2555" t="s">
        <v>7947</v>
      </c>
      <c r="D71" s="2556"/>
      <c r="E71" s="2556"/>
      <c r="F71" s="2556"/>
      <c r="G71" s="2557"/>
      <c r="H71" s="65"/>
      <c r="I71" s="65"/>
      <c r="J71" s="65"/>
      <c r="K71" s="66"/>
      <c r="L71" s="65"/>
      <c r="M71" s="66"/>
    </row>
    <row r="72" spans="1:13">
      <c r="A72" s="69"/>
      <c r="B72" s="1340" t="s">
        <v>7914</v>
      </c>
      <c r="C72" s="2555" t="s">
        <v>7948</v>
      </c>
      <c r="D72" s="2556"/>
      <c r="E72" s="2556"/>
      <c r="F72" s="2556"/>
      <c r="G72" s="2557"/>
      <c r="H72" s="65"/>
      <c r="I72" s="65"/>
      <c r="J72" s="65"/>
      <c r="K72" s="66"/>
      <c r="L72" s="65"/>
      <c r="M72" s="66"/>
    </row>
    <row r="73" spans="1:13">
      <c r="A73" s="69"/>
      <c r="B73" s="1340" t="s">
        <v>7917</v>
      </c>
      <c r="C73" s="2555" t="s">
        <v>7949</v>
      </c>
      <c r="D73" s="2556"/>
      <c r="E73" s="2556"/>
      <c r="F73" s="2556"/>
      <c r="G73" s="2557"/>
      <c r="H73" s="65"/>
      <c r="I73" s="65"/>
      <c r="J73" s="65"/>
      <c r="K73" s="66"/>
      <c r="L73" s="65"/>
      <c r="M73" s="66"/>
    </row>
    <row r="74" spans="1:13">
      <c r="A74" s="69"/>
      <c r="B74" s="1340" t="s">
        <v>7920</v>
      </c>
      <c r="C74" s="2555" t="s">
        <v>7950</v>
      </c>
      <c r="D74" s="2556"/>
      <c r="E74" s="2556"/>
      <c r="F74" s="2556"/>
      <c r="G74" s="2557"/>
      <c r="H74" s="65"/>
      <c r="I74" s="65"/>
      <c r="J74" s="65"/>
      <c r="K74" s="66"/>
      <c r="L74" s="65"/>
      <c r="M74" s="66"/>
    </row>
    <row r="75" spans="1:13" ht="15" thickBot="1">
      <c r="A75" s="69"/>
      <c r="B75" s="1341" t="s">
        <v>7923</v>
      </c>
      <c r="C75" s="2558" t="s">
        <v>7951</v>
      </c>
      <c r="D75" s="2559"/>
      <c r="E75" s="2559"/>
      <c r="F75" s="2559"/>
      <c r="G75" s="2560"/>
      <c r="H75" s="65"/>
      <c r="I75" s="65"/>
      <c r="J75" s="65"/>
      <c r="K75" s="66"/>
      <c r="L75" s="65"/>
      <c r="M75" s="66"/>
    </row>
    <row r="76" spans="1:13"/>
  </sheetData>
  <sheetProtection algorithmName="SHA-512" hashValue="3UnjvXviZw29cuNnA7naprR98P9s8cK+npJIyc1psCnRyQT+Etvl2gMpa5vibBV6eua9IoyKgF6QL+KUKzbCfg==" saltValue="c0hjIsLH3D34Rh34SN6H2Q==" spinCount="100000" sheet="1" objects="1" scenarios="1"/>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4" priority="5" operator="equal">
      <formula>0</formula>
    </cfRule>
  </conditionalFormatting>
  <conditionalFormatting sqref="I14:I16 I19:I20 I30:I34 I37:I41">
    <cfRule type="cellIs" dxfId="3" priority="4" operator="equal">
      <formula>0</formula>
    </cfRule>
  </conditionalFormatting>
  <conditionalFormatting sqref="I23:I27">
    <cfRule type="cellIs" dxfId="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E6:G11 E14:G16 E19:G20 E30:G34 E37:G41</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4"/>
  <sheetViews>
    <sheetView workbookViewId="0"/>
  </sheetViews>
  <sheetFormatPr defaultRowHeight="14.25"/>
  <cols>
    <col min="1" max="1" width="36.625" bestFit="1" customWidth="1"/>
    <col min="2" max="2" width="36.125" customWidth="1"/>
    <col min="3" max="4" width="8.625" customWidth="1"/>
    <col min="5" max="5" width="2.625" customWidth="1"/>
    <col min="6" max="8" width="10" customWidth="1"/>
  </cols>
  <sheetData>
    <row r="1" spans="1:10" ht="20.25">
      <c r="A1" s="1" t="s">
        <v>7952</v>
      </c>
      <c r="B1" s="1"/>
      <c r="C1" s="1"/>
      <c r="D1" s="1"/>
      <c r="E1" s="1"/>
      <c r="F1" s="1"/>
      <c r="G1" s="1"/>
      <c r="H1" s="1"/>
      <c r="I1" s="1"/>
      <c r="J1" s="1"/>
    </row>
    <row r="2" spans="1:10">
      <c r="A2" s="47"/>
      <c r="B2" s="47"/>
      <c r="E2" s="47"/>
    </row>
    <row r="3" spans="1:10" s="12" customFormat="1" ht="27">
      <c r="A3" s="48" t="s">
        <v>7953</v>
      </c>
      <c r="B3" s="48" t="s">
        <v>7954</v>
      </c>
      <c r="C3" s="48" t="s">
        <v>0</v>
      </c>
      <c r="D3" s="48" t="s">
        <v>7955</v>
      </c>
      <c r="F3" s="49" t="s">
        <v>7956</v>
      </c>
      <c r="G3" s="48"/>
      <c r="H3" s="48"/>
    </row>
    <row r="4" spans="1:10">
      <c r="A4" s="47"/>
      <c r="B4" s="47" t="s">
        <v>7957</v>
      </c>
      <c r="C4" s="47"/>
      <c r="D4" s="47" t="s">
        <v>7958</v>
      </c>
    </row>
    <row r="5" spans="1:10">
      <c r="A5" s="47" t="s">
        <v>7959</v>
      </c>
      <c r="B5" s="47" t="s">
        <v>7960</v>
      </c>
      <c r="C5" s="47" t="s">
        <v>7961</v>
      </c>
      <c r="D5" s="47" t="s">
        <v>7958</v>
      </c>
      <c r="F5" s="49" t="s">
        <v>7962</v>
      </c>
    </row>
    <row r="6" spans="1:10">
      <c r="A6" s="47" t="s">
        <v>7963</v>
      </c>
      <c r="B6" s="47" t="s">
        <v>7964</v>
      </c>
      <c r="C6" s="47" t="s">
        <v>7965</v>
      </c>
      <c r="D6" s="47" t="s">
        <v>7958</v>
      </c>
      <c r="F6" s="47" t="s">
        <v>1979</v>
      </c>
    </row>
    <row r="7" spans="1:10">
      <c r="A7" s="47" t="s">
        <v>7966</v>
      </c>
      <c r="B7" s="47" t="s">
        <v>7967</v>
      </c>
      <c r="C7" s="47" t="s">
        <v>7968</v>
      </c>
      <c r="D7" s="47" t="s">
        <v>7958</v>
      </c>
      <c r="F7" s="47" t="s">
        <v>1980</v>
      </c>
    </row>
    <row r="8" spans="1:10">
      <c r="A8" s="47" t="s">
        <v>7969</v>
      </c>
      <c r="B8" s="47" t="s">
        <v>7970</v>
      </c>
      <c r="C8" s="47" t="s">
        <v>7971</v>
      </c>
      <c r="D8" s="47" t="s">
        <v>7958</v>
      </c>
      <c r="F8" s="47" t="s">
        <v>1981</v>
      </c>
    </row>
    <row r="9" spans="1:10">
      <c r="A9" s="47" t="s">
        <v>7972</v>
      </c>
      <c r="B9" s="47" t="s">
        <v>7973</v>
      </c>
      <c r="C9" s="47" t="s">
        <v>7974</v>
      </c>
      <c r="D9" s="47" t="s">
        <v>7958</v>
      </c>
    </row>
    <row r="10" spans="1:10">
      <c r="A10" s="47" t="s">
        <v>7975</v>
      </c>
      <c r="B10" s="47" t="s">
        <v>7976</v>
      </c>
      <c r="C10" s="47" t="s">
        <v>7977</v>
      </c>
      <c r="D10" s="47" t="s">
        <v>7958</v>
      </c>
      <c r="F10" s="49" t="s">
        <v>7978</v>
      </c>
    </row>
    <row r="11" spans="1:10">
      <c r="A11" s="47" t="s">
        <v>7979</v>
      </c>
      <c r="B11" s="47" t="s">
        <v>7980</v>
      </c>
      <c r="C11" s="47" t="s">
        <v>7981</v>
      </c>
      <c r="D11" s="47" t="s">
        <v>7958</v>
      </c>
      <c r="F11" s="47" t="s">
        <v>1988</v>
      </c>
    </row>
    <row r="12" spans="1:10">
      <c r="A12" s="47" t="s">
        <v>7982</v>
      </c>
      <c r="B12" s="47" t="s">
        <v>81</v>
      </c>
      <c r="C12" s="47" t="s">
        <v>7983</v>
      </c>
      <c r="D12" s="47" t="s">
        <v>7958</v>
      </c>
      <c r="F12" s="47" t="s">
        <v>1992</v>
      </c>
    </row>
    <row r="13" spans="1:10">
      <c r="A13" s="47" t="s">
        <v>7984</v>
      </c>
      <c r="B13" s="47" t="s">
        <v>7985</v>
      </c>
      <c r="C13" s="47" t="s">
        <v>7986</v>
      </c>
      <c r="D13" s="47" t="s">
        <v>7958</v>
      </c>
      <c r="F13" s="47" t="s">
        <v>1983</v>
      </c>
    </row>
    <row r="14" spans="1:10">
      <c r="A14" s="47" t="s">
        <v>7987</v>
      </c>
      <c r="B14" s="47" t="s">
        <v>7988</v>
      </c>
      <c r="C14" s="47" t="s">
        <v>7989</v>
      </c>
      <c r="D14" s="47" t="s">
        <v>7958</v>
      </c>
      <c r="F14" s="47" t="s">
        <v>1985</v>
      </c>
    </row>
    <row r="15" spans="1:10">
      <c r="A15" s="47" t="s">
        <v>7990</v>
      </c>
      <c r="B15" s="47" t="s">
        <v>7991</v>
      </c>
      <c r="C15" s="47" t="s">
        <v>7992</v>
      </c>
      <c r="D15" s="47" t="s">
        <v>7958</v>
      </c>
      <c r="F15" s="47" t="s">
        <v>1981</v>
      </c>
    </row>
    <row r="16" spans="1:10">
      <c r="A16" s="47" t="s">
        <v>7993</v>
      </c>
      <c r="B16" s="47" t="s">
        <v>7993</v>
      </c>
      <c r="C16" s="47" t="s">
        <v>7994</v>
      </c>
      <c r="D16" s="47" t="s">
        <v>7995</v>
      </c>
      <c r="F16" s="47"/>
    </row>
    <row r="17" spans="1:4">
      <c r="A17" s="47" t="s">
        <v>7996</v>
      </c>
      <c r="B17" s="47" t="s">
        <v>7997</v>
      </c>
      <c r="C17" s="47" t="s">
        <v>7998</v>
      </c>
      <c r="D17" s="47" t="s">
        <v>7995</v>
      </c>
    </row>
    <row r="18" spans="1:4">
      <c r="A18" s="47" t="s">
        <v>7999</v>
      </c>
      <c r="B18" s="47" t="s">
        <v>8000</v>
      </c>
      <c r="C18" s="47" t="s">
        <v>8001</v>
      </c>
      <c r="D18" s="47" t="s">
        <v>7995</v>
      </c>
    </row>
    <row r="19" spans="1:4">
      <c r="A19" s="47" t="s">
        <v>8002</v>
      </c>
      <c r="B19" s="47" t="s">
        <v>8003</v>
      </c>
      <c r="C19" s="47" t="s">
        <v>8004</v>
      </c>
      <c r="D19" s="47" t="s">
        <v>7995</v>
      </c>
    </row>
    <row r="20" spans="1:4">
      <c r="A20" s="47" t="s">
        <v>8005</v>
      </c>
      <c r="B20" s="47" t="s">
        <v>8006</v>
      </c>
      <c r="C20" s="47" t="s">
        <v>8007</v>
      </c>
      <c r="D20" s="47" t="s">
        <v>7995</v>
      </c>
    </row>
    <row r="21" spans="1:4">
      <c r="A21" s="47" t="s">
        <v>8008</v>
      </c>
      <c r="B21" s="47" t="s">
        <v>8009</v>
      </c>
      <c r="C21" s="47" t="s">
        <v>8010</v>
      </c>
      <c r="D21" s="47" t="s">
        <v>7995</v>
      </c>
    </row>
    <row r="22" spans="1:4">
      <c r="A22" s="47" t="s">
        <v>8011</v>
      </c>
      <c r="B22" s="47" t="s">
        <v>8012</v>
      </c>
      <c r="C22" s="47" t="s">
        <v>8013</v>
      </c>
      <c r="D22" s="47" t="s">
        <v>7995</v>
      </c>
    </row>
    <row r="23" spans="1:4">
      <c r="A23" s="47" t="s">
        <v>8014</v>
      </c>
      <c r="B23" s="47" t="s">
        <v>8015</v>
      </c>
      <c r="C23" s="47" t="s">
        <v>8016</v>
      </c>
      <c r="D23" s="47" t="s">
        <v>7995</v>
      </c>
    </row>
    <row r="24" spans="1:4">
      <c r="A24" s="47" t="s">
        <v>8017</v>
      </c>
      <c r="B24" s="47" t="s">
        <v>8018</v>
      </c>
      <c r="C24" s="47" t="s">
        <v>751</v>
      </c>
      <c r="D24" s="47" t="s">
        <v>7958</v>
      </c>
    </row>
  </sheetData>
  <sheetProtection algorithmName="SHA-512" hashValue="EqoFGYxNsOm0VqsOS8ELvv/KPak5S29lgttUxyeboYTM0S46RfBkXCDHpG1NoppWBR8khojQ65fHhbUpRYUEdw==" saltValue="TldZk62cm5bGJaPEkoj+gQ=="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D529"/>
  <sheetViews>
    <sheetView workbookViewId="0"/>
  </sheetViews>
  <sheetFormatPr defaultRowHeight="14.25"/>
  <cols>
    <col min="2" max="2" width="21.125" bestFit="1" customWidth="1"/>
  </cols>
  <sheetData>
    <row r="1" spans="1:82">
      <c r="N1" t="s">
        <v>8019</v>
      </c>
      <c r="T1" t="s">
        <v>8020</v>
      </c>
      <c r="Y1" t="s">
        <v>8021</v>
      </c>
      <c r="AI1" t="s">
        <v>8022</v>
      </c>
      <c r="AN1" t="s">
        <v>8023</v>
      </c>
      <c r="AS1" t="s">
        <v>1985</v>
      </c>
      <c r="AX1" t="s">
        <v>1992</v>
      </c>
      <c r="BC1" t="s">
        <v>8024</v>
      </c>
      <c r="BH1" t="s">
        <v>8025</v>
      </c>
      <c r="BI1" t="s">
        <v>8026</v>
      </c>
      <c r="BJ1" t="s">
        <v>8027</v>
      </c>
      <c r="BK1" t="s">
        <v>8028</v>
      </c>
      <c r="BL1" t="s">
        <v>8029</v>
      </c>
      <c r="BM1" t="s">
        <v>8030</v>
      </c>
      <c r="BP1" t="s">
        <v>8031</v>
      </c>
      <c r="BW1" t="s">
        <v>8032</v>
      </c>
    </row>
    <row r="2" spans="1:82">
      <c r="A2" t="s">
        <v>8033</v>
      </c>
      <c r="B2" t="s">
        <v>1955</v>
      </c>
      <c r="C2" t="s">
        <v>8034</v>
      </c>
      <c r="D2" t="s">
        <v>8035</v>
      </c>
      <c r="E2" t="s">
        <v>8036</v>
      </c>
      <c r="F2" t="s">
        <v>8037</v>
      </c>
      <c r="G2" t="s">
        <v>8038</v>
      </c>
      <c r="H2" t="s">
        <v>8039</v>
      </c>
      <c r="I2" t="s">
        <v>1956</v>
      </c>
      <c r="J2" t="s">
        <v>8040</v>
      </c>
      <c r="K2" t="s">
        <v>8041</v>
      </c>
      <c r="L2" t="s">
        <v>8042</v>
      </c>
      <c r="M2" t="s">
        <v>8043</v>
      </c>
      <c r="N2" t="s">
        <v>8044</v>
      </c>
      <c r="O2" t="s">
        <v>8045</v>
      </c>
      <c r="P2" t="s">
        <v>8046</v>
      </c>
      <c r="Q2" t="s">
        <v>26</v>
      </c>
      <c r="R2" t="s">
        <v>8047</v>
      </c>
      <c r="S2" t="s">
        <v>8048</v>
      </c>
      <c r="T2" t="s">
        <v>8049</v>
      </c>
      <c r="U2" t="s">
        <v>8050</v>
      </c>
      <c r="V2" t="s">
        <v>8051</v>
      </c>
      <c r="W2" t="s">
        <v>8052</v>
      </c>
      <c r="X2" t="s">
        <v>8053</v>
      </c>
      <c r="Y2" t="s">
        <v>8054</v>
      </c>
      <c r="Z2" t="s">
        <v>8055</v>
      </c>
      <c r="AA2" t="s">
        <v>8056</v>
      </c>
      <c r="AB2" t="s">
        <v>8057</v>
      </c>
      <c r="AC2" t="s">
        <v>8058</v>
      </c>
      <c r="AD2" t="s">
        <v>8059</v>
      </c>
      <c r="AE2" t="s">
        <v>8060</v>
      </c>
      <c r="AF2" t="s">
        <v>8061</v>
      </c>
      <c r="AG2" t="s">
        <v>8062</v>
      </c>
      <c r="AH2" t="s">
        <v>8063</v>
      </c>
      <c r="AI2" t="s">
        <v>8064</v>
      </c>
      <c r="AJ2" t="s">
        <v>2535</v>
      </c>
      <c r="AK2" t="s">
        <v>6</v>
      </c>
      <c r="AL2" t="s">
        <v>2536</v>
      </c>
      <c r="AM2" t="s">
        <v>2537</v>
      </c>
      <c r="AN2" t="s">
        <v>8064</v>
      </c>
      <c r="AO2" t="s">
        <v>2535</v>
      </c>
      <c r="AP2" t="s">
        <v>6</v>
      </c>
      <c r="AQ2" t="s">
        <v>2536</v>
      </c>
      <c r="AR2" t="s">
        <v>2537</v>
      </c>
      <c r="AS2" t="s">
        <v>8064</v>
      </c>
      <c r="AT2" t="s">
        <v>2535</v>
      </c>
      <c r="AU2" t="s">
        <v>6</v>
      </c>
      <c r="AV2" t="s">
        <v>2536</v>
      </c>
      <c r="AW2" t="s">
        <v>2537</v>
      </c>
      <c r="AX2" t="s">
        <v>8064</v>
      </c>
      <c r="AY2" t="s">
        <v>2535</v>
      </c>
      <c r="AZ2" t="s">
        <v>6</v>
      </c>
      <c r="BA2" t="s">
        <v>2536</v>
      </c>
      <c r="BB2" t="s">
        <v>2537</v>
      </c>
      <c r="BC2" t="s">
        <v>8064</v>
      </c>
      <c r="BD2" t="s">
        <v>2535</v>
      </c>
      <c r="BE2" t="s">
        <v>6</v>
      </c>
      <c r="BF2" t="s">
        <v>2536</v>
      </c>
      <c r="BG2" t="s">
        <v>2537</v>
      </c>
      <c r="BH2" t="s">
        <v>8065</v>
      </c>
      <c r="BI2" t="s">
        <v>8065</v>
      </c>
      <c r="BJ2" t="s">
        <v>8065</v>
      </c>
      <c r="BK2" t="s">
        <v>8065</v>
      </c>
      <c r="BL2" t="s">
        <v>8065</v>
      </c>
      <c r="BM2" t="s">
        <v>8065</v>
      </c>
      <c r="BN2" t="s">
        <v>8066</v>
      </c>
      <c r="BO2" t="s">
        <v>8067</v>
      </c>
      <c r="BP2" t="s">
        <v>8068</v>
      </c>
      <c r="BQ2" t="s">
        <v>8069</v>
      </c>
      <c r="BR2" t="s">
        <v>8070</v>
      </c>
      <c r="BS2" t="s">
        <v>8071</v>
      </c>
      <c r="BT2" t="s">
        <v>8072</v>
      </c>
      <c r="BU2" t="s">
        <v>8073</v>
      </c>
      <c r="BV2" t="s">
        <v>8074</v>
      </c>
      <c r="BW2" t="s">
        <v>8075</v>
      </c>
      <c r="BX2" t="s">
        <v>8076</v>
      </c>
      <c r="BY2" t="s">
        <v>8077</v>
      </c>
      <c r="BZ2" t="s">
        <v>8078</v>
      </c>
      <c r="CA2" t="s">
        <v>8079</v>
      </c>
      <c r="CB2" t="s">
        <v>8080</v>
      </c>
      <c r="CD2" t="s">
        <v>1956</v>
      </c>
    </row>
    <row r="3" spans="1:82">
      <c r="A3" t="s">
        <v>8081</v>
      </c>
      <c r="B3" t="s">
        <v>8082</v>
      </c>
      <c r="C3" t="s">
        <v>7995</v>
      </c>
      <c r="D3" t="s">
        <v>1383</v>
      </c>
      <c r="E3" t="s">
        <v>8083</v>
      </c>
      <c r="F3" t="s">
        <v>8084</v>
      </c>
      <c r="G3" t="s">
        <v>8085</v>
      </c>
      <c r="H3" t="s">
        <v>8086</v>
      </c>
      <c r="I3" t="s">
        <v>8087</v>
      </c>
      <c r="J3" t="s">
        <v>8088</v>
      </c>
      <c r="K3" t="s">
        <v>8089</v>
      </c>
      <c r="M3" t="s">
        <v>1980</v>
      </c>
      <c r="N3" t="s">
        <v>2534</v>
      </c>
      <c r="O3" t="s">
        <v>11</v>
      </c>
      <c r="P3" t="s">
        <v>8090</v>
      </c>
      <c r="Q3">
        <v>1</v>
      </c>
      <c r="R3" t="s">
        <v>8091</v>
      </c>
      <c r="S3">
        <v>189.3</v>
      </c>
      <c r="T3">
        <v>183.9</v>
      </c>
      <c r="U3">
        <v>178.5</v>
      </c>
      <c r="V3">
        <v>173.1</v>
      </c>
      <c r="W3">
        <v>167.7</v>
      </c>
      <c r="X3">
        <v>162.19999999999999</v>
      </c>
      <c r="AE3" t="s">
        <v>1979</v>
      </c>
      <c r="AH3">
        <v>0</v>
      </c>
      <c r="AI3" t="s">
        <v>1979</v>
      </c>
      <c r="AJ3" t="s">
        <v>1979</v>
      </c>
      <c r="AK3" t="s">
        <v>1979</v>
      </c>
      <c r="AL3" t="s">
        <v>1979</v>
      </c>
      <c r="AM3" t="s">
        <v>1979</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8092</v>
      </c>
      <c r="BP3">
        <v>183.49</v>
      </c>
      <c r="BQ3" s="591">
        <v>180.89</v>
      </c>
      <c r="BR3" t="s">
        <v>1979</v>
      </c>
      <c r="BS3" t="s">
        <v>8093</v>
      </c>
      <c r="BT3">
        <v>0</v>
      </c>
      <c r="BU3" t="s">
        <v>1992</v>
      </c>
      <c r="BV3">
        <v>0</v>
      </c>
      <c r="BW3">
        <v>172.99</v>
      </c>
      <c r="BX3" t="s">
        <v>1979</v>
      </c>
      <c r="BY3">
        <v>0</v>
      </c>
      <c r="BZ3">
        <v>0</v>
      </c>
      <c r="CA3" t="s">
        <v>1992</v>
      </c>
      <c r="CB3">
        <v>0</v>
      </c>
      <c r="CD3" t="s">
        <v>8094</v>
      </c>
    </row>
    <row r="4" spans="1:82">
      <c r="A4" t="s">
        <v>8081</v>
      </c>
      <c r="B4" t="s">
        <v>8095</v>
      </c>
      <c r="C4" t="s">
        <v>7995</v>
      </c>
      <c r="D4" t="s">
        <v>1383</v>
      </c>
      <c r="E4" t="s">
        <v>8083</v>
      </c>
      <c r="F4" t="s">
        <v>8084</v>
      </c>
      <c r="G4" t="s">
        <v>8096</v>
      </c>
      <c r="H4" t="s">
        <v>8097</v>
      </c>
      <c r="I4" t="s">
        <v>8098</v>
      </c>
      <c r="J4" t="s">
        <v>8099</v>
      </c>
      <c r="K4" t="s">
        <v>8089</v>
      </c>
      <c r="M4" t="s">
        <v>1980</v>
      </c>
      <c r="N4" t="s">
        <v>8100</v>
      </c>
      <c r="O4" t="s">
        <v>11</v>
      </c>
      <c r="P4" t="s">
        <v>8101</v>
      </c>
      <c r="Q4">
        <v>1</v>
      </c>
      <c r="R4" t="s">
        <v>8091</v>
      </c>
      <c r="S4">
        <v>158.4</v>
      </c>
      <c r="T4">
        <v>156.30000000000001</v>
      </c>
      <c r="U4">
        <v>155.6</v>
      </c>
      <c r="V4">
        <v>153.30000000000001</v>
      </c>
      <c r="W4">
        <v>150.30000000000001</v>
      </c>
      <c r="X4">
        <v>147.4</v>
      </c>
      <c r="AH4">
        <v>0</v>
      </c>
      <c r="AK4" t="s">
        <v>1979</v>
      </c>
      <c r="AM4" t="s">
        <v>1979</v>
      </c>
      <c r="BH4">
        <v>0.75</v>
      </c>
      <c r="BI4">
        <v>1.75</v>
      </c>
      <c r="BN4">
        <v>1</v>
      </c>
      <c r="BO4" t="s">
        <v>8092</v>
      </c>
      <c r="BP4">
        <v>154.9</v>
      </c>
      <c r="BQ4" s="591">
        <v>154.4</v>
      </c>
      <c r="BR4" t="s">
        <v>1979</v>
      </c>
      <c r="BS4" t="s">
        <v>8093</v>
      </c>
      <c r="BT4">
        <v>0</v>
      </c>
      <c r="BU4" t="s">
        <v>8093</v>
      </c>
      <c r="BV4">
        <v>0</v>
      </c>
      <c r="BW4">
        <v>159.69</v>
      </c>
      <c r="BX4" t="s">
        <v>1980</v>
      </c>
      <c r="BY4">
        <v>0</v>
      </c>
      <c r="BZ4">
        <v>0</v>
      </c>
      <c r="CA4">
        <v>0</v>
      </c>
      <c r="CB4">
        <v>0</v>
      </c>
      <c r="CD4" t="s">
        <v>8102</v>
      </c>
    </row>
    <row r="5" spans="1:82">
      <c r="A5" t="s">
        <v>8081</v>
      </c>
      <c r="B5" t="s">
        <v>8103</v>
      </c>
      <c r="C5" t="s">
        <v>7995</v>
      </c>
      <c r="D5" t="s">
        <v>1383</v>
      </c>
      <c r="E5" t="s">
        <v>8083</v>
      </c>
      <c r="F5" t="s">
        <v>8084</v>
      </c>
      <c r="G5" t="s">
        <v>8104</v>
      </c>
      <c r="H5" t="s">
        <v>8105</v>
      </c>
      <c r="I5" t="s">
        <v>8106</v>
      </c>
      <c r="J5" t="s">
        <v>8099</v>
      </c>
      <c r="K5" t="s">
        <v>8089</v>
      </c>
      <c r="M5" t="s">
        <v>1980</v>
      </c>
      <c r="N5" t="s">
        <v>8107</v>
      </c>
      <c r="O5" t="s">
        <v>11</v>
      </c>
      <c r="P5" t="s">
        <v>8090</v>
      </c>
      <c r="Q5">
        <v>1</v>
      </c>
      <c r="R5" t="s">
        <v>8091</v>
      </c>
      <c r="S5">
        <v>1114.7</v>
      </c>
      <c r="T5">
        <v>1110.4000000000001</v>
      </c>
      <c r="U5">
        <v>1103.5</v>
      </c>
      <c r="V5">
        <v>1100.8</v>
      </c>
      <c r="W5">
        <v>1068.0999999999999</v>
      </c>
      <c r="X5">
        <v>1067</v>
      </c>
      <c r="AH5">
        <v>0</v>
      </c>
      <c r="AK5" t="s">
        <v>1979</v>
      </c>
      <c r="AM5" t="s">
        <v>1979</v>
      </c>
      <c r="BH5">
        <v>0.59</v>
      </c>
      <c r="BI5">
        <v>1.91</v>
      </c>
      <c r="BN5">
        <v>1</v>
      </c>
      <c r="BO5" t="s">
        <v>8092</v>
      </c>
      <c r="BP5">
        <v>1151.93</v>
      </c>
      <c r="BQ5" s="591">
        <v>1139.08</v>
      </c>
      <c r="BR5" t="s">
        <v>1979</v>
      </c>
      <c r="BS5" t="s">
        <v>8093</v>
      </c>
      <c r="BT5">
        <v>0</v>
      </c>
      <c r="BU5" t="s">
        <v>8093</v>
      </c>
      <c r="BV5">
        <v>0</v>
      </c>
      <c r="BW5">
        <v>1153.02</v>
      </c>
      <c r="BX5" t="s">
        <v>1979</v>
      </c>
      <c r="BY5">
        <v>0</v>
      </c>
      <c r="BZ5">
        <v>0</v>
      </c>
      <c r="CA5">
        <v>0</v>
      </c>
      <c r="CB5">
        <v>0</v>
      </c>
      <c r="CD5" t="s">
        <v>8108</v>
      </c>
    </row>
    <row r="6" spans="1:82">
      <c r="A6" t="s">
        <v>8081</v>
      </c>
      <c r="B6" t="s">
        <v>8109</v>
      </c>
      <c r="C6" t="s">
        <v>7995</v>
      </c>
      <c r="D6" t="s">
        <v>1383</v>
      </c>
      <c r="E6" t="s">
        <v>8083</v>
      </c>
      <c r="F6" t="s">
        <v>8084</v>
      </c>
      <c r="G6" t="s">
        <v>8110</v>
      </c>
      <c r="H6" t="s">
        <v>8111</v>
      </c>
      <c r="I6" t="s">
        <v>8112</v>
      </c>
      <c r="J6" t="s">
        <v>8088</v>
      </c>
      <c r="K6" t="s">
        <v>8089</v>
      </c>
      <c r="N6" t="s">
        <v>8113</v>
      </c>
      <c r="O6" t="s">
        <v>11</v>
      </c>
      <c r="P6" t="s">
        <v>8090</v>
      </c>
      <c r="Q6">
        <v>1</v>
      </c>
      <c r="R6" t="s">
        <v>8091</v>
      </c>
      <c r="S6">
        <v>0</v>
      </c>
      <c r="T6">
        <v>-6.7</v>
      </c>
      <c r="U6">
        <v>-12.5</v>
      </c>
      <c r="V6">
        <v>-14.1</v>
      </c>
      <c r="W6">
        <v>-42.1</v>
      </c>
      <c r="X6">
        <v>-42.1</v>
      </c>
      <c r="AF6" t="s">
        <v>1979</v>
      </c>
      <c r="AH6">
        <v>0</v>
      </c>
      <c r="AI6" t="s">
        <v>1979</v>
      </c>
      <c r="AJ6" t="s">
        <v>1979</v>
      </c>
      <c r="AK6" t="s">
        <v>1979</v>
      </c>
      <c r="AL6" t="s">
        <v>1979</v>
      </c>
      <c r="AM6" t="s">
        <v>1979</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8092</v>
      </c>
      <c r="BP6">
        <v>0</v>
      </c>
      <c r="BQ6" s="591">
        <v>-6.7</v>
      </c>
      <c r="BR6" t="s">
        <v>1979</v>
      </c>
      <c r="BS6" t="s">
        <v>8093</v>
      </c>
      <c r="BT6">
        <v>0</v>
      </c>
      <c r="BU6" t="s">
        <v>8093</v>
      </c>
      <c r="BV6">
        <v>0</v>
      </c>
      <c r="BW6">
        <v>-12.5</v>
      </c>
      <c r="BX6" t="s">
        <v>1979</v>
      </c>
      <c r="BY6">
        <v>0</v>
      </c>
      <c r="BZ6">
        <v>0</v>
      </c>
      <c r="CA6">
        <v>0</v>
      </c>
      <c r="CB6">
        <v>0</v>
      </c>
      <c r="CD6" t="s">
        <v>8114</v>
      </c>
    </row>
    <row r="7" spans="1:82">
      <c r="A7" t="s">
        <v>8081</v>
      </c>
      <c r="B7" t="s">
        <v>8115</v>
      </c>
      <c r="C7" t="s">
        <v>7995</v>
      </c>
      <c r="D7" t="s">
        <v>1383</v>
      </c>
      <c r="E7" t="s">
        <v>8083</v>
      </c>
      <c r="F7" t="s">
        <v>8084</v>
      </c>
      <c r="G7" t="s">
        <v>8116</v>
      </c>
      <c r="H7" t="s">
        <v>8117</v>
      </c>
      <c r="I7" t="s">
        <v>8118</v>
      </c>
      <c r="J7" t="s">
        <v>8119</v>
      </c>
      <c r="N7" t="s">
        <v>8113</v>
      </c>
      <c r="O7" t="s">
        <v>8120</v>
      </c>
      <c r="P7" t="s">
        <v>8120</v>
      </c>
      <c r="Q7" t="s">
        <v>8120</v>
      </c>
      <c r="S7" t="s">
        <v>8120</v>
      </c>
      <c r="T7" t="s">
        <v>8120</v>
      </c>
      <c r="U7" t="s">
        <v>8120</v>
      </c>
      <c r="V7" t="s">
        <v>8120</v>
      </c>
      <c r="W7" t="s">
        <v>8120</v>
      </c>
      <c r="X7" t="s">
        <v>8120</v>
      </c>
      <c r="AG7" t="s">
        <v>1979</v>
      </c>
      <c r="AH7">
        <v>0</v>
      </c>
      <c r="BP7" t="s">
        <v>8093</v>
      </c>
      <c r="BQ7" s="592" t="s">
        <v>8093</v>
      </c>
      <c r="BR7" t="s">
        <v>8093</v>
      </c>
      <c r="BS7" t="s">
        <v>8093</v>
      </c>
      <c r="BT7">
        <v>0</v>
      </c>
      <c r="BU7" t="s">
        <v>8093</v>
      </c>
      <c r="BV7">
        <v>0</v>
      </c>
      <c r="BW7">
        <v>-2.5499999999999998</v>
      </c>
      <c r="BX7" t="s">
        <v>1981</v>
      </c>
      <c r="BY7">
        <v>0</v>
      </c>
      <c r="BZ7">
        <v>0</v>
      </c>
      <c r="CA7">
        <v>0</v>
      </c>
      <c r="CB7">
        <v>0</v>
      </c>
      <c r="CD7" t="s">
        <v>8121</v>
      </c>
    </row>
    <row r="8" spans="1:82">
      <c r="A8" t="s">
        <v>8081</v>
      </c>
      <c r="B8" t="s">
        <v>8122</v>
      </c>
      <c r="C8" t="s">
        <v>7995</v>
      </c>
      <c r="D8" t="s">
        <v>1383</v>
      </c>
      <c r="E8" t="s">
        <v>8083</v>
      </c>
      <c r="F8" t="s">
        <v>8123</v>
      </c>
      <c r="G8" t="s">
        <v>8124</v>
      </c>
      <c r="H8" t="s">
        <v>8125</v>
      </c>
      <c r="I8" t="s">
        <v>8126</v>
      </c>
      <c r="J8" t="s">
        <v>8099</v>
      </c>
      <c r="K8" t="s">
        <v>8089</v>
      </c>
      <c r="M8" t="s">
        <v>1980</v>
      </c>
      <c r="N8" t="s">
        <v>8127</v>
      </c>
      <c r="O8" t="s">
        <v>10</v>
      </c>
      <c r="P8" t="s">
        <v>8128</v>
      </c>
      <c r="Q8">
        <v>2</v>
      </c>
      <c r="R8" t="s">
        <v>8129</v>
      </c>
      <c r="S8">
        <v>99.95</v>
      </c>
      <c r="T8">
        <v>99.95</v>
      </c>
      <c r="U8">
        <v>99.95</v>
      </c>
      <c r="V8">
        <v>99.95</v>
      </c>
      <c r="W8">
        <v>99.95</v>
      </c>
      <c r="X8">
        <v>99.95</v>
      </c>
      <c r="Y8" t="s">
        <v>1979</v>
      </c>
      <c r="AE8" t="s">
        <v>1979</v>
      </c>
      <c r="AH8">
        <v>0</v>
      </c>
      <c r="AI8" t="s">
        <v>1979</v>
      </c>
      <c r="AJ8" t="s">
        <v>1979</v>
      </c>
      <c r="AK8" t="s">
        <v>1979</v>
      </c>
      <c r="AL8" t="s">
        <v>1979</v>
      </c>
      <c r="AM8" t="s">
        <v>1979</v>
      </c>
      <c r="BH8">
        <v>0.72</v>
      </c>
      <c r="BN8">
        <v>1</v>
      </c>
      <c r="BO8" t="s">
        <v>8092</v>
      </c>
      <c r="BP8">
        <v>99.97</v>
      </c>
      <c r="BQ8" s="593">
        <v>99.99</v>
      </c>
      <c r="BR8" t="s">
        <v>1979</v>
      </c>
      <c r="BS8" t="s">
        <v>8093</v>
      </c>
      <c r="BT8">
        <v>0</v>
      </c>
      <c r="BU8" t="s">
        <v>8093</v>
      </c>
      <c r="BV8">
        <v>0</v>
      </c>
      <c r="BW8">
        <v>99.96</v>
      </c>
      <c r="BX8" t="s">
        <v>1979</v>
      </c>
      <c r="BY8">
        <v>0</v>
      </c>
      <c r="BZ8">
        <v>0</v>
      </c>
      <c r="CA8">
        <v>0</v>
      </c>
      <c r="CB8">
        <v>0</v>
      </c>
      <c r="CD8" t="s">
        <v>8130</v>
      </c>
    </row>
    <row r="9" spans="1:82">
      <c r="A9" t="s">
        <v>8081</v>
      </c>
      <c r="B9" t="s">
        <v>8131</v>
      </c>
      <c r="C9" t="s">
        <v>7995</v>
      </c>
      <c r="D9" t="s">
        <v>1383</v>
      </c>
      <c r="E9" t="s">
        <v>8083</v>
      </c>
      <c r="F9" t="s">
        <v>8123</v>
      </c>
      <c r="G9" t="s">
        <v>8132</v>
      </c>
      <c r="H9" t="s">
        <v>8133</v>
      </c>
      <c r="I9" t="s">
        <v>8134</v>
      </c>
      <c r="J9" t="s">
        <v>8099</v>
      </c>
      <c r="K9" t="s">
        <v>8089</v>
      </c>
      <c r="N9" t="s">
        <v>8055</v>
      </c>
      <c r="O9" t="s">
        <v>11</v>
      </c>
      <c r="P9" t="s">
        <v>8135</v>
      </c>
      <c r="Q9">
        <v>2</v>
      </c>
      <c r="R9" t="s">
        <v>8091</v>
      </c>
      <c r="S9">
        <v>0.66</v>
      </c>
      <c r="T9">
        <v>0.66</v>
      </c>
      <c r="U9">
        <v>0.66</v>
      </c>
      <c r="V9">
        <v>0.66</v>
      </c>
      <c r="W9">
        <v>0.66</v>
      </c>
      <c r="X9">
        <v>0.66</v>
      </c>
      <c r="Z9" t="s">
        <v>1979</v>
      </c>
      <c r="AE9" t="s">
        <v>1979</v>
      </c>
      <c r="AH9">
        <v>0</v>
      </c>
      <c r="AI9" t="s">
        <v>1979</v>
      </c>
      <c r="AJ9" t="s">
        <v>1979</v>
      </c>
      <c r="AK9" t="s">
        <v>1979</v>
      </c>
      <c r="AL9" t="s">
        <v>1979</v>
      </c>
      <c r="AM9" t="s">
        <v>1979</v>
      </c>
      <c r="AN9">
        <v>1.3</v>
      </c>
      <c r="AO9">
        <v>1.3</v>
      </c>
      <c r="AP9">
        <v>1.3</v>
      </c>
      <c r="AQ9">
        <v>1.3</v>
      </c>
      <c r="AR9">
        <v>1.3</v>
      </c>
      <c r="AS9">
        <v>0.66</v>
      </c>
      <c r="AT9">
        <v>0.66</v>
      </c>
      <c r="AU9">
        <v>0.66</v>
      </c>
      <c r="AV9">
        <v>0.66</v>
      </c>
      <c r="AW9">
        <v>0.66</v>
      </c>
      <c r="BH9">
        <v>0.438</v>
      </c>
      <c r="BN9">
        <v>1</v>
      </c>
      <c r="BO9" t="s">
        <v>8092</v>
      </c>
      <c r="BP9">
        <v>0.34</v>
      </c>
      <c r="BQ9" s="593">
        <v>0.31</v>
      </c>
      <c r="BR9" t="s">
        <v>1979</v>
      </c>
      <c r="BS9" t="s">
        <v>8093</v>
      </c>
      <c r="BT9">
        <v>0</v>
      </c>
      <c r="BU9" t="s">
        <v>8093</v>
      </c>
      <c r="BV9">
        <v>0</v>
      </c>
      <c r="BW9">
        <v>0.28000000000000003</v>
      </c>
      <c r="BX9" t="s">
        <v>1979</v>
      </c>
      <c r="BY9">
        <v>0</v>
      </c>
      <c r="BZ9">
        <v>0</v>
      </c>
      <c r="CA9">
        <v>0</v>
      </c>
      <c r="CB9">
        <v>0</v>
      </c>
      <c r="CD9" t="s">
        <v>8136</v>
      </c>
    </row>
    <row r="10" spans="1:82">
      <c r="A10" t="s">
        <v>8081</v>
      </c>
      <c r="B10" t="s">
        <v>8137</v>
      </c>
      <c r="C10" t="s">
        <v>7995</v>
      </c>
      <c r="D10" t="s">
        <v>1383</v>
      </c>
      <c r="E10" t="s">
        <v>8083</v>
      </c>
      <c r="F10" t="s">
        <v>8138</v>
      </c>
      <c r="G10" t="s">
        <v>8139</v>
      </c>
      <c r="H10" t="s">
        <v>8140</v>
      </c>
      <c r="I10" t="s">
        <v>8141</v>
      </c>
      <c r="J10" t="s">
        <v>8088</v>
      </c>
      <c r="K10" t="s">
        <v>8089</v>
      </c>
      <c r="N10" t="s">
        <v>2556</v>
      </c>
      <c r="O10" t="s">
        <v>11</v>
      </c>
      <c r="P10" t="s">
        <v>8142</v>
      </c>
      <c r="Q10">
        <v>0</v>
      </c>
      <c r="R10" t="s">
        <v>8091</v>
      </c>
      <c r="S10">
        <v>320</v>
      </c>
      <c r="T10">
        <v>320</v>
      </c>
      <c r="U10">
        <v>320</v>
      </c>
      <c r="V10">
        <v>320</v>
      </c>
      <c r="W10">
        <v>320</v>
      </c>
      <c r="X10">
        <v>320</v>
      </c>
      <c r="AE10" t="s">
        <v>1979</v>
      </c>
      <c r="AH10">
        <v>0</v>
      </c>
      <c r="AI10" t="s">
        <v>1979</v>
      </c>
      <c r="AJ10" t="s">
        <v>1979</v>
      </c>
      <c r="AK10" t="s">
        <v>1979</v>
      </c>
      <c r="AL10" t="s">
        <v>1979</v>
      </c>
      <c r="AM10" t="s">
        <v>1979</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8092</v>
      </c>
      <c r="BP10">
        <v>1687</v>
      </c>
      <c r="BQ10" s="593">
        <v>1771</v>
      </c>
      <c r="BR10" t="s">
        <v>1980</v>
      </c>
      <c r="BS10" t="s">
        <v>8093</v>
      </c>
      <c r="BT10">
        <v>0</v>
      </c>
      <c r="BU10" t="s">
        <v>1983</v>
      </c>
      <c r="BV10">
        <v>-1.6375500000000001</v>
      </c>
      <c r="BW10">
        <v>1840</v>
      </c>
      <c r="BX10" t="s">
        <v>1980</v>
      </c>
      <c r="BY10">
        <v>0</v>
      </c>
      <c r="BZ10">
        <v>0</v>
      </c>
      <c r="CA10" t="s">
        <v>1983</v>
      </c>
      <c r="CB10">
        <v>-1.6375999999999999</v>
      </c>
      <c r="CD10" t="s">
        <v>8143</v>
      </c>
    </row>
    <row r="11" spans="1:82">
      <c r="A11" t="s">
        <v>8081</v>
      </c>
      <c r="B11" t="s">
        <v>8144</v>
      </c>
      <c r="C11" t="s">
        <v>7995</v>
      </c>
      <c r="D11" t="s">
        <v>1383</v>
      </c>
      <c r="E11" t="s">
        <v>8083</v>
      </c>
      <c r="F11" t="s">
        <v>8138</v>
      </c>
      <c r="G11" t="s">
        <v>8145</v>
      </c>
      <c r="H11" t="s">
        <v>8146</v>
      </c>
      <c r="I11" t="s">
        <v>8147</v>
      </c>
      <c r="J11" t="s">
        <v>8099</v>
      </c>
      <c r="K11" t="s">
        <v>8089</v>
      </c>
      <c r="N11" t="s">
        <v>8148</v>
      </c>
      <c r="O11" t="s">
        <v>11</v>
      </c>
      <c r="P11" t="s">
        <v>8149</v>
      </c>
      <c r="Q11">
        <v>0</v>
      </c>
      <c r="R11" t="s">
        <v>8091</v>
      </c>
      <c r="S11">
        <v>3100</v>
      </c>
      <c r="T11">
        <v>3100</v>
      </c>
      <c r="U11">
        <v>3100</v>
      </c>
      <c r="V11">
        <v>3100</v>
      </c>
      <c r="W11">
        <v>3100</v>
      </c>
      <c r="X11">
        <v>3100</v>
      </c>
      <c r="AE11" t="s">
        <v>1979</v>
      </c>
      <c r="AH11">
        <v>0</v>
      </c>
      <c r="AI11" t="s">
        <v>1979</v>
      </c>
      <c r="AJ11" t="s">
        <v>1979</v>
      </c>
      <c r="AK11" t="s">
        <v>1979</v>
      </c>
      <c r="AL11" t="s">
        <v>1979</v>
      </c>
      <c r="AM11" t="s">
        <v>1979</v>
      </c>
      <c r="AN11">
        <v>4350</v>
      </c>
      <c r="AO11">
        <v>4350</v>
      </c>
      <c r="AP11">
        <v>4350</v>
      </c>
      <c r="AQ11">
        <v>4350</v>
      </c>
      <c r="AR11">
        <v>4350</v>
      </c>
      <c r="AS11">
        <v>3500</v>
      </c>
      <c r="AT11">
        <v>3500</v>
      </c>
      <c r="AU11">
        <v>3500</v>
      </c>
      <c r="AV11">
        <v>3500</v>
      </c>
      <c r="AW11">
        <v>3500</v>
      </c>
      <c r="BH11">
        <v>2.6649999999999998E-3</v>
      </c>
      <c r="BN11">
        <v>1</v>
      </c>
      <c r="BO11" t="s">
        <v>8092</v>
      </c>
      <c r="BP11">
        <v>2414</v>
      </c>
      <c r="BQ11" s="594">
        <v>2201</v>
      </c>
      <c r="BR11" t="s">
        <v>1979</v>
      </c>
      <c r="BS11" t="s">
        <v>8093</v>
      </c>
      <c r="BT11">
        <v>0</v>
      </c>
      <c r="BU11" t="s">
        <v>8093</v>
      </c>
      <c r="BV11">
        <v>0</v>
      </c>
      <c r="BW11">
        <v>3077</v>
      </c>
      <c r="BX11" t="s">
        <v>1979</v>
      </c>
      <c r="BY11">
        <v>0</v>
      </c>
      <c r="BZ11">
        <v>0</v>
      </c>
      <c r="CA11">
        <v>0</v>
      </c>
      <c r="CB11">
        <v>0</v>
      </c>
      <c r="CD11" t="s">
        <v>8150</v>
      </c>
    </row>
    <row r="12" spans="1:82">
      <c r="A12" t="s">
        <v>8081</v>
      </c>
      <c r="B12" t="s">
        <v>8151</v>
      </c>
      <c r="C12" t="s">
        <v>7995</v>
      </c>
      <c r="D12" t="s">
        <v>1383</v>
      </c>
      <c r="E12" t="s">
        <v>8083</v>
      </c>
      <c r="F12" t="s">
        <v>8138</v>
      </c>
      <c r="G12" t="s">
        <v>8152</v>
      </c>
      <c r="H12" t="s">
        <v>8153</v>
      </c>
      <c r="I12" t="s">
        <v>8154</v>
      </c>
      <c r="J12" t="s">
        <v>8119</v>
      </c>
      <c r="N12" t="s">
        <v>2556</v>
      </c>
      <c r="O12" t="s">
        <v>11</v>
      </c>
      <c r="P12" t="s">
        <v>8155</v>
      </c>
      <c r="Q12">
        <v>0</v>
      </c>
      <c r="R12" t="s">
        <v>8091</v>
      </c>
      <c r="S12">
        <v>110</v>
      </c>
      <c r="T12">
        <v>110</v>
      </c>
      <c r="U12">
        <v>110</v>
      </c>
      <c r="V12">
        <v>110</v>
      </c>
      <c r="W12">
        <v>110</v>
      </c>
      <c r="X12">
        <v>110</v>
      </c>
      <c r="AE12" t="s">
        <v>1979</v>
      </c>
      <c r="AH12">
        <v>0</v>
      </c>
      <c r="BP12">
        <v>378</v>
      </c>
      <c r="BQ12" s="593">
        <v>400</v>
      </c>
      <c r="BR12" t="s">
        <v>1980</v>
      </c>
      <c r="BS12" t="s">
        <v>8093</v>
      </c>
      <c r="BT12">
        <v>0</v>
      </c>
      <c r="BU12" t="s">
        <v>8093</v>
      </c>
      <c r="BV12">
        <v>0</v>
      </c>
      <c r="BW12">
        <v>111</v>
      </c>
      <c r="BX12" t="s">
        <v>1980</v>
      </c>
      <c r="BY12">
        <v>0</v>
      </c>
      <c r="BZ12">
        <v>0</v>
      </c>
      <c r="CA12">
        <v>0</v>
      </c>
      <c r="CB12">
        <v>0</v>
      </c>
      <c r="CD12" t="s">
        <v>8156</v>
      </c>
    </row>
    <row r="13" spans="1:82">
      <c r="A13" t="s">
        <v>8081</v>
      </c>
      <c r="B13" t="s">
        <v>8157</v>
      </c>
      <c r="C13" t="s">
        <v>7995</v>
      </c>
      <c r="D13" t="s">
        <v>1383</v>
      </c>
      <c r="E13" t="s">
        <v>8083</v>
      </c>
      <c r="F13" t="s">
        <v>8138</v>
      </c>
      <c r="G13" t="s">
        <v>8158</v>
      </c>
      <c r="H13" t="s">
        <v>8159</v>
      </c>
      <c r="I13" t="s">
        <v>8160</v>
      </c>
      <c r="J13" t="s">
        <v>8119</v>
      </c>
      <c r="N13" t="s">
        <v>2556</v>
      </c>
      <c r="O13" t="s">
        <v>11</v>
      </c>
      <c r="P13" t="s">
        <v>8155</v>
      </c>
      <c r="Q13">
        <v>0</v>
      </c>
      <c r="R13" t="s">
        <v>8091</v>
      </c>
      <c r="S13">
        <v>550</v>
      </c>
      <c r="T13">
        <v>550</v>
      </c>
      <c r="U13">
        <v>550</v>
      </c>
      <c r="V13">
        <v>550</v>
      </c>
      <c r="W13">
        <v>550</v>
      </c>
      <c r="X13">
        <v>550</v>
      </c>
      <c r="AE13" t="s">
        <v>1979</v>
      </c>
      <c r="AH13">
        <v>0</v>
      </c>
      <c r="BP13">
        <v>495</v>
      </c>
      <c r="BQ13" s="593">
        <v>266</v>
      </c>
      <c r="BR13" t="s">
        <v>1979</v>
      </c>
      <c r="BS13" t="s">
        <v>8093</v>
      </c>
      <c r="BT13">
        <v>0</v>
      </c>
      <c r="BU13" t="s">
        <v>8093</v>
      </c>
      <c r="BV13">
        <v>0</v>
      </c>
      <c r="BW13">
        <v>436</v>
      </c>
      <c r="BX13" t="s">
        <v>1979</v>
      </c>
      <c r="BY13">
        <v>0</v>
      </c>
      <c r="BZ13">
        <v>0</v>
      </c>
      <c r="CA13">
        <v>0</v>
      </c>
      <c r="CB13">
        <v>0</v>
      </c>
      <c r="CD13" t="s">
        <v>8161</v>
      </c>
    </row>
    <row r="14" spans="1:82">
      <c r="A14" t="s">
        <v>8081</v>
      </c>
      <c r="B14" t="s">
        <v>8162</v>
      </c>
      <c r="C14" t="s">
        <v>7995</v>
      </c>
      <c r="D14" t="s">
        <v>8163</v>
      </c>
      <c r="E14" t="s">
        <v>8164</v>
      </c>
      <c r="F14" t="s">
        <v>8165</v>
      </c>
      <c r="G14" t="s">
        <v>8166</v>
      </c>
      <c r="H14" t="s">
        <v>8167</v>
      </c>
      <c r="I14" t="s">
        <v>8168</v>
      </c>
      <c r="J14" t="s">
        <v>8088</v>
      </c>
      <c r="K14" t="s">
        <v>8089</v>
      </c>
      <c r="M14" t="s">
        <v>1980</v>
      </c>
      <c r="N14" t="s">
        <v>8169</v>
      </c>
      <c r="O14" t="s">
        <v>8170</v>
      </c>
      <c r="P14" t="s">
        <v>8171</v>
      </c>
      <c r="Q14">
        <v>2</v>
      </c>
      <c r="R14" t="s">
        <v>8129</v>
      </c>
      <c r="S14" t="s">
        <v>8120</v>
      </c>
      <c r="T14" t="s">
        <v>8120</v>
      </c>
      <c r="U14" t="s">
        <v>8120</v>
      </c>
      <c r="V14" t="s">
        <v>8120</v>
      </c>
      <c r="W14" t="s">
        <v>8120</v>
      </c>
      <c r="X14" t="s">
        <v>8120</v>
      </c>
      <c r="AH14">
        <v>0</v>
      </c>
      <c r="AI14" t="s">
        <v>1979</v>
      </c>
      <c r="AJ14" t="s">
        <v>1979</v>
      </c>
      <c r="AK14" t="s">
        <v>1979</v>
      </c>
      <c r="AL14" t="s">
        <v>1979</v>
      </c>
      <c r="AM14" t="s">
        <v>1979</v>
      </c>
      <c r="AN14" t="s">
        <v>8172</v>
      </c>
      <c r="AO14" t="s">
        <v>8172</v>
      </c>
      <c r="AP14" t="s">
        <v>8172</v>
      </c>
      <c r="AQ14" t="s">
        <v>8172</v>
      </c>
      <c r="AR14" t="s">
        <v>8172</v>
      </c>
      <c r="AS14" t="s">
        <v>8172</v>
      </c>
      <c r="AT14" t="s">
        <v>8172</v>
      </c>
      <c r="AU14" t="s">
        <v>8172</v>
      </c>
      <c r="AV14" t="s">
        <v>8172</v>
      </c>
      <c r="AW14" t="s">
        <v>8172</v>
      </c>
      <c r="AX14" t="s">
        <v>8172</v>
      </c>
      <c r="AY14" t="s">
        <v>8172</v>
      </c>
      <c r="AZ14" t="s">
        <v>8172</v>
      </c>
      <c r="BA14" t="s">
        <v>8172</v>
      </c>
      <c r="BB14" t="s">
        <v>8172</v>
      </c>
      <c r="BC14" t="s">
        <v>8172</v>
      </c>
      <c r="BD14" t="s">
        <v>8172</v>
      </c>
      <c r="BE14" t="s">
        <v>8172</v>
      </c>
      <c r="BF14" t="s">
        <v>8172</v>
      </c>
      <c r="BG14" t="s">
        <v>8172</v>
      </c>
      <c r="BH14" t="s">
        <v>8172</v>
      </c>
      <c r="BL14" t="s">
        <v>8172</v>
      </c>
      <c r="BN14">
        <v>1</v>
      </c>
      <c r="BO14" t="s">
        <v>8092</v>
      </c>
      <c r="BP14" t="s">
        <v>8093</v>
      </c>
      <c r="BQ14" s="592">
        <v>76.7</v>
      </c>
      <c r="BR14" t="s">
        <v>8093</v>
      </c>
      <c r="BS14" t="s">
        <v>8093</v>
      </c>
      <c r="BT14">
        <v>0</v>
      </c>
      <c r="BU14" t="s">
        <v>8093</v>
      </c>
      <c r="BV14">
        <v>0</v>
      </c>
      <c r="BW14">
        <v>78.510000000000005</v>
      </c>
      <c r="BX14" t="s">
        <v>1981</v>
      </c>
      <c r="BY14">
        <v>0</v>
      </c>
      <c r="BZ14">
        <v>0</v>
      </c>
      <c r="CA14">
        <v>0</v>
      </c>
      <c r="CB14">
        <v>0</v>
      </c>
      <c r="CD14" t="s">
        <v>8173</v>
      </c>
    </row>
    <row r="15" spans="1:82">
      <c r="A15" t="s">
        <v>8081</v>
      </c>
      <c r="B15" t="s">
        <v>8174</v>
      </c>
      <c r="C15" t="s">
        <v>7995</v>
      </c>
      <c r="D15" t="s">
        <v>8163</v>
      </c>
      <c r="E15" t="s">
        <v>8164</v>
      </c>
      <c r="F15" t="s">
        <v>8165</v>
      </c>
      <c r="G15" t="s">
        <v>8175</v>
      </c>
      <c r="H15" t="s">
        <v>8176</v>
      </c>
      <c r="I15" t="s">
        <v>8177</v>
      </c>
      <c r="J15" t="s">
        <v>8119</v>
      </c>
      <c r="N15" t="s">
        <v>8178</v>
      </c>
      <c r="O15" t="s">
        <v>8170</v>
      </c>
      <c r="P15" t="s">
        <v>8179</v>
      </c>
      <c r="Q15">
        <v>1</v>
      </c>
      <c r="R15" t="s">
        <v>8129</v>
      </c>
      <c r="S15" t="s">
        <v>8120</v>
      </c>
      <c r="T15" t="s">
        <v>8120</v>
      </c>
      <c r="U15" t="s">
        <v>8120</v>
      </c>
      <c r="V15" t="s">
        <v>8120</v>
      </c>
      <c r="W15" t="s">
        <v>8120</v>
      </c>
      <c r="X15" t="s">
        <v>8120</v>
      </c>
      <c r="AH15">
        <v>0</v>
      </c>
      <c r="BP15" t="s">
        <v>8093</v>
      </c>
      <c r="BQ15" s="592" t="s">
        <v>8180</v>
      </c>
      <c r="BR15" t="s">
        <v>8093</v>
      </c>
      <c r="BS15" t="s">
        <v>8093</v>
      </c>
      <c r="BT15">
        <v>0</v>
      </c>
      <c r="BU15" t="s">
        <v>8093</v>
      </c>
      <c r="BV15">
        <v>0</v>
      </c>
      <c r="BW15">
        <v>69.599999999999994</v>
      </c>
      <c r="BX15" t="s">
        <v>1981</v>
      </c>
      <c r="BY15">
        <v>0</v>
      </c>
      <c r="BZ15">
        <v>0</v>
      </c>
      <c r="CA15">
        <v>0</v>
      </c>
      <c r="CB15">
        <v>0</v>
      </c>
      <c r="CD15" t="s">
        <v>8181</v>
      </c>
    </row>
    <row r="16" spans="1:82">
      <c r="A16" t="s">
        <v>7961</v>
      </c>
      <c r="B16" t="s">
        <v>8182</v>
      </c>
      <c r="C16" t="s">
        <v>7958</v>
      </c>
      <c r="D16" t="s">
        <v>1383</v>
      </c>
      <c r="E16" t="s">
        <v>8083</v>
      </c>
      <c r="F16" t="s">
        <v>8183</v>
      </c>
      <c r="G16" t="s">
        <v>8096</v>
      </c>
      <c r="H16" t="s">
        <v>8184</v>
      </c>
      <c r="I16" t="s">
        <v>8185</v>
      </c>
      <c r="J16" t="s">
        <v>8088</v>
      </c>
      <c r="K16" t="s">
        <v>8089</v>
      </c>
      <c r="N16" t="s">
        <v>2556</v>
      </c>
      <c r="O16" t="s">
        <v>8186</v>
      </c>
      <c r="P16" t="s">
        <v>8187</v>
      </c>
      <c r="Q16">
        <v>2</v>
      </c>
      <c r="R16" t="s">
        <v>8091</v>
      </c>
      <c r="S16">
        <v>19.36</v>
      </c>
      <c r="T16">
        <v>16.899999999999999</v>
      </c>
      <c r="U16">
        <v>14.5</v>
      </c>
      <c r="V16">
        <v>12</v>
      </c>
      <c r="W16">
        <v>12</v>
      </c>
      <c r="X16">
        <v>12</v>
      </c>
      <c r="AA16" t="s">
        <v>1979</v>
      </c>
      <c r="AE16" t="s">
        <v>1979</v>
      </c>
      <c r="AH16">
        <v>0</v>
      </c>
      <c r="AI16" t="s">
        <v>1979</v>
      </c>
      <c r="AJ16" t="s">
        <v>1979</v>
      </c>
      <c r="AK16" t="s">
        <v>1979</v>
      </c>
      <c r="AL16" t="s">
        <v>1979</v>
      </c>
      <c r="AM16" t="s">
        <v>1979</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8092</v>
      </c>
      <c r="BP16">
        <v>19.167000000000002</v>
      </c>
      <c r="BQ16" s="595">
        <v>8.1999999999999993</v>
      </c>
      <c r="BR16" t="s">
        <v>1979</v>
      </c>
      <c r="BS16" t="s">
        <v>8093</v>
      </c>
      <c r="BT16">
        <v>0</v>
      </c>
      <c r="BU16" t="s">
        <v>1988</v>
      </c>
      <c r="BV16">
        <v>5.6719999999999997</v>
      </c>
      <c r="BW16">
        <v>11.72</v>
      </c>
      <c r="BX16" t="s">
        <v>1979</v>
      </c>
      <c r="BY16">
        <v>0</v>
      </c>
      <c r="BZ16">
        <v>0</v>
      </c>
      <c r="CA16" t="s">
        <v>1988</v>
      </c>
      <c r="CB16">
        <v>0.79410000000000003</v>
      </c>
      <c r="CD16" t="s">
        <v>8188</v>
      </c>
    </row>
    <row r="17" spans="1:82">
      <c r="A17" t="s">
        <v>7961</v>
      </c>
      <c r="B17" t="s">
        <v>8189</v>
      </c>
      <c r="C17" t="s">
        <v>7958</v>
      </c>
      <c r="D17" t="s">
        <v>1383</v>
      </c>
      <c r="E17" t="s">
        <v>8083</v>
      </c>
      <c r="F17" t="s">
        <v>8183</v>
      </c>
      <c r="G17" t="s">
        <v>8104</v>
      </c>
      <c r="H17" t="s">
        <v>8190</v>
      </c>
      <c r="I17" t="s">
        <v>8191</v>
      </c>
      <c r="J17" t="s">
        <v>8088</v>
      </c>
      <c r="K17" t="s">
        <v>8089</v>
      </c>
      <c r="M17" t="s">
        <v>1980</v>
      </c>
      <c r="N17" t="s">
        <v>8192</v>
      </c>
      <c r="O17" t="s">
        <v>11</v>
      </c>
      <c r="P17" t="s">
        <v>8142</v>
      </c>
      <c r="Q17">
        <v>0</v>
      </c>
      <c r="R17" t="s">
        <v>8091</v>
      </c>
      <c r="S17">
        <v>517</v>
      </c>
      <c r="V17">
        <v>361</v>
      </c>
      <c r="X17">
        <v>257</v>
      </c>
      <c r="AE17" t="s">
        <v>1979</v>
      </c>
      <c r="AH17">
        <v>0</v>
      </c>
      <c r="AK17" t="s">
        <v>1979</v>
      </c>
      <c r="AM17" t="s">
        <v>1979</v>
      </c>
      <c r="AP17">
        <v>441</v>
      </c>
      <c r="AR17">
        <v>337</v>
      </c>
      <c r="AU17">
        <v>366</v>
      </c>
      <c r="AW17">
        <v>262</v>
      </c>
      <c r="BB17">
        <v>230</v>
      </c>
      <c r="BG17">
        <v>150</v>
      </c>
      <c r="BH17">
        <v>0.03</v>
      </c>
      <c r="BL17">
        <v>1.4999999999999999E-2</v>
      </c>
      <c r="BN17">
        <v>1</v>
      </c>
      <c r="BO17" t="s">
        <v>8092</v>
      </c>
      <c r="BP17">
        <v>505</v>
      </c>
      <c r="BQ17" s="596">
        <v>462</v>
      </c>
      <c r="BR17" t="s">
        <v>8093</v>
      </c>
      <c r="BS17" t="s">
        <v>8093</v>
      </c>
      <c r="BT17">
        <v>0</v>
      </c>
      <c r="BU17" t="s">
        <v>8093</v>
      </c>
      <c r="BV17">
        <v>0</v>
      </c>
      <c r="BW17">
        <v>460</v>
      </c>
      <c r="BX17" t="s">
        <v>1981</v>
      </c>
      <c r="BY17">
        <v>0</v>
      </c>
      <c r="BZ17">
        <v>0</v>
      </c>
      <c r="CA17">
        <v>0</v>
      </c>
      <c r="CB17">
        <v>0</v>
      </c>
      <c r="CD17" t="s">
        <v>8193</v>
      </c>
    </row>
    <row r="18" spans="1:82">
      <c r="A18" t="s">
        <v>7961</v>
      </c>
      <c r="B18" t="s">
        <v>8194</v>
      </c>
      <c r="C18" t="s">
        <v>7958</v>
      </c>
      <c r="D18" t="s">
        <v>1383</v>
      </c>
      <c r="E18" t="s">
        <v>8083</v>
      </c>
      <c r="F18" t="s">
        <v>8183</v>
      </c>
      <c r="G18" t="s">
        <v>8110</v>
      </c>
      <c r="H18" t="s">
        <v>8195</v>
      </c>
      <c r="I18" t="s">
        <v>8196</v>
      </c>
      <c r="J18" t="s">
        <v>8088</v>
      </c>
      <c r="K18" t="s">
        <v>8089</v>
      </c>
      <c r="N18" t="s">
        <v>8055</v>
      </c>
      <c r="O18" t="s">
        <v>11</v>
      </c>
      <c r="P18" t="s">
        <v>8135</v>
      </c>
      <c r="Q18">
        <v>2</v>
      </c>
      <c r="R18" t="s">
        <v>8091</v>
      </c>
      <c r="S18">
        <v>1.51</v>
      </c>
      <c r="T18">
        <v>1.42</v>
      </c>
      <c r="U18">
        <v>1.32</v>
      </c>
      <c r="V18">
        <v>1.23</v>
      </c>
      <c r="W18">
        <v>1.23</v>
      </c>
      <c r="X18">
        <v>1.23</v>
      </c>
      <c r="Z18" t="s">
        <v>1979</v>
      </c>
      <c r="AE18" t="s">
        <v>1979</v>
      </c>
      <c r="AH18">
        <v>0</v>
      </c>
      <c r="AI18" t="s">
        <v>1979</v>
      </c>
      <c r="AJ18" t="s">
        <v>1979</v>
      </c>
      <c r="AK18" t="s">
        <v>1979</v>
      </c>
      <c r="AL18" t="s">
        <v>1979</v>
      </c>
      <c r="AM18" t="s">
        <v>1979</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8092</v>
      </c>
      <c r="BP18">
        <v>1.48</v>
      </c>
      <c r="BQ18" s="597">
        <v>1.38</v>
      </c>
      <c r="BR18" t="s">
        <v>1979</v>
      </c>
      <c r="BS18" t="s">
        <v>8093</v>
      </c>
      <c r="BT18">
        <v>0</v>
      </c>
      <c r="BU18" t="s">
        <v>1992</v>
      </c>
      <c r="BV18">
        <v>0</v>
      </c>
      <c r="BW18">
        <v>1.38</v>
      </c>
      <c r="BX18" t="s">
        <v>1980</v>
      </c>
      <c r="BY18">
        <v>0</v>
      </c>
      <c r="BZ18">
        <v>0</v>
      </c>
      <c r="CA18" t="s">
        <v>1985</v>
      </c>
      <c r="CB18">
        <v>0</v>
      </c>
      <c r="CD18" t="s">
        <v>8197</v>
      </c>
    </row>
    <row r="19" spans="1:82">
      <c r="A19" t="s">
        <v>7961</v>
      </c>
      <c r="B19" t="s">
        <v>8198</v>
      </c>
      <c r="C19" t="s">
        <v>7958</v>
      </c>
      <c r="D19" t="s">
        <v>1383</v>
      </c>
      <c r="E19" t="s">
        <v>8083</v>
      </c>
      <c r="F19" t="s">
        <v>8199</v>
      </c>
      <c r="G19" t="s">
        <v>8124</v>
      </c>
      <c r="H19" t="s">
        <v>8200</v>
      </c>
      <c r="I19" t="s">
        <v>8201</v>
      </c>
      <c r="J19" t="s">
        <v>8088</v>
      </c>
      <c r="K19" t="s">
        <v>8089</v>
      </c>
      <c r="N19" t="s">
        <v>8178</v>
      </c>
      <c r="O19" t="s">
        <v>10</v>
      </c>
      <c r="P19" t="s">
        <v>8202</v>
      </c>
      <c r="Q19">
        <v>0</v>
      </c>
      <c r="R19" t="s">
        <v>8129</v>
      </c>
      <c r="S19">
        <v>0</v>
      </c>
      <c r="T19">
        <v>0</v>
      </c>
      <c r="U19">
        <v>0</v>
      </c>
      <c r="V19">
        <v>0</v>
      </c>
      <c r="W19">
        <v>0</v>
      </c>
      <c r="X19">
        <v>0</v>
      </c>
      <c r="AH19">
        <v>0</v>
      </c>
      <c r="AI19" t="s">
        <v>1979</v>
      </c>
      <c r="AJ19" t="s">
        <v>1979</v>
      </c>
      <c r="AK19" t="s">
        <v>1979</v>
      </c>
      <c r="AL19" t="s">
        <v>1979</v>
      </c>
      <c r="AM19" t="s">
        <v>1979</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8092</v>
      </c>
      <c r="BP19">
        <v>1</v>
      </c>
      <c r="BQ19" s="596">
        <v>3</v>
      </c>
      <c r="BR19" t="s">
        <v>1979</v>
      </c>
      <c r="BS19" t="s">
        <v>8093</v>
      </c>
      <c r="BT19">
        <v>0</v>
      </c>
      <c r="BU19" t="s">
        <v>1988</v>
      </c>
      <c r="BV19">
        <v>7.4999999999999997E-2</v>
      </c>
      <c r="BW19">
        <v>0</v>
      </c>
      <c r="BX19" t="s">
        <v>1979</v>
      </c>
      <c r="BY19">
        <v>0</v>
      </c>
      <c r="BZ19">
        <v>0</v>
      </c>
      <c r="CA19">
        <v>0</v>
      </c>
      <c r="CB19">
        <v>0</v>
      </c>
      <c r="CD19" t="s">
        <v>8203</v>
      </c>
    </row>
    <row r="20" spans="1:82">
      <c r="A20" t="s">
        <v>7961</v>
      </c>
      <c r="B20" t="s">
        <v>8204</v>
      </c>
      <c r="C20" t="s">
        <v>7958</v>
      </c>
      <c r="D20" t="s">
        <v>1383</v>
      </c>
      <c r="E20" t="s">
        <v>8083</v>
      </c>
      <c r="F20" t="s">
        <v>8205</v>
      </c>
      <c r="G20" t="s">
        <v>8139</v>
      </c>
      <c r="H20" t="s">
        <v>8206</v>
      </c>
      <c r="I20" t="s">
        <v>8207</v>
      </c>
      <c r="J20" t="s">
        <v>8099</v>
      </c>
      <c r="K20" t="s">
        <v>8089</v>
      </c>
      <c r="N20" t="s">
        <v>4821</v>
      </c>
      <c r="O20" t="s">
        <v>10</v>
      </c>
      <c r="P20" t="s">
        <v>8208</v>
      </c>
      <c r="Q20">
        <v>1</v>
      </c>
      <c r="R20" t="s">
        <v>8091</v>
      </c>
      <c r="S20">
        <v>27.5</v>
      </c>
      <c r="X20">
        <v>24.7</v>
      </c>
      <c r="AE20" t="s">
        <v>1979</v>
      </c>
      <c r="AH20">
        <v>0</v>
      </c>
      <c r="AM20" t="s">
        <v>1979</v>
      </c>
      <c r="AR20">
        <v>27.5</v>
      </c>
      <c r="AW20">
        <v>24.7</v>
      </c>
      <c r="BH20">
        <v>8.6999999999999994E-2</v>
      </c>
      <c r="BN20">
        <v>5</v>
      </c>
      <c r="BO20" t="s">
        <v>8209</v>
      </c>
      <c r="BP20">
        <v>46.9</v>
      </c>
      <c r="BQ20" s="598">
        <v>46.3</v>
      </c>
      <c r="BR20" t="s">
        <v>8093</v>
      </c>
      <c r="BS20" t="s">
        <v>8093</v>
      </c>
      <c r="BT20">
        <v>0</v>
      </c>
      <c r="BU20" t="s">
        <v>8093</v>
      </c>
      <c r="BV20">
        <v>0</v>
      </c>
      <c r="BW20">
        <v>46.3</v>
      </c>
      <c r="BX20" t="s">
        <v>1981</v>
      </c>
      <c r="BY20">
        <v>0</v>
      </c>
      <c r="BZ20">
        <v>0</v>
      </c>
      <c r="CA20">
        <v>0</v>
      </c>
      <c r="CB20">
        <v>0</v>
      </c>
      <c r="CD20" t="s">
        <v>8210</v>
      </c>
    </row>
    <row r="21" spans="1:82">
      <c r="A21" t="s">
        <v>7961</v>
      </c>
      <c r="B21" t="s">
        <v>8211</v>
      </c>
      <c r="C21" t="s">
        <v>7958</v>
      </c>
      <c r="D21" t="s">
        <v>1383</v>
      </c>
      <c r="E21" t="s">
        <v>8083</v>
      </c>
      <c r="F21" t="s">
        <v>8205</v>
      </c>
      <c r="G21" t="s">
        <v>8145</v>
      </c>
      <c r="H21" t="s">
        <v>8212</v>
      </c>
      <c r="I21" t="s">
        <v>8213</v>
      </c>
      <c r="J21" t="s">
        <v>8119</v>
      </c>
      <c r="N21" t="s">
        <v>8214</v>
      </c>
      <c r="O21" t="s">
        <v>11</v>
      </c>
      <c r="P21" t="s">
        <v>8215</v>
      </c>
      <c r="Q21">
        <v>0</v>
      </c>
      <c r="R21" t="s">
        <v>8091</v>
      </c>
      <c r="S21">
        <v>1</v>
      </c>
      <c r="X21">
        <v>1</v>
      </c>
      <c r="AH21">
        <v>0</v>
      </c>
      <c r="BP21">
        <v>1</v>
      </c>
      <c r="BQ21" s="596">
        <v>1</v>
      </c>
      <c r="BR21" t="s">
        <v>8093</v>
      </c>
      <c r="BS21" t="s">
        <v>8093</v>
      </c>
      <c r="BT21">
        <v>0</v>
      </c>
      <c r="BU21" t="s">
        <v>8093</v>
      </c>
      <c r="BV21">
        <v>0</v>
      </c>
      <c r="BW21">
        <v>1</v>
      </c>
      <c r="BX21" t="s">
        <v>1981</v>
      </c>
      <c r="BY21">
        <v>0</v>
      </c>
      <c r="BZ21">
        <v>0</v>
      </c>
      <c r="CA21">
        <v>0</v>
      </c>
      <c r="CB21">
        <v>0</v>
      </c>
      <c r="CD21" t="s">
        <v>8216</v>
      </c>
    </row>
    <row r="22" spans="1:82">
      <c r="A22" t="s">
        <v>7961</v>
      </c>
      <c r="B22" t="s">
        <v>8217</v>
      </c>
      <c r="C22" t="s">
        <v>7958</v>
      </c>
      <c r="D22" t="s">
        <v>1383</v>
      </c>
      <c r="E22" t="s">
        <v>8083</v>
      </c>
      <c r="F22" t="s">
        <v>8218</v>
      </c>
      <c r="G22" t="s">
        <v>8219</v>
      </c>
      <c r="H22" t="s">
        <v>8220</v>
      </c>
      <c r="I22" t="s">
        <v>8221</v>
      </c>
      <c r="J22" t="s">
        <v>8119</v>
      </c>
      <c r="N22" t="s">
        <v>8107</v>
      </c>
      <c r="O22" t="s">
        <v>8170</v>
      </c>
      <c r="P22" t="s">
        <v>8222</v>
      </c>
      <c r="Q22">
        <v>0</v>
      </c>
      <c r="R22" t="s">
        <v>8129</v>
      </c>
      <c r="S22">
        <v>100</v>
      </c>
      <c r="X22">
        <v>100</v>
      </c>
      <c r="AH22">
        <v>0</v>
      </c>
      <c r="BP22">
        <v>100</v>
      </c>
      <c r="BQ22" s="596">
        <v>100</v>
      </c>
      <c r="BR22" t="s">
        <v>8093</v>
      </c>
      <c r="BS22" t="s">
        <v>8093</v>
      </c>
      <c r="BT22">
        <v>0</v>
      </c>
      <c r="BU22" t="s">
        <v>8093</v>
      </c>
      <c r="BV22">
        <v>0</v>
      </c>
      <c r="BW22">
        <v>100</v>
      </c>
      <c r="BX22" t="s">
        <v>1981</v>
      </c>
      <c r="BY22">
        <v>0</v>
      </c>
      <c r="BZ22">
        <v>0</v>
      </c>
      <c r="CA22">
        <v>0</v>
      </c>
      <c r="CB22">
        <v>0</v>
      </c>
      <c r="CD22" t="s">
        <v>8223</v>
      </c>
    </row>
    <row r="23" spans="1:82">
      <c r="A23" t="s">
        <v>7961</v>
      </c>
      <c r="B23" t="s">
        <v>8224</v>
      </c>
      <c r="C23" t="s">
        <v>7958</v>
      </c>
      <c r="D23" t="s">
        <v>1383</v>
      </c>
      <c r="E23" t="s">
        <v>8083</v>
      </c>
      <c r="F23" t="s">
        <v>8218</v>
      </c>
      <c r="G23" t="s">
        <v>8225</v>
      </c>
      <c r="H23" t="s">
        <v>8226</v>
      </c>
      <c r="I23" t="s">
        <v>8227</v>
      </c>
      <c r="J23" t="s">
        <v>8119</v>
      </c>
      <c r="N23" t="s">
        <v>8107</v>
      </c>
      <c r="O23" t="s">
        <v>8170</v>
      </c>
      <c r="P23" t="s">
        <v>8222</v>
      </c>
      <c r="Q23">
        <v>0</v>
      </c>
      <c r="R23" t="s">
        <v>8129</v>
      </c>
      <c r="S23">
        <v>100</v>
      </c>
      <c r="X23">
        <v>100</v>
      </c>
      <c r="AH23">
        <v>0</v>
      </c>
      <c r="BP23">
        <v>100</v>
      </c>
      <c r="BQ23" s="596">
        <v>100</v>
      </c>
      <c r="BR23" t="s">
        <v>8093</v>
      </c>
      <c r="BS23" t="s">
        <v>8093</v>
      </c>
      <c r="BT23">
        <v>0</v>
      </c>
      <c r="BU23" t="s">
        <v>8093</v>
      </c>
      <c r="BV23">
        <v>0</v>
      </c>
      <c r="BW23">
        <v>100</v>
      </c>
      <c r="BX23" t="s">
        <v>1981</v>
      </c>
      <c r="BY23">
        <v>0</v>
      </c>
      <c r="BZ23">
        <v>0</v>
      </c>
      <c r="CA23">
        <v>0</v>
      </c>
      <c r="CB23">
        <v>0</v>
      </c>
      <c r="CD23" t="s">
        <v>8228</v>
      </c>
    </row>
    <row r="24" spans="1:82">
      <c r="A24" t="s">
        <v>7961</v>
      </c>
      <c r="B24" t="s">
        <v>8229</v>
      </c>
      <c r="C24" t="s">
        <v>7958</v>
      </c>
      <c r="D24" t="s">
        <v>1383</v>
      </c>
      <c r="E24" t="s">
        <v>8083</v>
      </c>
      <c r="F24" t="s">
        <v>8218</v>
      </c>
      <c r="G24" t="s">
        <v>8230</v>
      </c>
      <c r="H24" t="s">
        <v>8231</v>
      </c>
      <c r="I24" t="s">
        <v>8232</v>
      </c>
      <c r="J24" t="s">
        <v>8099</v>
      </c>
      <c r="K24" t="s">
        <v>8089</v>
      </c>
      <c r="N24" t="s">
        <v>8100</v>
      </c>
      <c r="O24" t="s">
        <v>11</v>
      </c>
      <c r="P24" t="s">
        <v>8233</v>
      </c>
      <c r="Q24">
        <v>0</v>
      </c>
      <c r="R24" t="s">
        <v>8129</v>
      </c>
      <c r="S24">
        <v>0</v>
      </c>
      <c r="X24">
        <v>7</v>
      </c>
      <c r="AH24">
        <v>0</v>
      </c>
      <c r="AM24" t="s">
        <v>1979</v>
      </c>
      <c r="AR24">
        <v>0</v>
      </c>
      <c r="AW24">
        <v>7</v>
      </c>
      <c r="BH24">
        <v>0.222</v>
      </c>
      <c r="BN24">
        <v>5</v>
      </c>
      <c r="BO24" t="s">
        <v>8209</v>
      </c>
      <c r="BP24">
        <v>0</v>
      </c>
      <c r="BQ24" s="596">
        <v>-2</v>
      </c>
      <c r="BR24" t="s">
        <v>8093</v>
      </c>
      <c r="BS24" t="s">
        <v>8093</v>
      </c>
      <c r="BT24">
        <v>0</v>
      </c>
      <c r="BU24" t="s">
        <v>8093</v>
      </c>
      <c r="BV24">
        <v>0</v>
      </c>
      <c r="BW24">
        <v>-2</v>
      </c>
      <c r="BX24" t="s">
        <v>1981</v>
      </c>
      <c r="BY24">
        <v>0</v>
      </c>
      <c r="BZ24">
        <v>0</v>
      </c>
      <c r="CA24">
        <v>0</v>
      </c>
      <c r="CB24">
        <v>0</v>
      </c>
      <c r="CD24" t="s">
        <v>8234</v>
      </c>
    </row>
    <row r="25" spans="1:82">
      <c r="A25" t="s">
        <v>7961</v>
      </c>
      <c r="B25" t="s">
        <v>8235</v>
      </c>
      <c r="C25" t="s">
        <v>7958</v>
      </c>
      <c r="D25" t="s">
        <v>1383</v>
      </c>
      <c r="E25" t="s">
        <v>8083</v>
      </c>
      <c r="F25" t="s">
        <v>8218</v>
      </c>
      <c r="G25" t="s">
        <v>8236</v>
      </c>
      <c r="H25" t="s">
        <v>8237</v>
      </c>
      <c r="I25" t="s">
        <v>8238</v>
      </c>
      <c r="J25" t="s">
        <v>8088</v>
      </c>
      <c r="K25" t="s">
        <v>8089</v>
      </c>
      <c r="L25" t="s">
        <v>1979</v>
      </c>
      <c r="M25" t="s">
        <v>1980</v>
      </c>
      <c r="N25" t="s">
        <v>2534</v>
      </c>
      <c r="O25" t="s">
        <v>11</v>
      </c>
      <c r="P25" t="s">
        <v>8090</v>
      </c>
      <c r="Q25">
        <v>0</v>
      </c>
      <c r="R25" t="s">
        <v>8091</v>
      </c>
      <c r="S25">
        <v>192</v>
      </c>
      <c r="T25">
        <v>192</v>
      </c>
      <c r="U25">
        <v>192</v>
      </c>
      <c r="V25">
        <v>192</v>
      </c>
      <c r="W25">
        <v>192</v>
      </c>
      <c r="X25">
        <v>192</v>
      </c>
      <c r="AE25" t="s">
        <v>1979</v>
      </c>
      <c r="AH25">
        <v>0</v>
      </c>
      <c r="AI25" t="s">
        <v>1979</v>
      </c>
      <c r="AJ25" t="s">
        <v>1979</v>
      </c>
      <c r="AK25" t="s">
        <v>1979</v>
      </c>
      <c r="AL25" t="s">
        <v>1979</v>
      </c>
      <c r="AM25" t="s">
        <v>1979</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8092</v>
      </c>
      <c r="BP25">
        <v>191</v>
      </c>
      <c r="BQ25" s="596">
        <v>189</v>
      </c>
      <c r="BR25" t="s">
        <v>1979</v>
      </c>
      <c r="BS25" t="s">
        <v>1988</v>
      </c>
      <c r="BT25">
        <v>0.51500000000000001</v>
      </c>
      <c r="BU25" t="s">
        <v>8093</v>
      </c>
      <c r="BV25">
        <v>0</v>
      </c>
      <c r="BW25">
        <v>186</v>
      </c>
      <c r="BX25" t="s">
        <v>1979</v>
      </c>
      <c r="BY25" t="s">
        <v>1988</v>
      </c>
      <c r="BZ25">
        <v>2.5750000000000002</v>
      </c>
      <c r="CA25">
        <v>0</v>
      </c>
      <c r="CB25">
        <v>0</v>
      </c>
      <c r="CD25" t="s">
        <v>8239</v>
      </c>
    </row>
    <row r="26" spans="1:82">
      <c r="A26" t="s">
        <v>7961</v>
      </c>
      <c r="B26" t="s">
        <v>8240</v>
      </c>
      <c r="C26" t="s">
        <v>7958</v>
      </c>
      <c r="D26" t="s">
        <v>1383</v>
      </c>
      <c r="E26" t="s">
        <v>8083</v>
      </c>
      <c r="F26" t="s">
        <v>8241</v>
      </c>
      <c r="G26" t="s">
        <v>8242</v>
      </c>
      <c r="H26" t="s">
        <v>8243</v>
      </c>
      <c r="I26" t="s">
        <v>8244</v>
      </c>
      <c r="J26" t="s">
        <v>8119</v>
      </c>
      <c r="N26" t="s">
        <v>8245</v>
      </c>
      <c r="O26" t="s">
        <v>10</v>
      </c>
      <c r="P26" t="s">
        <v>8246</v>
      </c>
      <c r="Q26">
        <v>0</v>
      </c>
      <c r="R26" t="s">
        <v>8129</v>
      </c>
      <c r="S26">
        <v>49</v>
      </c>
      <c r="X26">
        <v>50</v>
      </c>
      <c r="AF26" t="s">
        <v>1979</v>
      </c>
      <c r="AH26">
        <v>0</v>
      </c>
      <c r="BP26">
        <v>49</v>
      </c>
      <c r="BQ26" s="596">
        <v>98.85</v>
      </c>
      <c r="BR26" t="s">
        <v>8093</v>
      </c>
      <c r="BS26" t="s">
        <v>8093</v>
      </c>
      <c r="BT26">
        <v>0</v>
      </c>
      <c r="BU26" t="s">
        <v>8093</v>
      </c>
      <c r="BV26">
        <v>0</v>
      </c>
      <c r="BW26">
        <v>98.83</v>
      </c>
      <c r="BX26" t="s">
        <v>1981</v>
      </c>
      <c r="BY26">
        <v>0</v>
      </c>
      <c r="BZ26">
        <v>0</v>
      </c>
      <c r="CA26">
        <v>0</v>
      </c>
      <c r="CB26">
        <v>0</v>
      </c>
      <c r="CD26" t="s">
        <v>8247</v>
      </c>
    </row>
    <row r="27" spans="1:82">
      <c r="A27" t="s">
        <v>7961</v>
      </c>
      <c r="B27" t="s">
        <v>8248</v>
      </c>
      <c r="C27" t="s">
        <v>7958</v>
      </c>
      <c r="D27" t="s">
        <v>1383</v>
      </c>
      <c r="E27" t="s">
        <v>8083</v>
      </c>
      <c r="F27" t="s">
        <v>8241</v>
      </c>
      <c r="G27" t="s">
        <v>8249</v>
      </c>
      <c r="H27" t="s">
        <v>8250</v>
      </c>
      <c r="I27" t="s">
        <v>8251</v>
      </c>
      <c r="J27" t="s">
        <v>8099</v>
      </c>
      <c r="K27" t="s">
        <v>8089</v>
      </c>
      <c r="N27" t="s">
        <v>8252</v>
      </c>
      <c r="O27" t="s">
        <v>11</v>
      </c>
      <c r="P27" t="s">
        <v>8253</v>
      </c>
      <c r="Q27">
        <v>0</v>
      </c>
      <c r="R27" t="s">
        <v>8129</v>
      </c>
      <c r="S27">
        <v>0</v>
      </c>
      <c r="X27">
        <v>16</v>
      </c>
      <c r="AF27" t="s">
        <v>1979</v>
      </c>
      <c r="AH27">
        <v>0</v>
      </c>
      <c r="AM27" t="s">
        <v>1979</v>
      </c>
      <c r="AR27">
        <v>0</v>
      </c>
      <c r="AW27">
        <v>16</v>
      </c>
      <c r="BH27">
        <v>0.156</v>
      </c>
      <c r="BN27">
        <v>5</v>
      </c>
      <c r="BO27" t="s">
        <v>8209</v>
      </c>
      <c r="BP27">
        <v>0</v>
      </c>
      <c r="BQ27" s="596">
        <v>0</v>
      </c>
      <c r="BR27" t="s">
        <v>8093</v>
      </c>
      <c r="BS27" t="s">
        <v>8093</v>
      </c>
      <c r="BT27">
        <v>0</v>
      </c>
      <c r="BU27" t="s">
        <v>8093</v>
      </c>
      <c r="BV27">
        <v>0</v>
      </c>
      <c r="BW27">
        <v>2</v>
      </c>
      <c r="BX27" t="s">
        <v>1981</v>
      </c>
      <c r="BY27">
        <v>0</v>
      </c>
      <c r="BZ27">
        <v>0</v>
      </c>
      <c r="CA27">
        <v>0</v>
      </c>
      <c r="CB27">
        <v>0</v>
      </c>
      <c r="CD27" t="s">
        <v>8254</v>
      </c>
    </row>
    <row r="28" spans="1:82">
      <c r="A28" t="s">
        <v>7961</v>
      </c>
      <c r="B28" t="s">
        <v>8255</v>
      </c>
      <c r="C28" t="s">
        <v>7958</v>
      </c>
      <c r="D28" t="s">
        <v>1383</v>
      </c>
      <c r="E28" t="s">
        <v>8083</v>
      </c>
      <c r="F28" t="s">
        <v>8256</v>
      </c>
      <c r="G28" t="s">
        <v>8257</v>
      </c>
      <c r="H28" t="s">
        <v>8258</v>
      </c>
      <c r="I28" t="s">
        <v>8259</v>
      </c>
      <c r="J28" t="s">
        <v>8119</v>
      </c>
      <c r="N28" t="s">
        <v>8260</v>
      </c>
      <c r="O28" t="s">
        <v>10</v>
      </c>
      <c r="P28" t="s">
        <v>8261</v>
      </c>
      <c r="Q28">
        <v>0</v>
      </c>
      <c r="R28" t="s">
        <v>8129</v>
      </c>
      <c r="S28">
        <v>0</v>
      </c>
      <c r="X28">
        <v>7</v>
      </c>
      <c r="AH28">
        <v>0</v>
      </c>
      <c r="BP28">
        <v>0</v>
      </c>
      <c r="BQ28" s="596">
        <v>5</v>
      </c>
      <c r="BR28" t="s">
        <v>8093</v>
      </c>
      <c r="BS28" t="s">
        <v>8093</v>
      </c>
      <c r="BT28">
        <v>0</v>
      </c>
      <c r="BU28" t="s">
        <v>8093</v>
      </c>
      <c r="BV28">
        <v>0</v>
      </c>
      <c r="BW28">
        <v>11</v>
      </c>
      <c r="BX28" t="s">
        <v>1981</v>
      </c>
      <c r="BY28">
        <v>0</v>
      </c>
      <c r="BZ28">
        <v>0</v>
      </c>
      <c r="CA28">
        <v>0</v>
      </c>
      <c r="CB28">
        <v>0</v>
      </c>
      <c r="CD28" t="s">
        <v>8262</v>
      </c>
    </row>
    <row r="29" spans="1:82">
      <c r="A29" t="s">
        <v>7961</v>
      </c>
      <c r="B29" t="s">
        <v>8263</v>
      </c>
      <c r="C29" t="s">
        <v>7958</v>
      </c>
      <c r="D29" t="s">
        <v>1383</v>
      </c>
      <c r="E29" t="s">
        <v>8083</v>
      </c>
      <c r="F29" t="s">
        <v>8256</v>
      </c>
      <c r="G29" t="s">
        <v>8264</v>
      </c>
      <c r="H29" t="s">
        <v>8265</v>
      </c>
      <c r="I29" t="s">
        <v>8266</v>
      </c>
      <c r="J29" t="s">
        <v>8119</v>
      </c>
      <c r="N29" t="s">
        <v>8260</v>
      </c>
      <c r="O29" t="s">
        <v>10</v>
      </c>
      <c r="P29" t="s">
        <v>8267</v>
      </c>
      <c r="Q29">
        <v>0</v>
      </c>
      <c r="R29" t="s">
        <v>8129</v>
      </c>
      <c r="S29">
        <v>50</v>
      </c>
      <c r="X29">
        <v>60</v>
      </c>
      <c r="AH29">
        <v>0</v>
      </c>
      <c r="BP29">
        <v>54</v>
      </c>
      <c r="BQ29" s="596">
        <v>53</v>
      </c>
      <c r="BR29" t="s">
        <v>8093</v>
      </c>
      <c r="BS29" t="s">
        <v>8093</v>
      </c>
      <c r="BT29">
        <v>0</v>
      </c>
      <c r="BU29" t="s">
        <v>8093</v>
      </c>
      <c r="BV29">
        <v>0</v>
      </c>
      <c r="BW29">
        <v>55</v>
      </c>
      <c r="BX29" t="s">
        <v>1981</v>
      </c>
      <c r="BY29">
        <v>0</v>
      </c>
      <c r="BZ29">
        <v>0</v>
      </c>
      <c r="CA29">
        <v>0</v>
      </c>
      <c r="CB29">
        <v>0</v>
      </c>
      <c r="CD29" t="s">
        <v>8268</v>
      </c>
    </row>
    <row r="30" spans="1:82">
      <c r="A30" t="s">
        <v>7961</v>
      </c>
      <c r="B30" t="s">
        <v>8269</v>
      </c>
      <c r="C30" t="s">
        <v>7958</v>
      </c>
      <c r="D30" t="s">
        <v>1383</v>
      </c>
      <c r="E30" t="s">
        <v>8083</v>
      </c>
      <c r="F30" t="s">
        <v>8270</v>
      </c>
      <c r="G30" t="s">
        <v>8271</v>
      </c>
      <c r="H30" t="s">
        <v>8272</v>
      </c>
      <c r="I30" t="s">
        <v>8273</v>
      </c>
      <c r="J30" t="s">
        <v>8119</v>
      </c>
      <c r="N30" t="s">
        <v>8274</v>
      </c>
      <c r="O30" t="s">
        <v>10</v>
      </c>
      <c r="P30" t="s">
        <v>8275</v>
      </c>
      <c r="Q30" t="s">
        <v>8092</v>
      </c>
      <c r="R30" t="s">
        <v>8129</v>
      </c>
      <c r="S30">
        <v>56</v>
      </c>
      <c r="X30">
        <v>60</v>
      </c>
      <c r="AH30">
        <v>0</v>
      </c>
      <c r="BP30" t="s">
        <v>1987</v>
      </c>
      <c r="BQ30" s="598">
        <v>56</v>
      </c>
      <c r="BR30" t="s">
        <v>8093</v>
      </c>
      <c r="BS30" t="s">
        <v>8093</v>
      </c>
      <c r="BT30">
        <v>0</v>
      </c>
      <c r="BU30" t="s">
        <v>8093</v>
      </c>
      <c r="BV30">
        <v>0</v>
      </c>
      <c r="BW30">
        <v>52</v>
      </c>
      <c r="BX30" t="s">
        <v>1981</v>
      </c>
      <c r="BY30">
        <v>0</v>
      </c>
      <c r="BZ30">
        <v>0</v>
      </c>
      <c r="CA30">
        <v>0</v>
      </c>
      <c r="CB30">
        <v>0</v>
      </c>
      <c r="CD30" t="s">
        <v>8276</v>
      </c>
    </row>
    <row r="31" spans="1:82">
      <c r="A31" t="s">
        <v>7961</v>
      </c>
      <c r="B31" t="s">
        <v>8277</v>
      </c>
      <c r="C31" t="s">
        <v>7958</v>
      </c>
      <c r="D31" t="s">
        <v>1383</v>
      </c>
      <c r="E31" t="s">
        <v>8083</v>
      </c>
      <c r="F31" t="s">
        <v>8278</v>
      </c>
      <c r="G31" t="s">
        <v>8279</v>
      </c>
      <c r="H31" t="s">
        <v>8280</v>
      </c>
      <c r="I31" t="s">
        <v>8281</v>
      </c>
      <c r="J31" t="s">
        <v>8099</v>
      </c>
      <c r="K31" t="s">
        <v>8089</v>
      </c>
      <c r="M31" t="s">
        <v>1980</v>
      </c>
      <c r="N31" t="s">
        <v>8148</v>
      </c>
      <c r="O31" t="s">
        <v>8282</v>
      </c>
      <c r="P31" t="s">
        <v>8283</v>
      </c>
      <c r="Q31" t="s">
        <v>8092</v>
      </c>
      <c r="S31" t="s">
        <v>1984</v>
      </c>
      <c r="T31" t="s">
        <v>2539</v>
      </c>
      <c r="U31" t="s">
        <v>2539</v>
      </c>
      <c r="V31" t="s">
        <v>2539</v>
      </c>
      <c r="W31" t="s">
        <v>2539</v>
      </c>
      <c r="X31" t="s">
        <v>2539</v>
      </c>
      <c r="AE31" t="s">
        <v>1979</v>
      </c>
      <c r="AH31">
        <v>4</v>
      </c>
      <c r="AI31" t="s">
        <v>1979</v>
      </c>
      <c r="AJ31" t="s">
        <v>1979</v>
      </c>
      <c r="AK31" t="s">
        <v>1979</v>
      </c>
      <c r="AL31" t="s">
        <v>1979</v>
      </c>
      <c r="AM31" t="s">
        <v>1979</v>
      </c>
      <c r="BN31">
        <v>1</v>
      </c>
      <c r="BO31" t="s">
        <v>8092</v>
      </c>
      <c r="BP31" t="s">
        <v>1984</v>
      </c>
      <c r="BQ31" s="598" t="s">
        <v>2539</v>
      </c>
      <c r="BR31" t="s">
        <v>1979</v>
      </c>
      <c r="BS31" t="s">
        <v>8093</v>
      </c>
      <c r="BT31">
        <v>0</v>
      </c>
      <c r="BU31" t="s">
        <v>8093</v>
      </c>
      <c r="BV31">
        <v>0</v>
      </c>
      <c r="BW31" t="s">
        <v>2540</v>
      </c>
      <c r="BX31" t="s">
        <v>1980</v>
      </c>
      <c r="BY31">
        <v>0</v>
      </c>
      <c r="BZ31">
        <v>0</v>
      </c>
      <c r="CA31" t="s">
        <v>1983</v>
      </c>
      <c r="CB31">
        <v>-0.55800000000000005</v>
      </c>
      <c r="CD31" t="s">
        <v>8284</v>
      </c>
    </row>
    <row r="32" spans="1:82">
      <c r="A32" t="s">
        <v>7961</v>
      </c>
      <c r="B32" t="s">
        <v>8285</v>
      </c>
      <c r="C32" t="s">
        <v>7958</v>
      </c>
      <c r="D32" t="s">
        <v>1383</v>
      </c>
      <c r="E32" t="s">
        <v>8083</v>
      </c>
      <c r="F32" t="s">
        <v>8278</v>
      </c>
      <c r="G32" t="s">
        <v>8286</v>
      </c>
      <c r="H32" t="s">
        <v>8287</v>
      </c>
      <c r="I32" t="s">
        <v>8288</v>
      </c>
      <c r="J32" t="s">
        <v>8099</v>
      </c>
      <c r="K32" t="s">
        <v>8089</v>
      </c>
      <c r="M32" t="s">
        <v>1980</v>
      </c>
      <c r="N32" t="s">
        <v>8148</v>
      </c>
      <c r="O32" t="s">
        <v>8282</v>
      </c>
      <c r="P32" t="s">
        <v>8283</v>
      </c>
      <c r="Q32" t="s">
        <v>8092</v>
      </c>
      <c r="S32" t="s">
        <v>1984</v>
      </c>
      <c r="T32" t="s">
        <v>2539</v>
      </c>
      <c r="U32" t="s">
        <v>2539</v>
      </c>
      <c r="V32" t="s">
        <v>2539</v>
      </c>
      <c r="W32" t="s">
        <v>2539</v>
      </c>
      <c r="X32" t="s">
        <v>2539</v>
      </c>
      <c r="AE32" t="s">
        <v>1979</v>
      </c>
      <c r="AH32">
        <v>3</v>
      </c>
      <c r="AI32" t="s">
        <v>1979</v>
      </c>
      <c r="AJ32" t="s">
        <v>1979</v>
      </c>
      <c r="AK32" t="s">
        <v>1979</v>
      </c>
      <c r="AL32" t="s">
        <v>1979</v>
      </c>
      <c r="AM32" t="s">
        <v>1979</v>
      </c>
      <c r="BN32">
        <v>1</v>
      </c>
      <c r="BO32" t="s">
        <v>8092</v>
      </c>
      <c r="BP32" t="s">
        <v>1984</v>
      </c>
      <c r="BQ32" s="598" t="s">
        <v>2539</v>
      </c>
      <c r="BR32" t="s">
        <v>1979</v>
      </c>
      <c r="BS32" t="s">
        <v>8093</v>
      </c>
      <c r="BT32">
        <v>0</v>
      </c>
      <c r="BU32" t="s">
        <v>8093</v>
      </c>
      <c r="BV32">
        <v>0</v>
      </c>
      <c r="BW32" t="s">
        <v>2539</v>
      </c>
      <c r="BX32" t="s">
        <v>1979</v>
      </c>
      <c r="BY32">
        <v>0</v>
      </c>
      <c r="BZ32">
        <v>0</v>
      </c>
      <c r="CA32">
        <v>0</v>
      </c>
      <c r="CB32">
        <v>0</v>
      </c>
      <c r="CD32" t="s">
        <v>8289</v>
      </c>
    </row>
    <row r="33" spans="1:82">
      <c r="A33" t="s">
        <v>7961</v>
      </c>
      <c r="B33" t="s">
        <v>8290</v>
      </c>
      <c r="C33" t="s">
        <v>7958</v>
      </c>
      <c r="D33" t="s">
        <v>1383</v>
      </c>
      <c r="E33" t="s">
        <v>8083</v>
      </c>
      <c r="F33" t="s">
        <v>8291</v>
      </c>
      <c r="G33" t="s">
        <v>8292</v>
      </c>
      <c r="H33" t="s">
        <v>8293</v>
      </c>
      <c r="I33" t="s">
        <v>8294</v>
      </c>
      <c r="J33" t="s">
        <v>8099</v>
      </c>
      <c r="K33" t="s">
        <v>8089</v>
      </c>
      <c r="M33" t="s">
        <v>1980</v>
      </c>
      <c r="N33" t="s">
        <v>8127</v>
      </c>
      <c r="O33" t="s">
        <v>10</v>
      </c>
      <c r="P33" t="s">
        <v>8128</v>
      </c>
      <c r="Q33">
        <v>2</v>
      </c>
      <c r="R33" t="s">
        <v>8129</v>
      </c>
      <c r="S33">
        <v>99.96</v>
      </c>
      <c r="T33">
        <v>99.96</v>
      </c>
      <c r="U33">
        <v>99.96</v>
      </c>
      <c r="V33">
        <v>100</v>
      </c>
      <c r="W33">
        <v>100</v>
      </c>
      <c r="X33">
        <v>100</v>
      </c>
      <c r="Y33" t="s">
        <v>1979</v>
      </c>
      <c r="AE33" t="s">
        <v>1979</v>
      </c>
      <c r="AH33">
        <v>0</v>
      </c>
      <c r="AK33" t="s">
        <v>1979</v>
      </c>
      <c r="AL33" t="s">
        <v>1979</v>
      </c>
      <c r="AM33" t="s">
        <v>1979</v>
      </c>
      <c r="AP33">
        <v>99.89</v>
      </c>
      <c r="AQ33">
        <v>99.89</v>
      </c>
      <c r="AR33">
        <v>99.89</v>
      </c>
      <c r="AU33">
        <v>99.95</v>
      </c>
      <c r="AV33">
        <v>99.95</v>
      </c>
      <c r="AW33">
        <v>99.95</v>
      </c>
      <c r="BH33">
        <v>17.412500000000001</v>
      </c>
      <c r="BN33">
        <v>1</v>
      </c>
      <c r="BO33" t="s">
        <v>8092</v>
      </c>
      <c r="BP33">
        <v>99.95</v>
      </c>
      <c r="BQ33" s="597">
        <v>99.97</v>
      </c>
      <c r="BR33" t="s">
        <v>1979</v>
      </c>
      <c r="BS33" t="s">
        <v>8093</v>
      </c>
      <c r="BT33">
        <v>0</v>
      </c>
      <c r="BU33" t="s">
        <v>8093</v>
      </c>
      <c r="BV33">
        <v>0</v>
      </c>
      <c r="BW33">
        <v>99.97</v>
      </c>
      <c r="BX33" t="s">
        <v>1979</v>
      </c>
      <c r="BY33">
        <v>0</v>
      </c>
      <c r="BZ33">
        <v>0</v>
      </c>
      <c r="CA33">
        <v>0</v>
      </c>
      <c r="CB33">
        <v>0</v>
      </c>
      <c r="CD33" t="s">
        <v>8295</v>
      </c>
    </row>
    <row r="34" spans="1:82">
      <c r="A34" t="s">
        <v>7961</v>
      </c>
      <c r="B34" t="s">
        <v>8296</v>
      </c>
      <c r="C34" t="s">
        <v>7958</v>
      </c>
      <c r="D34" t="s">
        <v>1384</v>
      </c>
      <c r="E34" t="s">
        <v>8297</v>
      </c>
      <c r="F34" t="s">
        <v>8183</v>
      </c>
      <c r="G34" t="s">
        <v>8298</v>
      </c>
      <c r="H34" t="s">
        <v>8299</v>
      </c>
      <c r="I34" t="s">
        <v>8300</v>
      </c>
      <c r="J34" t="s">
        <v>8088</v>
      </c>
      <c r="K34" t="s">
        <v>8089</v>
      </c>
      <c r="N34" t="s">
        <v>8301</v>
      </c>
      <c r="O34" t="s">
        <v>11</v>
      </c>
      <c r="P34" t="s">
        <v>8302</v>
      </c>
      <c r="Q34">
        <v>0</v>
      </c>
      <c r="R34" t="s">
        <v>8129</v>
      </c>
      <c r="S34">
        <v>0</v>
      </c>
      <c r="X34">
        <v>27</v>
      </c>
      <c r="AC34" t="s">
        <v>1979</v>
      </c>
      <c r="AE34" t="s">
        <v>1979</v>
      </c>
      <c r="AH34">
        <v>0</v>
      </c>
      <c r="AM34" t="s">
        <v>1979</v>
      </c>
      <c r="AR34">
        <v>-24</v>
      </c>
      <c r="AW34">
        <v>24</v>
      </c>
      <c r="BB34">
        <v>30</v>
      </c>
      <c r="BG34">
        <v>78</v>
      </c>
      <c r="BH34">
        <v>4.2000000000000003E-2</v>
      </c>
      <c r="BL34">
        <v>3.5999999999999997E-2</v>
      </c>
      <c r="BN34">
        <v>5</v>
      </c>
      <c r="BO34" t="s">
        <v>8209</v>
      </c>
      <c r="BP34">
        <v>0</v>
      </c>
      <c r="BQ34" s="596">
        <v>61</v>
      </c>
      <c r="BR34" t="s">
        <v>8093</v>
      </c>
      <c r="BS34" t="s">
        <v>8093</v>
      </c>
      <c r="BT34">
        <v>0</v>
      </c>
      <c r="BU34" t="s">
        <v>8093</v>
      </c>
      <c r="BV34">
        <v>0</v>
      </c>
      <c r="BW34">
        <v>45</v>
      </c>
      <c r="BX34" t="s">
        <v>1981</v>
      </c>
      <c r="BY34">
        <v>0</v>
      </c>
      <c r="BZ34">
        <v>0</v>
      </c>
      <c r="CA34">
        <v>0</v>
      </c>
      <c r="CB34">
        <v>0</v>
      </c>
      <c r="CD34" t="s">
        <v>8303</v>
      </c>
    </row>
    <row r="35" spans="1:82">
      <c r="A35" t="s">
        <v>7961</v>
      </c>
      <c r="B35" t="s">
        <v>8304</v>
      </c>
      <c r="C35" t="s">
        <v>7958</v>
      </c>
      <c r="D35" t="s">
        <v>1384</v>
      </c>
      <c r="E35" t="s">
        <v>8297</v>
      </c>
      <c r="F35" t="s">
        <v>8183</v>
      </c>
      <c r="G35" t="s">
        <v>8305</v>
      </c>
      <c r="H35" t="s">
        <v>8306</v>
      </c>
      <c r="I35" t="s">
        <v>8307</v>
      </c>
      <c r="J35" t="s">
        <v>8099</v>
      </c>
      <c r="K35" t="s">
        <v>8089</v>
      </c>
      <c r="N35" t="s">
        <v>8301</v>
      </c>
      <c r="O35" t="s">
        <v>11</v>
      </c>
      <c r="P35" t="s">
        <v>8308</v>
      </c>
      <c r="Q35">
        <v>0</v>
      </c>
      <c r="R35" t="s">
        <v>8129</v>
      </c>
      <c r="S35">
        <v>0</v>
      </c>
      <c r="X35">
        <v>22</v>
      </c>
      <c r="AE35" t="s">
        <v>1979</v>
      </c>
      <c r="AH35">
        <v>0</v>
      </c>
      <c r="AM35" t="s">
        <v>1979</v>
      </c>
      <c r="AR35">
        <v>-66</v>
      </c>
      <c r="AW35">
        <v>21</v>
      </c>
      <c r="BH35">
        <v>2.3E-2</v>
      </c>
      <c r="BN35">
        <v>5</v>
      </c>
      <c r="BO35" t="s">
        <v>8209</v>
      </c>
      <c r="BP35">
        <v>0</v>
      </c>
      <c r="BQ35" s="596">
        <v>536</v>
      </c>
      <c r="BR35" t="s">
        <v>8093</v>
      </c>
      <c r="BS35" t="s">
        <v>8093</v>
      </c>
      <c r="BT35">
        <v>0</v>
      </c>
      <c r="BU35" t="s">
        <v>8093</v>
      </c>
      <c r="BV35">
        <v>0</v>
      </c>
      <c r="BW35">
        <v>717</v>
      </c>
      <c r="BX35" t="s">
        <v>1981</v>
      </c>
      <c r="BY35">
        <v>0</v>
      </c>
      <c r="BZ35">
        <v>0</v>
      </c>
      <c r="CA35">
        <v>0</v>
      </c>
      <c r="CB35">
        <v>0</v>
      </c>
      <c r="CD35" t="s">
        <v>8309</v>
      </c>
    </row>
    <row r="36" spans="1:82">
      <c r="A36" t="s">
        <v>7961</v>
      </c>
      <c r="B36" t="s">
        <v>8310</v>
      </c>
      <c r="C36" t="s">
        <v>7958</v>
      </c>
      <c r="D36" t="s">
        <v>1384</v>
      </c>
      <c r="E36" t="s">
        <v>8297</v>
      </c>
      <c r="F36" t="s">
        <v>8183</v>
      </c>
      <c r="G36" t="s">
        <v>8311</v>
      </c>
      <c r="H36" t="s">
        <v>8312</v>
      </c>
      <c r="I36" t="s">
        <v>8313</v>
      </c>
      <c r="J36" t="s">
        <v>8119</v>
      </c>
      <c r="N36" t="s">
        <v>8314</v>
      </c>
      <c r="O36" t="s">
        <v>10</v>
      </c>
      <c r="P36" t="s">
        <v>8315</v>
      </c>
      <c r="Q36">
        <v>0</v>
      </c>
      <c r="R36" t="s">
        <v>8129</v>
      </c>
      <c r="X36">
        <v>25</v>
      </c>
      <c r="AH36">
        <v>0</v>
      </c>
      <c r="BP36">
        <v>0</v>
      </c>
      <c r="BQ36" s="596">
        <v>4</v>
      </c>
      <c r="BR36" t="s">
        <v>8093</v>
      </c>
      <c r="BS36" t="s">
        <v>8093</v>
      </c>
      <c r="BT36">
        <v>0</v>
      </c>
      <c r="BU36" t="s">
        <v>8093</v>
      </c>
      <c r="BV36">
        <v>0</v>
      </c>
      <c r="BW36">
        <v>25</v>
      </c>
      <c r="BX36" t="s">
        <v>1981</v>
      </c>
      <c r="BY36">
        <v>0</v>
      </c>
      <c r="BZ36">
        <v>0</v>
      </c>
      <c r="CA36">
        <v>0</v>
      </c>
      <c r="CB36">
        <v>0</v>
      </c>
      <c r="CD36" t="s">
        <v>8316</v>
      </c>
    </row>
    <row r="37" spans="1:82">
      <c r="A37" t="s">
        <v>7961</v>
      </c>
      <c r="B37" t="s">
        <v>8317</v>
      </c>
      <c r="C37" t="s">
        <v>7958</v>
      </c>
      <c r="D37" t="s">
        <v>1384</v>
      </c>
      <c r="E37" t="s">
        <v>8297</v>
      </c>
      <c r="F37" t="s">
        <v>8199</v>
      </c>
      <c r="G37" t="s">
        <v>8318</v>
      </c>
      <c r="H37" t="s">
        <v>8319</v>
      </c>
      <c r="I37" t="s">
        <v>8320</v>
      </c>
      <c r="J37" t="s">
        <v>8088</v>
      </c>
      <c r="K37" t="s">
        <v>8089</v>
      </c>
      <c r="N37" t="s">
        <v>8178</v>
      </c>
      <c r="O37" t="s">
        <v>10</v>
      </c>
      <c r="P37" t="s">
        <v>8202</v>
      </c>
      <c r="Q37">
        <v>0</v>
      </c>
      <c r="R37" t="s">
        <v>8129</v>
      </c>
      <c r="S37">
        <v>0</v>
      </c>
      <c r="T37">
        <v>0</v>
      </c>
      <c r="U37">
        <v>0</v>
      </c>
      <c r="V37">
        <v>0</v>
      </c>
      <c r="W37">
        <v>0</v>
      </c>
      <c r="X37">
        <v>0</v>
      </c>
      <c r="AH37">
        <v>0</v>
      </c>
      <c r="AI37" t="s">
        <v>1979</v>
      </c>
      <c r="AJ37" t="s">
        <v>1979</v>
      </c>
      <c r="AK37" t="s">
        <v>1979</v>
      </c>
      <c r="AL37" t="s">
        <v>1979</v>
      </c>
      <c r="AM37" t="s">
        <v>1979</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8092</v>
      </c>
      <c r="BP37">
        <v>1</v>
      </c>
      <c r="BQ37" s="596">
        <v>4</v>
      </c>
      <c r="BR37" t="s">
        <v>1979</v>
      </c>
      <c r="BS37" t="s">
        <v>8093</v>
      </c>
      <c r="BT37">
        <v>0</v>
      </c>
      <c r="BU37" t="s">
        <v>1988</v>
      </c>
      <c r="BV37">
        <v>0.1</v>
      </c>
      <c r="BW37">
        <v>1</v>
      </c>
      <c r="BX37" t="s">
        <v>1979</v>
      </c>
      <c r="BY37">
        <v>0</v>
      </c>
      <c r="BZ37">
        <v>0</v>
      </c>
      <c r="CA37" t="s">
        <v>1988</v>
      </c>
      <c r="CB37">
        <v>2.5000000000000001E-2</v>
      </c>
      <c r="CD37" t="s">
        <v>8321</v>
      </c>
    </row>
    <row r="38" spans="1:82">
      <c r="A38" t="s">
        <v>7961</v>
      </c>
      <c r="B38" t="s">
        <v>8322</v>
      </c>
      <c r="C38" t="s">
        <v>7958</v>
      </c>
      <c r="D38" t="s">
        <v>1384</v>
      </c>
      <c r="E38" t="s">
        <v>8297</v>
      </c>
      <c r="F38" t="s">
        <v>8241</v>
      </c>
      <c r="G38" t="s">
        <v>8323</v>
      </c>
      <c r="H38" t="s">
        <v>8324</v>
      </c>
      <c r="I38" t="s">
        <v>8325</v>
      </c>
      <c r="J38" t="s">
        <v>8088</v>
      </c>
      <c r="K38" t="s">
        <v>8089</v>
      </c>
      <c r="N38" t="s">
        <v>8252</v>
      </c>
      <c r="O38" t="s">
        <v>10</v>
      </c>
      <c r="P38" t="s">
        <v>8326</v>
      </c>
      <c r="Q38">
        <v>0</v>
      </c>
      <c r="R38" t="s">
        <v>8129</v>
      </c>
      <c r="S38">
        <v>58</v>
      </c>
      <c r="X38">
        <v>67</v>
      </c>
      <c r="AF38" t="s">
        <v>1979</v>
      </c>
      <c r="AH38">
        <v>0</v>
      </c>
      <c r="AM38" t="s">
        <v>1979</v>
      </c>
      <c r="AR38">
        <v>58</v>
      </c>
      <c r="AW38">
        <v>67</v>
      </c>
      <c r="BB38">
        <v>67</v>
      </c>
      <c r="BG38">
        <v>75</v>
      </c>
      <c r="BH38">
        <v>0.373</v>
      </c>
      <c r="BL38">
        <v>0.373</v>
      </c>
      <c r="BN38">
        <v>5</v>
      </c>
      <c r="BO38" t="s">
        <v>8209</v>
      </c>
      <c r="BP38">
        <v>71</v>
      </c>
      <c r="BQ38" s="596">
        <v>71</v>
      </c>
      <c r="BR38" t="s">
        <v>8093</v>
      </c>
      <c r="BS38" t="s">
        <v>8093</v>
      </c>
      <c r="BT38">
        <v>0</v>
      </c>
      <c r="BU38" t="s">
        <v>8093</v>
      </c>
      <c r="BV38">
        <v>0</v>
      </c>
      <c r="BW38">
        <v>65</v>
      </c>
      <c r="BX38" t="s">
        <v>1981</v>
      </c>
      <c r="BY38">
        <v>0</v>
      </c>
      <c r="BZ38">
        <v>0</v>
      </c>
      <c r="CA38">
        <v>0</v>
      </c>
      <c r="CB38">
        <v>0</v>
      </c>
      <c r="CD38" t="s">
        <v>8327</v>
      </c>
    </row>
    <row r="39" spans="1:82">
      <c r="A39" t="s">
        <v>7961</v>
      </c>
      <c r="B39" t="s">
        <v>8328</v>
      </c>
      <c r="C39" t="s">
        <v>7958</v>
      </c>
      <c r="D39" t="s">
        <v>1384</v>
      </c>
      <c r="E39" t="s">
        <v>8297</v>
      </c>
      <c r="F39" t="s">
        <v>8241</v>
      </c>
      <c r="G39" t="s">
        <v>8329</v>
      </c>
      <c r="H39" t="s">
        <v>8330</v>
      </c>
      <c r="I39" t="s">
        <v>8331</v>
      </c>
      <c r="J39" t="s">
        <v>8119</v>
      </c>
      <c r="N39" t="s">
        <v>8245</v>
      </c>
      <c r="O39" t="s">
        <v>10</v>
      </c>
      <c r="P39" t="s">
        <v>8246</v>
      </c>
      <c r="Q39">
        <v>0</v>
      </c>
      <c r="R39" t="s">
        <v>8129</v>
      </c>
      <c r="S39">
        <v>49</v>
      </c>
      <c r="X39">
        <v>50</v>
      </c>
      <c r="AF39" t="s">
        <v>1979</v>
      </c>
      <c r="AH39">
        <v>0</v>
      </c>
      <c r="BP39">
        <v>49</v>
      </c>
      <c r="BQ39" s="596">
        <v>98.85</v>
      </c>
      <c r="BR39" t="s">
        <v>8093</v>
      </c>
      <c r="BS39" t="s">
        <v>8093</v>
      </c>
      <c r="BT39">
        <v>0</v>
      </c>
      <c r="BU39" t="s">
        <v>8093</v>
      </c>
      <c r="BV39">
        <v>0</v>
      </c>
      <c r="BW39">
        <v>98.83</v>
      </c>
      <c r="BX39" t="s">
        <v>1981</v>
      </c>
      <c r="BY39">
        <v>0</v>
      </c>
      <c r="BZ39">
        <v>0</v>
      </c>
      <c r="CA39">
        <v>0</v>
      </c>
      <c r="CB39">
        <v>0</v>
      </c>
      <c r="CD39" t="s">
        <v>8332</v>
      </c>
    </row>
    <row r="40" spans="1:82">
      <c r="A40" t="s">
        <v>7961</v>
      </c>
      <c r="B40" t="s">
        <v>8333</v>
      </c>
      <c r="C40" t="s">
        <v>7958</v>
      </c>
      <c r="D40" t="s">
        <v>1384</v>
      </c>
      <c r="E40" t="s">
        <v>8297</v>
      </c>
      <c r="F40" t="s">
        <v>8241</v>
      </c>
      <c r="G40" t="s">
        <v>8334</v>
      </c>
      <c r="H40" t="s">
        <v>8335</v>
      </c>
      <c r="I40" t="s">
        <v>8336</v>
      </c>
      <c r="J40" t="s">
        <v>8088</v>
      </c>
      <c r="K40" t="s">
        <v>8089</v>
      </c>
      <c r="N40" t="s">
        <v>8337</v>
      </c>
      <c r="O40" t="s">
        <v>11</v>
      </c>
      <c r="P40" t="s">
        <v>8338</v>
      </c>
      <c r="Q40">
        <v>0</v>
      </c>
      <c r="R40" t="s">
        <v>8091</v>
      </c>
      <c r="S40">
        <v>408</v>
      </c>
      <c r="T40">
        <v>371</v>
      </c>
      <c r="U40">
        <v>335</v>
      </c>
      <c r="V40">
        <v>298</v>
      </c>
      <c r="W40">
        <v>298</v>
      </c>
      <c r="X40">
        <v>298</v>
      </c>
      <c r="AB40" t="s">
        <v>1979</v>
      </c>
      <c r="AE40" t="s">
        <v>1979</v>
      </c>
      <c r="AH40">
        <v>0</v>
      </c>
      <c r="AI40" t="s">
        <v>1979</v>
      </c>
      <c r="AJ40" t="s">
        <v>1979</v>
      </c>
      <c r="AK40" t="s">
        <v>1979</v>
      </c>
      <c r="AL40" t="s">
        <v>1979</v>
      </c>
      <c r="AM40" t="s">
        <v>1979</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8092</v>
      </c>
      <c r="BP40">
        <v>390</v>
      </c>
      <c r="BQ40" s="596">
        <v>144</v>
      </c>
      <c r="BR40" t="s">
        <v>1979</v>
      </c>
      <c r="BS40" t="s">
        <v>8093</v>
      </c>
      <c r="BT40">
        <v>0</v>
      </c>
      <c r="BU40" t="s">
        <v>1988</v>
      </c>
      <c r="BV40">
        <v>4.3890000000000002</v>
      </c>
      <c r="BW40">
        <v>217</v>
      </c>
      <c r="BX40" t="s">
        <v>1979</v>
      </c>
      <c r="BY40">
        <v>0</v>
      </c>
      <c r="BZ40">
        <v>0</v>
      </c>
      <c r="CA40" t="s">
        <v>1988</v>
      </c>
      <c r="CB40">
        <v>2.3085</v>
      </c>
      <c r="CD40" t="s">
        <v>8339</v>
      </c>
    </row>
    <row r="41" spans="1:82">
      <c r="A41" t="s">
        <v>7961</v>
      </c>
      <c r="B41" t="s">
        <v>8340</v>
      </c>
      <c r="C41" t="s">
        <v>7958</v>
      </c>
      <c r="D41" t="s">
        <v>1384</v>
      </c>
      <c r="E41" t="s">
        <v>8297</v>
      </c>
      <c r="F41" t="s">
        <v>8241</v>
      </c>
      <c r="G41" t="s">
        <v>8341</v>
      </c>
      <c r="H41" t="s">
        <v>8342</v>
      </c>
      <c r="I41" t="s">
        <v>8343</v>
      </c>
      <c r="J41" t="s">
        <v>8099</v>
      </c>
      <c r="K41" t="s">
        <v>8089</v>
      </c>
      <c r="N41" t="s">
        <v>8252</v>
      </c>
      <c r="O41" t="s">
        <v>11</v>
      </c>
      <c r="P41" t="s">
        <v>8253</v>
      </c>
      <c r="Q41">
        <v>0</v>
      </c>
      <c r="R41" t="s">
        <v>8129</v>
      </c>
      <c r="S41">
        <v>0</v>
      </c>
      <c r="X41">
        <v>81</v>
      </c>
      <c r="AF41" t="s">
        <v>1979</v>
      </c>
      <c r="AH41">
        <v>0</v>
      </c>
      <c r="AM41" t="s">
        <v>1979</v>
      </c>
      <c r="AR41">
        <v>0</v>
      </c>
      <c r="AW41">
        <v>81</v>
      </c>
      <c r="BH41">
        <v>0.62</v>
      </c>
      <c r="BN41">
        <v>1</v>
      </c>
      <c r="BO41" t="s">
        <v>8092</v>
      </c>
      <c r="BP41">
        <v>0</v>
      </c>
      <c r="BQ41" s="596">
        <v>0</v>
      </c>
      <c r="BR41" t="s">
        <v>8093</v>
      </c>
      <c r="BS41" t="s">
        <v>8093</v>
      </c>
      <c r="BT41">
        <v>0</v>
      </c>
      <c r="BU41" t="s">
        <v>8093</v>
      </c>
      <c r="BV41">
        <v>0</v>
      </c>
      <c r="BW41">
        <v>3</v>
      </c>
      <c r="BX41" t="s">
        <v>1981</v>
      </c>
      <c r="BY41">
        <v>0</v>
      </c>
      <c r="BZ41">
        <v>0</v>
      </c>
      <c r="CA41">
        <v>0</v>
      </c>
      <c r="CB41">
        <v>0</v>
      </c>
      <c r="CD41" t="s">
        <v>8344</v>
      </c>
    </row>
    <row r="42" spans="1:82">
      <c r="A42" t="s">
        <v>7961</v>
      </c>
      <c r="B42" t="s">
        <v>8345</v>
      </c>
      <c r="C42" t="s">
        <v>7958</v>
      </c>
      <c r="D42" t="s">
        <v>1384</v>
      </c>
      <c r="E42" t="s">
        <v>8297</v>
      </c>
      <c r="F42" t="s">
        <v>8256</v>
      </c>
      <c r="G42" t="s">
        <v>8346</v>
      </c>
      <c r="H42" t="s">
        <v>8347</v>
      </c>
      <c r="I42" t="s">
        <v>8348</v>
      </c>
      <c r="J42" t="s">
        <v>8119</v>
      </c>
      <c r="N42" t="s">
        <v>8260</v>
      </c>
      <c r="O42" t="s">
        <v>10</v>
      </c>
      <c r="P42" t="s">
        <v>8261</v>
      </c>
      <c r="Q42">
        <v>0</v>
      </c>
      <c r="R42" t="s">
        <v>8129</v>
      </c>
      <c r="S42">
        <v>0</v>
      </c>
      <c r="X42">
        <v>7</v>
      </c>
      <c r="AH42">
        <v>0</v>
      </c>
      <c r="BP42">
        <v>0</v>
      </c>
      <c r="BQ42" s="596">
        <v>5</v>
      </c>
      <c r="BR42" t="s">
        <v>8093</v>
      </c>
      <c r="BS42" t="s">
        <v>8093</v>
      </c>
      <c r="BT42">
        <v>0</v>
      </c>
      <c r="BU42" t="s">
        <v>8093</v>
      </c>
      <c r="BV42">
        <v>0</v>
      </c>
      <c r="BW42">
        <v>11</v>
      </c>
      <c r="BX42" t="s">
        <v>1981</v>
      </c>
      <c r="BY42">
        <v>0</v>
      </c>
      <c r="BZ42">
        <v>0</v>
      </c>
      <c r="CA42">
        <v>0</v>
      </c>
      <c r="CB42">
        <v>0</v>
      </c>
      <c r="CD42" t="s">
        <v>8349</v>
      </c>
    </row>
    <row r="43" spans="1:82">
      <c r="A43" t="s">
        <v>7961</v>
      </c>
      <c r="B43" t="s">
        <v>8350</v>
      </c>
      <c r="C43" t="s">
        <v>7958</v>
      </c>
      <c r="D43" t="s">
        <v>1384</v>
      </c>
      <c r="E43" t="s">
        <v>8297</v>
      </c>
      <c r="F43" t="s">
        <v>8256</v>
      </c>
      <c r="G43" t="s">
        <v>8351</v>
      </c>
      <c r="H43" t="s">
        <v>8352</v>
      </c>
      <c r="I43" t="s">
        <v>8353</v>
      </c>
      <c r="J43" t="s">
        <v>8119</v>
      </c>
      <c r="N43" t="s">
        <v>8260</v>
      </c>
      <c r="O43" t="s">
        <v>10</v>
      </c>
      <c r="P43" t="s">
        <v>8267</v>
      </c>
      <c r="Q43">
        <v>0</v>
      </c>
      <c r="R43" t="s">
        <v>8129</v>
      </c>
      <c r="S43">
        <v>50</v>
      </c>
      <c r="X43">
        <v>60</v>
      </c>
      <c r="AH43">
        <v>0</v>
      </c>
      <c r="BP43">
        <v>54</v>
      </c>
      <c r="BQ43" s="596">
        <v>53</v>
      </c>
      <c r="BR43" t="s">
        <v>8093</v>
      </c>
      <c r="BS43" t="s">
        <v>8093</v>
      </c>
      <c r="BT43">
        <v>0</v>
      </c>
      <c r="BU43" t="s">
        <v>8093</v>
      </c>
      <c r="BV43">
        <v>0</v>
      </c>
      <c r="BW43">
        <v>55</v>
      </c>
      <c r="BX43" t="s">
        <v>1981</v>
      </c>
      <c r="BY43">
        <v>0</v>
      </c>
      <c r="BZ43">
        <v>0</v>
      </c>
      <c r="CA43">
        <v>0</v>
      </c>
      <c r="CB43">
        <v>0</v>
      </c>
      <c r="CD43" t="s">
        <v>8354</v>
      </c>
    </row>
    <row r="44" spans="1:82">
      <c r="A44" t="s">
        <v>7961</v>
      </c>
      <c r="B44" t="s">
        <v>8355</v>
      </c>
      <c r="C44" t="s">
        <v>7958</v>
      </c>
      <c r="D44" t="s">
        <v>1384</v>
      </c>
      <c r="E44" t="s">
        <v>8297</v>
      </c>
      <c r="F44" t="s">
        <v>8270</v>
      </c>
      <c r="G44" t="s">
        <v>8356</v>
      </c>
      <c r="H44" t="s">
        <v>8357</v>
      </c>
      <c r="I44" t="s">
        <v>8358</v>
      </c>
      <c r="J44" t="s">
        <v>8119</v>
      </c>
      <c r="N44" t="s">
        <v>8274</v>
      </c>
      <c r="O44" t="s">
        <v>10</v>
      </c>
      <c r="P44" t="s">
        <v>8275</v>
      </c>
      <c r="Q44" t="s">
        <v>8092</v>
      </c>
      <c r="R44" t="s">
        <v>8129</v>
      </c>
      <c r="S44">
        <v>56</v>
      </c>
      <c r="X44">
        <v>60</v>
      </c>
      <c r="AH44">
        <v>0</v>
      </c>
      <c r="BP44" t="s">
        <v>1987</v>
      </c>
      <c r="BQ44" s="598">
        <v>56</v>
      </c>
      <c r="BR44" t="s">
        <v>8093</v>
      </c>
      <c r="BS44" t="s">
        <v>8093</v>
      </c>
      <c r="BT44">
        <v>0</v>
      </c>
      <c r="BU44" t="s">
        <v>8093</v>
      </c>
      <c r="BV44">
        <v>0</v>
      </c>
      <c r="BW44">
        <v>52</v>
      </c>
      <c r="BX44" t="s">
        <v>1981</v>
      </c>
      <c r="BY44">
        <v>0</v>
      </c>
      <c r="BZ44">
        <v>0</v>
      </c>
      <c r="CA44">
        <v>0</v>
      </c>
      <c r="CB44">
        <v>0</v>
      </c>
      <c r="CD44" t="s">
        <v>8359</v>
      </c>
    </row>
    <row r="45" spans="1:82">
      <c r="A45" t="s">
        <v>7961</v>
      </c>
      <c r="B45" t="s">
        <v>8360</v>
      </c>
      <c r="C45" t="s">
        <v>7958</v>
      </c>
      <c r="D45" t="s">
        <v>1384</v>
      </c>
      <c r="E45" t="s">
        <v>8297</v>
      </c>
      <c r="F45" t="s">
        <v>8278</v>
      </c>
      <c r="G45" t="s">
        <v>8361</v>
      </c>
      <c r="H45" t="s">
        <v>8362</v>
      </c>
      <c r="I45" t="s">
        <v>8363</v>
      </c>
      <c r="J45" t="s">
        <v>8099</v>
      </c>
      <c r="K45" t="s">
        <v>8089</v>
      </c>
      <c r="M45" t="s">
        <v>1980</v>
      </c>
      <c r="N45" t="s">
        <v>8364</v>
      </c>
      <c r="O45" t="s">
        <v>8282</v>
      </c>
      <c r="P45" t="s">
        <v>8283</v>
      </c>
      <c r="Q45" t="s">
        <v>8092</v>
      </c>
      <c r="S45" t="s">
        <v>1984</v>
      </c>
      <c r="T45" t="s">
        <v>2539</v>
      </c>
      <c r="U45" t="s">
        <v>2539</v>
      </c>
      <c r="V45" t="s">
        <v>2539</v>
      </c>
      <c r="W45" t="s">
        <v>2539</v>
      </c>
      <c r="X45" t="s">
        <v>2539</v>
      </c>
      <c r="AE45" t="s">
        <v>1979</v>
      </c>
      <c r="AH45">
        <v>4</v>
      </c>
      <c r="AI45" t="s">
        <v>1979</v>
      </c>
      <c r="AJ45" t="s">
        <v>1979</v>
      </c>
      <c r="AK45" t="s">
        <v>1979</v>
      </c>
      <c r="AL45" t="s">
        <v>1979</v>
      </c>
      <c r="AM45" t="s">
        <v>1979</v>
      </c>
      <c r="BN45">
        <v>1</v>
      </c>
      <c r="BO45" t="s">
        <v>8092</v>
      </c>
      <c r="BP45" t="s">
        <v>1984</v>
      </c>
      <c r="BQ45" s="598" t="s">
        <v>2539</v>
      </c>
      <c r="BR45" t="s">
        <v>1979</v>
      </c>
      <c r="BS45" t="s">
        <v>8093</v>
      </c>
      <c r="BT45">
        <v>0</v>
      </c>
      <c r="BU45" t="s">
        <v>8093</v>
      </c>
      <c r="BV45">
        <v>0</v>
      </c>
      <c r="BW45" t="s">
        <v>2539</v>
      </c>
      <c r="BX45" t="s">
        <v>1979</v>
      </c>
      <c r="BY45">
        <v>0</v>
      </c>
      <c r="BZ45">
        <v>0</v>
      </c>
      <c r="CA45">
        <v>0</v>
      </c>
      <c r="CB45">
        <v>0</v>
      </c>
      <c r="CD45" t="s">
        <v>8365</v>
      </c>
    </row>
    <row r="46" spans="1:82">
      <c r="A46" t="s">
        <v>7961</v>
      </c>
      <c r="B46" t="s">
        <v>8366</v>
      </c>
      <c r="C46" t="s">
        <v>7958</v>
      </c>
      <c r="D46" t="s">
        <v>1384</v>
      </c>
      <c r="E46" t="s">
        <v>8297</v>
      </c>
      <c r="F46" t="s">
        <v>8278</v>
      </c>
      <c r="G46" t="s">
        <v>8367</v>
      </c>
      <c r="H46" t="s">
        <v>8368</v>
      </c>
      <c r="I46" t="s">
        <v>8369</v>
      </c>
      <c r="J46" t="s">
        <v>8099</v>
      </c>
      <c r="K46" t="s">
        <v>8089</v>
      </c>
      <c r="M46" t="s">
        <v>1980</v>
      </c>
      <c r="N46" t="s">
        <v>8364</v>
      </c>
      <c r="O46" t="s">
        <v>8282</v>
      </c>
      <c r="P46" t="s">
        <v>8283</v>
      </c>
      <c r="Q46" t="s">
        <v>8092</v>
      </c>
      <c r="S46" t="s">
        <v>1984</v>
      </c>
      <c r="T46" t="s">
        <v>2539</v>
      </c>
      <c r="U46" t="s">
        <v>2539</v>
      </c>
      <c r="V46" t="s">
        <v>2539</v>
      </c>
      <c r="W46" t="s">
        <v>2539</v>
      </c>
      <c r="X46" t="s">
        <v>2539</v>
      </c>
      <c r="AE46" t="s">
        <v>1979</v>
      </c>
      <c r="AH46">
        <v>2</v>
      </c>
      <c r="AI46" t="s">
        <v>1979</v>
      </c>
      <c r="AJ46" t="s">
        <v>1979</v>
      </c>
      <c r="AK46" t="s">
        <v>1979</v>
      </c>
      <c r="AL46" t="s">
        <v>1979</v>
      </c>
      <c r="AM46" t="s">
        <v>1979</v>
      </c>
      <c r="BN46">
        <v>1</v>
      </c>
      <c r="BO46" t="s">
        <v>8092</v>
      </c>
      <c r="BP46" t="s">
        <v>1984</v>
      </c>
      <c r="BQ46" s="598" t="s">
        <v>2539</v>
      </c>
      <c r="BR46" t="s">
        <v>1979</v>
      </c>
      <c r="BS46" t="s">
        <v>8093</v>
      </c>
      <c r="BT46">
        <v>0</v>
      </c>
      <c r="BU46" t="s">
        <v>8093</v>
      </c>
      <c r="BV46">
        <v>0</v>
      </c>
      <c r="BW46" t="s">
        <v>2539</v>
      </c>
      <c r="BX46" t="s">
        <v>1979</v>
      </c>
      <c r="BY46">
        <v>0</v>
      </c>
      <c r="BZ46">
        <v>0</v>
      </c>
      <c r="CA46">
        <v>0</v>
      </c>
      <c r="CB46">
        <v>0</v>
      </c>
      <c r="CD46" t="s">
        <v>8370</v>
      </c>
    </row>
    <row r="47" spans="1:82" ht="19.5">
      <c r="A47" t="s">
        <v>7961</v>
      </c>
      <c r="B47" t="s">
        <v>8371</v>
      </c>
      <c r="C47" t="s">
        <v>7958</v>
      </c>
      <c r="D47" t="s">
        <v>8163</v>
      </c>
      <c r="E47" t="s">
        <v>8164</v>
      </c>
      <c r="F47" t="s">
        <v>8183</v>
      </c>
      <c r="G47" t="s">
        <v>8166</v>
      </c>
      <c r="H47" t="s">
        <v>8372</v>
      </c>
      <c r="I47" t="s">
        <v>8373</v>
      </c>
      <c r="J47" t="s">
        <v>8119</v>
      </c>
      <c r="N47" t="s">
        <v>8169</v>
      </c>
      <c r="O47" t="s">
        <v>6241</v>
      </c>
      <c r="P47" t="s">
        <v>8374</v>
      </c>
      <c r="Q47" t="s">
        <v>8092</v>
      </c>
      <c r="S47" t="s">
        <v>8375</v>
      </c>
      <c r="T47" t="s">
        <v>8375</v>
      </c>
      <c r="U47" t="s">
        <v>8375</v>
      </c>
      <c r="V47" t="s">
        <v>8375</v>
      </c>
      <c r="W47" t="s">
        <v>8375</v>
      </c>
      <c r="X47" t="s">
        <v>8375</v>
      </c>
      <c r="AH47">
        <v>0</v>
      </c>
      <c r="BP47" t="s">
        <v>3323</v>
      </c>
      <c r="BQ47" s="599" t="s">
        <v>8376</v>
      </c>
      <c r="BR47" t="s">
        <v>1979</v>
      </c>
      <c r="BS47" t="s">
        <v>8093</v>
      </c>
      <c r="BT47">
        <v>0</v>
      </c>
      <c r="BU47" t="s">
        <v>8093</v>
      </c>
      <c r="BV47">
        <v>0</v>
      </c>
      <c r="BW47" t="s">
        <v>8377</v>
      </c>
      <c r="BX47" t="s">
        <v>1980</v>
      </c>
      <c r="BY47">
        <v>0</v>
      </c>
      <c r="BZ47">
        <v>0</v>
      </c>
      <c r="CA47">
        <v>0</v>
      </c>
      <c r="CB47">
        <v>0</v>
      </c>
      <c r="CD47" t="s">
        <v>8378</v>
      </c>
    </row>
    <row r="48" spans="1:82">
      <c r="A48" t="s">
        <v>7961</v>
      </c>
      <c r="B48" t="s">
        <v>8379</v>
      </c>
      <c r="C48" t="s">
        <v>7958</v>
      </c>
      <c r="D48" t="s">
        <v>8163</v>
      </c>
      <c r="E48" t="s">
        <v>8164</v>
      </c>
      <c r="F48" t="s">
        <v>8183</v>
      </c>
      <c r="G48" t="s">
        <v>8175</v>
      </c>
      <c r="H48" t="s">
        <v>8380</v>
      </c>
      <c r="I48" t="s">
        <v>8381</v>
      </c>
      <c r="J48" t="s">
        <v>8088</v>
      </c>
      <c r="K48" t="s">
        <v>8089</v>
      </c>
      <c r="M48" t="s">
        <v>1980</v>
      </c>
      <c r="N48" t="s">
        <v>8169</v>
      </c>
      <c r="O48" t="s">
        <v>8170</v>
      </c>
      <c r="P48" t="s">
        <v>8171</v>
      </c>
      <c r="Q48">
        <v>0</v>
      </c>
      <c r="R48" t="s">
        <v>8129</v>
      </c>
      <c r="S48">
        <v>85</v>
      </c>
      <c r="T48" t="s">
        <v>8172</v>
      </c>
      <c r="U48" t="s">
        <v>8172</v>
      </c>
      <c r="V48" t="s">
        <v>8172</v>
      </c>
      <c r="W48" t="s">
        <v>8172</v>
      </c>
      <c r="X48" t="s">
        <v>8172</v>
      </c>
      <c r="AH48">
        <v>0</v>
      </c>
      <c r="AI48" t="s">
        <v>1979</v>
      </c>
      <c r="AJ48" t="s">
        <v>1979</v>
      </c>
      <c r="AK48" t="s">
        <v>1979</v>
      </c>
      <c r="AL48" t="s">
        <v>1979</v>
      </c>
      <c r="AM48" t="s">
        <v>1979</v>
      </c>
      <c r="AN48" t="s">
        <v>8172</v>
      </c>
      <c r="AO48" t="s">
        <v>8172</v>
      </c>
      <c r="AP48" t="s">
        <v>8172</v>
      </c>
      <c r="AQ48" t="s">
        <v>8172</v>
      </c>
      <c r="AR48" t="s">
        <v>8172</v>
      </c>
      <c r="AS48" t="s">
        <v>8172</v>
      </c>
      <c r="AT48" t="s">
        <v>8172</v>
      </c>
      <c r="AU48" t="s">
        <v>8172</v>
      </c>
      <c r="AV48" t="s">
        <v>8172</v>
      </c>
      <c r="AW48" t="s">
        <v>8172</v>
      </c>
      <c r="AX48" t="s">
        <v>8172</v>
      </c>
      <c r="AY48" t="s">
        <v>8172</v>
      </c>
      <c r="AZ48" t="s">
        <v>8172</v>
      </c>
      <c r="BA48" t="s">
        <v>8172</v>
      </c>
      <c r="BB48" t="s">
        <v>8172</v>
      </c>
      <c r="BC48" t="s">
        <v>8172</v>
      </c>
      <c r="BD48" t="s">
        <v>8172</v>
      </c>
      <c r="BE48" t="s">
        <v>8172</v>
      </c>
      <c r="BF48" t="s">
        <v>8172</v>
      </c>
      <c r="BG48" t="s">
        <v>8172</v>
      </c>
      <c r="BH48" t="s">
        <v>8172</v>
      </c>
      <c r="BL48" t="s">
        <v>8172</v>
      </c>
      <c r="BN48">
        <v>1</v>
      </c>
      <c r="BO48" t="s">
        <v>8092</v>
      </c>
      <c r="BP48" t="s">
        <v>3323</v>
      </c>
      <c r="BQ48" s="598">
        <v>85</v>
      </c>
      <c r="BR48" t="s">
        <v>8093</v>
      </c>
      <c r="BS48" t="s">
        <v>8093</v>
      </c>
      <c r="BT48">
        <v>0</v>
      </c>
      <c r="BU48" t="s">
        <v>8093</v>
      </c>
      <c r="BV48">
        <v>0</v>
      </c>
      <c r="BW48">
        <v>86</v>
      </c>
      <c r="BX48" t="s">
        <v>1981</v>
      </c>
      <c r="BY48">
        <v>0</v>
      </c>
      <c r="BZ48">
        <v>0</v>
      </c>
      <c r="CA48">
        <v>0</v>
      </c>
      <c r="CB48">
        <v>0</v>
      </c>
      <c r="CD48" t="s">
        <v>8382</v>
      </c>
    </row>
    <row r="49" spans="1:82">
      <c r="A49" t="s">
        <v>7961</v>
      </c>
      <c r="B49" t="s">
        <v>8383</v>
      </c>
      <c r="C49" t="s">
        <v>7958</v>
      </c>
      <c r="D49" t="s">
        <v>8163</v>
      </c>
      <c r="E49" t="s">
        <v>8164</v>
      </c>
      <c r="F49" t="s">
        <v>8183</v>
      </c>
      <c r="G49" t="s">
        <v>8384</v>
      </c>
      <c r="H49" t="s">
        <v>8385</v>
      </c>
      <c r="I49" t="s">
        <v>8386</v>
      </c>
      <c r="J49" t="s">
        <v>8119</v>
      </c>
      <c r="N49" t="s">
        <v>8274</v>
      </c>
      <c r="O49" t="s">
        <v>8387</v>
      </c>
      <c r="P49" t="s">
        <v>8388</v>
      </c>
      <c r="Q49" t="s">
        <v>8092</v>
      </c>
      <c r="S49" t="s">
        <v>8389</v>
      </c>
      <c r="X49" t="s">
        <v>8390</v>
      </c>
      <c r="AH49">
        <v>0</v>
      </c>
      <c r="BP49" t="s">
        <v>8389</v>
      </c>
      <c r="BQ49" s="600" t="s">
        <v>8391</v>
      </c>
      <c r="BR49" t="s">
        <v>8093</v>
      </c>
      <c r="BS49" t="s">
        <v>8093</v>
      </c>
      <c r="BT49">
        <v>0</v>
      </c>
      <c r="BU49" t="s">
        <v>8093</v>
      </c>
      <c r="BV49">
        <v>0</v>
      </c>
      <c r="BW49" t="s">
        <v>8392</v>
      </c>
      <c r="BX49" t="s">
        <v>1981</v>
      </c>
      <c r="BY49">
        <v>0</v>
      </c>
      <c r="BZ49">
        <v>0</v>
      </c>
      <c r="CA49">
        <v>0</v>
      </c>
      <c r="CB49">
        <v>0</v>
      </c>
      <c r="CD49" t="s">
        <v>8393</v>
      </c>
    </row>
    <row r="50" spans="1:82">
      <c r="A50" t="s">
        <v>7961</v>
      </c>
      <c r="B50" t="s">
        <v>8394</v>
      </c>
      <c r="C50" t="s">
        <v>7958</v>
      </c>
      <c r="D50" t="s">
        <v>8163</v>
      </c>
      <c r="E50" t="s">
        <v>8164</v>
      </c>
      <c r="F50" t="s">
        <v>8199</v>
      </c>
      <c r="G50" t="s">
        <v>8395</v>
      </c>
      <c r="H50" t="s">
        <v>8396</v>
      </c>
      <c r="I50" t="s">
        <v>8397</v>
      </c>
      <c r="J50" t="s">
        <v>8088</v>
      </c>
      <c r="K50" t="s">
        <v>8089</v>
      </c>
      <c r="N50" t="s">
        <v>8178</v>
      </c>
      <c r="O50" t="s">
        <v>10</v>
      </c>
      <c r="P50" t="s">
        <v>8202</v>
      </c>
      <c r="Q50">
        <v>0</v>
      </c>
      <c r="R50" t="s">
        <v>8129</v>
      </c>
      <c r="S50">
        <v>0</v>
      </c>
      <c r="T50">
        <v>0</v>
      </c>
      <c r="U50">
        <v>0</v>
      </c>
      <c r="V50">
        <v>0</v>
      </c>
      <c r="W50">
        <v>0</v>
      </c>
      <c r="X50">
        <v>0</v>
      </c>
      <c r="AH50">
        <v>0</v>
      </c>
      <c r="AI50" t="s">
        <v>1979</v>
      </c>
      <c r="AJ50" t="s">
        <v>1979</v>
      </c>
      <c r="AK50" t="s">
        <v>1979</v>
      </c>
      <c r="AL50" t="s">
        <v>1979</v>
      </c>
      <c r="AM50" t="s">
        <v>1979</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8092</v>
      </c>
      <c r="BP50">
        <v>3</v>
      </c>
      <c r="BQ50" s="596">
        <v>5</v>
      </c>
      <c r="BR50" t="s">
        <v>1979</v>
      </c>
      <c r="BS50" t="s">
        <v>8093</v>
      </c>
      <c r="BT50">
        <v>0</v>
      </c>
      <c r="BU50" t="s">
        <v>1988</v>
      </c>
      <c r="BV50">
        <v>0.125</v>
      </c>
      <c r="BW50">
        <v>3</v>
      </c>
      <c r="BX50" t="s">
        <v>1979</v>
      </c>
      <c r="BY50">
        <v>0</v>
      </c>
      <c r="BZ50">
        <v>0</v>
      </c>
      <c r="CA50" t="s">
        <v>1988</v>
      </c>
      <c r="CB50">
        <v>7.4999999999999997E-2</v>
      </c>
      <c r="CD50" t="s">
        <v>8398</v>
      </c>
    </row>
    <row r="51" spans="1:82">
      <c r="A51" t="s">
        <v>7961</v>
      </c>
      <c r="B51" t="s">
        <v>8399</v>
      </c>
      <c r="C51" t="s">
        <v>7958</v>
      </c>
      <c r="D51" t="s">
        <v>8163</v>
      </c>
      <c r="E51" t="s">
        <v>8164</v>
      </c>
      <c r="F51" t="s">
        <v>8199</v>
      </c>
      <c r="G51" t="s">
        <v>8400</v>
      </c>
      <c r="H51" t="s">
        <v>8401</v>
      </c>
      <c r="I51" t="s">
        <v>8402</v>
      </c>
      <c r="J51" t="s">
        <v>8088</v>
      </c>
      <c r="K51" t="s">
        <v>8089</v>
      </c>
      <c r="N51" t="s">
        <v>8178</v>
      </c>
      <c r="O51" t="s">
        <v>10</v>
      </c>
      <c r="P51" t="s">
        <v>8202</v>
      </c>
      <c r="Q51">
        <v>0</v>
      </c>
      <c r="R51" t="s">
        <v>8129</v>
      </c>
      <c r="S51">
        <v>0</v>
      </c>
      <c r="T51">
        <v>0</v>
      </c>
      <c r="U51">
        <v>0</v>
      </c>
      <c r="V51">
        <v>0</v>
      </c>
      <c r="W51">
        <v>0</v>
      </c>
      <c r="X51">
        <v>0</v>
      </c>
      <c r="AH51">
        <v>0</v>
      </c>
      <c r="AI51" t="s">
        <v>1979</v>
      </c>
      <c r="AJ51" t="s">
        <v>1979</v>
      </c>
      <c r="AK51" t="s">
        <v>1979</v>
      </c>
      <c r="AL51" t="s">
        <v>1979</v>
      </c>
      <c r="AM51" t="s">
        <v>1979</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8092</v>
      </c>
      <c r="BP51">
        <v>4</v>
      </c>
      <c r="BQ51" s="596">
        <v>6</v>
      </c>
      <c r="BR51" t="s">
        <v>1979</v>
      </c>
      <c r="BS51" t="s">
        <v>8093</v>
      </c>
      <c r="BT51">
        <v>0</v>
      </c>
      <c r="BU51" t="s">
        <v>1988</v>
      </c>
      <c r="BV51">
        <v>0.15</v>
      </c>
      <c r="BW51">
        <v>4</v>
      </c>
      <c r="BX51" t="s">
        <v>1979</v>
      </c>
      <c r="BY51">
        <v>0</v>
      </c>
      <c r="BZ51">
        <v>0</v>
      </c>
      <c r="CA51" t="s">
        <v>1988</v>
      </c>
      <c r="CB51">
        <v>0.1</v>
      </c>
      <c r="CD51" t="s">
        <v>8403</v>
      </c>
    </row>
    <row r="52" spans="1:82">
      <c r="A52" t="s">
        <v>7961</v>
      </c>
      <c r="B52" t="s">
        <v>8404</v>
      </c>
      <c r="C52" t="s">
        <v>7958</v>
      </c>
      <c r="D52" t="s">
        <v>8163</v>
      </c>
      <c r="E52" t="s">
        <v>8164</v>
      </c>
      <c r="F52" t="s">
        <v>8256</v>
      </c>
      <c r="G52" t="s">
        <v>8405</v>
      </c>
      <c r="H52" t="s">
        <v>8406</v>
      </c>
      <c r="I52" t="s">
        <v>8407</v>
      </c>
      <c r="J52" t="s">
        <v>8119</v>
      </c>
      <c r="N52" t="s">
        <v>8260</v>
      </c>
      <c r="O52" t="s">
        <v>10</v>
      </c>
      <c r="P52" t="s">
        <v>8261</v>
      </c>
      <c r="Q52">
        <v>0</v>
      </c>
      <c r="R52" t="s">
        <v>8129</v>
      </c>
      <c r="S52">
        <v>0</v>
      </c>
      <c r="X52">
        <v>7</v>
      </c>
      <c r="AH52">
        <v>0</v>
      </c>
      <c r="BP52">
        <v>0</v>
      </c>
      <c r="BQ52" s="596">
        <v>5</v>
      </c>
      <c r="BR52" t="s">
        <v>8093</v>
      </c>
      <c r="BS52" t="s">
        <v>8093</v>
      </c>
      <c r="BT52">
        <v>0</v>
      </c>
      <c r="BU52" t="s">
        <v>8093</v>
      </c>
      <c r="BV52">
        <v>0</v>
      </c>
      <c r="BW52">
        <v>11</v>
      </c>
      <c r="BX52" t="s">
        <v>1981</v>
      </c>
      <c r="BY52">
        <v>0</v>
      </c>
      <c r="BZ52">
        <v>0</v>
      </c>
      <c r="CA52">
        <v>0</v>
      </c>
      <c r="CB52">
        <v>0</v>
      </c>
      <c r="CD52" t="s">
        <v>8408</v>
      </c>
    </row>
    <row r="53" spans="1:82">
      <c r="A53" t="s">
        <v>7961</v>
      </c>
      <c r="B53" t="s">
        <v>8409</v>
      </c>
      <c r="C53" t="s">
        <v>7958</v>
      </c>
      <c r="D53" t="s">
        <v>8163</v>
      </c>
      <c r="E53" t="s">
        <v>8164</v>
      </c>
      <c r="F53" t="s">
        <v>8256</v>
      </c>
      <c r="G53" t="s">
        <v>8410</v>
      </c>
      <c r="H53" t="s">
        <v>8411</v>
      </c>
      <c r="I53" t="s">
        <v>8412</v>
      </c>
      <c r="J53" t="s">
        <v>8119</v>
      </c>
      <c r="N53" t="s">
        <v>8260</v>
      </c>
      <c r="O53" t="s">
        <v>10</v>
      </c>
      <c r="P53" t="s">
        <v>8267</v>
      </c>
      <c r="Q53">
        <v>0</v>
      </c>
      <c r="R53" t="s">
        <v>8129</v>
      </c>
      <c r="S53">
        <v>50</v>
      </c>
      <c r="X53">
        <v>60</v>
      </c>
      <c r="AH53">
        <v>0</v>
      </c>
      <c r="BP53">
        <v>54</v>
      </c>
      <c r="BQ53" s="596">
        <v>53</v>
      </c>
      <c r="BR53" t="s">
        <v>8093</v>
      </c>
      <c r="BS53" t="s">
        <v>8093</v>
      </c>
      <c r="BT53">
        <v>0</v>
      </c>
      <c r="BU53" t="s">
        <v>8093</v>
      </c>
      <c r="BV53">
        <v>0</v>
      </c>
      <c r="BW53">
        <v>55</v>
      </c>
      <c r="BX53" t="s">
        <v>1981</v>
      </c>
      <c r="BY53">
        <v>0</v>
      </c>
      <c r="BZ53">
        <v>0</v>
      </c>
      <c r="CA53">
        <v>0</v>
      </c>
      <c r="CB53">
        <v>0</v>
      </c>
      <c r="CD53" t="s">
        <v>8413</v>
      </c>
    </row>
    <row r="54" spans="1:82">
      <c r="A54" t="s">
        <v>7961</v>
      </c>
      <c r="B54" t="s">
        <v>8414</v>
      </c>
      <c r="C54" t="s">
        <v>7958</v>
      </c>
      <c r="D54" t="s">
        <v>8163</v>
      </c>
      <c r="E54" t="s">
        <v>8164</v>
      </c>
      <c r="F54" t="s">
        <v>8270</v>
      </c>
      <c r="G54" t="s">
        <v>8415</v>
      </c>
      <c r="H54" t="s">
        <v>8416</v>
      </c>
      <c r="I54" t="s">
        <v>8417</v>
      </c>
      <c r="J54" t="s">
        <v>8119</v>
      </c>
      <c r="N54" t="s">
        <v>8274</v>
      </c>
      <c r="O54" t="s">
        <v>10</v>
      </c>
      <c r="P54" t="s">
        <v>8275</v>
      </c>
      <c r="Q54" t="s">
        <v>8092</v>
      </c>
      <c r="R54" t="s">
        <v>8129</v>
      </c>
      <c r="S54">
        <v>56</v>
      </c>
      <c r="X54">
        <v>60</v>
      </c>
      <c r="AH54">
        <v>0</v>
      </c>
      <c r="BP54" t="s">
        <v>1987</v>
      </c>
      <c r="BQ54" s="598">
        <v>56</v>
      </c>
      <c r="BR54" t="s">
        <v>8093</v>
      </c>
      <c r="BS54" t="s">
        <v>8093</v>
      </c>
      <c r="BT54">
        <v>0</v>
      </c>
      <c r="BU54" t="s">
        <v>8093</v>
      </c>
      <c r="BV54">
        <v>0</v>
      </c>
      <c r="BW54">
        <v>52</v>
      </c>
      <c r="BX54" t="s">
        <v>1981</v>
      </c>
      <c r="BY54">
        <v>0</v>
      </c>
      <c r="BZ54">
        <v>0</v>
      </c>
      <c r="CA54">
        <v>0</v>
      </c>
      <c r="CB54">
        <v>0</v>
      </c>
      <c r="CD54" t="s">
        <v>8418</v>
      </c>
    </row>
    <row r="55" spans="1:82">
      <c r="A55" t="s">
        <v>8419</v>
      </c>
      <c r="B55" t="s">
        <v>8420</v>
      </c>
      <c r="C55" t="s">
        <v>7995</v>
      </c>
      <c r="D55" t="s">
        <v>1383</v>
      </c>
      <c r="E55" t="s">
        <v>8083</v>
      </c>
      <c r="F55" t="s">
        <v>8421</v>
      </c>
      <c r="G55" t="s">
        <v>6966</v>
      </c>
      <c r="H55" t="s">
        <v>8422</v>
      </c>
      <c r="I55" t="s">
        <v>8423</v>
      </c>
      <c r="J55" t="s">
        <v>8088</v>
      </c>
      <c r="K55" t="s">
        <v>8089</v>
      </c>
      <c r="N55" t="s">
        <v>2556</v>
      </c>
      <c r="O55" t="s">
        <v>8186</v>
      </c>
      <c r="P55" t="s">
        <v>8187</v>
      </c>
      <c r="Q55">
        <v>1</v>
      </c>
      <c r="R55" t="s">
        <v>8091</v>
      </c>
      <c r="S55">
        <v>13.7</v>
      </c>
      <c r="T55">
        <v>13.4</v>
      </c>
      <c r="U55">
        <v>13.1</v>
      </c>
      <c r="V55">
        <v>12.8</v>
      </c>
      <c r="W55">
        <v>12.5</v>
      </c>
      <c r="X55">
        <v>12.2</v>
      </c>
      <c r="AA55" t="s">
        <v>1979</v>
      </c>
      <c r="AE55" t="s">
        <v>1979</v>
      </c>
      <c r="AH55">
        <v>0</v>
      </c>
      <c r="AI55" t="s">
        <v>1979</v>
      </c>
      <c r="AJ55" t="s">
        <v>1979</v>
      </c>
      <c r="AK55" t="s">
        <v>1979</v>
      </c>
      <c r="AL55" t="s">
        <v>1979</v>
      </c>
      <c r="AM55" t="s">
        <v>1979</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8092</v>
      </c>
      <c r="BP55">
        <v>152.4</v>
      </c>
      <c r="BQ55" s="597">
        <v>15.49</v>
      </c>
      <c r="BR55" t="s">
        <v>1980</v>
      </c>
      <c r="BS55" t="s">
        <v>8093</v>
      </c>
      <c r="BT55">
        <v>0</v>
      </c>
      <c r="BU55" t="s">
        <v>1983</v>
      </c>
      <c r="BV55">
        <v>-0.7389</v>
      </c>
      <c r="BW55">
        <v>13.12</v>
      </c>
      <c r="BX55" t="s">
        <v>1979</v>
      </c>
      <c r="BY55">
        <v>0</v>
      </c>
      <c r="BZ55">
        <v>0</v>
      </c>
      <c r="CA55">
        <v>0</v>
      </c>
      <c r="CB55">
        <v>0</v>
      </c>
      <c r="CD55" t="s">
        <v>8424</v>
      </c>
    </row>
    <row r="56" spans="1:82">
      <c r="A56" t="s">
        <v>8419</v>
      </c>
      <c r="B56" t="s">
        <v>8425</v>
      </c>
      <c r="C56" t="s">
        <v>7995</v>
      </c>
      <c r="D56" t="s">
        <v>1383</v>
      </c>
      <c r="E56" t="s">
        <v>8083</v>
      </c>
      <c r="F56" t="s">
        <v>8421</v>
      </c>
      <c r="G56" t="s">
        <v>6967</v>
      </c>
      <c r="H56" t="s">
        <v>8426</v>
      </c>
      <c r="I56" t="s">
        <v>8427</v>
      </c>
      <c r="J56" t="s">
        <v>8099</v>
      </c>
      <c r="K56" t="s">
        <v>8428</v>
      </c>
      <c r="M56" t="s">
        <v>1980</v>
      </c>
      <c r="N56" t="s">
        <v>8148</v>
      </c>
      <c r="O56" t="s">
        <v>8282</v>
      </c>
      <c r="P56" t="s">
        <v>8429</v>
      </c>
      <c r="Q56" t="s">
        <v>8092</v>
      </c>
      <c r="S56" t="s">
        <v>1984</v>
      </c>
      <c r="T56" t="s">
        <v>1984</v>
      </c>
      <c r="U56" t="s">
        <v>1984</v>
      </c>
      <c r="V56" t="s">
        <v>1984</v>
      </c>
      <c r="W56" t="s">
        <v>1984</v>
      </c>
      <c r="X56" t="s">
        <v>1984</v>
      </c>
      <c r="AE56" t="s">
        <v>1979</v>
      </c>
      <c r="AH56">
        <v>2</v>
      </c>
      <c r="AI56" t="s">
        <v>1979</v>
      </c>
      <c r="AJ56" t="s">
        <v>1979</v>
      </c>
      <c r="AK56" t="s">
        <v>1979</v>
      </c>
      <c r="AL56" t="s">
        <v>1979</v>
      </c>
      <c r="AM56" t="s">
        <v>1979</v>
      </c>
      <c r="AN56" t="s">
        <v>8430</v>
      </c>
      <c r="AO56" t="s">
        <v>8430</v>
      </c>
      <c r="AP56" t="s">
        <v>8430</v>
      </c>
      <c r="AQ56" t="s">
        <v>8430</v>
      </c>
      <c r="AR56" t="s">
        <v>8430</v>
      </c>
      <c r="AS56" t="s">
        <v>1982</v>
      </c>
      <c r="AT56" t="s">
        <v>1982</v>
      </c>
      <c r="AU56" t="s">
        <v>1982</v>
      </c>
      <c r="AV56" t="s">
        <v>1982</v>
      </c>
      <c r="AW56" t="s">
        <v>1982</v>
      </c>
      <c r="BH56">
        <v>2.0539999999999998</v>
      </c>
      <c r="BI56">
        <v>0.68500000000000005</v>
      </c>
      <c r="BN56">
        <v>1</v>
      </c>
      <c r="BO56" t="s">
        <v>8092</v>
      </c>
      <c r="BP56" t="s">
        <v>1984</v>
      </c>
      <c r="BQ56" s="598" t="s">
        <v>1984</v>
      </c>
      <c r="BR56" t="s">
        <v>1979</v>
      </c>
      <c r="BS56" t="s">
        <v>8093</v>
      </c>
      <c r="BT56">
        <v>0</v>
      </c>
      <c r="BU56" t="s">
        <v>8093</v>
      </c>
      <c r="BV56">
        <v>0</v>
      </c>
      <c r="BW56" t="s">
        <v>1984</v>
      </c>
      <c r="BX56" t="s">
        <v>1979</v>
      </c>
      <c r="BY56">
        <v>0</v>
      </c>
      <c r="BZ56">
        <v>0</v>
      </c>
      <c r="CA56">
        <v>0</v>
      </c>
      <c r="CB56">
        <v>0</v>
      </c>
      <c r="CD56" t="s">
        <v>8431</v>
      </c>
    </row>
    <row r="57" spans="1:82">
      <c r="A57" t="s">
        <v>8419</v>
      </c>
      <c r="B57" t="s">
        <v>8432</v>
      </c>
      <c r="C57" t="s">
        <v>7995</v>
      </c>
      <c r="D57" t="s">
        <v>1383</v>
      </c>
      <c r="E57" t="s">
        <v>8083</v>
      </c>
      <c r="F57" t="s">
        <v>8421</v>
      </c>
      <c r="G57" t="s">
        <v>7851</v>
      </c>
      <c r="H57" t="s">
        <v>8433</v>
      </c>
      <c r="I57" t="s">
        <v>8434</v>
      </c>
      <c r="J57" t="s">
        <v>8099</v>
      </c>
      <c r="K57" t="s">
        <v>8428</v>
      </c>
      <c r="M57" t="s">
        <v>1980</v>
      </c>
      <c r="N57" t="s">
        <v>8148</v>
      </c>
      <c r="O57" t="s">
        <v>8282</v>
      </c>
      <c r="P57" t="s">
        <v>8429</v>
      </c>
      <c r="Q57" t="s">
        <v>8092</v>
      </c>
      <c r="S57" t="s">
        <v>1984</v>
      </c>
      <c r="T57" t="s">
        <v>1984</v>
      </c>
      <c r="U57" t="s">
        <v>1984</v>
      </c>
      <c r="V57" t="s">
        <v>1984</v>
      </c>
      <c r="W57" t="s">
        <v>1984</v>
      </c>
      <c r="X57" t="s">
        <v>1984</v>
      </c>
      <c r="AE57" t="s">
        <v>1979</v>
      </c>
      <c r="AH57">
        <v>2</v>
      </c>
      <c r="AI57" t="s">
        <v>1979</v>
      </c>
      <c r="AJ57" t="s">
        <v>1979</v>
      </c>
      <c r="AK57" t="s">
        <v>1979</v>
      </c>
      <c r="AL57" t="s">
        <v>1979</v>
      </c>
      <c r="AM57" t="s">
        <v>1979</v>
      </c>
      <c r="AN57" t="s">
        <v>8430</v>
      </c>
      <c r="AO57" t="s">
        <v>8430</v>
      </c>
      <c r="AP57" t="s">
        <v>8430</v>
      </c>
      <c r="AQ57" t="s">
        <v>8430</v>
      </c>
      <c r="AR57" t="s">
        <v>8430</v>
      </c>
      <c r="AS57" t="s">
        <v>1982</v>
      </c>
      <c r="AT57" t="s">
        <v>1982</v>
      </c>
      <c r="AU57" t="s">
        <v>1982</v>
      </c>
      <c r="AV57" t="s">
        <v>1982</v>
      </c>
      <c r="AW57" t="s">
        <v>1982</v>
      </c>
      <c r="BH57">
        <v>2.1190000000000002</v>
      </c>
      <c r="BI57">
        <v>0.70599999999999996</v>
      </c>
      <c r="BN57">
        <v>1</v>
      </c>
      <c r="BO57" t="s">
        <v>8092</v>
      </c>
      <c r="BP57" t="s">
        <v>1984</v>
      </c>
      <c r="BQ57" s="598" t="s">
        <v>1984</v>
      </c>
      <c r="BR57" t="s">
        <v>1979</v>
      </c>
      <c r="BS57" t="s">
        <v>8093</v>
      </c>
      <c r="BT57">
        <v>0</v>
      </c>
      <c r="BU57" t="s">
        <v>8093</v>
      </c>
      <c r="BV57">
        <v>0</v>
      </c>
      <c r="BW57" t="s">
        <v>1984</v>
      </c>
      <c r="BX57" t="s">
        <v>1979</v>
      </c>
      <c r="BY57">
        <v>0</v>
      </c>
      <c r="BZ57">
        <v>0</v>
      </c>
      <c r="CA57">
        <v>0</v>
      </c>
      <c r="CB57">
        <v>0</v>
      </c>
      <c r="CD57" t="s">
        <v>8435</v>
      </c>
    </row>
    <row r="58" spans="1:82">
      <c r="A58" t="s">
        <v>8419</v>
      </c>
      <c r="B58" t="s">
        <v>8436</v>
      </c>
      <c r="C58" t="s">
        <v>7995</v>
      </c>
      <c r="D58" t="s">
        <v>1383</v>
      </c>
      <c r="E58" t="s">
        <v>8083</v>
      </c>
      <c r="F58" t="s">
        <v>8437</v>
      </c>
      <c r="G58" t="s">
        <v>6968</v>
      </c>
      <c r="H58" t="s">
        <v>8438</v>
      </c>
      <c r="I58" t="s">
        <v>8439</v>
      </c>
      <c r="J58" t="s">
        <v>8088</v>
      </c>
      <c r="K58" t="s">
        <v>8089</v>
      </c>
      <c r="N58" t="s">
        <v>4821</v>
      </c>
      <c r="O58" t="s">
        <v>11</v>
      </c>
      <c r="P58" t="s">
        <v>8440</v>
      </c>
      <c r="Q58">
        <v>0</v>
      </c>
      <c r="R58" t="s">
        <v>8091</v>
      </c>
      <c r="S58">
        <v>288589</v>
      </c>
      <c r="T58">
        <v>288589</v>
      </c>
      <c r="U58">
        <v>288589</v>
      </c>
      <c r="V58">
        <v>9063</v>
      </c>
      <c r="W58">
        <v>9063</v>
      </c>
      <c r="X58">
        <v>9063</v>
      </c>
      <c r="AD58" t="s">
        <v>1979</v>
      </c>
      <c r="AE58" t="s">
        <v>1979</v>
      </c>
      <c r="AH58">
        <v>0</v>
      </c>
      <c r="AI58" t="s">
        <v>1979</v>
      </c>
      <c r="AJ58" t="s">
        <v>1979</v>
      </c>
      <c r="AK58" t="s">
        <v>1979</v>
      </c>
      <c r="AL58" t="s">
        <v>1979</v>
      </c>
      <c r="AM58" t="s">
        <v>1979</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8092</v>
      </c>
      <c r="BP58">
        <v>288589</v>
      </c>
      <c r="BQ58" s="596">
        <v>288589</v>
      </c>
      <c r="BR58" t="s">
        <v>1979</v>
      </c>
      <c r="BS58" t="s">
        <v>8093</v>
      </c>
      <c r="BT58">
        <v>0</v>
      </c>
      <c r="BU58" t="s">
        <v>8093</v>
      </c>
      <c r="BV58">
        <v>0</v>
      </c>
      <c r="BW58">
        <v>288589</v>
      </c>
      <c r="BX58" t="s">
        <v>1979</v>
      </c>
      <c r="BY58">
        <v>0</v>
      </c>
      <c r="BZ58">
        <v>0</v>
      </c>
      <c r="CA58">
        <v>0</v>
      </c>
      <c r="CB58">
        <v>0</v>
      </c>
      <c r="CD58" t="s">
        <v>8441</v>
      </c>
    </row>
    <row r="59" spans="1:82">
      <c r="A59" t="s">
        <v>8419</v>
      </c>
      <c r="B59" t="s">
        <v>8442</v>
      </c>
      <c r="C59" t="s">
        <v>7995</v>
      </c>
      <c r="D59" t="s">
        <v>1383</v>
      </c>
      <c r="E59" t="s">
        <v>8083</v>
      </c>
      <c r="F59" t="s">
        <v>8443</v>
      </c>
      <c r="G59" t="s">
        <v>7872</v>
      </c>
      <c r="H59" t="s">
        <v>8444</v>
      </c>
      <c r="I59" t="s">
        <v>8445</v>
      </c>
      <c r="J59" t="s">
        <v>8119</v>
      </c>
      <c r="N59" t="s">
        <v>8107</v>
      </c>
      <c r="O59" t="s">
        <v>8170</v>
      </c>
      <c r="P59" t="s">
        <v>8222</v>
      </c>
      <c r="Q59">
        <v>0</v>
      </c>
      <c r="R59" t="s">
        <v>8129</v>
      </c>
      <c r="S59">
        <v>100</v>
      </c>
      <c r="T59">
        <v>100</v>
      </c>
      <c r="U59">
        <v>100</v>
      </c>
      <c r="V59">
        <v>100</v>
      </c>
      <c r="W59">
        <v>100</v>
      </c>
      <c r="X59">
        <v>100</v>
      </c>
      <c r="AH59">
        <v>0</v>
      </c>
      <c r="BP59">
        <v>100</v>
      </c>
      <c r="BQ59" s="596">
        <v>100</v>
      </c>
      <c r="BR59" t="s">
        <v>1979</v>
      </c>
      <c r="BS59" t="s">
        <v>8093</v>
      </c>
      <c r="BT59">
        <v>0</v>
      </c>
      <c r="BU59" t="s">
        <v>8093</v>
      </c>
      <c r="BV59">
        <v>0</v>
      </c>
      <c r="BW59">
        <v>100</v>
      </c>
      <c r="BX59" t="s">
        <v>1979</v>
      </c>
      <c r="BY59">
        <v>0</v>
      </c>
      <c r="BZ59">
        <v>0</v>
      </c>
      <c r="CA59">
        <v>0</v>
      </c>
      <c r="CB59">
        <v>0</v>
      </c>
      <c r="CD59" t="s">
        <v>8446</v>
      </c>
    </row>
    <row r="60" spans="1:82">
      <c r="A60" t="s">
        <v>8419</v>
      </c>
      <c r="B60" t="s">
        <v>8447</v>
      </c>
      <c r="C60" t="s">
        <v>7995</v>
      </c>
      <c r="D60" t="s">
        <v>1383</v>
      </c>
      <c r="E60" t="s">
        <v>8083</v>
      </c>
      <c r="F60" t="s">
        <v>8443</v>
      </c>
      <c r="G60" t="s">
        <v>7875</v>
      </c>
      <c r="H60" t="s">
        <v>8448</v>
      </c>
      <c r="I60" t="s">
        <v>8449</v>
      </c>
      <c r="J60" t="s">
        <v>8099</v>
      </c>
      <c r="K60" t="s">
        <v>8089</v>
      </c>
      <c r="N60" t="s">
        <v>8214</v>
      </c>
      <c r="O60" t="s">
        <v>11</v>
      </c>
      <c r="P60" t="s">
        <v>8450</v>
      </c>
      <c r="Q60">
        <v>1</v>
      </c>
      <c r="R60" t="s">
        <v>8091</v>
      </c>
      <c r="S60">
        <v>0</v>
      </c>
      <c r="T60">
        <v>10.199999999999999</v>
      </c>
      <c r="U60">
        <v>10.199999999999999</v>
      </c>
      <c r="V60">
        <v>10.199999999999999</v>
      </c>
      <c r="W60">
        <v>10.199999999999999</v>
      </c>
      <c r="X60">
        <v>10.199999999999999</v>
      </c>
      <c r="AH60">
        <v>0</v>
      </c>
      <c r="AI60" t="s">
        <v>1979</v>
      </c>
      <c r="AJ60" t="s">
        <v>1979</v>
      </c>
      <c r="AK60" t="s">
        <v>1979</v>
      </c>
      <c r="AL60" t="s">
        <v>1979</v>
      </c>
      <c r="AM60" t="s">
        <v>1979</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8092</v>
      </c>
      <c r="BP60">
        <v>10.199999999999999</v>
      </c>
      <c r="BQ60" s="601">
        <v>1.54</v>
      </c>
      <c r="BR60" t="s">
        <v>1979</v>
      </c>
      <c r="BS60" t="s">
        <v>8093</v>
      </c>
      <c r="BT60">
        <v>0</v>
      </c>
      <c r="BU60" t="s">
        <v>8093</v>
      </c>
      <c r="BV60">
        <v>0</v>
      </c>
      <c r="BW60">
        <v>3.09</v>
      </c>
      <c r="BX60" t="s">
        <v>1979</v>
      </c>
      <c r="BY60">
        <v>0</v>
      </c>
      <c r="BZ60">
        <v>0</v>
      </c>
      <c r="CA60">
        <v>0</v>
      </c>
      <c r="CB60">
        <v>0</v>
      </c>
      <c r="CD60" t="s">
        <v>8451</v>
      </c>
    </row>
    <row r="61" spans="1:82">
      <c r="A61" t="s">
        <v>8419</v>
      </c>
      <c r="B61" t="s">
        <v>8452</v>
      </c>
      <c r="C61" t="s">
        <v>7995</v>
      </c>
      <c r="D61" t="s">
        <v>1383</v>
      </c>
      <c r="E61" t="s">
        <v>8083</v>
      </c>
      <c r="F61" t="s">
        <v>8453</v>
      </c>
      <c r="G61" t="s">
        <v>7879</v>
      </c>
      <c r="H61" t="s">
        <v>8454</v>
      </c>
      <c r="I61" t="s">
        <v>8455</v>
      </c>
      <c r="J61" t="s">
        <v>8099</v>
      </c>
      <c r="K61" t="s">
        <v>8089</v>
      </c>
      <c r="N61" t="s">
        <v>8127</v>
      </c>
      <c r="O61" t="s">
        <v>10</v>
      </c>
      <c r="P61" t="s">
        <v>8128</v>
      </c>
      <c r="Q61">
        <v>2</v>
      </c>
      <c r="R61" t="s">
        <v>8129</v>
      </c>
      <c r="S61">
        <v>99.96</v>
      </c>
      <c r="T61">
        <v>99.96</v>
      </c>
      <c r="U61">
        <v>99.96</v>
      </c>
      <c r="V61">
        <v>100</v>
      </c>
      <c r="W61">
        <v>100</v>
      </c>
      <c r="X61">
        <v>100</v>
      </c>
      <c r="Y61" t="s">
        <v>1979</v>
      </c>
      <c r="AE61" t="s">
        <v>1979</v>
      </c>
      <c r="AH61">
        <v>0</v>
      </c>
      <c r="AI61" t="s">
        <v>1979</v>
      </c>
      <c r="AJ61" t="s">
        <v>1979</v>
      </c>
      <c r="AK61" t="s">
        <v>1979</v>
      </c>
      <c r="AL61" t="s">
        <v>1979</v>
      </c>
      <c r="AM61" t="s">
        <v>1979</v>
      </c>
      <c r="AN61">
        <v>99.94</v>
      </c>
      <c r="AO61">
        <v>99.94</v>
      </c>
      <c r="AP61">
        <v>99.94</v>
      </c>
      <c r="AQ61">
        <v>99.94</v>
      </c>
      <c r="AR61">
        <v>99.94</v>
      </c>
      <c r="AS61">
        <v>99.95</v>
      </c>
      <c r="AT61">
        <v>99.95</v>
      </c>
      <c r="AU61">
        <v>99.95</v>
      </c>
      <c r="AV61">
        <v>99.95</v>
      </c>
      <c r="AW61">
        <v>99.95</v>
      </c>
      <c r="BH61">
        <v>0.28399999999999997</v>
      </c>
      <c r="BN61">
        <v>100</v>
      </c>
      <c r="BO61" t="s">
        <v>8456</v>
      </c>
      <c r="BP61">
        <v>99.92</v>
      </c>
      <c r="BQ61" s="597">
        <v>99.93</v>
      </c>
      <c r="BR61" t="s">
        <v>1980</v>
      </c>
      <c r="BS61" t="s">
        <v>8093</v>
      </c>
      <c r="BT61">
        <v>0</v>
      </c>
      <c r="BU61" t="s">
        <v>1983</v>
      </c>
      <c r="BV61">
        <v>-0.28399999999999997</v>
      </c>
      <c r="BW61">
        <v>99.97</v>
      </c>
      <c r="BX61" t="s">
        <v>1979</v>
      </c>
      <c r="BY61">
        <v>0</v>
      </c>
      <c r="BZ61">
        <v>0</v>
      </c>
      <c r="CA61">
        <v>0</v>
      </c>
      <c r="CB61">
        <v>0</v>
      </c>
      <c r="CD61" t="s">
        <v>8457</v>
      </c>
    </row>
    <row r="62" spans="1:82">
      <c r="A62" t="s">
        <v>8419</v>
      </c>
      <c r="B62" t="s">
        <v>8458</v>
      </c>
      <c r="C62" t="s">
        <v>7995</v>
      </c>
      <c r="D62" t="s">
        <v>1383</v>
      </c>
      <c r="E62" t="s">
        <v>8083</v>
      </c>
      <c r="F62" t="s">
        <v>8459</v>
      </c>
      <c r="G62" t="s">
        <v>7895</v>
      </c>
      <c r="H62" t="s">
        <v>8460</v>
      </c>
      <c r="I62" t="s">
        <v>8461</v>
      </c>
      <c r="J62" t="s">
        <v>8088</v>
      </c>
      <c r="K62" t="s">
        <v>8089</v>
      </c>
      <c r="N62" t="s">
        <v>8055</v>
      </c>
      <c r="O62" t="s">
        <v>11</v>
      </c>
      <c r="P62" t="s">
        <v>8462</v>
      </c>
      <c r="Q62">
        <v>0</v>
      </c>
      <c r="R62" t="s">
        <v>8091</v>
      </c>
      <c r="S62">
        <v>2450</v>
      </c>
      <c r="T62">
        <v>2422</v>
      </c>
      <c r="U62">
        <v>2409</v>
      </c>
      <c r="V62">
        <v>2322</v>
      </c>
      <c r="W62">
        <v>2275</v>
      </c>
      <c r="X62">
        <v>2221</v>
      </c>
      <c r="Z62" t="s">
        <v>1979</v>
      </c>
      <c r="AE62" t="s">
        <v>1979</v>
      </c>
      <c r="AH62">
        <v>0</v>
      </c>
      <c r="AI62" t="s">
        <v>1979</v>
      </c>
      <c r="AJ62" t="s">
        <v>1979</v>
      </c>
      <c r="AK62" t="s">
        <v>1979</v>
      </c>
      <c r="AL62" t="s">
        <v>1979</v>
      </c>
      <c r="AM62" t="s">
        <v>1979</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8092</v>
      </c>
      <c r="BP62">
        <v>2576</v>
      </c>
      <c r="BQ62" s="596">
        <v>2329</v>
      </c>
      <c r="BR62" t="s">
        <v>1979</v>
      </c>
      <c r="BS62" t="s">
        <v>8093</v>
      </c>
      <c r="BT62">
        <v>0</v>
      </c>
      <c r="BU62" t="s">
        <v>1992</v>
      </c>
      <c r="BV62">
        <v>0</v>
      </c>
      <c r="BW62">
        <v>2162</v>
      </c>
      <c r="BX62" t="s">
        <v>1979</v>
      </c>
      <c r="BY62">
        <v>0</v>
      </c>
      <c r="BZ62">
        <v>0</v>
      </c>
      <c r="CA62" t="s">
        <v>1992</v>
      </c>
      <c r="CB62">
        <v>0</v>
      </c>
      <c r="CD62" t="s">
        <v>8463</v>
      </c>
    </row>
    <row r="63" spans="1:82">
      <c r="A63" t="s">
        <v>8419</v>
      </c>
      <c r="B63" t="s">
        <v>8464</v>
      </c>
      <c r="C63" t="s">
        <v>7995</v>
      </c>
      <c r="D63" t="s">
        <v>1383</v>
      </c>
      <c r="E63" t="s">
        <v>8083</v>
      </c>
      <c r="F63" t="s">
        <v>8465</v>
      </c>
      <c r="G63" t="s">
        <v>7911</v>
      </c>
      <c r="H63" t="s">
        <v>8466</v>
      </c>
      <c r="I63" t="s">
        <v>8467</v>
      </c>
      <c r="J63" t="s">
        <v>8088</v>
      </c>
      <c r="K63" t="s">
        <v>8089</v>
      </c>
      <c r="N63" t="s">
        <v>2534</v>
      </c>
      <c r="O63" t="s">
        <v>11</v>
      </c>
      <c r="P63" t="s">
        <v>8090</v>
      </c>
      <c r="Q63">
        <v>1</v>
      </c>
      <c r="R63" t="s">
        <v>8091</v>
      </c>
      <c r="S63">
        <v>48</v>
      </c>
      <c r="T63">
        <v>48</v>
      </c>
      <c r="U63">
        <v>47</v>
      </c>
      <c r="V63">
        <v>45</v>
      </c>
      <c r="W63">
        <v>44</v>
      </c>
      <c r="X63">
        <v>43</v>
      </c>
      <c r="AE63" t="s">
        <v>1979</v>
      </c>
      <c r="AH63">
        <v>0</v>
      </c>
      <c r="AI63" t="s">
        <v>1979</v>
      </c>
      <c r="AJ63" t="s">
        <v>1979</v>
      </c>
      <c r="AK63" t="s">
        <v>1979</v>
      </c>
      <c r="AL63" t="s">
        <v>1979</v>
      </c>
      <c r="AM63" t="s">
        <v>1979</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8092</v>
      </c>
      <c r="BP63">
        <v>45.1</v>
      </c>
      <c r="BQ63" s="596">
        <v>44.2</v>
      </c>
      <c r="BR63" t="s">
        <v>1979</v>
      </c>
      <c r="BS63" t="s">
        <v>8093</v>
      </c>
      <c r="BT63">
        <v>0</v>
      </c>
      <c r="BU63" t="s">
        <v>1992</v>
      </c>
      <c r="BV63">
        <v>0</v>
      </c>
      <c r="BW63">
        <v>47.4</v>
      </c>
      <c r="BX63" t="s">
        <v>1980</v>
      </c>
      <c r="BY63">
        <v>0</v>
      </c>
      <c r="BZ63">
        <v>0</v>
      </c>
      <c r="CA63" t="s">
        <v>1983</v>
      </c>
      <c r="CB63">
        <v>0</v>
      </c>
      <c r="CD63" t="s">
        <v>8468</v>
      </c>
    </row>
    <row r="64" spans="1:82">
      <c r="A64" t="s">
        <v>8419</v>
      </c>
      <c r="B64" t="s">
        <v>8469</v>
      </c>
      <c r="C64" t="s">
        <v>7995</v>
      </c>
      <c r="D64" t="s">
        <v>1383</v>
      </c>
      <c r="E64" t="s">
        <v>8083</v>
      </c>
      <c r="F64" t="s">
        <v>8470</v>
      </c>
      <c r="G64" t="s">
        <v>8471</v>
      </c>
      <c r="H64" t="s">
        <v>8472</v>
      </c>
      <c r="I64" t="s">
        <v>8473</v>
      </c>
      <c r="J64" t="s">
        <v>8088</v>
      </c>
      <c r="K64" t="s">
        <v>8089</v>
      </c>
      <c r="N64" t="s">
        <v>8474</v>
      </c>
      <c r="O64" t="s">
        <v>10</v>
      </c>
      <c r="P64" t="s">
        <v>8475</v>
      </c>
      <c r="Q64">
        <v>1</v>
      </c>
      <c r="R64" t="s">
        <v>8129</v>
      </c>
      <c r="S64">
        <v>45.6</v>
      </c>
      <c r="T64">
        <v>50.4</v>
      </c>
      <c r="U64">
        <v>54.8</v>
      </c>
      <c r="V64">
        <v>58.8</v>
      </c>
      <c r="W64">
        <v>62.5</v>
      </c>
      <c r="X64">
        <v>65.900000000000006</v>
      </c>
      <c r="AH64">
        <v>0</v>
      </c>
      <c r="AI64" t="s">
        <v>1979</v>
      </c>
      <c r="AJ64" t="s">
        <v>1979</v>
      </c>
      <c r="AK64" t="s">
        <v>1979</v>
      </c>
      <c r="AL64" t="s">
        <v>1979</v>
      </c>
      <c r="AM64" t="s">
        <v>1979</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8092</v>
      </c>
      <c r="BP64">
        <v>45.8</v>
      </c>
      <c r="BQ64" s="601">
        <v>47.3</v>
      </c>
      <c r="BR64" t="s">
        <v>1980</v>
      </c>
      <c r="BS64" t="s">
        <v>8093</v>
      </c>
      <c r="BT64">
        <v>0</v>
      </c>
      <c r="BU64" t="s">
        <v>1983</v>
      </c>
      <c r="BV64">
        <v>-0.1178</v>
      </c>
      <c r="BW64">
        <v>49.6</v>
      </c>
      <c r="BX64" t="s">
        <v>1980</v>
      </c>
      <c r="BY64">
        <v>0</v>
      </c>
      <c r="BZ64">
        <v>0</v>
      </c>
      <c r="CA64" t="s">
        <v>1983</v>
      </c>
      <c r="CB64">
        <v>-0.152</v>
      </c>
      <c r="CD64" t="s">
        <v>8476</v>
      </c>
    </row>
    <row r="65" spans="1:82">
      <c r="A65" t="s">
        <v>8419</v>
      </c>
      <c r="B65" t="s">
        <v>8477</v>
      </c>
      <c r="C65" t="s">
        <v>7995</v>
      </c>
      <c r="D65" t="s">
        <v>1383</v>
      </c>
      <c r="E65" t="s">
        <v>8083</v>
      </c>
      <c r="F65" t="s">
        <v>8478</v>
      </c>
      <c r="G65" t="s">
        <v>8479</v>
      </c>
      <c r="H65" t="s">
        <v>8480</v>
      </c>
      <c r="I65" t="s">
        <v>8481</v>
      </c>
      <c r="J65" t="s">
        <v>8119</v>
      </c>
      <c r="N65" t="s">
        <v>8260</v>
      </c>
      <c r="O65" t="s">
        <v>11</v>
      </c>
      <c r="P65" t="s">
        <v>8482</v>
      </c>
      <c r="Q65">
        <v>0</v>
      </c>
      <c r="R65" t="s">
        <v>8091</v>
      </c>
      <c r="S65">
        <v>40</v>
      </c>
      <c r="T65">
        <v>32</v>
      </c>
      <c r="U65">
        <v>25</v>
      </c>
      <c r="V65">
        <v>23</v>
      </c>
      <c r="W65">
        <v>22</v>
      </c>
      <c r="X65">
        <v>20</v>
      </c>
      <c r="AH65">
        <v>0</v>
      </c>
      <c r="BP65">
        <v>38.5</v>
      </c>
      <c r="BQ65" s="596">
        <v>35.26</v>
      </c>
      <c r="BR65" t="s">
        <v>1980</v>
      </c>
      <c r="BS65" t="s">
        <v>8093</v>
      </c>
      <c r="BT65">
        <v>0</v>
      </c>
      <c r="BU65" t="s">
        <v>8093</v>
      </c>
      <c r="BV65">
        <v>0</v>
      </c>
      <c r="BW65">
        <v>31.8</v>
      </c>
      <c r="BX65" t="s">
        <v>1980</v>
      </c>
      <c r="BY65">
        <v>0</v>
      </c>
      <c r="BZ65">
        <v>0</v>
      </c>
      <c r="CA65">
        <v>0</v>
      </c>
      <c r="CB65">
        <v>0</v>
      </c>
      <c r="CD65" t="s">
        <v>8483</v>
      </c>
    </row>
    <row r="66" spans="1:82" ht="25.5">
      <c r="A66" t="s">
        <v>8419</v>
      </c>
      <c r="B66" t="s">
        <v>8484</v>
      </c>
      <c r="C66" t="s">
        <v>7995</v>
      </c>
      <c r="D66" t="s">
        <v>1383</v>
      </c>
      <c r="E66" t="s">
        <v>8083</v>
      </c>
      <c r="F66" t="s">
        <v>8478</v>
      </c>
      <c r="G66" t="s">
        <v>8485</v>
      </c>
      <c r="H66" t="s">
        <v>8486</v>
      </c>
      <c r="I66" t="s">
        <v>8487</v>
      </c>
      <c r="J66" t="s">
        <v>8119</v>
      </c>
      <c r="N66" t="s">
        <v>8113</v>
      </c>
      <c r="O66" t="s">
        <v>6241</v>
      </c>
      <c r="P66" t="s">
        <v>8488</v>
      </c>
      <c r="Q66">
        <v>0</v>
      </c>
      <c r="S66" t="s">
        <v>8430</v>
      </c>
      <c r="T66" t="s">
        <v>8430</v>
      </c>
      <c r="U66" t="s">
        <v>8430</v>
      </c>
      <c r="V66" t="s">
        <v>1982</v>
      </c>
      <c r="W66" t="s">
        <v>1982</v>
      </c>
      <c r="X66" t="s">
        <v>1984</v>
      </c>
      <c r="AF66" t="s">
        <v>1979</v>
      </c>
      <c r="AH66">
        <v>0</v>
      </c>
      <c r="BP66" t="s">
        <v>8430</v>
      </c>
      <c r="BQ66" s="598" t="s">
        <v>8430</v>
      </c>
      <c r="BR66" t="s">
        <v>1979</v>
      </c>
      <c r="BS66" t="s">
        <v>8093</v>
      </c>
      <c r="BT66">
        <v>0</v>
      </c>
      <c r="BU66" t="s">
        <v>8093</v>
      </c>
      <c r="BV66">
        <v>0</v>
      </c>
      <c r="BW66" t="s">
        <v>8430</v>
      </c>
      <c r="BX66" t="s">
        <v>1979</v>
      </c>
      <c r="BY66">
        <v>0</v>
      </c>
      <c r="BZ66">
        <v>0</v>
      </c>
      <c r="CA66">
        <v>0</v>
      </c>
      <c r="CB66">
        <v>0</v>
      </c>
      <c r="CD66" t="s">
        <v>8489</v>
      </c>
    </row>
    <row r="67" spans="1:82">
      <c r="A67" t="s">
        <v>8419</v>
      </c>
      <c r="B67" t="s">
        <v>8490</v>
      </c>
      <c r="C67" t="s">
        <v>7995</v>
      </c>
      <c r="D67" t="s">
        <v>1383</v>
      </c>
      <c r="E67" t="s">
        <v>8083</v>
      </c>
      <c r="F67" t="s">
        <v>8478</v>
      </c>
      <c r="G67" t="s">
        <v>8491</v>
      </c>
      <c r="H67" t="s">
        <v>8492</v>
      </c>
      <c r="I67" t="s">
        <v>8493</v>
      </c>
      <c r="J67" t="s">
        <v>8119</v>
      </c>
      <c r="N67" t="s">
        <v>8245</v>
      </c>
      <c r="O67" t="s">
        <v>11</v>
      </c>
      <c r="P67" t="s">
        <v>8494</v>
      </c>
      <c r="Q67">
        <v>0</v>
      </c>
      <c r="R67" t="s">
        <v>8129</v>
      </c>
      <c r="S67" t="s">
        <v>8495</v>
      </c>
      <c r="T67" t="s">
        <v>8496</v>
      </c>
      <c r="U67" t="s">
        <v>8496</v>
      </c>
      <c r="V67" t="s">
        <v>8496</v>
      </c>
      <c r="W67" t="s">
        <v>8496</v>
      </c>
      <c r="X67" t="s">
        <v>8496</v>
      </c>
      <c r="AF67" t="s">
        <v>1979</v>
      </c>
      <c r="AH67">
        <v>0</v>
      </c>
      <c r="BP67">
        <v>17596</v>
      </c>
      <c r="BQ67" s="602" t="s">
        <v>8497</v>
      </c>
      <c r="BR67" t="s">
        <v>1979</v>
      </c>
      <c r="BS67" t="s">
        <v>8093</v>
      </c>
      <c r="BT67">
        <v>0</v>
      </c>
      <c r="BU67" t="s">
        <v>8093</v>
      </c>
      <c r="BV67">
        <v>0</v>
      </c>
      <c r="BW67" t="s">
        <v>8497</v>
      </c>
      <c r="BX67" t="s">
        <v>1979</v>
      </c>
      <c r="BY67">
        <v>0</v>
      </c>
      <c r="BZ67">
        <v>0</v>
      </c>
      <c r="CA67">
        <v>0</v>
      </c>
      <c r="CB67">
        <v>0</v>
      </c>
      <c r="CD67" t="s">
        <v>8498</v>
      </c>
    </row>
    <row r="68" spans="1:82">
      <c r="A68" t="s">
        <v>8419</v>
      </c>
      <c r="B68" t="s">
        <v>8499</v>
      </c>
      <c r="C68" t="s">
        <v>7995</v>
      </c>
      <c r="D68" t="s">
        <v>1383</v>
      </c>
      <c r="E68" t="s">
        <v>8083</v>
      </c>
      <c r="F68" t="s">
        <v>8478</v>
      </c>
      <c r="G68" t="s">
        <v>8500</v>
      </c>
      <c r="H68" t="s">
        <v>8501</v>
      </c>
      <c r="I68" t="s">
        <v>8502</v>
      </c>
      <c r="J68" t="s">
        <v>8119</v>
      </c>
      <c r="N68" t="s">
        <v>8503</v>
      </c>
      <c r="O68" t="s">
        <v>10</v>
      </c>
      <c r="P68" t="s">
        <v>8504</v>
      </c>
      <c r="Q68">
        <v>0</v>
      </c>
      <c r="R68" t="s">
        <v>8129</v>
      </c>
      <c r="S68">
        <v>97</v>
      </c>
      <c r="T68">
        <v>100</v>
      </c>
      <c r="U68">
        <v>100</v>
      </c>
      <c r="V68">
        <v>100</v>
      </c>
      <c r="W68">
        <v>100</v>
      </c>
      <c r="X68">
        <v>100</v>
      </c>
      <c r="AH68">
        <v>0</v>
      </c>
      <c r="BP68">
        <v>99</v>
      </c>
      <c r="BQ68" s="596">
        <v>96.1</v>
      </c>
      <c r="BR68" t="s">
        <v>1980</v>
      </c>
      <c r="BS68" t="s">
        <v>8093</v>
      </c>
      <c r="BT68">
        <v>0</v>
      </c>
      <c r="BU68" t="s">
        <v>8093</v>
      </c>
      <c r="BV68">
        <v>0</v>
      </c>
      <c r="BW68">
        <v>95.83</v>
      </c>
      <c r="BX68" t="s">
        <v>1980</v>
      </c>
      <c r="BY68">
        <v>0</v>
      </c>
      <c r="BZ68">
        <v>0</v>
      </c>
      <c r="CA68">
        <v>0</v>
      </c>
      <c r="CB68">
        <v>0</v>
      </c>
      <c r="CD68" t="s">
        <v>8505</v>
      </c>
    </row>
    <row r="69" spans="1:82">
      <c r="A69" t="s">
        <v>8419</v>
      </c>
      <c r="B69" t="s">
        <v>8506</v>
      </c>
      <c r="C69" t="s">
        <v>7995</v>
      </c>
      <c r="D69" t="s">
        <v>8163</v>
      </c>
      <c r="E69" t="s">
        <v>8164</v>
      </c>
      <c r="F69" t="s">
        <v>8470</v>
      </c>
      <c r="G69" t="s">
        <v>8507</v>
      </c>
      <c r="H69" t="s">
        <v>8508</v>
      </c>
      <c r="I69" t="s">
        <v>8509</v>
      </c>
      <c r="J69" t="s">
        <v>8119</v>
      </c>
      <c r="N69" t="s">
        <v>8100</v>
      </c>
      <c r="O69" t="s">
        <v>11</v>
      </c>
      <c r="P69" t="s">
        <v>8510</v>
      </c>
      <c r="Q69">
        <v>1</v>
      </c>
      <c r="R69" t="s">
        <v>8091</v>
      </c>
      <c r="S69">
        <v>145.6</v>
      </c>
      <c r="T69">
        <v>145.4</v>
      </c>
      <c r="U69">
        <v>144.5</v>
      </c>
      <c r="V69">
        <v>143.6</v>
      </c>
      <c r="W69">
        <v>142.80000000000001</v>
      </c>
      <c r="X69">
        <v>142</v>
      </c>
      <c r="AH69">
        <v>0</v>
      </c>
      <c r="BP69">
        <v>143</v>
      </c>
      <c r="BQ69" s="601">
        <v>141.1</v>
      </c>
      <c r="BR69" t="s">
        <v>1979</v>
      </c>
      <c r="BS69" t="s">
        <v>8093</v>
      </c>
      <c r="BT69">
        <v>0</v>
      </c>
      <c r="BU69" t="s">
        <v>8093</v>
      </c>
      <c r="BV69">
        <v>0</v>
      </c>
      <c r="BW69">
        <v>144.1</v>
      </c>
      <c r="BX69" t="s">
        <v>1979</v>
      </c>
      <c r="BY69">
        <v>0</v>
      </c>
      <c r="BZ69">
        <v>0</v>
      </c>
      <c r="CA69">
        <v>0</v>
      </c>
      <c r="CB69">
        <v>0</v>
      </c>
      <c r="CD69" t="s">
        <v>8511</v>
      </c>
    </row>
    <row r="70" spans="1:82">
      <c r="A70" t="s">
        <v>8419</v>
      </c>
      <c r="B70" t="s">
        <v>8512</v>
      </c>
      <c r="C70" t="s">
        <v>7995</v>
      </c>
      <c r="D70" t="s">
        <v>8163</v>
      </c>
      <c r="E70" t="s">
        <v>8164</v>
      </c>
      <c r="F70" t="s">
        <v>8513</v>
      </c>
      <c r="G70" t="s">
        <v>8514</v>
      </c>
      <c r="H70" t="s">
        <v>8515</v>
      </c>
      <c r="I70" t="s">
        <v>8516</v>
      </c>
      <c r="J70" t="s">
        <v>8119</v>
      </c>
      <c r="N70" t="s">
        <v>8178</v>
      </c>
      <c r="O70" t="s">
        <v>10</v>
      </c>
      <c r="P70" t="s">
        <v>8517</v>
      </c>
      <c r="Q70">
        <v>1</v>
      </c>
      <c r="R70" t="s">
        <v>8091</v>
      </c>
      <c r="S70">
        <v>2.1</v>
      </c>
      <c r="T70">
        <v>2</v>
      </c>
      <c r="U70">
        <v>2</v>
      </c>
      <c r="V70">
        <v>1.9</v>
      </c>
      <c r="W70">
        <v>1.9</v>
      </c>
      <c r="X70">
        <v>1.8</v>
      </c>
      <c r="AH70">
        <v>0</v>
      </c>
      <c r="BP70">
        <v>2.5</v>
      </c>
      <c r="BQ70" s="601">
        <v>0.37</v>
      </c>
      <c r="BR70" t="s">
        <v>1979</v>
      </c>
      <c r="BS70" t="s">
        <v>8093</v>
      </c>
      <c r="BT70">
        <v>0</v>
      </c>
      <c r="BU70" t="s">
        <v>8093</v>
      </c>
      <c r="BV70">
        <v>0</v>
      </c>
      <c r="BW70">
        <v>0.94</v>
      </c>
      <c r="BX70" t="s">
        <v>1979</v>
      </c>
      <c r="BY70">
        <v>0</v>
      </c>
      <c r="BZ70">
        <v>0</v>
      </c>
      <c r="CA70">
        <v>0</v>
      </c>
      <c r="CB70">
        <v>0</v>
      </c>
      <c r="CD70" t="s">
        <v>8518</v>
      </c>
    </row>
    <row r="71" spans="1:82">
      <c r="A71" t="s">
        <v>8419</v>
      </c>
      <c r="B71" t="s">
        <v>8519</v>
      </c>
      <c r="C71" t="s">
        <v>7995</v>
      </c>
      <c r="D71" t="s">
        <v>8163</v>
      </c>
      <c r="E71" t="s">
        <v>8164</v>
      </c>
      <c r="F71" t="s">
        <v>8183</v>
      </c>
      <c r="G71" t="s">
        <v>8520</v>
      </c>
      <c r="H71" t="s">
        <v>8521</v>
      </c>
      <c r="I71" t="s">
        <v>8522</v>
      </c>
      <c r="J71" t="s">
        <v>8088</v>
      </c>
      <c r="K71" t="s">
        <v>8089</v>
      </c>
      <c r="M71" t="s">
        <v>1980</v>
      </c>
      <c r="N71" t="s">
        <v>8169</v>
      </c>
      <c r="O71" t="s">
        <v>6241</v>
      </c>
      <c r="P71" t="s">
        <v>8523</v>
      </c>
      <c r="Q71" t="s">
        <v>8092</v>
      </c>
      <c r="R71" t="s">
        <v>8129</v>
      </c>
      <c r="S71">
        <v>85.3</v>
      </c>
      <c r="T71" t="s">
        <v>8524</v>
      </c>
      <c r="U71" t="s">
        <v>8524</v>
      </c>
      <c r="V71" t="s">
        <v>8524</v>
      </c>
      <c r="W71" t="s">
        <v>8524</v>
      </c>
      <c r="X71" t="s">
        <v>8524</v>
      </c>
      <c r="AH71">
        <v>0</v>
      </c>
      <c r="AI71" t="s">
        <v>1979</v>
      </c>
      <c r="AJ71" t="s">
        <v>1979</v>
      </c>
      <c r="AK71" t="s">
        <v>1979</v>
      </c>
      <c r="AL71" t="s">
        <v>1979</v>
      </c>
      <c r="AM71" t="s">
        <v>1979</v>
      </c>
      <c r="AN71" t="s">
        <v>8172</v>
      </c>
      <c r="AO71" t="s">
        <v>8172</v>
      </c>
      <c r="AP71" t="s">
        <v>8172</v>
      </c>
      <c r="AQ71" t="s">
        <v>8172</v>
      </c>
      <c r="AR71" t="s">
        <v>8172</v>
      </c>
      <c r="AS71" t="s">
        <v>8172</v>
      </c>
      <c r="AT71" t="s">
        <v>8172</v>
      </c>
      <c r="AU71" t="s">
        <v>8172</v>
      </c>
      <c r="AV71" t="s">
        <v>8172</v>
      </c>
      <c r="AW71" t="s">
        <v>8172</v>
      </c>
      <c r="AX71" t="s">
        <v>8172</v>
      </c>
      <c r="AY71" t="s">
        <v>8172</v>
      </c>
      <c r="AZ71" t="s">
        <v>8172</v>
      </c>
      <c r="BA71" t="s">
        <v>8172</v>
      </c>
      <c r="BB71" t="s">
        <v>8172</v>
      </c>
      <c r="BC71" t="s">
        <v>8172</v>
      </c>
      <c r="BD71" t="s">
        <v>8172</v>
      </c>
      <c r="BE71" t="s">
        <v>8172</v>
      </c>
      <c r="BF71" t="s">
        <v>8172</v>
      </c>
      <c r="BG71" t="s">
        <v>8172</v>
      </c>
      <c r="BH71" t="s">
        <v>8172</v>
      </c>
      <c r="BL71" t="s">
        <v>8172</v>
      </c>
      <c r="BN71">
        <v>1</v>
      </c>
      <c r="BO71" t="s">
        <v>8092</v>
      </c>
      <c r="BP71">
        <v>80</v>
      </c>
      <c r="BQ71" s="600">
        <v>85.1</v>
      </c>
      <c r="BR71" t="s">
        <v>1979</v>
      </c>
      <c r="BS71" t="s">
        <v>8093</v>
      </c>
      <c r="BT71">
        <v>0</v>
      </c>
      <c r="BU71" t="s">
        <v>8093</v>
      </c>
      <c r="BV71">
        <v>0</v>
      </c>
      <c r="BW71">
        <v>85.9</v>
      </c>
      <c r="BX71" t="s">
        <v>1980</v>
      </c>
      <c r="BY71">
        <v>0</v>
      </c>
      <c r="BZ71">
        <v>0</v>
      </c>
      <c r="CA71">
        <v>0</v>
      </c>
      <c r="CB71">
        <v>0</v>
      </c>
      <c r="CD71" t="s">
        <v>8525</v>
      </c>
    </row>
    <row r="72" spans="1:82">
      <c r="A72" t="s">
        <v>8419</v>
      </c>
      <c r="B72" t="s">
        <v>8526</v>
      </c>
      <c r="C72" t="s">
        <v>7995</v>
      </c>
      <c r="D72" t="s">
        <v>8163</v>
      </c>
      <c r="E72" t="s">
        <v>8164</v>
      </c>
      <c r="F72" t="s">
        <v>8183</v>
      </c>
      <c r="G72" t="s">
        <v>8527</v>
      </c>
      <c r="H72" t="s">
        <v>8528</v>
      </c>
      <c r="I72" t="s">
        <v>8529</v>
      </c>
      <c r="J72" t="s">
        <v>8119</v>
      </c>
      <c r="N72" t="s">
        <v>8274</v>
      </c>
      <c r="O72" t="s">
        <v>10</v>
      </c>
      <c r="P72" t="s">
        <v>8275</v>
      </c>
      <c r="Q72">
        <v>0</v>
      </c>
      <c r="R72" t="s">
        <v>8129</v>
      </c>
      <c r="S72">
        <v>93</v>
      </c>
      <c r="T72">
        <v>93</v>
      </c>
      <c r="U72">
        <v>93</v>
      </c>
      <c r="V72">
        <v>93</v>
      </c>
      <c r="W72">
        <v>93</v>
      </c>
      <c r="X72" t="s">
        <v>8530</v>
      </c>
      <c r="AH72">
        <v>0</v>
      </c>
      <c r="BP72">
        <v>69</v>
      </c>
      <c r="BQ72" s="596">
        <v>83</v>
      </c>
      <c r="BR72" t="s">
        <v>1980</v>
      </c>
      <c r="BS72" t="s">
        <v>8093</v>
      </c>
      <c r="BT72">
        <v>0</v>
      </c>
      <c r="BU72" t="s">
        <v>8093</v>
      </c>
      <c r="BV72">
        <v>0</v>
      </c>
      <c r="BW72">
        <v>86</v>
      </c>
      <c r="BX72" t="s">
        <v>1980</v>
      </c>
      <c r="BY72">
        <v>0</v>
      </c>
      <c r="BZ72">
        <v>0</v>
      </c>
      <c r="CA72">
        <v>0</v>
      </c>
      <c r="CB72">
        <v>0</v>
      </c>
      <c r="CD72" t="s">
        <v>8531</v>
      </c>
    </row>
    <row r="73" spans="1:82">
      <c r="A73" t="s">
        <v>8419</v>
      </c>
      <c r="B73" t="s">
        <v>8532</v>
      </c>
      <c r="C73" t="s">
        <v>7995</v>
      </c>
      <c r="D73" t="s">
        <v>8163</v>
      </c>
      <c r="E73" t="s">
        <v>8164</v>
      </c>
      <c r="F73" t="s">
        <v>8183</v>
      </c>
      <c r="G73" t="s">
        <v>8533</v>
      </c>
      <c r="H73" t="s">
        <v>8534</v>
      </c>
      <c r="I73" t="s">
        <v>8535</v>
      </c>
      <c r="J73" t="s">
        <v>8119</v>
      </c>
      <c r="N73" t="s">
        <v>8178</v>
      </c>
      <c r="O73" t="s">
        <v>10</v>
      </c>
      <c r="P73" t="s">
        <v>8275</v>
      </c>
      <c r="Q73">
        <v>0</v>
      </c>
      <c r="R73" t="s">
        <v>8129</v>
      </c>
      <c r="S73">
        <v>70</v>
      </c>
      <c r="T73">
        <v>71</v>
      </c>
      <c r="U73">
        <v>71</v>
      </c>
      <c r="V73">
        <v>72</v>
      </c>
      <c r="W73">
        <v>72</v>
      </c>
      <c r="X73">
        <v>72</v>
      </c>
      <c r="AH73">
        <v>0</v>
      </c>
      <c r="BP73">
        <v>73</v>
      </c>
      <c r="BQ73" s="596">
        <v>70</v>
      </c>
      <c r="BR73" t="s">
        <v>1980</v>
      </c>
      <c r="BS73" t="s">
        <v>8093</v>
      </c>
      <c r="BT73">
        <v>0</v>
      </c>
      <c r="BU73" t="s">
        <v>8093</v>
      </c>
      <c r="BV73">
        <v>0</v>
      </c>
      <c r="BW73">
        <v>72</v>
      </c>
      <c r="BX73" t="s">
        <v>1979</v>
      </c>
      <c r="BY73">
        <v>0</v>
      </c>
      <c r="BZ73">
        <v>0</v>
      </c>
      <c r="CA73">
        <v>0</v>
      </c>
      <c r="CB73">
        <v>0</v>
      </c>
      <c r="CD73" t="s">
        <v>8536</v>
      </c>
    </row>
    <row r="74" spans="1:82">
      <c r="A74" t="s">
        <v>8419</v>
      </c>
      <c r="B74" t="s">
        <v>8537</v>
      </c>
      <c r="C74" t="s">
        <v>7995</v>
      </c>
      <c r="D74" t="s">
        <v>8163</v>
      </c>
      <c r="E74" t="s">
        <v>8164</v>
      </c>
      <c r="F74" t="s">
        <v>8538</v>
      </c>
      <c r="G74" t="s">
        <v>8539</v>
      </c>
      <c r="H74" t="s">
        <v>8540</v>
      </c>
      <c r="I74" t="s">
        <v>8541</v>
      </c>
      <c r="J74" t="s">
        <v>8119</v>
      </c>
      <c r="N74" t="s">
        <v>8274</v>
      </c>
      <c r="O74" t="s">
        <v>10</v>
      </c>
      <c r="P74" t="s">
        <v>8275</v>
      </c>
      <c r="Q74">
        <v>1</v>
      </c>
      <c r="R74" t="s">
        <v>8129</v>
      </c>
      <c r="S74">
        <v>96.2</v>
      </c>
      <c r="T74">
        <v>96.3</v>
      </c>
      <c r="U74">
        <v>96.4</v>
      </c>
      <c r="V74">
        <v>96.5</v>
      </c>
      <c r="W74" t="s">
        <v>8542</v>
      </c>
      <c r="X74" t="s">
        <v>8542</v>
      </c>
      <c r="AH74">
        <v>0</v>
      </c>
      <c r="BP74">
        <v>95.2</v>
      </c>
      <c r="BQ74" s="601">
        <v>94.8</v>
      </c>
      <c r="BR74" t="s">
        <v>1980</v>
      </c>
      <c r="BS74" t="s">
        <v>8093</v>
      </c>
      <c r="BT74">
        <v>0</v>
      </c>
      <c r="BU74" t="s">
        <v>8093</v>
      </c>
      <c r="BV74">
        <v>0</v>
      </c>
      <c r="BW74">
        <v>94.4</v>
      </c>
      <c r="BX74" t="s">
        <v>1980</v>
      </c>
      <c r="BY74">
        <v>0</v>
      </c>
      <c r="BZ74">
        <v>0</v>
      </c>
      <c r="CA74">
        <v>0</v>
      </c>
      <c r="CB74">
        <v>0</v>
      </c>
      <c r="CD74" t="s">
        <v>8543</v>
      </c>
    </row>
    <row r="75" spans="1:82">
      <c r="A75" t="s">
        <v>8419</v>
      </c>
      <c r="B75" t="s">
        <v>8544</v>
      </c>
      <c r="C75" t="s">
        <v>7995</v>
      </c>
      <c r="D75" t="s">
        <v>8163</v>
      </c>
      <c r="E75" t="s">
        <v>8164</v>
      </c>
      <c r="F75" t="s">
        <v>8545</v>
      </c>
      <c r="G75" t="s">
        <v>8546</v>
      </c>
      <c r="H75" t="s">
        <v>8547</v>
      </c>
      <c r="I75" t="s">
        <v>8548</v>
      </c>
      <c r="J75" t="s">
        <v>8119</v>
      </c>
      <c r="N75" t="s">
        <v>8178</v>
      </c>
      <c r="O75" t="s">
        <v>11</v>
      </c>
      <c r="P75" t="s">
        <v>8462</v>
      </c>
      <c r="Q75">
        <v>0</v>
      </c>
      <c r="R75" t="s">
        <v>8091</v>
      </c>
      <c r="S75">
        <v>2570</v>
      </c>
      <c r="T75">
        <v>2480</v>
      </c>
      <c r="U75">
        <v>2395</v>
      </c>
      <c r="V75">
        <v>2315</v>
      </c>
      <c r="W75">
        <v>2240</v>
      </c>
      <c r="X75">
        <v>2170</v>
      </c>
      <c r="AH75">
        <v>0</v>
      </c>
      <c r="BP75">
        <v>2612</v>
      </c>
      <c r="BQ75" s="596">
        <v>2301</v>
      </c>
      <c r="BR75" t="s">
        <v>1979</v>
      </c>
      <c r="BS75" t="s">
        <v>8093</v>
      </c>
      <c r="BT75">
        <v>0</v>
      </c>
      <c r="BU75" t="s">
        <v>8093</v>
      </c>
      <c r="BV75">
        <v>0</v>
      </c>
      <c r="BW75">
        <v>3096</v>
      </c>
      <c r="BX75" t="s">
        <v>1980</v>
      </c>
      <c r="BY75">
        <v>0</v>
      </c>
      <c r="BZ75">
        <v>0</v>
      </c>
      <c r="CA75">
        <v>0</v>
      </c>
      <c r="CB75">
        <v>0</v>
      </c>
      <c r="CD75" t="s">
        <v>8549</v>
      </c>
    </row>
    <row r="76" spans="1:82">
      <c r="A76" t="s">
        <v>8550</v>
      </c>
      <c r="B76" t="s">
        <v>8551</v>
      </c>
      <c r="C76" t="s">
        <v>7995</v>
      </c>
      <c r="D76" t="s">
        <v>1383</v>
      </c>
      <c r="E76" t="s">
        <v>8083</v>
      </c>
      <c r="F76" t="s">
        <v>8552</v>
      </c>
      <c r="G76" t="s">
        <v>6966</v>
      </c>
      <c r="H76" t="s">
        <v>8553</v>
      </c>
      <c r="I76" t="s">
        <v>8554</v>
      </c>
      <c r="J76" t="s">
        <v>8088</v>
      </c>
      <c r="K76" t="s">
        <v>8089</v>
      </c>
      <c r="N76" t="s">
        <v>8055</v>
      </c>
      <c r="O76" t="s">
        <v>11</v>
      </c>
      <c r="P76" t="s">
        <v>8135</v>
      </c>
      <c r="Q76">
        <v>2</v>
      </c>
      <c r="R76" t="s">
        <v>8091</v>
      </c>
      <c r="S76">
        <v>3.69</v>
      </c>
      <c r="T76">
        <v>2.8</v>
      </c>
      <c r="U76">
        <v>1.9</v>
      </c>
      <c r="V76">
        <v>1.01</v>
      </c>
      <c r="W76">
        <v>1.01</v>
      </c>
      <c r="X76">
        <v>1.01</v>
      </c>
      <c r="Z76" t="s">
        <v>1979</v>
      </c>
      <c r="AE76" t="s">
        <v>1979</v>
      </c>
      <c r="AH76">
        <v>0</v>
      </c>
      <c r="AI76" t="s">
        <v>1979</v>
      </c>
      <c r="AJ76" t="s">
        <v>1979</v>
      </c>
      <c r="AK76" t="s">
        <v>1979</v>
      </c>
      <c r="AL76" t="s">
        <v>1979</v>
      </c>
      <c r="AM76" t="s">
        <v>1979</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8092</v>
      </c>
      <c r="BP76">
        <v>2.2799999999999998</v>
      </c>
      <c r="BQ76" s="595">
        <v>1.32</v>
      </c>
      <c r="BR76" t="s">
        <v>1979</v>
      </c>
      <c r="BS76" t="s">
        <v>8093</v>
      </c>
      <c r="BT76">
        <v>0</v>
      </c>
      <c r="BU76" t="s">
        <v>1992</v>
      </c>
      <c r="BV76">
        <v>0</v>
      </c>
      <c r="BW76">
        <v>1.07</v>
      </c>
      <c r="BX76" t="s">
        <v>1979</v>
      </c>
      <c r="BY76">
        <v>0</v>
      </c>
      <c r="BZ76">
        <v>0</v>
      </c>
      <c r="CA76" t="s">
        <v>1992</v>
      </c>
      <c r="CB76">
        <v>0</v>
      </c>
      <c r="CD76" t="s">
        <v>8555</v>
      </c>
    </row>
    <row r="77" spans="1:82">
      <c r="A77" t="s">
        <v>8550</v>
      </c>
      <c r="B77" t="s">
        <v>8556</v>
      </c>
      <c r="C77" t="s">
        <v>7995</v>
      </c>
      <c r="D77" t="s">
        <v>1383</v>
      </c>
      <c r="E77" t="s">
        <v>8083</v>
      </c>
      <c r="F77" t="s">
        <v>8552</v>
      </c>
      <c r="G77" t="s">
        <v>6967</v>
      </c>
      <c r="H77" t="s">
        <v>8557</v>
      </c>
      <c r="I77" t="s">
        <v>8558</v>
      </c>
      <c r="J77" t="s">
        <v>8099</v>
      </c>
      <c r="K77" t="s">
        <v>8089</v>
      </c>
      <c r="N77" t="s">
        <v>8127</v>
      </c>
      <c r="O77" t="s">
        <v>10</v>
      </c>
      <c r="P77" t="s">
        <v>8128</v>
      </c>
      <c r="Q77">
        <v>2</v>
      </c>
      <c r="R77" t="s">
        <v>8129</v>
      </c>
      <c r="S77">
        <v>99.96</v>
      </c>
      <c r="T77">
        <v>100</v>
      </c>
      <c r="U77">
        <v>100</v>
      </c>
      <c r="V77">
        <v>100</v>
      </c>
      <c r="W77">
        <v>100</v>
      </c>
      <c r="X77">
        <v>100</v>
      </c>
      <c r="Y77" t="s">
        <v>1979</v>
      </c>
      <c r="AE77" t="s">
        <v>1979</v>
      </c>
      <c r="AH77">
        <v>0</v>
      </c>
      <c r="AI77" t="s">
        <v>1979</v>
      </c>
      <c r="AJ77" t="s">
        <v>1979</v>
      </c>
      <c r="AK77" t="s">
        <v>1979</v>
      </c>
      <c r="AL77" t="s">
        <v>1979</v>
      </c>
      <c r="AM77" t="s">
        <v>1979</v>
      </c>
      <c r="AN77">
        <v>99.92</v>
      </c>
      <c r="AO77">
        <v>99.92</v>
      </c>
      <c r="AP77">
        <v>99.94</v>
      </c>
      <c r="AQ77">
        <v>99.94</v>
      </c>
      <c r="AR77">
        <v>99.94</v>
      </c>
      <c r="AS77">
        <v>99.93</v>
      </c>
      <c r="AT77">
        <v>99.93</v>
      </c>
      <c r="AU77">
        <v>99.95</v>
      </c>
      <c r="AV77">
        <v>99.95</v>
      </c>
      <c r="AW77">
        <v>99.95</v>
      </c>
      <c r="BH77">
        <v>4.7399999999999998E-2</v>
      </c>
      <c r="BN77">
        <v>1</v>
      </c>
      <c r="BO77" t="s">
        <v>8092</v>
      </c>
      <c r="BP77">
        <v>99.88</v>
      </c>
      <c r="BQ77" s="595">
        <v>99.95</v>
      </c>
      <c r="BR77" t="s">
        <v>1980</v>
      </c>
      <c r="BS77" t="s">
        <v>8093</v>
      </c>
      <c r="BT77">
        <v>0</v>
      </c>
      <c r="BU77" t="s">
        <v>1985</v>
      </c>
      <c r="BV77">
        <v>0</v>
      </c>
      <c r="BW77">
        <v>99.99</v>
      </c>
      <c r="BX77" t="s">
        <v>1980</v>
      </c>
      <c r="BY77">
        <v>0</v>
      </c>
      <c r="BZ77">
        <v>0</v>
      </c>
      <c r="CA77" t="s">
        <v>1985</v>
      </c>
      <c r="CB77">
        <v>0</v>
      </c>
      <c r="CD77" t="s">
        <v>8559</v>
      </c>
    </row>
    <row r="78" spans="1:82">
      <c r="A78" t="s">
        <v>8550</v>
      </c>
      <c r="B78" t="s">
        <v>8560</v>
      </c>
      <c r="C78" t="s">
        <v>7995</v>
      </c>
      <c r="D78" t="s">
        <v>1383</v>
      </c>
      <c r="E78" t="s">
        <v>8083</v>
      </c>
      <c r="F78" t="s">
        <v>8552</v>
      </c>
      <c r="G78" t="s">
        <v>7851</v>
      </c>
      <c r="H78" t="s">
        <v>8561</v>
      </c>
      <c r="I78" t="s">
        <v>8562</v>
      </c>
      <c r="J78" t="s">
        <v>8099</v>
      </c>
      <c r="K78" t="s">
        <v>8428</v>
      </c>
      <c r="M78" t="s">
        <v>1980</v>
      </c>
      <c r="N78" t="s">
        <v>8127</v>
      </c>
      <c r="O78" t="s">
        <v>6241</v>
      </c>
      <c r="P78" t="s">
        <v>8563</v>
      </c>
      <c r="Q78" t="s">
        <v>8092</v>
      </c>
      <c r="V78" t="s">
        <v>8564</v>
      </c>
      <c r="AD78" t="s">
        <v>1979</v>
      </c>
      <c r="AE78" t="s">
        <v>1979</v>
      </c>
      <c r="AH78">
        <v>0</v>
      </c>
      <c r="AK78" t="s">
        <v>1979</v>
      </c>
      <c r="AL78" t="s">
        <v>1979</v>
      </c>
      <c r="AM78" t="s">
        <v>1979</v>
      </c>
      <c r="BH78">
        <v>0.51</v>
      </c>
      <c r="BI78">
        <v>19</v>
      </c>
      <c r="BN78">
        <v>1</v>
      </c>
      <c r="BO78" t="s">
        <v>8092</v>
      </c>
      <c r="BP78" t="s">
        <v>8565</v>
      </c>
      <c r="BQ78" s="593" t="s">
        <v>8566</v>
      </c>
      <c r="BR78" t="s">
        <v>8093</v>
      </c>
      <c r="BS78" t="s">
        <v>8093</v>
      </c>
      <c r="BT78">
        <v>0</v>
      </c>
      <c r="BU78" t="s">
        <v>8093</v>
      </c>
      <c r="BV78">
        <v>0</v>
      </c>
      <c r="BW78" t="s">
        <v>8566</v>
      </c>
      <c r="BX78" t="s">
        <v>1979</v>
      </c>
      <c r="BY78">
        <v>0</v>
      </c>
      <c r="BZ78">
        <v>0</v>
      </c>
      <c r="CA78">
        <v>0</v>
      </c>
      <c r="CB78">
        <v>0</v>
      </c>
      <c r="CD78" t="s">
        <v>8567</v>
      </c>
    </row>
    <row r="79" spans="1:82">
      <c r="A79" t="s">
        <v>8550</v>
      </c>
      <c r="B79" t="s">
        <v>8568</v>
      </c>
      <c r="C79" t="s">
        <v>7995</v>
      </c>
      <c r="D79" t="s">
        <v>1383</v>
      </c>
      <c r="E79" t="s">
        <v>8083</v>
      </c>
      <c r="F79" t="s">
        <v>8552</v>
      </c>
      <c r="G79" t="s">
        <v>7854</v>
      </c>
      <c r="H79" t="s">
        <v>8569</v>
      </c>
      <c r="I79" t="s">
        <v>8570</v>
      </c>
      <c r="J79" t="s">
        <v>8099</v>
      </c>
      <c r="K79" t="s">
        <v>8428</v>
      </c>
      <c r="M79" t="s">
        <v>1980</v>
      </c>
      <c r="N79" t="s">
        <v>8127</v>
      </c>
      <c r="O79" t="s">
        <v>6241</v>
      </c>
      <c r="P79" t="s">
        <v>8571</v>
      </c>
      <c r="Q79" t="s">
        <v>8092</v>
      </c>
      <c r="W79" t="s">
        <v>8572</v>
      </c>
      <c r="X79" t="s">
        <v>8573</v>
      </c>
      <c r="AD79" t="s">
        <v>1979</v>
      </c>
      <c r="AE79" t="s">
        <v>1979</v>
      </c>
      <c r="AH79">
        <v>0</v>
      </c>
      <c r="AL79" t="s">
        <v>1979</v>
      </c>
      <c r="AM79" t="s">
        <v>1979</v>
      </c>
      <c r="BH79">
        <v>1</v>
      </c>
      <c r="BI79">
        <v>1</v>
      </c>
      <c r="BJ79">
        <v>5.5</v>
      </c>
      <c r="BK79">
        <v>1.5</v>
      </c>
      <c r="BN79">
        <v>1</v>
      </c>
      <c r="BO79" t="s">
        <v>8092</v>
      </c>
      <c r="BP79" t="s">
        <v>8565</v>
      </c>
      <c r="BQ79" s="593" t="s">
        <v>8566</v>
      </c>
      <c r="BR79" t="s">
        <v>8093</v>
      </c>
      <c r="BS79" t="s">
        <v>8093</v>
      </c>
      <c r="BT79">
        <v>0</v>
      </c>
      <c r="BU79" t="s">
        <v>8093</v>
      </c>
      <c r="BV79">
        <v>0</v>
      </c>
      <c r="BW79" t="s">
        <v>8566</v>
      </c>
      <c r="BX79" t="s">
        <v>1979</v>
      </c>
      <c r="BY79">
        <v>0</v>
      </c>
      <c r="BZ79">
        <v>0</v>
      </c>
      <c r="CA79">
        <v>0</v>
      </c>
      <c r="CB79">
        <v>0</v>
      </c>
      <c r="CD79" t="s">
        <v>8574</v>
      </c>
    </row>
    <row r="80" spans="1:82">
      <c r="A80" t="s">
        <v>8550</v>
      </c>
      <c r="B80" t="s">
        <v>8575</v>
      </c>
      <c r="C80" t="s">
        <v>7995</v>
      </c>
      <c r="D80" t="s">
        <v>1383</v>
      </c>
      <c r="E80" t="s">
        <v>8083</v>
      </c>
      <c r="F80" t="s">
        <v>8576</v>
      </c>
      <c r="G80" t="s">
        <v>6968</v>
      </c>
      <c r="H80" t="s">
        <v>8577</v>
      </c>
      <c r="I80" t="s">
        <v>8578</v>
      </c>
      <c r="J80" t="s">
        <v>8088</v>
      </c>
      <c r="K80" t="s">
        <v>8089</v>
      </c>
      <c r="N80" t="s">
        <v>2556</v>
      </c>
      <c r="O80" t="s">
        <v>8186</v>
      </c>
      <c r="P80" t="s">
        <v>8579</v>
      </c>
      <c r="Q80">
        <v>2</v>
      </c>
      <c r="R80" t="s">
        <v>8091</v>
      </c>
      <c r="S80">
        <v>0.33</v>
      </c>
      <c r="T80">
        <v>0.28999999999999998</v>
      </c>
      <c r="U80">
        <v>0.24</v>
      </c>
      <c r="V80">
        <v>0.2</v>
      </c>
      <c r="W80">
        <v>0.2</v>
      </c>
      <c r="X80">
        <v>0.2</v>
      </c>
      <c r="AA80" t="s">
        <v>1979</v>
      </c>
      <c r="AE80" t="s">
        <v>1979</v>
      </c>
      <c r="AH80">
        <v>0</v>
      </c>
      <c r="AI80" t="s">
        <v>1979</v>
      </c>
      <c r="AJ80" t="s">
        <v>1979</v>
      </c>
      <c r="AK80" t="s">
        <v>1979</v>
      </c>
      <c r="AL80" t="s">
        <v>1979</v>
      </c>
      <c r="AM80" t="s">
        <v>1979</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8580</v>
      </c>
      <c r="BP80">
        <v>0.17</v>
      </c>
      <c r="BQ80" s="595">
        <v>8.6999999999999994E-2</v>
      </c>
      <c r="BR80" t="s">
        <v>1979</v>
      </c>
      <c r="BS80" t="s">
        <v>8093</v>
      </c>
      <c r="BT80">
        <v>0</v>
      </c>
      <c r="BU80" t="s">
        <v>1988</v>
      </c>
      <c r="BV80">
        <v>2.0870400000000001E-2</v>
      </c>
      <c r="BW80">
        <v>0.35</v>
      </c>
      <c r="BX80" t="s">
        <v>1980</v>
      </c>
      <c r="BY80">
        <v>0</v>
      </c>
      <c r="BZ80">
        <v>0</v>
      </c>
      <c r="CA80" t="s">
        <v>1983</v>
      </c>
      <c r="CB80">
        <v>-8.3567199999999998E-3</v>
      </c>
      <c r="CD80" t="s">
        <v>8581</v>
      </c>
    </row>
    <row r="81" spans="1:82">
      <c r="A81" t="s">
        <v>8550</v>
      </c>
      <c r="B81" t="s">
        <v>8582</v>
      </c>
      <c r="C81" t="s">
        <v>7995</v>
      </c>
      <c r="D81" t="s">
        <v>1383</v>
      </c>
      <c r="E81" t="s">
        <v>8083</v>
      </c>
      <c r="F81" t="s">
        <v>8576</v>
      </c>
      <c r="G81" t="s">
        <v>6969</v>
      </c>
      <c r="H81" t="s">
        <v>8583</v>
      </c>
      <c r="I81" t="s">
        <v>8584</v>
      </c>
      <c r="J81" t="s">
        <v>8088</v>
      </c>
      <c r="K81" t="s">
        <v>8089</v>
      </c>
      <c r="N81" t="s">
        <v>2534</v>
      </c>
      <c r="O81" t="s">
        <v>11</v>
      </c>
      <c r="P81" t="s">
        <v>8585</v>
      </c>
      <c r="Q81">
        <v>1</v>
      </c>
      <c r="R81" t="s">
        <v>8091</v>
      </c>
      <c r="S81">
        <v>90.8</v>
      </c>
      <c r="T81">
        <v>90.8</v>
      </c>
      <c r="U81">
        <v>90.8</v>
      </c>
      <c r="V81">
        <v>90.8</v>
      </c>
      <c r="W81">
        <v>90.8</v>
      </c>
      <c r="X81">
        <v>90.8</v>
      </c>
      <c r="AE81" t="s">
        <v>1979</v>
      </c>
      <c r="AH81">
        <v>0</v>
      </c>
      <c r="AI81" t="s">
        <v>1979</v>
      </c>
      <c r="AJ81" t="s">
        <v>1979</v>
      </c>
      <c r="AK81" t="s">
        <v>1979</v>
      </c>
      <c r="AL81" t="s">
        <v>1979</v>
      </c>
      <c r="AM81" t="s">
        <v>1979</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8092</v>
      </c>
      <c r="BP81">
        <v>77.89</v>
      </c>
      <c r="BQ81" s="591">
        <v>78.400000000000006</v>
      </c>
      <c r="BR81" t="s">
        <v>1979</v>
      </c>
      <c r="BS81" t="s">
        <v>8093</v>
      </c>
      <c r="BT81">
        <v>0</v>
      </c>
      <c r="BU81" t="s">
        <v>1992</v>
      </c>
      <c r="BV81">
        <v>0</v>
      </c>
      <c r="BW81">
        <v>88.96</v>
      </c>
      <c r="BX81" t="s">
        <v>1979</v>
      </c>
      <c r="BY81">
        <v>0</v>
      </c>
      <c r="BZ81">
        <v>0</v>
      </c>
      <c r="CA81" t="s">
        <v>1992</v>
      </c>
      <c r="CB81">
        <v>0</v>
      </c>
      <c r="CD81" t="s">
        <v>8586</v>
      </c>
    </row>
    <row r="82" spans="1:82">
      <c r="A82" t="s">
        <v>8550</v>
      </c>
      <c r="B82" t="s">
        <v>8587</v>
      </c>
      <c r="C82" t="s">
        <v>7995</v>
      </c>
      <c r="D82" t="s">
        <v>1383</v>
      </c>
      <c r="E82" t="s">
        <v>8083</v>
      </c>
      <c r="F82" t="s">
        <v>8576</v>
      </c>
      <c r="G82" t="s">
        <v>7868</v>
      </c>
      <c r="H82" t="s">
        <v>8588</v>
      </c>
      <c r="I82" t="s">
        <v>8589</v>
      </c>
      <c r="J82" t="s">
        <v>8119</v>
      </c>
      <c r="N82" t="s">
        <v>8107</v>
      </c>
      <c r="O82" t="s">
        <v>8170</v>
      </c>
      <c r="P82" t="s">
        <v>8222</v>
      </c>
      <c r="Q82">
        <v>0</v>
      </c>
      <c r="R82" t="s">
        <v>8129</v>
      </c>
      <c r="S82">
        <v>100</v>
      </c>
      <c r="T82">
        <v>100</v>
      </c>
      <c r="U82">
        <v>100</v>
      </c>
      <c r="V82">
        <v>100</v>
      </c>
      <c r="W82">
        <v>100</v>
      </c>
      <c r="X82">
        <v>100</v>
      </c>
      <c r="AH82">
        <v>0</v>
      </c>
      <c r="BP82">
        <v>100</v>
      </c>
      <c r="BQ82" s="594">
        <v>100</v>
      </c>
      <c r="BR82" t="s">
        <v>1979</v>
      </c>
      <c r="BS82" t="s">
        <v>8093</v>
      </c>
      <c r="BT82">
        <v>0</v>
      </c>
      <c r="BU82" t="s">
        <v>8093</v>
      </c>
      <c r="BV82">
        <v>0</v>
      </c>
      <c r="BW82">
        <v>100</v>
      </c>
      <c r="BX82" t="s">
        <v>1979</v>
      </c>
      <c r="BY82">
        <v>0</v>
      </c>
      <c r="BZ82">
        <v>0</v>
      </c>
      <c r="CA82">
        <v>0</v>
      </c>
      <c r="CB82">
        <v>0</v>
      </c>
      <c r="CD82" t="s">
        <v>8590</v>
      </c>
    </row>
    <row r="83" spans="1:82">
      <c r="A83" t="s">
        <v>8550</v>
      </c>
      <c r="B83" t="s">
        <v>8591</v>
      </c>
      <c r="C83" t="s">
        <v>7995</v>
      </c>
      <c r="D83" t="s">
        <v>1383</v>
      </c>
      <c r="E83" t="s">
        <v>8083</v>
      </c>
      <c r="F83" t="s">
        <v>8576</v>
      </c>
      <c r="G83" t="s">
        <v>8592</v>
      </c>
      <c r="H83" t="s">
        <v>8593</v>
      </c>
      <c r="I83" t="s">
        <v>8594</v>
      </c>
      <c r="J83" t="s">
        <v>8088</v>
      </c>
      <c r="K83" t="s">
        <v>8089</v>
      </c>
      <c r="N83" t="s">
        <v>8148</v>
      </c>
      <c r="O83" t="s">
        <v>11</v>
      </c>
      <c r="P83" t="s">
        <v>8149</v>
      </c>
      <c r="Q83">
        <v>0</v>
      </c>
      <c r="R83" t="s">
        <v>8091</v>
      </c>
      <c r="S83">
        <v>211</v>
      </c>
      <c r="T83">
        <v>246</v>
      </c>
      <c r="U83">
        <v>234</v>
      </c>
      <c r="V83">
        <v>222</v>
      </c>
      <c r="W83">
        <v>222</v>
      </c>
      <c r="X83">
        <v>222</v>
      </c>
      <c r="AE83" t="s">
        <v>1979</v>
      </c>
      <c r="AH83">
        <v>0</v>
      </c>
      <c r="AI83" t="s">
        <v>1979</v>
      </c>
      <c r="AJ83" t="s">
        <v>1979</v>
      </c>
      <c r="AK83" t="s">
        <v>1979</v>
      </c>
      <c r="AL83" t="s">
        <v>1979</v>
      </c>
      <c r="AM83" t="s">
        <v>1979</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8092</v>
      </c>
      <c r="BP83">
        <v>247</v>
      </c>
      <c r="BQ83" s="594">
        <v>169</v>
      </c>
      <c r="BR83" t="s">
        <v>1979</v>
      </c>
      <c r="BS83" t="s">
        <v>8093</v>
      </c>
      <c r="BT83">
        <v>0</v>
      </c>
      <c r="BU83" t="s">
        <v>1988</v>
      </c>
      <c r="BV83">
        <v>4.5547599999999997E-3</v>
      </c>
      <c r="BW83">
        <v>209</v>
      </c>
      <c r="BX83" t="s">
        <v>1979</v>
      </c>
      <c r="BY83">
        <v>0</v>
      </c>
      <c r="BZ83">
        <v>0</v>
      </c>
      <c r="CA83" t="s">
        <v>1992</v>
      </c>
      <c r="CB83">
        <v>0</v>
      </c>
      <c r="CD83" t="s">
        <v>8595</v>
      </c>
    </row>
    <row r="84" spans="1:82">
      <c r="A84" t="s">
        <v>8550</v>
      </c>
      <c r="B84" t="s">
        <v>8596</v>
      </c>
      <c r="C84" t="s">
        <v>7995</v>
      </c>
      <c r="D84" t="s">
        <v>1383</v>
      </c>
      <c r="E84" t="s">
        <v>8083</v>
      </c>
      <c r="F84" t="s">
        <v>8597</v>
      </c>
      <c r="G84" t="s">
        <v>7872</v>
      </c>
      <c r="H84" t="s">
        <v>8598</v>
      </c>
      <c r="I84" t="s">
        <v>8599</v>
      </c>
      <c r="J84" t="s">
        <v>8119</v>
      </c>
      <c r="N84" t="s">
        <v>8260</v>
      </c>
      <c r="O84" t="s">
        <v>11</v>
      </c>
      <c r="P84" t="s">
        <v>8600</v>
      </c>
      <c r="Q84">
        <v>0</v>
      </c>
      <c r="R84" t="s">
        <v>8091</v>
      </c>
      <c r="S84">
        <v>9889</v>
      </c>
      <c r="T84">
        <v>9783</v>
      </c>
      <c r="U84">
        <v>9762</v>
      </c>
      <c r="V84">
        <v>9752</v>
      </c>
      <c r="W84">
        <v>9740</v>
      </c>
      <c r="X84">
        <v>9727</v>
      </c>
      <c r="AH84">
        <v>0</v>
      </c>
      <c r="BP84">
        <v>9389</v>
      </c>
      <c r="BQ84" s="594">
        <v>9219</v>
      </c>
      <c r="BR84" t="s">
        <v>1979</v>
      </c>
      <c r="BS84" t="s">
        <v>8093</v>
      </c>
      <c r="BT84">
        <v>0</v>
      </c>
      <c r="BU84" t="s">
        <v>8093</v>
      </c>
      <c r="BV84">
        <v>0</v>
      </c>
      <c r="BW84">
        <v>8385</v>
      </c>
      <c r="BX84" t="s">
        <v>1979</v>
      </c>
      <c r="BY84">
        <v>0</v>
      </c>
      <c r="BZ84">
        <v>0</v>
      </c>
      <c r="CA84">
        <v>0</v>
      </c>
      <c r="CB84">
        <v>0</v>
      </c>
      <c r="CD84" t="s">
        <v>8601</v>
      </c>
    </row>
    <row r="85" spans="1:82">
      <c r="A85" t="s">
        <v>8550</v>
      </c>
      <c r="B85" t="s">
        <v>8602</v>
      </c>
      <c r="C85" t="s">
        <v>7995</v>
      </c>
      <c r="D85" t="s">
        <v>1383</v>
      </c>
      <c r="E85" t="s">
        <v>8083</v>
      </c>
      <c r="F85" t="s">
        <v>8603</v>
      </c>
      <c r="G85" t="s">
        <v>7879</v>
      </c>
      <c r="H85" t="s">
        <v>8604</v>
      </c>
      <c r="I85" t="s">
        <v>8605</v>
      </c>
      <c r="J85" t="s">
        <v>8119</v>
      </c>
      <c r="N85" t="s">
        <v>8274</v>
      </c>
      <c r="O85" t="s">
        <v>10</v>
      </c>
      <c r="P85" t="s">
        <v>8275</v>
      </c>
      <c r="Q85" t="s">
        <v>8092</v>
      </c>
      <c r="R85" t="s">
        <v>8129</v>
      </c>
      <c r="T85">
        <v>80</v>
      </c>
      <c r="U85" t="s">
        <v>8606</v>
      </c>
      <c r="V85" t="s">
        <v>8606</v>
      </c>
      <c r="W85" t="s">
        <v>8606</v>
      </c>
      <c r="X85" t="s">
        <v>8606</v>
      </c>
      <c r="AH85">
        <v>0</v>
      </c>
      <c r="BP85" t="s">
        <v>8565</v>
      </c>
      <c r="BQ85" s="593">
        <v>80</v>
      </c>
      <c r="BR85" t="s">
        <v>1979</v>
      </c>
      <c r="BS85" t="s">
        <v>8093</v>
      </c>
      <c r="BT85">
        <v>0</v>
      </c>
      <c r="BU85" t="s">
        <v>8093</v>
      </c>
      <c r="BV85">
        <v>0</v>
      </c>
      <c r="BW85">
        <v>77</v>
      </c>
      <c r="BX85" t="s">
        <v>1980</v>
      </c>
      <c r="BY85">
        <v>0</v>
      </c>
      <c r="BZ85">
        <v>0</v>
      </c>
      <c r="CA85">
        <v>0</v>
      </c>
      <c r="CB85">
        <v>0</v>
      </c>
      <c r="CD85" t="s">
        <v>8607</v>
      </c>
    </row>
    <row r="86" spans="1:82">
      <c r="A86" t="s">
        <v>8550</v>
      </c>
      <c r="B86" t="s">
        <v>8608</v>
      </c>
      <c r="C86" t="s">
        <v>7995</v>
      </c>
      <c r="D86" t="s">
        <v>8609</v>
      </c>
      <c r="E86" t="s">
        <v>8610</v>
      </c>
      <c r="F86" t="s">
        <v>8611</v>
      </c>
      <c r="G86" t="s">
        <v>7911</v>
      </c>
      <c r="H86" t="s">
        <v>8612</v>
      </c>
      <c r="I86" t="s">
        <v>8613</v>
      </c>
      <c r="J86" t="s">
        <v>8088</v>
      </c>
      <c r="K86" t="s">
        <v>8089</v>
      </c>
      <c r="M86" t="s">
        <v>1980</v>
      </c>
      <c r="N86" t="s">
        <v>8169</v>
      </c>
      <c r="O86" t="s">
        <v>8170</v>
      </c>
      <c r="P86" t="s">
        <v>8171</v>
      </c>
      <c r="Q86">
        <v>1</v>
      </c>
      <c r="R86" t="s">
        <v>8129</v>
      </c>
      <c r="S86">
        <v>80</v>
      </c>
      <c r="T86">
        <v>80</v>
      </c>
      <c r="U86">
        <v>80</v>
      </c>
      <c r="V86">
        <v>80</v>
      </c>
      <c r="W86">
        <v>80</v>
      </c>
      <c r="X86">
        <v>80</v>
      </c>
      <c r="AH86">
        <v>0</v>
      </c>
      <c r="AI86" t="s">
        <v>1979</v>
      </c>
      <c r="AJ86" t="s">
        <v>1979</v>
      </c>
      <c r="AK86" t="s">
        <v>1979</v>
      </c>
      <c r="AL86" t="s">
        <v>1979</v>
      </c>
      <c r="AM86" t="s">
        <v>1979</v>
      </c>
      <c r="AN86" t="s">
        <v>8172</v>
      </c>
      <c r="AO86" t="s">
        <v>8172</v>
      </c>
      <c r="AP86" t="s">
        <v>8172</v>
      </c>
      <c r="AQ86" t="s">
        <v>8172</v>
      </c>
      <c r="AR86" t="s">
        <v>8172</v>
      </c>
      <c r="AS86" t="s">
        <v>8172</v>
      </c>
      <c r="AT86" t="s">
        <v>8172</v>
      </c>
      <c r="AU86" t="s">
        <v>8172</v>
      </c>
      <c r="AV86" t="s">
        <v>8172</v>
      </c>
      <c r="AW86" t="s">
        <v>8172</v>
      </c>
      <c r="AX86" t="s">
        <v>8172</v>
      </c>
      <c r="AY86" t="s">
        <v>8172</v>
      </c>
      <c r="AZ86" t="s">
        <v>8172</v>
      </c>
      <c r="BA86" t="s">
        <v>8172</v>
      </c>
      <c r="BB86" t="s">
        <v>8172</v>
      </c>
      <c r="BC86" t="s">
        <v>8172</v>
      </c>
      <c r="BD86" t="s">
        <v>8172</v>
      </c>
      <c r="BE86" t="s">
        <v>8172</v>
      </c>
      <c r="BF86" t="s">
        <v>8172</v>
      </c>
      <c r="BG86" t="s">
        <v>8172</v>
      </c>
      <c r="BH86" t="s">
        <v>8172</v>
      </c>
      <c r="BL86" t="s">
        <v>8172</v>
      </c>
      <c r="BN86">
        <v>1</v>
      </c>
      <c r="BO86" t="s">
        <v>8092</v>
      </c>
      <c r="BP86" t="s">
        <v>8565</v>
      </c>
      <c r="BQ86" s="591">
        <v>88.51</v>
      </c>
      <c r="BR86" t="s">
        <v>1979</v>
      </c>
      <c r="BS86" t="s">
        <v>8093</v>
      </c>
      <c r="BT86">
        <v>0</v>
      </c>
      <c r="BU86" t="s">
        <v>8093</v>
      </c>
      <c r="BV86">
        <v>0</v>
      </c>
      <c r="BW86">
        <v>90.43</v>
      </c>
      <c r="BX86" t="s">
        <v>1979</v>
      </c>
      <c r="BY86">
        <v>0</v>
      </c>
      <c r="BZ86">
        <v>0</v>
      </c>
      <c r="CA86">
        <v>0</v>
      </c>
      <c r="CB86">
        <v>0</v>
      </c>
      <c r="CD86" t="s">
        <v>8614</v>
      </c>
    </row>
    <row r="87" spans="1:82">
      <c r="A87" t="s">
        <v>8550</v>
      </c>
      <c r="B87" t="s">
        <v>8615</v>
      </c>
      <c r="C87" t="s">
        <v>7995</v>
      </c>
      <c r="D87" t="s">
        <v>8163</v>
      </c>
      <c r="E87" t="s">
        <v>8164</v>
      </c>
      <c r="F87" t="s">
        <v>8616</v>
      </c>
      <c r="G87" t="s">
        <v>7895</v>
      </c>
      <c r="H87" t="s">
        <v>8617</v>
      </c>
      <c r="I87" t="s">
        <v>8618</v>
      </c>
      <c r="J87" t="s">
        <v>8119</v>
      </c>
      <c r="N87" t="s">
        <v>8100</v>
      </c>
      <c r="O87" t="s">
        <v>11</v>
      </c>
      <c r="P87" t="s">
        <v>8619</v>
      </c>
      <c r="Q87">
        <v>2</v>
      </c>
      <c r="R87" t="s">
        <v>8091</v>
      </c>
      <c r="S87">
        <v>132.38999999999999</v>
      </c>
      <c r="T87">
        <v>131.44</v>
      </c>
      <c r="U87">
        <v>130.44999999999999</v>
      </c>
      <c r="V87">
        <v>129.44</v>
      </c>
      <c r="W87">
        <v>128.37</v>
      </c>
      <c r="X87">
        <v>127.28</v>
      </c>
      <c r="AH87">
        <v>0</v>
      </c>
      <c r="BP87">
        <v>129.53</v>
      </c>
      <c r="BQ87" s="595">
        <v>134.87</v>
      </c>
      <c r="BR87" t="s">
        <v>1980</v>
      </c>
      <c r="BS87" t="s">
        <v>8093</v>
      </c>
      <c r="BT87">
        <v>0</v>
      </c>
      <c r="BU87" t="s">
        <v>8093</v>
      </c>
      <c r="BV87">
        <v>0</v>
      </c>
      <c r="BW87">
        <v>135.21</v>
      </c>
      <c r="BX87" t="s">
        <v>1980</v>
      </c>
      <c r="BY87">
        <v>0</v>
      </c>
      <c r="BZ87">
        <v>0</v>
      </c>
      <c r="CA87">
        <v>0</v>
      </c>
      <c r="CB87">
        <v>0</v>
      </c>
      <c r="CD87" t="s">
        <v>8620</v>
      </c>
    </row>
    <row r="88" spans="1:82">
      <c r="A88" t="s">
        <v>8550</v>
      </c>
      <c r="B88" t="s">
        <v>8621</v>
      </c>
      <c r="C88" t="s">
        <v>7995</v>
      </c>
      <c r="D88" t="s">
        <v>8163</v>
      </c>
      <c r="E88" t="s">
        <v>8164</v>
      </c>
      <c r="F88" t="s">
        <v>8616</v>
      </c>
      <c r="G88" t="s">
        <v>7898</v>
      </c>
      <c r="H88" t="s">
        <v>8622</v>
      </c>
      <c r="I88" t="s">
        <v>8623</v>
      </c>
      <c r="J88" t="s">
        <v>8088</v>
      </c>
      <c r="K88" t="s">
        <v>8089</v>
      </c>
      <c r="M88" t="s">
        <v>1980</v>
      </c>
      <c r="N88" t="s">
        <v>8169</v>
      </c>
      <c r="O88" t="s">
        <v>8170</v>
      </c>
      <c r="P88" t="s">
        <v>8171</v>
      </c>
      <c r="Q88">
        <v>1</v>
      </c>
      <c r="R88" t="s">
        <v>8129</v>
      </c>
      <c r="S88">
        <v>80</v>
      </c>
      <c r="T88">
        <v>80</v>
      </c>
      <c r="U88">
        <v>80</v>
      </c>
      <c r="V88">
        <v>80</v>
      </c>
      <c r="W88">
        <v>80</v>
      </c>
      <c r="X88">
        <v>80</v>
      </c>
      <c r="AH88">
        <v>0</v>
      </c>
      <c r="AI88" t="s">
        <v>1979</v>
      </c>
      <c r="AJ88" t="s">
        <v>1979</v>
      </c>
      <c r="AK88" t="s">
        <v>1979</v>
      </c>
      <c r="AL88" t="s">
        <v>1979</v>
      </c>
      <c r="AM88" t="s">
        <v>1979</v>
      </c>
      <c r="AN88" t="s">
        <v>8172</v>
      </c>
      <c r="AO88" t="s">
        <v>8172</v>
      </c>
      <c r="AP88" t="s">
        <v>8172</v>
      </c>
      <c r="AQ88" t="s">
        <v>8172</v>
      </c>
      <c r="AR88" t="s">
        <v>8172</v>
      </c>
      <c r="AS88" t="s">
        <v>8172</v>
      </c>
      <c r="AT88" t="s">
        <v>8172</v>
      </c>
      <c r="AU88" t="s">
        <v>8172</v>
      </c>
      <c r="AV88" t="s">
        <v>8172</v>
      </c>
      <c r="AW88" t="s">
        <v>8172</v>
      </c>
      <c r="AX88" t="s">
        <v>8172</v>
      </c>
      <c r="AY88" t="s">
        <v>8172</v>
      </c>
      <c r="AZ88" t="s">
        <v>8172</v>
      </c>
      <c r="BA88" t="s">
        <v>8172</v>
      </c>
      <c r="BB88" t="s">
        <v>8172</v>
      </c>
      <c r="BC88" t="s">
        <v>8172</v>
      </c>
      <c r="BD88" t="s">
        <v>8172</v>
      </c>
      <c r="BE88" t="s">
        <v>8172</v>
      </c>
      <c r="BF88" t="s">
        <v>8172</v>
      </c>
      <c r="BG88" t="s">
        <v>8172</v>
      </c>
      <c r="BH88" t="s">
        <v>8172</v>
      </c>
      <c r="BL88" t="s">
        <v>8172</v>
      </c>
      <c r="BN88">
        <v>1</v>
      </c>
      <c r="BO88" t="s">
        <v>8092</v>
      </c>
      <c r="BP88">
        <v>77.900000000000006</v>
      </c>
      <c r="BQ88" s="591">
        <v>83.42</v>
      </c>
      <c r="BR88" t="s">
        <v>1979</v>
      </c>
      <c r="BS88" t="s">
        <v>8093</v>
      </c>
      <c r="BT88">
        <v>0</v>
      </c>
      <c r="BU88" t="s">
        <v>8093</v>
      </c>
      <c r="BV88">
        <v>0</v>
      </c>
      <c r="BW88">
        <v>85.98</v>
      </c>
      <c r="BX88" t="s">
        <v>1979</v>
      </c>
      <c r="BY88">
        <v>0</v>
      </c>
      <c r="BZ88">
        <v>0</v>
      </c>
      <c r="CA88">
        <v>0</v>
      </c>
      <c r="CB88">
        <v>0</v>
      </c>
      <c r="CD88" t="s">
        <v>8624</v>
      </c>
    </row>
    <row r="89" spans="1:82">
      <c r="A89" t="s">
        <v>7968</v>
      </c>
      <c r="B89" t="s">
        <v>8625</v>
      </c>
      <c r="C89" t="s">
        <v>7958</v>
      </c>
      <c r="D89" t="s">
        <v>1383</v>
      </c>
      <c r="E89" t="s">
        <v>8083</v>
      </c>
      <c r="F89" t="s">
        <v>8626</v>
      </c>
      <c r="G89" t="s">
        <v>8085</v>
      </c>
      <c r="H89" t="s">
        <v>8627</v>
      </c>
      <c r="I89" t="s">
        <v>8628</v>
      </c>
      <c r="J89" t="s">
        <v>8119</v>
      </c>
      <c r="N89" t="s">
        <v>8148</v>
      </c>
      <c r="O89" t="s">
        <v>8565</v>
      </c>
      <c r="P89" t="s">
        <v>8629</v>
      </c>
      <c r="Q89" t="s">
        <v>8092</v>
      </c>
      <c r="S89" t="s">
        <v>8565</v>
      </c>
      <c r="T89" t="s">
        <v>8565</v>
      </c>
      <c r="U89" t="s">
        <v>8565</v>
      </c>
      <c r="V89" t="s">
        <v>8565</v>
      </c>
      <c r="W89" t="s">
        <v>8565</v>
      </c>
      <c r="X89" t="s">
        <v>8565</v>
      </c>
      <c r="AE89" t="s">
        <v>1979</v>
      </c>
      <c r="AH89">
        <v>0</v>
      </c>
      <c r="BP89" t="s">
        <v>3323</v>
      </c>
      <c r="BQ89" s="593" t="s">
        <v>3323</v>
      </c>
      <c r="BR89" t="s">
        <v>8093</v>
      </c>
      <c r="BS89" t="s">
        <v>8093</v>
      </c>
      <c r="BT89">
        <v>0</v>
      </c>
      <c r="BU89" t="s">
        <v>8093</v>
      </c>
      <c r="BV89">
        <v>0</v>
      </c>
      <c r="BW89" t="s">
        <v>3323</v>
      </c>
      <c r="BX89" t="s">
        <v>1981</v>
      </c>
      <c r="BY89">
        <v>0</v>
      </c>
      <c r="BZ89">
        <v>0</v>
      </c>
      <c r="CA89">
        <v>0</v>
      </c>
      <c r="CB89">
        <v>0</v>
      </c>
      <c r="CD89" t="s">
        <v>8630</v>
      </c>
    </row>
    <row r="90" spans="1:82">
      <c r="A90" t="s">
        <v>7968</v>
      </c>
      <c r="B90" t="s">
        <v>8631</v>
      </c>
      <c r="C90" t="s">
        <v>7958</v>
      </c>
      <c r="D90" t="s">
        <v>1383</v>
      </c>
      <c r="E90" t="s">
        <v>8083</v>
      </c>
      <c r="F90" t="s">
        <v>8632</v>
      </c>
      <c r="G90" t="s">
        <v>8124</v>
      </c>
      <c r="H90" t="s">
        <v>8633</v>
      </c>
      <c r="I90" t="s">
        <v>8634</v>
      </c>
      <c r="J90" t="s">
        <v>8088</v>
      </c>
      <c r="K90" t="s">
        <v>8428</v>
      </c>
      <c r="N90" t="s">
        <v>8055</v>
      </c>
      <c r="O90" t="s">
        <v>11</v>
      </c>
      <c r="P90" t="s">
        <v>8635</v>
      </c>
      <c r="Q90">
        <v>0</v>
      </c>
      <c r="R90" t="s">
        <v>8091</v>
      </c>
      <c r="S90">
        <v>1402</v>
      </c>
      <c r="T90">
        <v>1236</v>
      </c>
      <c r="U90">
        <v>1069</v>
      </c>
      <c r="V90">
        <v>903</v>
      </c>
      <c r="W90">
        <v>903</v>
      </c>
      <c r="X90">
        <v>903</v>
      </c>
      <c r="Z90" t="s">
        <v>1979</v>
      </c>
      <c r="AE90" t="s">
        <v>1979</v>
      </c>
      <c r="AH90">
        <v>0</v>
      </c>
      <c r="AI90" t="s">
        <v>1979</v>
      </c>
      <c r="AJ90" t="s">
        <v>1979</v>
      </c>
      <c r="AK90" t="s">
        <v>1979</v>
      </c>
      <c r="AL90" t="s">
        <v>1979</v>
      </c>
      <c r="AM90" t="s">
        <v>1979</v>
      </c>
      <c r="AN90" t="s">
        <v>8636</v>
      </c>
      <c r="AO90" t="s">
        <v>8636</v>
      </c>
      <c r="AP90" t="s">
        <v>8637</v>
      </c>
      <c r="AQ90" t="s">
        <v>8637</v>
      </c>
      <c r="AR90" t="s">
        <v>8637</v>
      </c>
      <c r="AS90" t="s">
        <v>8638</v>
      </c>
      <c r="AT90" t="s">
        <v>8638</v>
      </c>
      <c r="AU90" t="s">
        <v>8639</v>
      </c>
      <c r="AV90" t="s">
        <v>8639</v>
      </c>
      <c r="AW90" t="s">
        <v>8639</v>
      </c>
      <c r="AX90" t="s">
        <v>8640</v>
      </c>
      <c r="AY90" t="s">
        <v>8640</v>
      </c>
      <c r="AZ90" t="s">
        <v>8640</v>
      </c>
      <c r="BA90" t="s">
        <v>8640</v>
      </c>
      <c r="BB90" t="s">
        <v>8640</v>
      </c>
      <c r="BC90" t="s">
        <v>8641</v>
      </c>
      <c r="BD90" t="s">
        <v>8642</v>
      </c>
      <c r="BE90" t="s">
        <v>8641</v>
      </c>
      <c r="BF90" t="s">
        <v>8641</v>
      </c>
      <c r="BG90" t="s">
        <v>8641</v>
      </c>
      <c r="BH90">
        <v>2.3E-2</v>
      </c>
      <c r="BL90">
        <v>1.0999999999999999E-2</v>
      </c>
      <c r="BN90">
        <v>1</v>
      </c>
      <c r="BO90" t="s">
        <v>8092</v>
      </c>
      <c r="BP90">
        <v>1405</v>
      </c>
      <c r="BQ90" s="594">
        <v>1225</v>
      </c>
      <c r="BR90" t="s">
        <v>1979</v>
      </c>
      <c r="BS90" t="s">
        <v>8093</v>
      </c>
      <c r="BT90">
        <v>0</v>
      </c>
      <c r="BU90" t="s">
        <v>1992</v>
      </c>
      <c r="BV90">
        <v>0</v>
      </c>
      <c r="BW90">
        <v>1229</v>
      </c>
      <c r="BX90" t="s">
        <v>1980</v>
      </c>
      <c r="BY90">
        <v>0</v>
      </c>
      <c r="BZ90">
        <v>0</v>
      </c>
      <c r="CA90" t="s">
        <v>1985</v>
      </c>
      <c r="CB90">
        <v>0</v>
      </c>
      <c r="CD90" t="s">
        <v>8643</v>
      </c>
    </row>
    <row r="91" spans="1:82">
      <c r="A91" t="s">
        <v>7968</v>
      </c>
      <c r="B91" t="s">
        <v>8644</v>
      </c>
      <c r="C91" t="s">
        <v>7958</v>
      </c>
      <c r="D91" t="s">
        <v>1383</v>
      </c>
      <c r="E91" t="s">
        <v>8083</v>
      </c>
      <c r="F91" t="s">
        <v>8632</v>
      </c>
      <c r="G91" t="s">
        <v>8132</v>
      </c>
      <c r="H91" t="s">
        <v>8645</v>
      </c>
      <c r="I91" t="s">
        <v>8646</v>
      </c>
      <c r="J91" t="s">
        <v>8099</v>
      </c>
      <c r="K91" t="s">
        <v>8428</v>
      </c>
      <c r="M91" t="s">
        <v>1980</v>
      </c>
      <c r="N91" t="s">
        <v>8127</v>
      </c>
      <c r="O91" t="s">
        <v>10</v>
      </c>
      <c r="P91" t="s">
        <v>8128</v>
      </c>
      <c r="Q91">
        <v>3</v>
      </c>
      <c r="R91" t="s">
        <v>8129</v>
      </c>
      <c r="S91">
        <v>99.94</v>
      </c>
      <c r="T91" t="s">
        <v>8647</v>
      </c>
      <c r="U91" t="s">
        <v>8647</v>
      </c>
      <c r="V91">
        <v>100</v>
      </c>
      <c r="W91">
        <v>100</v>
      </c>
      <c r="X91">
        <v>100</v>
      </c>
      <c r="Y91" t="s">
        <v>1979</v>
      </c>
      <c r="AE91" t="s">
        <v>1979</v>
      </c>
      <c r="AH91">
        <v>0</v>
      </c>
      <c r="AK91" t="s">
        <v>1979</v>
      </c>
      <c r="AL91" t="s">
        <v>1979</v>
      </c>
      <c r="AM91" t="s">
        <v>1979</v>
      </c>
      <c r="AN91" t="s">
        <v>8648</v>
      </c>
      <c r="AO91" t="s">
        <v>8648</v>
      </c>
      <c r="AP91" t="s">
        <v>8649</v>
      </c>
      <c r="AQ91" t="s">
        <v>8650</v>
      </c>
      <c r="AR91" t="s">
        <v>8651</v>
      </c>
      <c r="AS91" t="s">
        <v>8652</v>
      </c>
      <c r="AT91" t="s">
        <v>8652</v>
      </c>
      <c r="AU91" t="s">
        <v>8653</v>
      </c>
      <c r="AV91" t="s">
        <v>8654</v>
      </c>
      <c r="AW91" t="s">
        <v>8655</v>
      </c>
      <c r="BH91">
        <v>3.98475</v>
      </c>
      <c r="BI91">
        <v>3.98475</v>
      </c>
      <c r="BN91">
        <v>1</v>
      </c>
      <c r="BO91" t="s">
        <v>8092</v>
      </c>
      <c r="BP91">
        <v>99.93</v>
      </c>
      <c r="BQ91" s="595">
        <v>99.936999999999998</v>
      </c>
      <c r="BR91" t="s">
        <v>8093</v>
      </c>
      <c r="BS91" t="s">
        <v>8093</v>
      </c>
      <c r="BT91">
        <v>0</v>
      </c>
      <c r="BU91" t="s">
        <v>8093</v>
      </c>
      <c r="BV91">
        <v>0</v>
      </c>
      <c r="BW91">
        <v>99.944000000000003</v>
      </c>
      <c r="BX91" t="s">
        <v>1981</v>
      </c>
      <c r="BY91">
        <v>0</v>
      </c>
      <c r="BZ91">
        <v>0</v>
      </c>
      <c r="CA91">
        <v>0</v>
      </c>
      <c r="CB91">
        <v>0</v>
      </c>
      <c r="CD91" t="s">
        <v>8656</v>
      </c>
    </row>
    <row r="92" spans="1:82">
      <c r="A92" t="s">
        <v>7968</v>
      </c>
      <c r="B92" t="s">
        <v>8657</v>
      </c>
      <c r="C92" t="s">
        <v>7958</v>
      </c>
      <c r="D92" t="s">
        <v>1383</v>
      </c>
      <c r="E92" t="s">
        <v>8083</v>
      </c>
      <c r="F92" t="s">
        <v>8632</v>
      </c>
      <c r="G92" t="s">
        <v>8658</v>
      </c>
      <c r="H92" t="s">
        <v>8659</v>
      </c>
      <c r="I92" t="s">
        <v>8660</v>
      </c>
      <c r="J92" t="s">
        <v>8088</v>
      </c>
      <c r="K92" t="s">
        <v>8428</v>
      </c>
      <c r="M92" t="s">
        <v>1980</v>
      </c>
      <c r="N92" t="s">
        <v>8055</v>
      </c>
      <c r="O92" t="s">
        <v>11</v>
      </c>
      <c r="P92" t="s">
        <v>8635</v>
      </c>
      <c r="Q92">
        <v>0</v>
      </c>
      <c r="R92" t="s">
        <v>8091</v>
      </c>
      <c r="S92">
        <v>4600</v>
      </c>
      <c r="T92">
        <v>4054</v>
      </c>
      <c r="U92">
        <v>3508</v>
      </c>
      <c r="V92">
        <v>2962</v>
      </c>
      <c r="W92">
        <v>2962</v>
      </c>
      <c r="X92">
        <v>2962</v>
      </c>
      <c r="Z92" t="s">
        <v>1979</v>
      </c>
      <c r="AE92" t="s">
        <v>1979</v>
      </c>
      <c r="AH92">
        <v>0</v>
      </c>
      <c r="AK92" t="s">
        <v>1979</v>
      </c>
      <c r="AL92" t="s">
        <v>1979</v>
      </c>
      <c r="AM92" t="s">
        <v>1979</v>
      </c>
      <c r="AN92" t="s">
        <v>8661</v>
      </c>
      <c r="AO92" t="s">
        <v>8661</v>
      </c>
      <c r="AP92" t="s">
        <v>8662</v>
      </c>
      <c r="AQ92" t="s">
        <v>8663</v>
      </c>
      <c r="AR92" t="s">
        <v>8664</v>
      </c>
      <c r="AS92" t="s">
        <v>8665</v>
      </c>
      <c r="AT92" t="s">
        <v>8665</v>
      </c>
      <c r="AU92" t="s">
        <v>8666</v>
      </c>
      <c r="AV92" t="s">
        <v>8667</v>
      </c>
      <c r="AW92" t="s">
        <v>8668</v>
      </c>
      <c r="AX92" t="s">
        <v>8669</v>
      </c>
      <c r="AY92" t="s">
        <v>8669</v>
      </c>
      <c r="AZ92" t="s">
        <v>8669</v>
      </c>
      <c r="BA92" t="s">
        <v>8669</v>
      </c>
      <c r="BB92" t="s">
        <v>8669</v>
      </c>
      <c r="BC92" t="s">
        <v>8670</v>
      </c>
      <c r="BD92" t="s">
        <v>8670</v>
      </c>
      <c r="BE92" t="s">
        <v>8670</v>
      </c>
      <c r="BF92" t="s">
        <v>8670</v>
      </c>
      <c r="BG92" t="s">
        <v>8670</v>
      </c>
      <c r="BH92">
        <v>3.98475</v>
      </c>
      <c r="BI92">
        <v>3.98475</v>
      </c>
      <c r="BL92">
        <v>2E-3</v>
      </c>
      <c r="BN92">
        <v>1</v>
      </c>
      <c r="BO92" t="s">
        <v>8092</v>
      </c>
      <c r="BP92">
        <v>4292</v>
      </c>
      <c r="BQ92" s="594">
        <v>3762</v>
      </c>
      <c r="BR92" t="s">
        <v>8093</v>
      </c>
      <c r="BS92" t="s">
        <v>8093</v>
      </c>
      <c r="BT92">
        <v>0</v>
      </c>
      <c r="BU92" t="s">
        <v>8093</v>
      </c>
      <c r="BV92">
        <v>0</v>
      </c>
      <c r="BW92">
        <v>3227</v>
      </c>
      <c r="BX92" t="s">
        <v>1981</v>
      </c>
      <c r="BY92">
        <v>0</v>
      </c>
      <c r="BZ92">
        <v>0</v>
      </c>
      <c r="CA92">
        <v>0</v>
      </c>
      <c r="CB92">
        <v>0</v>
      </c>
      <c r="CD92" t="s">
        <v>8671</v>
      </c>
    </row>
    <row r="93" spans="1:82">
      <c r="A93" t="s">
        <v>7968</v>
      </c>
      <c r="B93" t="s">
        <v>8672</v>
      </c>
      <c r="C93" t="s">
        <v>7958</v>
      </c>
      <c r="D93" t="s">
        <v>1383</v>
      </c>
      <c r="E93" t="s">
        <v>8083</v>
      </c>
      <c r="F93" t="s">
        <v>8673</v>
      </c>
      <c r="G93" t="s">
        <v>8139</v>
      </c>
      <c r="H93" t="s">
        <v>8674</v>
      </c>
      <c r="I93" t="s">
        <v>8675</v>
      </c>
      <c r="J93" t="s">
        <v>8088</v>
      </c>
      <c r="K93" t="s">
        <v>8428</v>
      </c>
      <c r="M93" t="s">
        <v>1980</v>
      </c>
      <c r="N93" t="s">
        <v>2556</v>
      </c>
      <c r="O93" t="s">
        <v>8186</v>
      </c>
      <c r="P93" t="s">
        <v>8676</v>
      </c>
      <c r="Q93" t="s">
        <v>8677</v>
      </c>
      <c r="R93" t="s">
        <v>8091</v>
      </c>
      <c r="S93">
        <v>0.3034722222222222</v>
      </c>
      <c r="T93">
        <v>0.28472222222222221</v>
      </c>
      <c r="U93">
        <v>0.26597222222222222</v>
      </c>
      <c r="V93">
        <v>0.24722222222222223</v>
      </c>
      <c r="W93">
        <v>0.22847222222222222</v>
      </c>
      <c r="X93">
        <v>0.20833333333333334</v>
      </c>
      <c r="AA93" t="s">
        <v>1979</v>
      </c>
      <c r="AE93" t="s">
        <v>1979</v>
      </c>
      <c r="AH93">
        <v>0</v>
      </c>
      <c r="AI93" t="s">
        <v>1979</v>
      </c>
      <c r="AJ93" t="s">
        <v>1979</v>
      </c>
      <c r="AK93" t="s">
        <v>1979</v>
      </c>
      <c r="AL93" t="s">
        <v>1979</v>
      </c>
      <c r="AM93" t="s">
        <v>1979</v>
      </c>
      <c r="AN93" t="s">
        <v>8678</v>
      </c>
      <c r="AO93" t="s">
        <v>8679</v>
      </c>
      <c r="AP93" t="s">
        <v>8680</v>
      </c>
      <c r="AQ93" t="s">
        <v>8681</v>
      </c>
      <c r="AR93" t="s">
        <v>8682</v>
      </c>
      <c r="AS93" t="s">
        <v>8683</v>
      </c>
      <c r="AT93" t="s">
        <v>8684</v>
      </c>
      <c r="AU93" t="s">
        <v>8685</v>
      </c>
      <c r="AV93" t="s">
        <v>8686</v>
      </c>
      <c r="AW93" t="s">
        <v>8687</v>
      </c>
      <c r="AX93" t="s">
        <v>8688</v>
      </c>
      <c r="AY93" t="s">
        <v>8689</v>
      </c>
      <c r="AZ93" t="s">
        <v>8690</v>
      </c>
      <c r="BA93" t="s">
        <v>8691</v>
      </c>
      <c r="BB93" t="s">
        <v>8692</v>
      </c>
      <c r="BC93" t="s">
        <v>8693</v>
      </c>
      <c r="BD93" t="s">
        <v>8693</v>
      </c>
      <c r="BE93" t="s">
        <v>8693</v>
      </c>
      <c r="BF93" t="s">
        <v>8693</v>
      </c>
      <c r="BG93" t="s">
        <v>8693</v>
      </c>
      <c r="BH93">
        <v>0.15</v>
      </c>
      <c r="BL93">
        <v>1.7999999999999999E-2</v>
      </c>
      <c r="BN93">
        <v>1</v>
      </c>
      <c r="BO93" t="s">
        <v>8092</v>
      </c>
      <c r="BP93">
        <v>0.16388888888888889</v>
      </c>
      <c r="BQ93" s="603">
        <v>0.1388888888888889</v>
      </c>
      <c r="BR93" t="s">
        <v>1979</v>
      </c>
      <c r="BS93" t="s">
        <v>8093</v>
      </c>
      <c r="BT93">
        <v>0</v>
      </c>
      <c r="BU93" t="s">
        <v>1988</v>
      </c>
      <c r="BV93">
        <v>3.78</v>
      </c>
      <c r="BW93" s="1586" t="s">
        <v>8694</v>
      </c>
      <c r="BX93" t="s">
        <v>1979</v>
      </c>
      <c r="BY93">
        <v>0</v>
      </c>
      <c r="BZ93">
        <v>0</v>
      </c>
      <c r="CA93" t="s">
        <v>1988</v>
      </c>
      <c r="CB93">
        <v>3.5639999999999996</v>
      </c>
      <c r="CD93" t="s">
        <v>8695</v>
      </c>
    </row>
    <row r="94" spans="1:82">
      <c r="A94" t="s">
        <v>7968</v>
      </c>
      <c r="B94" t="s">
        <v>8696</v>
      </c>
      <c r="C94" t="s">
        <v>7958</v>
      </c>
      <c r="D94" t="s">
        <v>1383</v>
      </c>
      <c r="E94" t="s">
        <v>8083</v>
      </c>
      <c r="F94" t="s">
        <v>8673</v>
      </c>
      <c r="G94" t="s">
        <v>8145</v>
      </c>
      <c r="H94" t="s">
        <v>8697</v>
      </c>
      <c r="I94" t="s">
        <v>8698</v>
      </c>
      <c r="J94" t="s">
        <v>8088</v>
      </c>
      <c r="K94" t="s">
        <v>8428</v>
      </c>
      <c r="M94" t="s">
        <v>1980</v>
      </c>
      <c r="N94" t="s">
        <v>8192</v>
      </c>
      <c r="O94" t="s">
        <v>11</v>
      </c>
      <c r="P94" t="s">
        <v>8142</v>
      </c>
      <c r="Q94">
        <v>0</v>
      </c>
      <c r="R94" t="s">
        <v>8091</v>
      </c>
      <c r="S94">
        <v>257</v>
      </c>
      <c r="T94">
        <v>216</v>
      </c>
      <c r="U94">
        <v>216</v>
      </c>
      <c r="V94">
        <v>216</v>
      </c>
      <c r="W94">
        <v>216</v>
      </c>
      <c r="X94">
        <v>216</v>
      </c>
      <c r="AE94" t="s">
        <v>1979</v>
      </c>
      <c r="AH94">
        <v>0</v>
      </c>
      <c r="AK94" t="s">
        <v>1979</v>
      </c>
      <c r="AL94" t="s">
        <v>1979</v>
      </c>
      <c r="AM94" t="s">
        <v>1979</v>
      </c>
      <c r="AN94" t="s">
        <v>8699</v>
      </c>
      <c r="AO94" t="s">
        <v>8699</v>
      </c>
      <c r="AP94" t="s">
        <v>8699</v>
      </c>
      <c r="AQ94" t="s">
        <v>8699</v>
      </c>
      <c r="AR94" t="s">
        <v>8699</v>
      </c>
      <c r="AS94" t="s">
        <v>8700</v>
      </c>
      <c r="AT94" t="s">
        <v>8700</v>
      </c>
      <c r="AU94" t="s">
        <v>8700</v>
      </c>
      <c r="AV94" t="s">
        <v>8700</v>
      </c>
      <c r="AW94" t="s">
        <v>8700</v>
      </c>
      <c r="AX94" t="s">
        <v>8701</v>
      </c>
      <c r="AY94" t="s">
        <v>8701</v>
      </c>
      <c r="AZ94" t="s">
        <v>8701</v>
      </c>
      <c r="BA94" t="s">
        <v>8701</v>
      </c>
      <c r="BB94" t="s">
        <v>8701</v>
      </c>
      <c r="BC94">
        <v>0</v>
      </c>
      <c r="BD94">
        <v>0</v>
      </c>
      <c r="BE94">
        <v>0</v>
      </c>
      <c r="BF94">
        <v>0</v>
      </c>
      <c r="BG94">
        <v>0</v>
      </c>
      <c r="BH94">
        <v>3.98475</v>
      </c>
      <c r="BI94">
        <v>3.98475</v>
      </c>
      <c r="BL94">
        <v>1E-3</v>
      </c>
      <c r="BN94">
        <v>1</v>
      </c>
      <c r="BO94" t="s">
        <v>8092</v>
      </c>
      <c r="BP94">
        <v>254</v>
      </c>
      <c r="BQ94" s="594">
        <v>238</v>
      </c>
      <c r="BR94" t="s">
        <v>8093</v>
      </c>
      <c r="BS94" t="s">
        <v>8093</v>
      </c>
      <c r="BT94">
        <v>0</v>
      </c>
      <c r="BU94" t="s">
        <v>8093</v>
      </c>
      <c r="BV94">
        <v>0</v>
      </c>
      <c r="BW94">
        <v>217</v>
      </c>
      <c r="BX94" t="s">
        <v>1981</v>
      </c>
      <c r="BY94">
        <v>0</v>
      </c>
      <c r="BZ94">
        <v>0</v>
      </c>
      <c r="CA94">
        <v>0</v>
      </c>
      <c r="CB94">
        <v>0</v>
      </c>
      <c r="CD94" t="s">
        <v>8702</v>
      </c>
    </row>
    <row r="95" spans="1:82">
      <c r="A95" t="s">
        <v>7968</v>
      </c>
      <c r="B95" t="s">
        <v>8703</v>
      </c>
      <c r="C95" t="s">
        <v>7958</v>
      </c>
      <c r="D95" t="s">
        <v>1383</v>
      </c>
      <c r="E95" t="s">
        <v>8083</v>
      </c>
      <c r="F95" t="s">
        <v>8673</v>
      </c>
      <c r="G95" t="s">
        <v>8152</v>
      </c>
      <c r="H95" t="s">
        <v>8704</v>
      </c>
      <c r="I95" t="s">
        <v>8705</v>
      </c>
      <c r="J95" t="s">
        <v>8099</v>
      </c>
      <c r="K95" t="s">
        <v>8428</v>
      </c>
      <c r="M95" t="s">
        <v>1980</v>
      </c>
      <c r="N95" t="s">
        <v>8148</v>
      </c>
      <c r="O95" t="s">
        <v>11</v>
      </c>
      <c r="P95" t="s">
        <v>8149</v>
      </c>
      <c r="Q95">
        <v>0</v>
      </c>
      <c r="R95" t="s">
        <v>8091</v>
      </c>
      <c r="S95">
        <v>4586</v>
      </c>
      <c r="T95">
        <v>4586</v>
      </c>
      <c r="U95">
        <v>4586</v>
      </c>
      <c r="V95">
        <v>4586</v>
      </c>
      <c r="W95">
        <v>4586</v>
      </c>
      <c r="X95">
        <v>4586</v>
      </c>
      <c r="AE95" t="s">
        <v>1979</v>
      </c>
      <c r="AH95">
        <v>0</v>
      </c>
      <c r="AK95" t="s">
        <v>1979</v>
      </c>
      <c r="AL95" t="s">
        <v>1979</v>
      </c>
      <c r="AM95" t="s">
        <v>1979</v>
      </c>
      <c r="AN95" t="s">
        <v>8706</v>
      </c>
      <c r="AO95" t="s">
        <v>8706</v>
      </c>
      <c r="AP95" t="s">
        <v>8706</v>
      </c>
      <c r="AQ95" t="s">
        <v>8706</v>
      </c>
      <c r="AR95" t="s">
        <v>8706</v>
      </c>
      <c r="AS95" t="s">
        <v>8707</v>
      </c>
      <c r="AT95" t="s">
        <v>8707</v>
      </c>
      <c r="AU95" t="s">
        <v>8707</v>
      </c>
      <c r="AV95" t="s">
        <v>8707</v>
      </c>
      <c r="AW95" t="s">
        <v>8707</v>
      </c>
      <c r="BH95">
        <v>3.98475</v>
      </c>
      <c r="BI95">
        <v>3.98475</v>
      </c>
      <c r="BN95">
        <v>1</v>
      </c>
      <c r="BO95" t="s">
        <v>8092</v>
      </c>
      <c r="BP95">
        <v>3964</v>
      </c>
      <c r="BQ95" s="594">
        <v>3916</v>
      </c>
      <c r="BR95" t="s">
        <v>8093</v>
      </c>
      <c r="BS95" t="s">
        <v>8093</v>
      </c>
      <c r="BT95">
        <v>0</v>
      </c>
      <c r="BU95" t="s">
        <v>8093</v>
      </c>
      <c r="BV95">
        <v>0</v>
      </c>
      <c r="BW95">
        <v>4048</v>
      </c>
      <c r="BX95" t="s">
        <v>1981</v>
      </c>
      <c r="BY95">
        <v>0</v>
      </c>
      <c r="BZ95">
        <v>0</v>
      </c>
      <c r="CA95">
        <v>0</v>
      </c>
      <c r="CB95">
        <v>0</v>
      </c>
      <c r="CD95" t="s">
        <v>8708</v>
      </c>
    </row>
    <row r="96" spans="1:82">
      <c r="A96" t="s">
        <v>7968</v>
      </c>
      <c r="B96" t="s">
        <v>8709</v>
      </c>
      <c r="C96" t="s">
        <v>7958</v>
      </c>
      <c r="D96" t="s">
        <v>1383</v>
      </c>
      <c r="E96" t="s">
        <v>8083</v>
      </c>
      <c r="F96" t="s">
        <v>8673</v>
      </c>
      <c r="G96" t="s">
        <v>8158</v>
      </c>
      <c r="H96" t="s">
        <v>8710</v>
      </c>
      <c r="I96" t="s">
        <v>8711</v>
      </c>
      <c r="J96" t="s">
        <v>8088</v>
      </c>
      <c r="K96" t="s">
        <v>8428</v>
      </c>
      <c r="N96" t="s">
        <v>2534</v>
      </c>
      <c r="O96" t="s">
        <v>11</v>
      </c>
      <c r="P96" t="s">
        <v>8090</v>
      </c>
      <c r="Q96">
        <v>2</v>
      </c>
      <c r="R96" t="s">
        <v>8091</v>
      </c>
      <c r="S96">
        <v>141</v>
      </c>
      <c r="T96">
        <v>139</v>
      </c>
      <c r="U96">
        <v>137</v>
      </c>
      <c r="V96">
        <v>137</v>
      </c>
      <c r="W96">
        <v>137</v>
      </c>
      <c r="X96">
        <v>137</v>
      </c>
      <c r="AE96" t="s">
        <v>1979</v>
      </c>
      <c r="AH96">
        <v>0</v>
      </c>
      <c r="AI96" t="s">
        <v>1979</v>
      </c>
      <c r="AJ96" t="s">
        <v>1979</v>
      </c>
      <c r="AK96" t="s">
        <v>1979</v>
      </c>
      <c r="AL96" t="s">
        <v>1979</v>
      </c>
      <c r="AM96" t="s">
        <v>1979</v>
      </c>
      <c r="AN96" t="s">
        <v>8712</v>
      </c>
      <c r="AO96" t="s">
        <v>8713</v>
      </c>
      <c r="AP96" t="s">
        <v>8713</v>
      </c>
      <c r="AQ96" t="s">
        <v>8713</v>
      </c>
      <c r="AR96" t="s">
        <v>8713</v>
      </c>
      <c r="AS96" t="s">
        <v>8714</v>
      </c>
      <c r="AT96" t="s">
        <v>8715</v>
      </c>
      <c r="AU96" t="s">
        <v>8715</v>
      </c>
      <c r="AV96" t="s">
        <v>8715</v>
      </c>
      <c r="AW96" t="s">
        <v>8715</v>
      </c>
      <c r="AX96" t="s">
        <v>8716</v>
      </c>
      <c r="AY96" t="s">
        <v>8716</v>
      </c>
      <c r="AZ96" t="s">
        <v>8716</v>
      </c>
      <c r="BA96" t="s">
        <v>8716</v>
      </c>
      <c r="BB96" t="s">
        <v>8716</v>
      </c>
      <c r="BC96" t="s">
        <v>8717</v>
      </c>
      <c r="BD96" t="s">
        <v>8717</v>
      </c>
      <c r="BE96" t="s">
        <v>8717</v>
      </c>
      <c r="BF96" t="s">
        <v>8717</v>
      </c>
      <c r="BG96" t="s">
        <v>8717</v>
      </c>
      <c r="BH96">
        <v>0.115</v>
      </c>
      <c r="BL96">
        <v>0.115</v>
      </c>
      <c r="BN96">
        <v>1</v>
      </c>
      <c r="BO96" t="s">
        <v>8092</v>
      </c>
      <c r="BP96">
        <v>136.77000000000001</v>
      </c>
      <c r="BQ96" s="594">
        <v>134.66</v>
      </c>
      <c r="BR96" t="s">
        <v>1979</v>
      </c>
      <c r="BS96" t="s">
        <v>8093</v>
      </c>
      <c r="BT96">
        <v>0</v>
      </c>
      <c r="BU96" t="s">
        <v>1992</v>
      </c>
      <c r="BV96">
        <v>0</v>
      </c>
      <c r="BW96">
        <v>133.82</v>
      </c>
      <c r="BX96" t="s">
        <v>1979</v>
      </c>
      <c r="BY96">
        <v>0</v>
      </c>
      <c r="BZ96">
        <v>0</v>
      </c>
      <c r="CA96" t="s">
        <v>1992</v>
      </c>
      <c r="CB96">
        <v>0</v>
      </c>
      <c r="CD96" t="s">
        <v>8718</v>
      </c>
    </row>
    <row r="97" spans="1:82">
      <c r="A97" t="s">
        <v>7968</v>
      </c>
      <c r="B97" t="s">
        <v>8719</v>
      </c>
      <c r="C97" t="s">
        <v>7958</v>
      </c>
      <c r="D97" t="s">
        <v>1383</v>
      </c>
      <c r="E97" t="s">
        <v>8083</v>
      </c>
      <c r="F97" t="s">
        <v>8673</v>
      </c>
      <c r="G97" t="s">
        <v>8720</v>
      </c>
      <c r="H97" t="s">
        <v>8721</v>
      </c>
      <c r="I97" t="s">
        <v>8722</v>
      </c>
      <c r="J97" t="s">
        <v>8088</v>
      </c>
      <c r="K97" t="s">
        <v>8428</v>
      </c>
      <c r="N97" t="s">
        <v>2534</v>
      </c>
      <c r="O97" t="s">
        <v>11</v>
      </c>
      <c r="P97" t="s">
        <v>8090</v>
      </c>
      <c r="Q97">
        <v>2</v>
      </c>
      <c r="R97" t="s">
        <v>8091</v>
      </c>
      <c r="S97">
        <v>66</v>
      </c>
      <c r="T97">
        <v>66</v>
      </c>
      <c r="U97">
        <v>66</v>
      </c>
      <c r="V97">
        <v>66</v>
      </c>
      <c r="W97">
        <v>66</v>
      </c>
      <c r="X97">
        <v>66</v>
      </c>
      <c r="AE97" t="s">
        <v>1979</v>
      </c>
      <c r="AH97">
        <v>0</v>
      </c>
      <c r="AI97" t="s">
        <v>1979</v>
      </c>
      <c r="AJ97" t="s">
        <v>1979</v>
      </c>
      <c r="AK97" t="s">
        <v>1979</v>
      </c>
      <c r="AL97" t="s">
        <v>1979</v>
      </c>
      <c r="AM97" t="s">
        <v>1979</v>
      </c>
      <c r="AN97" t="s">
        <v>8723</v>
      </c>
      <c r="AO97" t="s">
        <v>8723</v>
      </c>
      <c r="AP97" t="s">
        <v>8723</v>
      </c>
      <c r="AQ97" t="s">
        <v>8723</v>
      </c>
      <c r="AR97" t="s">
        <v>8723</v>
      </c>
      <c r="AS97" t="s">
        <v>8724</v>
      </c>
      <c r="AT97" t="s">
        <v>8724</v>
      </c>
      <c r="AU97" t="s">
        <v>8724</v>
      </c>
      <c r="AV97" t="s">
        <v>8724</v>
      </c>
      <c r="AW97" t="s">
        <v>8724</v>
      </c>
      <c r="AX97" t="s">
        <v>8725</v>
      </c>
      <c r="AY97" t="s">
        <v>8725</v>
      </c>
      <c r="AZ97" t="s">
        <v>8725</v>
      </c>
      <c r="BA97" t="s">
        <v>8725</v>
      </c>
      <c r="BB97" t="s">
        <v>8725</v>
      </c>
      <c r="BC97" t="s">
        <v>8726</v>
      </c>
      <c r="BD97" t="s">
        <v>8726</v>
      </c>
      <c r="BE97" t="s">
        <v>8726</v>
      </c>
      <c r="BF97" t="s">
        <v>8726</v>
      </c>
      <c r="BG97" t="s">
        <v>8726</v>
      </c>
      <c r="BH97">
        <v>0.115</v>
      </c>
      <c r="BL97">
        <v>0.115</v>
      </c>
      <c r="BN97">
        <v>1</v>
      </c>
      <c r="BO97" t="s">
        <v>8092</v>
      </c>
      <c r="BP97">
        <v>60.86</v>
      </c>
      <c r="BQ97" s="594">
        <v>62.42</v>
      </c>
      <c r="BR97" t="s">
        <v>1979</v>
      </c>
      <c r="BS97" t="s">
        <v>8093</v>
      </c>
      <c r="BT97">
        <v>0</v>
      </c>
      <c r="BU97" t="s">
        <v>1992</v>
      </c>
      <c r="BV97">
        <v>0</v>
      </c>
      <c r="BW97">
        <v>68.08</v>
      </c>
      <c r="BX97" t="s">
        <v>1980</v>
      </c>
      <c r="BY97">
        <v>0</v>
      </c>
      <c r="BZ97">
        <v>0</v>
      </c>
      <c r="CA97" t="s">
        <v>1983</v>
      </c>
      <c r="CB97">
        <v>-0.124</v>
      </c>
      <c r="CD97" t="s">
        <v>8727</v>
      </c>
    </row>
    <row r="98" spans="1:82">
      <c r="A98" t="s">
        <v>7968</v>
      </c>
      <c r="B98" t="s">
        <v>8728</v>
      </c>
      <c r="C98" t="s">
        <v>7958</v>
      </c>
      <c r="D98" t="s">
        <v>1383</v>
      </c>
      <c r="E98" t="s">
        <v>8083</v>
      </c>
      <c r="F98" t="s">
        <v>8729</v>
      </c>
      <c r="G98" t="s">
        <v>8219</v>
      </c>
      <c r="H98" t="s">
        <v>8730</v>
      </c>
      <c r="I98" t="s">
        <v>8731</v>
      </c>
      <c r="J98" t="s">
        <v>8119</v>
      </c>
      <c r="N98" t="s">
        <v>8274</v>
      </c>
      <c r="O98" t="s">
        <v>8170</v>
      </c>
      <c r="P98" t="s">
        <v>8732</v>
      </c>
      <c r="Q98">
        <v>1</v>
      </c>
      <c r="R98" t="s">
        <v>8129</v>
      </c>
      <c r="S98">
        <v>8.1999999999999993</v>
      </c>
      <c r="T98">
        <v>8.1999999999999993</v>
      </c>
      <c r="U98">
        <v>8.1999999999999993</v>
      </c>
      <c r="V98">
        <v>8.1999999999999993</v>
      </c>
      <c r="W98">
        <v>8.1999999999999993</v>
      </c>
      <c r="X98">
        <v>8.1999999999999993</v>
      </c>
      <c r="AH98">
        <v>0</v>
      </c>
      <c r="BP98">
        <v>8.3000000000000007</v>
      </c>
      <c r="BQ98" s="591">
        <v>8.5</v>
      </c>
      <c r="BR98" t="s">
        <v>1979</v>
      </c>
      <c r="BS98" t="s">
        <v>8093</v>
      </c>
      <c r="BT98">
        <v>0</v>
      </c>
      <c r="BU98" t="s">
        <v>8093</v>
      </c>
      <c r="BV98">
        <v>0</v>
      </c>
      <c r="BW98">
        <v>8.5</v>
      </c>
      <c r="BX98" t="s">
        <v>1979</v>
      </c>
      <c r="BY98">
        <v>0</v>
      </c>
      <c r="BZ98">
        <v>0</v>
      </c>
      <c r="CA98">
        <v>0</v>
      </c>
      <c r="CB98">
        <v>0</v>
      </c>
      <c r="CD98" t="s">
        <v>8733</v>
      </c>
    </row>
    <row r="99" spans="1:82">
      <c r="A99" t="s">
        <v>7968</v>
      </c>
      <c r="B99" t="s">
        <v>8734</v>
      </c>
      <c r="C99" t="s">
        <v>7958</v>
      </c>
      <c r="D99" t="s">
        <v>1383</v>
      </c>
      <c r="E99" t="s">
        <v>8083</v>
      </c>
      <c r="F99" t="s">
        <v>8729</v>
      </c>
      <c r="G99" t="s">
        <v>8225</v>
      </c>
      <c r="H99" t="s">
        <v>8735</v>
      </c>
      <c r="I99" t="s">
        <v>8736</v>
      </c>
      <c r="J99" t="s">
        <v>8088</v>
      </c>
      <c r="K99" t="s">
        <v>8089</v>
      </c>
      <c r="M99" t="s">
        <v>1980</v>
      </c>
      <c r="N99" t="s">
        <v>8169</v>
      </c>
      <c r="O99" t="s">
        <v>8170</v>
      </c>
      <c r="P99" t="s">
        <v>8171</v>
      </c>
      <c r="Q99">
        <v>1</v>
      </c>
      <c r="R99" t="s">
        <v>8129</v>
      </c>
      <c r="S99">
        <v>89.4</v>
      </c>
      <c r="T99">
        <v>90</v>
      </c>
      <c r="U99">
        <v>90</v>
      </c>
      <c r="V99">
        <v>90</v>
      </c>
      <c r="W99">
        <v>90</v>
      </c>
      <c r="X99">
        <v>90</v>
      </c>
      <c r="AH99">
        <v>0</v>
      </c>
      <c r="AI99" t="s">
        <v>1979</v>
      </c>
      <c r="AJ99" t="s">
        <v>1979</v>
      </c>
      <c r="AK99" t="s">
        <v>1979</v>
      </c>
      <c r="AL99" t="s">
        <v>1979</v>
      </c>
      <c r="AM99" t="s">
        <v>1979</v>
      </c>
      <c r="AN99" t="s">
        <v>8172</v>
      </c>
      <c r="AO99" t="s">
        <v>8172</v>
      </c>
      <c r="AP99" t="s">
        <v>8172</v>
      </c>
      <c r="AQ99" t="s">
        <v>8172</v>
      </c>
      <c r="AR99" t="s">
        <v>8172</v>
      </c>
      <c r="AS99" t="s">
        <v>8172</v>
      </c>
      <c r="AT99" t="s">
        <v>8172</v>
      </c>
      <c r="AU99" t="s">
        <v>8172</v>
      </c>
      <c r="AV99" t="s">
        <v>8172</v>
      </c>
      <c r="AW99" t="s">
        <v>8172</v>
      </c>
      <c r="AX99" t="s">
        <v>8172</v>
      </c>
      <c r="AY99" t="s">
        <v>8172</v>
      </c>
      <c r="AZ99" t="s">
        <v>8172</v>
      </c>
      <c r="BA99" t="s">
        <v>8172</v>
      </c>
      <c r="BB99" t="s">
        <v>8172</v>
      </c>
      <c r="BC99" t="s">
        <v>8172</v>
      </c>
      <c r="BD99" t="s">
        <v>8172</v>
      </c>
      <c r="BE99" t="s">
        <v>8172</v>
      </c>
      <c r="BF99" t="s">
        <v>8172</v>
      </c>
      <c r="BG99" t="s">
        <v>8172</v>
      </c>
      <c r="BH99" t="s">
        <v>8172</v>
      </c>
      <c r="BL99" t="s">
        <v>8172</v>
      </c>
      <c r="BN99">
        <v>1</v>
      </c>
      <c r="BO99" t="s">
        <v>8092</v>
      </c>
      <c r="BP99">
        <v>83.72</v>
      </c>
      <c r="BQ99" s="591">
        <v>83.64</v>
      </c>
      <c r="BR99" t="s">
        <v>1980</v>
      </c>
      <c r="BS99" t="s">
        <v>8093</v>
      </c>
      <c r="BT99">
        <v>0</v>
      </c>
      <c r="BU99" t="s">
        <v>8093</v>
      </c>
      <c r="BV99">
        <v>0</v>
      </c>
      <c r="BW99">
        <v>87.53</v>
      </c>
      <c r="BX99" t="s">
        <v>1980</v>
      </c>
      <c r="BY99">
        <v>0</v>
      </c>
      <c r="BZ99">
        <v>0</v>
      </c>
      <c r="CA99">
        <v>0</v>
      </c>
      <c r="CB99">
        <v>0</v>
      </c>
      <c r="CD99" t="s">
        <v>8737</v>
      </c>
    </row>
    <row r="100" spans="1:82">
      <c r="A100" t="s">
        <v>7968</v>
      </c>
      <c r="B100" t="s">
        <v>8738</v>
      </c>
      <c r="C100" t="s">
        <v>7958</v>
      </c>
      <c r="D100" t="s">
        <v>1383</v>
      </c>
      <c r="E100" t="s">
        <v>8083</v>
      </c>
      <c r="F100" t="s">
        <v>8729</v>
      </c>
      <c r="G100" t="s">
        <v>8230</v>
      </c>
      <c r="H100" t="s">
        <v>8739</v>
      </c>
      <c r="I100" t="s">
        <v>8740</v>
      </c>
      <c r="J100" t="s">
        <v>8119</v>
      </c>
      <c r="N100" t="s">
        <v>8274</v>
      </c>
      <c r="O100" t="s">
        <v>10</v>
      </c>
      <c r="P100" t="s">
        <v>8275</v>
      </c>
      <c r="Q100">
        <v>0</v>
      </c>
      <c r="R100" t="s">
        <v>8129</v>
      </c>
      <c r="S100">
        <v>32</v>
      </c>
      <c r="T100">
        <v>32</v>
      </c>
      <c r="U100">
        <v>32</v>
      </c>
      <c r="V100">
        <v>32</v>
      </c>
      <c r="W100">
        <v>32</v>
      </c>
      <c r="X100">
        <v>32</v>
      </c>
      <c r="AH100">
        <v>0</v>
      </c>
      <c r="BP100">
        <v>42</v>
      </c>
      <c r="BQ100" s="594">
        <v>49</v>
      </c>
      <c r="BR100" t="s">
        <v>1979</v>
      </c>
      <c r="BS100" t="s">
        <v>8093</v>
      </c>
      <c r="BT100">
        <v>0</v>
      </c>
      <c r="BU100" t="s">
        <v>8093</v>
      </c>
      <c r="BV100">
        <v>0</v>
      </c>
      <c r="BW100">
        <v>46</v>
      </c>
      <c r="BX100" t="s">
        <v>1979</v>
      </c>
      <c r="BY100">
        <v>0</v>
      </c>
      <c r="BZ100">
        <v>0</v>
      </c>
      <c r="CA100">
        <v>0</v>
      </c>
      <c r="CB100">
        <v>0</v>
      </c>
      <c r="CD100" t="s">
        <v>8741</v>
      </c>
    </row>
    <row r="101" spans="1:82">
      <c r="A101" t="s">
        <v>7968</v>
      </c>
      <c r="B101" t="s">
        <v>8742</v>
      </c>
      <c r="C101" t="s">
        <v>7958</v>
      </c>
      <c r="D101" t="s">
        <v>1383</v>
      </c>
      <c r="E101" t="s">
        <v>8083</v>
      </c>
      <c r="F101" t="s">
        <v>8743</v>
      </c>
      <c r="G101" t="s">
        <v>8242</v>
      </c>
      <c r="H101" t="s">
        <v>8744</v>
      </c>
      <c r="I101" t="s">
        <v>8745</v>
      </c>
      <c r="J101" t="s">
        <v>8119</v>
      </c>
      <c r="N101" t="s">
        <v>8274</v>
      </c>
      <c r="O101" t="s">
        <v>10</v>
      </c>
      <c r="P101" t="s">
        <v>8275</v>
      </c>
      <c r="Q101" t="s">
        <v>8120</v>
      </c>
      <c r="R101" t="s">
        <v>8129</v>
      </c>
      <c r="S101" t="s">
        <v>8746</v>
      </c>
      <c r="T101" t="s">
        <v>8747</v>
      </c>
      <c r="U101" t="s">
        <v>8747</v>
      </c>
      <c r="V101" t="s">
        <v>8747</v>
      </c>
      <c r="W101" t="s">
        <v>8747</v>
      </c>
      <c r="X101" t="s">
        <v>8747</v>
      </c>
      <c r="AH101">
        <v>0</v>
      </c>
      <c r="BP101">
        <v>91</v>
      </c>
      <c r="BQ101" s="593">
        <v>94</v>
      </c>
      <c r="BR101" t="s">
        <v>8093</v>
      </c>
      <c r="BS101" t="s">
        <v>8093</v>
      </c>
      <c r="BT101">
        <v>0</v>
      </c>
      <c r="BU101" t="s">
        <v>8093</v>
      </c>
      <c r="BV101">
        <v>0</v>
      </c>
      <c r="BW101">
        <v>94</v>
      </c>
      <c r="BX101" t="s">
        <v>1981</v>
      </c>
      <c r="BY101">
        <v>0</v>
      </c>
      <c r="BZ101">
        <v>0</v>
      </c>
      <c r="CA101">
        <v>0</v>
      </c>
      <c r="CB101">
        <v>0</v>
      </c>
      <c r="CD101" t="s">
        <v>8748</v>
      </c>
    </row>
    <row r="102" spans="1:82">
      <c r="A102" t="s">
        <v>7968</v>
      </c>
      <c r="B102" t="s">
        <v>8749</v>
      </c>
      <c r="C102" t="s">
        <v>7958</v>
      </c>
      <c r="D102" t="s">
        <v>1383</v>
      </c>
      <c r="E102" t="s">
        <v>8083</v>
      </c>
      <c r="F102" t="s">
        <v>8750</v>
      </c>
      <c r="G102" t="s">
        <v>8257</v>
      </c>
      <c r="H102" t="s">
        <v>8751</v>
      </c>
      <c r="I102" t="s">
        <v>8752</v>
      </c>
      <c r="J102" t="s">
        <v>8119</v>
      </c>
      <c r="N102" t="s">
        <v>8260</v>
      </c>
      <c r="O102" t="s">
        <v>11</v>
      </c>
      <c r="P102" t="s">
        <v>8753</v>
      </c>
      <c r="Q102">
        <v>0</v>
      </c>
      <c r="R102" t="s">
        <v>8091</v>
      </c>
      <c r="S102">
        <v>206</v>
      </c>
      <c r="T102">
        <v>194</v>
      </c>
      <c r="U102">
        <v>183</v>
      </c>
      <c r="V102">
        <v>172</v>
      </c>
      <c r="W102">
        <v>161</v>
      </c>
      <c r="X102">
        <v>150</v>
      </c>
      <c r="AH102">
        <v>0</v>
      </c>
      <c r="BP102">
        <v>213.6</v>
      </c>
      <c r="BQ102" s="594">
        <v>225.2</v>
      </c>
      <c r="BR102" t="s">
        <v>1980</v>
      </c>
      <c r="BS102" t="s">
        <v>8093</v>
      </c>
      <c r="BT102">
        <v>0</v>
      </c>
      <c r="BU102" t="s">
        <v>8093</v>
      </c>
      <c r="BV102">
        <v>0</v>
      </c>
      <c r="BW102">
        <v>187.7</v>
      </c>
      <c r="BX102" t="s">
        <v>1980</v>
      </c>
      <c r="BY102">
        <v>0</v>
      </c>
      <c r="BZ102">
        <v>0</v>
      </c>
      <c r="CA102">
        <v>0</v>
      </c>
      <c r="CB102">
        <v>0</v>
      </c>
      <c r="CD102" t="s">
        <v>8754</v>
      </c>
    </row>
    <row r="103" spans="1:82" ht="25.5">
      <c r="A103" t="s">
        <v>7968</v>
      </c>
      <c r="B103" t="s">
        <v>8755</v>
      </c>
      <c r="C103" t="s">
        <v>7958</v>
      </c>
      <c r="D103" t="s">
        <v>1383</v>
      </c>
      <c r="E103" t="s">
        <v>8083</v>
      </c>
      <c r="F103" t="s">
        <v>8750</v>
      </c>
      <c r="G103" t="s">
        <v>8264</v>
      </c>
      <c r="H103" t="s">
        <v>8756</v>
      </c>
      <c r="I103" t="s">
        <v>8757</v>
      </c>
      <c r="J103" t="s">
        <v>8119</v>
      </c>
      <c r="N103" t="s">
        <v>8252</v>
      </c>
      <c r="O103" t="s">
        <v>6241</v>
      </c>
      <c r="P103" t="s">
        <v>8758</v>
      </c>
      <c r="Q103" t="s">
        <v>8092</v>
      </c>
      <c r="S103" t="s">
        <v>8746</v>
      </c>
      <c r="T103" t="s">
        <v>8759</v>
      </c>
      <c r="U103" t="s">
        <v>8759</v>
      </c>
      <c r="V103" t="s">
        <v>8759</v>
      </c>
      <c r="W103" t="s">
        <v>8759</v>
      </c>
      <c r="X103" t="s">
        <v>8759</v>
      </c>
      <c r="AH103">
        <v>0</v>
      </c>
      <c r="BP103" t="s">
        <v>3323</v>
      </c>
      <c r="BQ103" s="593" t="s">
        <v>8760</v>
      </c>
      <c r="BR103" t="s">
        <v>1979</v>
      </c>
      <c r="BS103" t="s">
        <v>8093</v>
      </c>
      <c r="BT103">
        <v>0</v>
      </c>
      <c r="BU103" t="s">
        <v>8093</v>
      </c>
      <c r="BV103">
        <v>0</v>
      </c>
      <c r="BW103" t="s">
        <v>8761</v>
      </c>
      <c r="BX103" t="s">
        <v>1979</v>
      </c>
      <c r="BY103">
        <v>0</v>
      </c>
      <c r="BZ103">
        <v>0</v>
      </c>
      <c r="CA103">
        <v>0</v>
      </c>
      <c r="CB103">
        <v>0</v>
      </c>
      <c r="CD103" t="s">
        <v>8762</v>
      </c>
    </row>
    <row r="104" spans="1:82">
      <c r="A104" t="s">
        <v>7968</v>
      </c>
      <c r="B104" t="s">
        <v>8763</v>
      </c>
      <c r="C104" t="s">
        <v>7958</v>
      </c>
      <c r="D104" t="s">
        <v>1384</v>
      </c>
      <c r="E104" t="s">
        <v>8297</v>
      </c>
      <c r="F104" t="s">
        <v>8626</v>
      </c>
      <c r="G104" t="s">
        <v>8764</v>
      </c>
      <c r="H104" t="s">
        <v>8765</v>
      </c>
      <c r="I104" t="s">
        <v>8766</v>
      </c>
      <c r="J104" t="s">
        <v>8119</v>
      </c>
      <c r="N104" t="s">
        <v>8364</v>
      </c>
      <c r="O104" t="s">
        <v>8565</v>
      </c>
      <c r="P104" t="s">
        <v>8629</v>
      </c>
      <c r="Q104" t="s">
        <v>8092</v>
      </c>
      <c r="S104" t="s">
        <v>8565</v>
      </c>
      <c r="T104" t="s">
        <v>8565</v>
      </c>
      <c r="U104" t="s">
        <v>8565</v>
      </c>
      <c r="V104" t="s">
        <v>8565</v>
      </c>
      <c r="W104" t="s">
        <v>8565</v>
      </c>
      <c r="X104" t="s">
        <v>8565</v>
      </c>
      <c r="AE104" t="s">
        <v>1979</v>
      </c>
      <c r="AH104">
        <v>0</v>
      </c>
      <c r="BP104" t="s">
        <v>3323</v>
      </c>
      <c r="BQ104" s="593" t="s">
        <v>3323</v>
      </c>
      <c r="BR104" t="s">
        <v>8093</v>
      </c>
      <c r="BS104" t="s">
        <v>8093</v>
      </c>
      <c r="BT104">
        <v>0</v>
      </c>
      <c r="BU104" t="s">
        <v>8093</v>
      </c>
      <c r="BV104">
        <v>0</v>
      </c>
      <c r="BW104" t="s">
        <v>3323</v>
      </c>
      <c r="BX104" t="s">
        <v>1981</v>
      </c>
      <c r="BY104">
        <v>0</v>
      </c>
      <c r="BZ104">
        <v>0</v>
      </c>
      <c r="CA104">
        <v>0</v>
      </c>
      <c r="CB104">
        <v>0</v>
      </c>
      <c r="CD104" t="s">
        <v>8767</v>
      </c>
    </row>
    <row r="105" spans="1:82">
      <c r="A105" t="s">
        <v>7968</v>
      </c>
      <c r="B105" t="s">
        <v>8768</v>
      </c>
      <c r="C105" t="s">
        <v>7958</v>
      </c>
      <c r="D105" t="s">
        <v>1384</v>
      </c>
      <c r="E105" t="s">
        <v>8297</v>
      </c>
      <c r="F105" t="s">
        <v>8769</v>
      </c>
      <c r="G105" t="s">
        <v>8318</v>
      </c>
      <c r="H105" t="s">
        <v>8770</v>
      </c>
      <c r="I105" t="s">
        <v>8771</v>
      </c>
      <c r="J105" t="s">
        <v>8088</v>
      </c>
      <c r="K105" t="s">
        <v>8428</v>
      </c>
      <c r="N105" t="s">
        <v>8301</v>
      </c>
      <c r="O105" t="s">
        <v>11</v>
      </c>
      <c r="P105" t="s">
        <v>8772</v>
      </c>
      <c r="Q105">
        <v>0</v>
      </c>
      <c r="R105" t="s">
        <v>8091</v>
      </c>
      <c r="S105">
        <v>1318</v>
      </c>
      <c r="T105">
        <v>1318</v>
      </c>
      <c r="U105">
        <v>1318</v>
      </c>
      <c r="V105">
        <v>1318</v>
      </c>
      <c r="W105">
        <v>1318</v>
      </c>
      <c r="X105">
        <v>1318</v>
      </c>
      <c r="AE105" t="s">
        <v>1979</v>
      </c>
      <c r="AH105">
        <v>0</v>
      </c>
      <c r="AI105" t="s">
        <v>1979</v>
      </c>
      <c r="AJ105" t="s">
        <v>1979</v>
      </c>
      <c r="AK105" t="s">
        <v>1979</v>
      </c>
      <c r="AL105" t="s">
        <v>1979</v>
      </c>
      <c r="AM105" t="s">
        <v>1979</v>
      </c>
      <c r="AN105" t="s">
        <v>8773</v>
      </c>
      <c r="AO105" t="s">
        <v>8773</v>
      </c>
      <c r="AP105" t="s">
        <v>8773</v>
      </c>
      <c r="AQ105" t="s">
        <v>8773</v>
      </c>
      <c r="AR105" t="s">
        <v>8773</v>
      </c>
      <c r="AS105" t="s">
        <v>8774</v>
      </c>
      <c r="AT105" t="s">
        <v>8774</v>
      </c>
      <c r="AU105" t="s">
        <v>8774</v>
      </c>
      <c r="AV105" t="s">
        <v>8774</v>
      </c>
      <c r="AW105" t="s">
        <v>8774</v>
      </c>
      <c r="AX105" t="s">
        <v>8775</v>
      </c>
      <c r="AY105" t="s">
        <v>8775</v>
      </c>
      <c r="AZ105" t="s">
        <v>8775</v>
      </c>
      <c r="BA105" t="s">
        <v>8775</v>
      </c>
      <c r="BB105" t="s">
        <v>8775</v>
      </c>
      <c r="BC105" t="s">
        <v>8776</v>
      </c>
      <c r="BD105" t="s">
        <v>8776</v>
      </c>
      <c r="BE105" t="s">
        <v>8776</v>
      </c>
      <c r="BF105" t="s">
        <v>8776</v>
      </c>
      <c r="BG105" t="s">
        <v>8776</v>
      </c>
      <c r="BH105">
        <v>3.0000000000000001E-3</v>
      </c>
      <c r="BL105">
        <v>2E-3</v>
      </c>
      <c r="BN105">
        <v>1</v>
      </c>
      <c r="BO105" t="s">
        <v>8092</v>
      </c>
      <c r="BP105">
        <v>1170</v>
      </c>
      <c r="BQ105" s="594">
        <v>1061</v>
      </c>
      <c r="BR105" t="s">
        <v>1979</v>
      </c>
      <c r="BS105" t="s">
        <v>8093</v>
      </c>
      <c r="BT105">
        <v>0</v>
      </c>
      <c r="BU105" t="s">
        <v>1988</v>
      </c>
      <c r="BV105">
        <v>0.156</v>
      </c>
      <c r="BW105">
        <v>839</v>
      </c>
      <c r="BX105" t="s">
        <v>1979</v>
      </c>
      <c r="BY105">
        <v>0</v>
      </c>
      <c r="BZ105">
        <v>0</v>
      </c>
      <c r="CA105" t="s">
        <v>1988</v>
      </c>
      <c r="CB105">
        <v>0.6</v>
      </c>
      <c r="CD105" t="s">
        <v>8777</v>
      </c>
    </row>
    <row r="106" spans="1:82">
      <c r="A106" t="s">
        <v>7968</v>
      </c>
      <c r="B106" t="s">
        <v>8778</v>
      </c>
      <c r="C106" t="s">
        <v>7958</v>
      </c>
      <c r="D106" t="s">
        <v>1384</v>
      </c>
      <c r="E106" t="s">
        <v>8297</v>
      </c>
      <c r="F106" t="s">
        <v>8769</v>
      </c>
      <c r="G106" t="s">
        <v>8779</v>
      </c>
      <c r="H106" t="s">
        <v>8780</v>
      </c>
      <c r="I106" t="s">
        <v>8781</v>
      </c>
      <c r="J106" t="s">
        <v>8088</v>
      </c>
      <c r="K106" t="s">
        <v>8428</v>
      </c>
      <c r="N106" t="s">
        <v>8301</v>
      </c>
      <c r="O106" t="s">
        <v>11</v>
      </c>
      <c r="P106" t="s">
        <v>8782</v>
      </c>
      <c r="Q106">
        <v>0</v>
      </c>
      <c r="R106" t="s">
        <v>8091</v>
      </c>
      <c r="S106">
        <v>300</v>
      </c>
      <c r="T106">
        <v>262</v>
      </c>
      <c r="U106">
        <v>224</v>
      </c>
      <c r="V106">
        <v>186</v>
      </c>
      <c r="W106">
        <v>186</v>
      </c>
      <c r="X106">
        <v>186</v>
      </c>
      <c r="AC106" t="s">
        <v>1979</v>
      </c>
      <c r="AE106" t="s">
        <v>1979</v>
      </c>
      <c r="AH106">
        <v>0</v>
      </c>
      <c r="AI106" t="s">
        <v>1979</v>
      </c>
      <c r="AJ106" t="s">
        <v>1979</v>
      </c>
      <c r="AK106" t="s">
        <v>1979</v>
      </c>
      <c r="AL106" t="s">
        <v>1979</v>
      </c>
      <c r="AM106" t="s">
        <v>1979</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8092</v>
      </c>
      <c r="BP106">
        <v>228</v>
      </c>
      <c r="BQ106" s="594">
        <v>143</v>
      </c>
      <c r="BR106" t="s">
        <v>1979</v>
      </c>
      <c r="BS106" t="s">
        <v>8093</v>
      </c>
      <c r="BT106">
        <v>0</v>
      </c>
      <c r="BU106" t="s">
        <v>1988</v>
      </c>
      <c r="BV106">
        <v>0.55900000000000005</v>
      </c>
      <c r="BW106">
        <v>119</v>
      </c>
      <c r="BX106" t="s">
        <v>1979</v>
      </c>
      <c r="BY106">
        <v>0</v>
      </c>
      <c r="BZ106">
        <v>0</v>
      </c>
      <c r="CA106" t="s">
        <v>1988</v>
      </c>
      <c r="CB106">
        <v>0.871</v>
      </c>
      <c r="CD106" t="s">
        <v>8783</v>
      </c>
    </row>
    <row r="107" spans="1:82">
      <c r="A107" t="s">
        <v>7968</v>
      </c>
      <c r="B107" t="s">
        <v>8784</v>
      </c>
      <c r="C107" t="s">
        <v>7958</v>
      </c>
      <c r="D107" t="s">
        <v>1384</v>
      </c>
      <c r="E107" t="s">
        <v>8297</v>
      </c>
      <c r="F107" t="s">
        <v>8769</v>
      </c>
      <c r="G107" t="s">
        <v>8785</v>
      </c>
      <c r="H107" t="s">
        <v>8786</v>
      </c>
      <c r="I107" t="s">
        <v>8787</v>
      </c>
      <c r="J107" t="s">
        <v>8088</v>
      </c>
      <c r="K107" t="s">
        <v>8428</v>
      </c>
      <c r="M107" t="s">
        <v>1980</v>
      </c>
      <c r="N107" t="s">
        <v>8301</v>
      </c>
      <c r="O107" t="s">
        <v>11</v>
      </c>
      <c r="P107" t="s">
        <v>8772</v>
      </c>
      <c r="Q107">
        <v>0</v>
      </c>
      <c r="R107" t="s">
        <v>8091</v>
      </c>
      <c r="S107">
        <v>496</v>
      </c>
      <c r="T107">
        <v>496</v>
      </c>
      <c r="U107">
        <v>496</v>
      </c>
      <c r="V107">
        <v>496</v>
      </c>
      <c r="W107">
        <v>496</v>
      </c>
      <c r="X107">
        <v>496</v>
      </c>
      <c r="AE107" t="s">
        <v>1979</v>
      </c>
      <c r="AH107">
        <v>0</v>
      </c>
      <c r="AK107" t="s">
        <v>1979</v>
      </c>
      <c r="AL107" t="s">
        <v>1979</v>
      </c>
      <c r="AM107" t="s">
        <v>1979</v>
      </c>
      <c r="AN107" t="s">
        <v>8788</v>
      </c>
      <c r="AO107" t="s">
        <v>8788</v>
      </c>
      <c r="AP107" t="s">
        <v>8788</v>
      </c>
      <c r="AQ107" t="s">
        <v>8788</v>
      </c>
      <c r="AR107" t="s">
        <v>8788</v>
      </c>
      <c r="AS107" t="s">
        <v>8789</v>
      </c>
      <c r="AT107" t="s">
        <v>8789</v>
      </c>
      <c r="AU107" t="s">
        <v>8789</v>
      </c>
      <c r="AV107" t="s">
        <v>8789</v>
      </c>
      <c r="AW107" t="s">
        <v>8789</v>
      </c>
      <c r="AX107" t="s">
        <v>8790</v>
      </c>
      <c r="AY107" t="s">
        <v>8790</v>
      </c>
      <c r="AZ107" t="s">
        <v>8790</v>
      </c>
      <c r="BA107" t="s">
        <v>8790</v>
      </c>
      <c r="BB107" t="s">
        <v>8790</v>
      </c>
      <c r="BC107" t="s">
        <v>8791</v>
      </c>
      <c r="BD107" t="s">
        <v>8791</v>
      </c>
      <c r="BE107" t="s">
        <v>8791</v>
      </c>
      <c r="BF107" t="s">
        <v>8791</v>
      </c>
      <c r="BG107" t="s">
        <v>8791</v>
      </c>
      <c r="BH107">
        <v>2.2286250000000001</v>
      </c>
      <c r="BI107">
        <v>2.2286250000000001</v>
      </c>
      <c r="BL107">
        <v>1.2999999999999999E-2</v>
      </c>
      <c r="BN107">
        <v>1</v>
      </c>
      <c r="BO107" t="s">
        <v>8092</v>
      </c>
      <c r="BP107">
        <v>555</v>
      </c>
      <c r="BQ107" s="594">
        <v>184</v>
      </c>
      <c r="BR107" t="s">
        <v>8093</v>
      </c>
      <c r="BS107" t="s">
        <v>8093</v>
      </c>
      <c r="BT107">
        <v>0</v>
      </c>
      <c r="BU107" t="s">
        <v>8093</v>
      </c>
      <c r="BV107">
        <v>0</v>
      </c>
      <c r="BW107">
        <v>82</v>
      </c>
      <c r="BX107" t="s">
        <v>1981</v>
      </c>
      <c r="BY107">
        <v>0</v>
      </c>
      <c r="BZ107">
        <v>0</v>
      </c>
      <c r="CA107">
        <v>0</v>
      </c>
      <c r="CB107">
        <v>0</v>
      </c>
      <c r="CD107" t="s">
        <v>8792</v>
      </c>
    </row>
    <row r="108" spans="1:82">
      <c r="A108" t="s">
        <v>7968</v>
      </c>
      <c r="B108" t="s">
        <v>8793</v>
      </c>
      <c r="C108" t="s">
        <v>7958</v>
      </c>
      <c r="D108" t="s">
        <v>1384</v>
      </c>
      <c r="E108" t="s">
        <v>8297</v>
      </c>
      <c r="F108" t="s">
        <v>8769</v>
      </c>
      <c r="G108" t="s">
        <v>8794</v>
      </c>
      <c r="H108" t="s">
        <v>8795</v>
      </c>
      <c r="I108" t="s">
        <v>8796</v>
      </c>
      <c r="J108" t="s">
        <v>8099</v>
      </c>
      <c r="K108" t="s">
        <v>8428</v>
      </c>
      <c r="M108" t="s">
        <v>1980</v>
      </c>
      <c r="N108" t="s">
        <v>8301</v>
      </c>
      <c r="O108" t="s">
        <v>11</v>
      </c>
      <c r="P108" t="s">
        <v>8797</v>
      </c>
      <c r="Q108">
        <v>0</v>
      </c>
      <c r="R108" t="s">
        <v>8091</v>
      </c>
      <c r="S108">
        <v>58</v>
      </c>
      <c r="T108">
        <v>58</v>
      </c>
      <c r="U108">
        <v>58</v>
      </c>
      <c r="V108">
        <v>58</v>
      </c>
      <c r="W108">
        <v>58</v>
      </c>
      <c r="X108">
        <v>58</v>
      </c>
      <c r="AE108" t="s">
        <v>1979</v>
      </c>
      <c r="AH108">
        <v>0</v>
      </c>
      <c r="AK108" t="s">
        <v>1979</v>
      </c>
      <c r="AL108" t="s">
        <v>1979</v>
      </c>
      <c r="AM108" t="s">
        <v>1979</v>
      </c>
      <c r="AN108" t="s">
        <v>8798</v>
      </c>
      <c r="AO108" t="s">
        <v>8798</v>
      </c>
      <c r="AP108" t="s">
        <v>8798</v>
      </c>
      <c r="AQ108" t="s">
        <v>8798</v>
      </c>
      <c r="AR108" t="s">
        <v>8798</v>
      </c>
      <c r="AS108" t="s">
        <v>8799</v>
      </c>
      <c r="AT108" t="s">
        <v>8799</v>
      </c>
      <c r="AU108" t="s">
        <v>8799</v>
      </c>
      <c r="AV108" t="s">
        <v>8799</v>
      </c>
      <c r="AW108" t="s">
        <v>8799</v>
      </c>
      <c r="BH108">
        <v>2.2286250000000001</v>
      </c>
      <c r="BI108">
        <v>2.2286250000000001</v>
      </c>
      <c r="BN108">
        <v>1</v>
      </c>
      <c r="BO108" t="s">
        <v>8092</v>
      </c>
      <c r="BP108">
        <v>49</v>
      </c>
      <c r="BQ108" s="594">
        <v>48</v>
      </c>
      <c r="BR108" t="s">
        <v>8093</v>
      </c>
      <c r="BS108" t="s">
        <v>8093</v>
      </c>
      <c r="BT108">
        <v>0</v>
      </c>
      <c r="BU108" t="s">
        <v>8093</v>
      </c>
      <c r="BV108">
        <v>0</v>
      </c>
      <c r="BW108">
        <v>49</v>
      </c>
      <c r="BX108" t="s">
        <v>1981</v>
      </c>
      <c r="BY108">
        <v>0</v>
      </c>
      <c r="BZ108">
        <v>0</v>
      </c>
      <c r="CA108">
        <v>0</v>
      </c>
      <c r="CB108">
        <v>0</v>
      </c>
      <c r="CD108" t="s">
        <v>8800</v>
      </c>
    </row>
    <row r="109" spans="1:82">
      <c r="A109" t="s">
        <v>7968</v>
      </c>
      <c r="B109" t="s">
        <v>8801</v>
      </c>
      <c r="C109" t="s">
        <v>7958</v>
      </c>
      <c r="D109" t="s">
        <v>1384</v>
      </c>
      <c r="E109" t="s">
        <v>8297</v>
      </c>
      <c r="F109" t="s">
        <v>8769</v>
      </c>
      <c r="G109" t="s">
        <v>8802</v>
      </c>
      <c r="H109" t="s">
        <v>8803</v>
      </c>
      <c r="I109" t="s">
        <v>8804</v>
      </c>
      <c r="J109" t="s">
        <v>8088</v>
      </c>
      <c r="K109" t="s">
        <v>8428</v>
      </c>
      <c r="N109" t="s">
        <v>8301</v>
      </c>
      <c r="O109" t="s">
        <v>11</v>
      </c>
      <c r="P109" t="s">
        <v>8772</v>
      </c>
      <c r="Q109">
        <v>0</v>
      </c>
      <c r="R109" t="s">
        <v>8091</v>
      </c>
      <c r="S109">
        <v>228</v>
      </c>
      <c r="T109">
        <v>228</v>
      </c>
      <c r="U109">
        <v>228</v>
      </c>
      <c r="V109">
        <v>228</v>
      </c>
      <c r="W109">
        <v>228</v>
      </c>
      <c r="X109">
        <v>228</v>
      </c>
      <c r="AC109" t="s">
        <v>1979</v>
      </c>
      <c r="AE109" t="s">
        <v>1979</v>
      </c>
      <c r="AH109">
        <v>0</v>
      </c>
      <c r="AI109" t="s">
        <v>1979</v>
      </c>
      <c r="AJ109" t="s">
        <v>1979</v>
      </c>
      <c r="AK109" t="s">
        <v>1979</v>
      </c>
      <c r="AL109" t="s">
        <v>1979</v>
      </c>
      <c r="AM109" t="s">
        <v>1979</v>
      </c>
      <c r="AN109" t="s">
        <v>8805</v>
      </c>
      <c r="AO109" t="s">
        <v>8805</v>
      </c>
      <c r="AP109" t="s">
        <v>8805</v>
      </c>
      <c r="AQ109" t="s">
        <v>8805</v>
      </c>
      <c r="AR109" t="s">
        <v>8805</v>
      </c>
      <c r="AS109" t="s">
        <v>8806</v>
      </c>
      <c r="AT109" t="s">
        <v>8806</v>
      </c>
      <c r="AU109" t="s">
        <v>8806</v>
      </c>
      <c r="AV109" t="s">
        <v>8806</v>
      </c>
      <c r="AW109" t="s">
        <v>8806</v>
      </c>
      <c r="AX109" t="s">
        <v>8807</v>
      </c>
      <c r="AY109" t="s">
        <v>8807</v>
      </c>
      <c r="AZ109" t="s">
        <v>8807</v>
      </c>
      <c r="BA109" t="s">
        <v>8807</v>
      </c>
      <c r="BB109" t="s">
        <v>8807</v>
      </c>
      <c r="BC109" t="s">
        <v>8808</v>
      </c>
      <c r="BD109" t="s">
        <v>8808</v>
      </c>
      <c r="BE109" t="s">
        <v>8808</v>
      </c>
      <c r="BF109" t="s">
        <v>8808</v>
      </c>
      <c r="BG109" t="s">
        <v>8808</v>
      </c>
      <c r="BH109">
        <v>1.7000000000000001E-2</v>
      </c>
      <c r="BL109">
        <v>1.2999999999999999E-2</v>
      </c>
      <c r="BN109">
        <v>1</v>
      </c>
      <c r="BO109" t="s">
        <v>8092</v>
      </c>
      <c r="BP109">
        <v>188</v>
      </c>
      <c r="BQ109" s="594">
        <v>219</v>
      </c>
      <c r="BR109" t="s">
        <v>1979</v>
      </c>
      <c r="BS109" t="s">
        <v>8093</v>
      </c>
      <c r="BT109">
        <v>0</v>
      </c>
      <c r="BU109" t="s">
        <v>1992</v>
      </c>
      <c r="BV109">
        <v>0</v>
      </c>
      <c r="BW109">
        <v>215</v>
      </c>
      <c r="BX109" t="s">
        <v>1979</v>
      </c>
      <c r="BY109">
        <v>0</v>
      </c>
      <c r="BZ109">
        <v>0</v>
      </c>
      <c r="CA109" t="s">
        <v>1992</v>
      </c>
      <c r="CB109">
        <v>0</v>
      </c>
      <c r="CD109" t="s">
        <v>8809</v>
      </c>
    </row>
    <row r="110" spans="1:82">
      <c r="A110" t="s">
        <v>7968</v>
      </c>
      <c r="B110" t="s">
        <v>8810</v>
      </c>
      <c r="C110" t="s">
        <v>7958</v>
      </c>
      <c r="D110" t="s">
        <v>1384</v>
      </c>
      <c r="E110" t="s">
        <v>8297</v>
      </c>
      <c r="F110" t="s">
        <v>8769</v>
      </c>
      <c r="G110" t="s">
        <v>8811</v>
      </c>
      <c r="H110" t="s">
        <v>8812</v>
      </c>
      <c r="I110" t="s">
        <v>8813</v>
      </c>
      <c r="J110" t="s">
        <v>8088</v>
      </c>
      <c r="K110" t="s">
        <v>8428</v>
      </c>
      <c r="N110" t="s">
        <v>8301</v>
      </c>
      <c r="O110" t="s">
        <v>11</v>
      </c>
      <c r="P110" t="s">
        <v>8772</v>
      </c>
      <c r="Q110">
        <v>0</v>
      </c>
      <c r="R110" t="s">
        <v>8091</v>
      </c>
      <c r="S110">
        <v>2931</v>
      </c>
      <c r="T110">
        <v>2931</v>
      </c>
      <c r="U110">
        <v>2931</v>
      </c>
      <c r="V110">
        <v>2931</v>
      </c>
      <c r="W110">
        <v>2931</v>
      </c>
      <c r="X110">
        <v>2931</v>
      </c>
      <c r="AE110" t="s">
        <v>1979</v>
      </c>
      <c r="AH110">
        <v>0</v>
      </c>
      <c r="AI110" t="s">
        <v>1979</v>
      </c>
      <c r="AJ110" t="s">
        <v>1979</v>
      </c>
      <c r="AK110" t="s">
        <v>1979</v>
      </c>
      <c r="AL110" t="s">
        <v>1979</v>
      </c>
      <c r="AM110" t="s">
        <v>1979</v>
      </c>
      <c r="AN110" t="s">
        <v>8814</v>
      </c>
      <c r="AO110" t="s">
        <v>8814</v>
      </c>
      <c r="AP110" t="s">
        <v>8814</v>
      </c>
      <c r="AQ110" t="s">
        <v>8814</v>
      </c>
      <c r="AR110" t="s">
        <v>8814</v>
      </c>
      <c r="AS110" t="s">
        <v>8815</v>
      </c>
      <c r="AT110" t="s">
        <v>8815</v>
      </c>
      <c r="AU110" t="s">
        <v>8815</v>
      </c>
      <c r="AV110" t="s">
        <v>8815</v>
      </c>
      <c r="AW110" t="s">
        <v>8815</v>
      </c>
      <c r="AX110" t="s">
        <v>8816</v>
      </c>
      <c r="AY110" t="s">
        <v>8816</v>
      </c>
      <c r="AZ110" t="s">
        <v>8816</v>
      </c>
      <c r="BA110" t="s">
        <v>8816</v>
      </c>
      <c r="BB110" t="s">
        <v>8816</v>
      </c>
      <c r="BC110" t="s">
        <v>8817</v>
      </c>
      <c r="BD110" t="s">
        <v>8817</v>
      </c>
      <c r="BE110" t="s">
        <v>8817</v>
      </c>
      <c r="BF110" t="s">
        <v>8817</v>
      </c>
      <c r="BG110" t="s">
        <v>8817</v>
      </c>
      <c r="BH110">
        <v>3.0000000000000001E-3</v>
      </c>
      <c r="BL110">
        <v>2E-3</v>
      </c>
      <c r="BN110">
        <v>1</v>
      </c>
      <c r="BO110" t="s">
        <v>8092</v>
      </c>
      <c r="BP110">
        <v>2479</v>
      </c>
      <c r="BQ110" s="594">
        <v>2506</v>
      </c>
      <c r="BR110" t="s">
        <v>1979</v>
      </c>
      <c r="BS110" t="s">
        <v>8093</v>
      </c>
      <c r="BT110">
        <v>0</v>
      </c>
      <c r="BU110" t="s">
        <v>1992</v>
      </c>
      <c r="BV110">
        <v>0</v>
      </c>
      <c r="BW110">
        <v>2730</v>
      </c>
      <c r="BX110" t="s">
        <v>1979</v>
      </c>
      <c r="BY110">
        <v>0</v>
      </c>
      <c r="BZ110">
        <v>0</v>
      </c>
      <c r="CA110" t="s">
        <v>1992</v>
      </c>
      <c r="CB110">
        <v>0</v>
      </c>
      <c r="CD110" t="s">
        <v>8818</v>
      </c>
    </row>
    <row r="111" spans="1:82">
      <c r="A111" t="s">
        <v>7968</v>
      </c>
      <c r="B111" t="s">
        <v>8819</v>
      </c>
      <c r="C111" t="s">
        <v>7958</v>
      </c>
      <c r="D111" t="s">
        <v>1384</v>
      </c>
      <c r="E111" t="s">
        <v>8297</v>
      </c>
      <c r="F111" t="s">
        <v>8769</v>
      </c>
      <c r="G111" t="s">
        <v>8820</v>
      </c>
      <c r="H111" t="s">
        <v>8821</v>
      </c>
      <c r="I111" t="s">
        <v>8822</v>
      </c>
      <c r="J111" t="s">
        <v>8119</v>
      </c>
      <c r="N111" t="s">
        <v>8301</v>
      </c>
      <c r="O111" t="s">
        <v>11</v>
      </c>
      <c r="P111" t="s">
        <v>8823</v>
      </c>
      <c r="Q111">
        <v>0</v>
      </c>
      <c r="R111" t="s">
        <v>8091</v>
      </c>
      <c r="S111">
        <v>84</v>
      </c>
      <c r="T111">
        <v>84</v>
      </c>
      <c r="U111">
        <v>84</v>
      </c>
      <c r="V111">
        <v>84</v>
      </c>
      <c r="W111">
        <v>84</v>
      </c>
      <c r="X111">
        <v>84</v>
      </c>
      <c r="AE111" t="s">
        <v>1979</v>
      </c>
      <c r="AH111">
        <v>0</v>
      </c>
      <c r="BP111">
        <v>74</v>
      </c>
      <c r="BQ111" s="594">
        <v>58</v>
      </c>
      <c r="BR111" t="s">
        <v>1979</v>
      </c>
      <c r="BS111" t="s">
        <v>8093</v>
      </c>
      <c r="BT111">
        <v>0</v>
      </c>
      <c r="BU111" t="s">
        <v>8093</v>
      </c>
      <c r="BV111">
        <v>0</v>
      </c>
      <c r="BW111">
        <v>72</v>
      </c>
      <c r="BX111" t="s">
        <v>1979</v>
      </c>
      <c r="BY111">
        <v>0</v>
      </c>
      <c r="BZ111">
        <v>0</v>
      </c>
      <c r="CA111">
        <v>0</v>
      </c>
      <c r="CB111">
        <v>0</v>
      </c>
      <c r="CD111" t="s">
        <v>8824</v>
      </c>
    </row>
    <row r="112" spans="1:82">
      <c r="A112" t="s">
        <v>7968</v>
      </c>
      <c r="B112" t="s">
        <v>8825</v>
      </c>
      <c r="C112" t="s">
        <v>7958</v>
      </c>
      <c r="D112" t="s">
        <v>1384</v>
      </c>
      <c r="E112" t="s">
        <v>8297</v>
      </c>
      <c r="F112" t="s">
        <v>8826</v>
      </c>
      <c r="G112" t="s">
        <v>8323</v>
      </c>
      <c r="H112" t="s">
        <v>8827</v>
      </c>
      <c r="I112" t="s">
        <v>8828</v>
      </c>
      <c r="J112" t="s">
        <v>8099</v>
      </c>
      <c r="K112" t="s">
        <v>8428</v>
      </c>
      <c r="M112" t="s">
        <v>1980</v>
      </c>
      <c r="N112" t="s">
        <v>8252</v>
      </c>
      <c r="O112" t="s">
        <v>11</v>
      </c>
      <c r="P112" t="s">
        <v>8829</v>
      </c>
      <c r="Q112">
        <v>2</v>
      </c>
      <c r="R112" t="s">
        <v>8091</v>
      </c>
      <c r="S112">
        <v>0</v>
      </c>
      <c r="T112">
        <v>0</v>
      </c>
      <c r="U112">
        <v>0</v>
      </c>
      <c r="V112">
        <v>0</v>
      </c>
      <c r="W112">
        <v>0</v>
      </c>
      <c r="X112">
        <v>0</v>
      </c>
      <c r="AE112" t="s">
        <v>1979</v>
      </c>
      <c r="AH112">
        <v>0</v>
      </c>
      <c r="AK112" t="s">
        <v>1979</v>
      </c>
      <c r="AL112" t="s">
        <v>1979</v>
      </c>
      <c r="AM112" t="s">
        <v>1979</v>
      </c>
      <c r="AN112" t="s">
        <v>8830</v>
      </c>
      <c r="AO112" t="s">
        <v>8830</v>
      </c>
      <c r="AP112" t="s">
        <v>8830</v>
      </c>
      <c r="AQ112" t="s">
        <v>8830</v>
      </c>
      <c r="AR112" t="s">
        <v>8830</v>
      </c>
      <c r="AS112" t="s">
        <v>8831</v>
      </c>
      <c r="AT112" t="s">
        <v>8831</v>
      </c>
      <c r="AU112" t="s">
        <v>8831</v>
      </c>
      <c r="AV112" t="s">
        <v>8831</v>
      </c>
      <c r="AW112" t="s">
        <v>8831</v>
      </c>
      <c r="BH112">
        <v>2.2286250000000001</v>
      </c>
      <c r="BI112">
        <v>2.2286250000000001</v>
      </c>
      <c r="BN112">
        <v>1</v>
      </c>
      <c r="BO112" t="s">
        <v>8092</v>
      </c>
      <c r="BP112">
        <v>1</v>
      </c>
      <c r="BQ112" s="594">
        <v>1</v>
      </c>
      <c r="BR112" t="s">
        <v>8093</v>
      </c>
      <c r="BS112" t="s">
        <v>8093</v>
      </c>
      <c r="BT112">
        <v>0</v>
      </c>
      <c r="BU112" t="s">
        <v>8093</v>
      </c>
      <c r="BV112">
        <v>0</v>
      </c>
      <c r="BW112">
        <v>0.67</v>
      </c>
      <c r="BX112" t="s">
        <v>1981</v>
      </c>
      <c r="BY112">
        <v>0</v>
      </c>
      <c r="BZ112">
        <v>0</v>
      </c>
      <c r="CA112">
        <v>0</v>
      </c>
      <c r="CB112">
        <v>0</v>
      </c>
      <c r="CD112" t="s">
        <v>8832</v>
      </c>
    </row>
    <row r="113" spans="1:82">
      <c r="A113" t="s">
        <v>7968</v>
      </c>
      <c r="B113" t="s">
        <v>8833</v>
      </c>
      <c r="C113" t="s">
        <v>7958</v>
      </c>
      <c r="D113" t="s">
        <v>1384</v>
      </c>
      <c r="E113" t="s">
        <v>8297</v>
      </c>
      <c r="F113" t="s">
        <v>8826</v>
      </c>
      <c r="G113" t="s">
        <v>8329</v>
      </c>
      <c r="H113" t="s">
        <v>8834</v>
      </c>
      <c r="I113" t="s">
        <v>8835</v>
      </c>
      <c r="J113" t="s">
        <v>8088</v>
      </c>
      <c r="K113" t="s">
        <v>8428</v>
      </c>
      <c r="M113" t="s">
        <v>1980</v>
      </c>
      <c r="N113" t="s">
        <v>8337</v>
      </c>
      <c r="O113" t="s">
        <v>11</v>
      </c>
      <c r="P113" t="s">
        <v>8338</v>
      </c>
      <c r="Q113">
        <v>0</v>
      </c>
      <c r="R113" t="s">
        <v>8091</v>
      </c>
      <c r="S113">
        <v>115</v>
      </c>
      <c r="T113">
        <v>115</v>
      </c>
      <c r="U113">
        <v>115</v>
      </c>
      <c r="V113">
        <v>115</v>
      </c>
      <c r="W113">
        <v>115</v>
      </c>
      <c r="X113">
        <v>115</v>
      </c>
      <c r="AB113" t="s">
        <v>1979</v>
      </c>
      <c r="AE113" t="s">
        <v>1979</v>
      </c>
      <c r="AH113">
        <v>0</v>
      </c>
      <c r="AK113" t="s">
        <v>1979</v>
      </c>
      <c r="AL113" t="s">
        <v>1979</v>
      </c>
      <c r="AM113" t="s">
        <v>1979</v>
      </c>
      <c r="AN113" t="s">
        <v>8836</v>
      </c>
      <c r="AO113" t="s">
        <v>8836</v>
      </c>
      <c r="AP113" t="s">
        <v>8837</v>
      </c>
      <c r="AQ113" t="s">
        <v>8838</v>
      </c>
      <c r="AR113" t="s">
        <v>8713</v>
      </c>
      <c r="AS113" t="s">
        <v>8839</v>
      </c>
      <c r="AT113" t="s">
        <v>8839</v>
      </c>
      <c r="AU113" t="s">
        <v>8840</v>
      </c>
      <c r="AV113" t="s">
        <v>8841</v>
      </c>
      <c r="AW113" t="s">
        <v>8842</v>
      </c>
      <c r="AX113" t="s">
        <v>8843</v>
      </c>
      <c r="AY113" t="s">
        <v>8843</v>
      </c>
      <c r="AZ113" t="s">
        <v>8843</v>
      </c>
      <c r="BA113" t="s">
        <v>8843</v>
      </c>
      <c r="BB113" t="s">
        <v>8843</v>
      </c>
      <c r="BC113" t="s">
        <v>8844</v>
      </c>
      <c r="BD113" t="s">
        <v>8844</v>
      </c>
      <c r="BE113" t="s">
        <v>8844</v>
      </c>
      <c r="BF113" t="s">
        <v>8844</v>
      </c>
      <c r="BG113" t="s">
        <v>8844</v>
      </c>
      <c r="BH113">
        <v>2.2286250000000001</v>
      </c>
      <c r="BI113">
        <v>2.2286250000000001</v>
      </c>
      <c r="BL113">
        <v>1.6E-2</v>
      </c>
      <c r="BN113">
        <v>1</v>
      </c>
      <c r="BO113" t="s">
        <v>8092</v>
      </c>
      <c r="BP113">
        <v>136</v>
      </c>
      <c r="BQ113" s="594">
        <v>124</v>
      </c>
      <c r="BR113" t="s">
        <v>8093</v>
      </c>
      <c r="BS113" t="s">
        <v>8093</v>
      </c>
      <c r="BT113">
        <v>0</v>
      </c>
      <c r="BU113" t="s">
        <v>8093</v>
      </c>
      <c r="BV113">
        <v>0</v>
      </c>
      <c r="BW113">
        <v>115</v>
      </c>
      <c r="BX113" t="s">
        <v>1981</v>
      </c>
      <c r="BY113">
        <v>0</v>
      </c>
      <c r="BZ113">
        <v>0</v>
      </c>
      <c r="CA113">
        <v>0</v>
      </c>
      <c r="CB113">
        <v>0</v>
      </c>
      <c r="CD113" t="s">
        <v>8845</v>
      </c>
    </row>
    <row r="114" spans="1:82">
      <c r="A114" t="s">
        <v>7968</v>
      </c>
      <c r="B114" t="s">
        <v>8846</v>
      </c>
      <c r="C114" t="s">
        <v>7958</v>
      </c>
      <c r="D114" t="s">
        <v>1384</v>
      </c>
      <c r="E114" t="s">
        <v>8297</v>
      </c>
      <c r="F114" t="s">
        <v>8826</v>
      </c>
      <c r="G114" t="s">
        <v>8334</v>
      </c>
      <c r="H114" t="s">
        <v>8847</v>
      </c>
      <c r="I114" t="s">
        <v>8848</v>
      </c>
      <c r="J114" t="s">
        <v>8099</v>
      </c>
      <c r="K114" t="s">
        <v>8428</v>
      </c>
      <c r="N114" t="s">
        <v>8252</v>
      </c>
      <c r="O114" t="s">
        <v>11</v>
      </c>
      <c r="P114" t="s">
        <v>8849</v>
      </c>
      <c r="Q114">
        <v>0</v>
      </c>
      <c r="R114" t="s">
        <v>8129</v>
      </c>
      <c r="S114">
        <v>32</v>
      </c>
      <c r="T114">
        <v>32</v>
      </c>
      <c r="U114">
        <v>32</v>
      </c>
      <c r="V114">
        <v>32</v>
      </c>
      <c r="W114">
        <v>34</v>
      </c>
      <c r="X114">
        <v>34</v>
      </c>
      <c r="AF114" t="s">
        <v>1979</v>
      </c>
      <c r="AH114">
        <v>0</v>
      </c>
      <c r="AI114" t="s">
        <v>1979</v>
      </c>
      <c r="AJ114" t="s">
        <v>1979</v>
      </c>
      <c r="AK114" t="s">
        <v>1979</v>
      </c>
      <c r="AL114" t="s">
        <v>1979</v>
      </c>
      <c r="AM114" t="s">
        <v>1979</v>
      </c>
      <c r="AN114">
        <v>31</v>
      </c>
      <c r="AO114">
        <v>31</v>
      </c>
      <c r="AP114">
        <v>31</v>
      </c>
      <c r="AQ114">
        <v>31</v>
      </c>
      <c r="AR114">
        <v>31</v>
      </c>
      <c r="AS114" t="s">
        <v>8850</v>
      </c>
      <c r="AT114" t="s">
        <v>8850</v>
      </c>
      <c r="AU114" t="s">
        <v>8850</v>
      </c>
      <c r="AV114" t="s">
        <v>8851</v>
      </c>
      <c r="AW114" t="s">
        <v>8852</v>
      </c>
      <c r="BH114">
        <v>0.113</v>
      </c>
      <c r="BN114">
        <v>1</v>
      </c>
      <c r="BO114" t="s">
        <v>8092</v>
      </c>
      <c r="BP114">
        <v>33</v>
      </c>
      <c r="BQ114" s="594">
        <v>33</v>
      </c>
      <c r="BR114" t="s">
        <v>1979</v>
      </c>
      <c r="BS114" t="s">
        <v>8093</v>
      </c>
      <c r="BT114">
        <v>0</v>
      </c>
      <c r="BU114" t="s">
        <v>8093</v>
      </c>
      <c r="BV114">
        <v>0</v>
      </c>
      <c r="BW114">
        <v>34</v>
      </c>
      <c r="BX114" t="s">
        <v>1979</v>
      </c>
      <c r="BY114">
        <v>0</v>
      </c>
      <c r="BZ114">
        <v>0</v>
      </c>
      <c r="CA114">
        <v>0</v>
      </c>
      <c r="CB114">
        <v>0</v>
      </c>
      <c r="CD114" t="s">
        <v>8853</v>
      </c>
    </row>
    <row r="115" spans="1:82">
      <c r="A115" t="s">
        <v>7968</v>
      </c>
      <c r="B115" t="s">
        <v>8854</v>
      </c>
      <c r="C115" t="s">
        <v>7958</v>
      </c>
      <c r="D115" t="s">
        <v>1384</v>
      </c>
      <c r="E115" t="s">
        <v>8297</v>
      </c>
      <c r="F115" t="s">
        <v>8826</v>
      </c>
      <c r="G115" t="s">
        <v>8341</v>
      </c>
      <c r="H115" t="s">
        <v>8855</v>
      </c>
      <c r="I115" t="s">
        <v>8856</v>
      </c>
      <c r="J115" t="s">
        <v>8099</v>
      </c>
      <c r="K115" t="s">
        <v>8428</v>
      </c>
      <c r="M115" t="s">
        <v>1980</v>
      </c>
      <c r="N115" t="s">
        <v>8252</v>
      </c>
      <c r="O115" t="s">
        <v>6241</v>
      </c>
      <c r="P115" t="s">
        <v>8857</v>
      </c>
      <c r="Q115" t="s">
        <v>8092</v>
      </c>
      <c r="S115" t="s">
        <v>8858</v>
      </c>
      <c r="T115" t="s">
        <v>8858</v>
      </c>
      <c r="U115" t="s">
        <v>8858</v>
      </c>
      <c r="V115" t="s">
        <v>8859</v>
      </c>
      <c r="W115" t="s">
        <v>8859</v>
      </c>
      <c r="X115" t="s">
        <v>8859</v>
      </c>
      <c r="AD115" t="s">
        <v>1979</v>
      </c>
      <c r="AF115" t="s">
        <v>1979</v>
      </c>
      <c r="AH115">
        <v>0</v>
      </c>
      <c r="AL115" t="s">
        <v>1979</v>
      </c>
      <c r="AM115" t="s">
        <v>1979</v>
      </c>
      <c r="AN115" t="s">
        <v>8858</v>
      </c>
      <c r="AO115" t="s">
        <v>8858</v>
      </c>
      <c r="AP115" t="s">
        <v>8858</v>
      </c>
      <c r="AQ115" t="s">
        <v>8858</v>
      </c>
      <c r="AR115" t="s">
        <v>8858</v>
      </c>
      <c r="AS115" t="s">
        <v>8858</v>
      </c>
      <c r="AT115" t="s">
        <v>8858</v>
      </c>
      <c r="AU115" t="s">
        <v>8858</v>
      </c>
      <c r="AV115" t="s">
        <v>8858</v>
      </c>
      <c r="AW115" t="s">
        <v>8858</v>
      </c>
      <c r="BH115">
        <v>0.2</v>
      </c>
      <c r="BI115">
        <v>4</v>
      </c>
      <c r="BN115">
        <v>1</v>
      </c>
      <c r="BO115" t="s">
        <v>8092</v>
      </c>
      <c r="BP115" t="s">
        <v>3323</v>
      </c>
      <c r="BQ115" s="593" t="s">
        <v>3323</v>
      </c>
      <c r="BR115" t="s">
        <v>8093</v>
      </c>
      <c r="BS115" t="s">
        <v>8093</v>
      </c>
      <c r="BT115">
        <v>0</v>
      </c>
      <c r="BU115" t="s">
        <v>8093</v>
      </c>
      <c r="BV115">
        <v>0</v>
      </c>
      <c r="BW115" t="s">
        <v>3323</v>
      </c>
      <c r="BX115" t="s">
        <v>1981</v>
      </c>
      <c r="BY115">
        <v>0</v>
      </c>
      <c r="BZ115">
        <v>0</v>
      </c>
      <c r="CA115">
        <v>0</v>
      </c>
      <c r="CB115">
        <v>0</v>
      </c>
      <c r="CD115" t="s">
        <v>8860</v>
      </c>
    </row>
    <row r="116" spans="1:82">
      <c r="A116" t="s">
        <v>7968</v>
      </c>
      <c r="B116" t="s">
        <v>8861</v>
      </c>
      <c r="C116" t="s">
        <v>7958</v>
      </c>
      <c r="D116" t="s">
        <v>1384</v>
      </c>
      <c r="E116" t="s">
        <v>8297</v>
      </c>
      <c r="F116" t="s">
        <v>8729</v>
      </c>
      <c r="G116" t="s">
        <v>8346</v>
      </c>
      <c r="H116" t="s">
        <v>8862</v>
      </c>
      <c r="I116" t="s">
        <v>8863</v>
      </c>
      <c r="J116" t="s">
        <v>8119</v>
      </c>
      <c r="N116" t="s">
        <v>8274</v>
      </c>
      <c r="O116" t="s">
        <v>8170</v>
      </c>
      <c r="P116" t="s">
        <v>8864</v>
      </c>
      <c r="Q116">
        <v>1</v>
      </c>
      <c r="R116" t="s">
        <v>8129</v>
      </c>
      <c r="S116">
        <v>8.1999999999999993</v>
      </c>
      <c r="T116">
        <v>8.1999999999999993</v>
      </c>
      <c r="U116">
        <v>8.1999999999999993</v>
      </c>
      <c r="V116">
        <v>8.1999999999999993</v>
      </c>
      <c r="W116">
        <v>8.1999999999999993</v>
      </c>
      <c r="X116">
        <v>8.1999999999999993</v>
      </c>
      <c r="AH116">
        <v>0</v>
      </c>
      <c r="BP116">
        <v>8.3000000000000007</v>
      </c>
      <c r="BQ116" s="591">
        <v>8.5</v>
      </c>
      <c r="BR116" t="s">
        <v>1979</v>
      </c>
      <c r="BS116" t="s">
        <v>8093</v>
      </c>
      <c r="BT116">
        <v>0</v>
      </c>
      <c r="BU116" t="s">
        <v>8093</v>
      </c>
      <c r="BV116">
        <v>0</v>
      </c>
      <c r="BW116">
        <v>8.5</v>
      </c>
      <c r="BX116" t="s">
        <v>1979</v>
      </c>
      <c r="BY116">
        <v>0</v>
      </c>
      <c r="BZ116">
        <v>0</v>
      </c>
      <c r="CA116">
        <v>0</v>
      </c>
      <c r="CB116">
        <v>0</v>
      </c>
      <c r="CD116" t="s">
        <v>8865</v>
      </c>
    </row>
    <row r="117" spans="1:82">
      <c r="A117" t="s">
        <v>7968</v>
      </c>
      <c r="B117" t="s">
        <v>8866</v>
      </c>
      <c r="C117" t="s">
        <v>7958</v>
      </c>
      <c r="D117" t="s">
        <v>1384</v>
      </c>
      <c r="E117" t="s">
        <v>8297</v>
      </c>
      <c r="F117" t="s">
        <v>8729</v>
      </c>
      <c r="G117" t="s">
        <v>8351</v>
      </c>
      <c r="H117" t="s">
        <v>8867</v>
      </c>
      <c r="I117" t="s">
        <v>8868</v>
      </c>
      <c r="J117" t="s">
        <v>8088</v>
      </c>
      <c r="K117" t="s">
        <v>8089</v>
      </c>
      <c r="M117" t="s">
        <v>1980</v>
      </c>
      <c r="N117" t="s">
        <v>8169</v>
      </c>
      <c r="O117" t="s">
        <v>8170</v>
      </c>
      <c r="P117" t="s">
        <v>8171</v>
      </c>
      <c r="Q117">
        <v>1</v>
      </c>
      <c r="R117" t="s">
        <v>8129</v>
      </c>
      <c r="S117">
        <v>89.4</v>
      </c>
      <c r="T117">
        <v>90</v>
      </c>
      <c r="U117">
        <v>90</v>
      </c>
      <c r="V117">
        <v>90</v>
      </c>
      <c r="W117">
        <v>90</v>
      </c>
      <c r="X117">
        <v>90</v>
      </c>
      <c r="AH117">
        <v>0</v>
      </c>
      <c r="AI117" t="s">
        <v>1979</v>
      </c>
      <c r="AJ117" t="s">
        <v>1979</v>
      </c>
      <c r="AK117" t="s">
        <v>1979</v>
      </c>
      <c r="AL117" t="s">
        <v>1979</v>
      </c>
      <c r="AM117" t="s">
        <v>1979</v>
      </c>
      <c r="AN117" t="s">
        <v>8172</v>
      </c>
      <c r="AO117" t="s">
        <v>8172</v>
      </c>
      <c r="AP117" t="s">
        <v>8172</v>
      </c>
      <c r="AQ117" t="s">
        <v>8172</v>
      </c>
      <c r="AR117" t="s">
        <v>8172</v>
      </c>
      <c r="AS117" t="s">
        <v>8172</v>
      </c>
      <c r="AT117" t="s">
        <v>8172</v>
      </c>
      <c r="AU117" t="s">
        <v>8172</v>
      </c>
      <c r="AV117" t="s">
        <v>8172</v>
      </c>
      <c r="AW117" t="s">
        <v>8172</v>
      </c>
      <c r="AX117" t="s">
        <v>8172</v>
      </c>
      <c r="AY117" t="s">
        <v>8172</v>
      </c>
      <c r="AZ117" t="s">
        <v>8172</v>
      </c>
      <c r="BA117" t="s">
        <v>8172</v>
      </c>
      <c r="BB117" t="s">
        <v>8172</v>
      </c>
      <c r="BC117" t="s">
        <v>8172</v>
      </c>
      <c r="BD117" t="s">
        <v>8172</v>
      </c>
      <c r="BE117" t="s">
        <v>8172</v>
      </c>
      <c r="BF117" t="s">
        <v>8172</v>
      </c>
      <c r="BG117" t="s">
        <v>8172</v>
      </c>
      <c r="BH117" t="s">
        <v>8172</v>
      </c>
      <c r="BL117" t="s">
        <v>8172</v>
      </c>
      <c r="BN117">
        <v>1</v>
      </c>
      <c r="BO117" t="s">
        <v>8092</v>
      </c>
      <c r="BP117">
        <v>83.72</v>
      </c>
      <c r="BQ117" s="591">
        <v>83.64</v>
      </c>
      <c r="BR117" t="s">
        <v>1980</v>
      </c>
      <c r="BS117" t="s">
        <v>8093</v>
      </c>
      <c r="BT117">
        <v>0</v>
      </c>
      <c r="BU117" t="s">
        <v>8093</v>
      </c>
      <c r="BV117">
        <v>0</v>
      </c>
      <c r="BW117">
        <v>87.53</v>
      </c>
      <c r="BX117" t="s">
        <v>1980</v>
      </c>
      <c r="BY117">
        <v>0</v>
      </c>
      <c r="BZ117">
        <v>0</v>
      </c>
      <c r="CA117">
        <v>0</v>
      </c>
      <c r="CB117">
        <v>0</v>
      </c>
      <c r="CD117" t="s">
        <v>8869</v>
      </c>
    </row>
    <row r="118" spans="1:82">
      <c r="A118" t="s">
        <v>7968</v>
      </c>
      <c r="B118" t="s">
        <v>8870</v>
      </c>
      <c r="C118" t="s">
        <v>7958</v>
      </c>
      <c r="D118" t="s">
        <v>1384</v>
      </c>
      <c r="E118" t="s">
        <v>8297</v>
      </c>
      <c r="F118" t="s">
        <v>8729</v>
      </c>
      <c r="G118" t="s">
        <v>8871</v>
      </c>
      <c r="H118" t="s">
        <v>8872</v>
      </c>
      <c r="I118" t="s">
        <v>8873</v>
      </c>
      <c r="J118" t="s">
        <v>8119</v>
      </c>
      <c r="N118" t="s">
        <v>8274</v>
      </c>
      <c r="O118" t="s">
        <v>10</v>
      </c>
      <c r="P118" t="s">
        <v>8275</v>
      </c>
      <c r="Q118">
        <v>0</v>
      </c>
      <c r="R118" t="s">
        <v>8129</v>
      </c>
      <c r="S118">
        <v>32</v>
      </c>
      <c r="T118">
        <v>32</v>
      </c>
      <c r="U118">
        <v>32</v>
      </c>
      <c r="V118">
        <v>32</v>
      </c>
      <c r="W118">
        <v>32</v>
      </c>
      <c r="X118">
        <v>32</v>
      </c>
      <c r="AH118">
        <v>0</v>
      </c>
      <c r="BP118">
        <v>42</v>
      </c>
      <c r="BQ118" s="594">
        <v>49</v>
      </c>
      <c r="BR118" t="s">
        <v>1979</v>
      </c>
      <c r="BS118" t="s">
        <v>8093</v>
      </c>
      <c r="BT118">
        <v>0</v>
      </c>
      <c r="BU118" t="s">
        <v>8093</v>
      </c>
      <c r="BV118">
        <v>0</v>
      </c>
      <c r="BW118">
        <v>46</v>
      </c>
      <c r="BX118" t="s">
        <v>1979</v>
      </c>
      <c r="BY118">
        <v>0</v>
      </c>
      <c r="BZ118">
        <v>0</v>
      </c>
      <c r="CA118">
        <v>0</v>
      </c>
      <c r="CB118">
        <v>0</v>
      </c>
      <c r="CD118" t="s">
        <v>8874</v>
      </c>
    </row>
    <row r="119" spans="1:82">
      <c r="A119" t="s">
        <v>7968</v>
      </c>
      <c r="B119" t="s">
        <v>8875</v>
      </c>
      <c r="C119" t="s">
        <v>7958</v>
      </c>
      <c r="D119" t="s">
        <v>1384</v>
      </c>
      <c r="E119" t="s">
        <v>8297</v>
      </c>
      <c r="F119" t="s">
        <v>8743</v>
      </c>
      <c r="G119" t="s">
        <v>8356</v>
      </c>
      <c r="H119" t="s">
        <v>8876</v>
      </c>
      <c r="I119" t="s">
        <v>8877</v>
      </c>
      <c r="J119" t="s">
        <v>8119</v>
      </c>
      <c r="N119" t="s">
        <v>8274</v>
      </c>
      <c r="O119" t="s">
        <v>10</v>
      </c>
      <c r="P119" t="s">
        <v>8275</v>
      </c>
      <c r="Q119" t="s">
        <v>8120</v>
      </c>
      <c r="R119" t="s">
        <v>8129</v>
      </c>
      <c r="S119" t="s">
        <v>8746</v>
      </c>
      <c r="T119" t="s">
        <v>8747</v>
      </c>
      <c r="U119" t="s">
        <v>8747</v>
      </c>
      <c r="V119" t="s">
        <v>8747</v>
      </c>
      <c r="W119" t="s">
        <v>8747</v>
      </c>
      <c r="X119" t="s">
        <v>8747</v>
      </c>
      <c r="AH119">
        <v>0</v>
      </c>
      <c r="BP119">
        <v>91</v>
      </c>
      <c r="BQ119" s="593">
        <v>94</v>
      </c>
      <c r="BR119" t="s">
        <v>8093</v>
      </c>
      <c r="BS119" t="s">
        <v>8093</v>
      </c>
      <c r="BT119">
        <v>0</v>
      </c>
      <c r="BU119" t="s">
        <v>8093</v>
      </c>
      <c r="BV119">
        <v>0</v>
      </c>
      <c r="BW119">
        <v>94</v>
      </c>
      <c r="BX119" t="s">
        <v>1981</v>
      </c>
      <c r="BY119">
        <v>0</v>
      </c>
      <c r="BZ119">
        <v>0</v>
      </c>
      <c r="CA119">
        <v>0</v>
      </c>
      <c r="CB119">
        <v>0</v>
      </c>
      <c r="CD119" t="s">
        <v>8878</v>
      </c>
    </row>
    <row r="120" spans="1:82">
      <c r="A120" t="s">
        <v>7968</v>
      </c>
      <c r="B120" t="s">
        <v>8879</v>
      </c>
      <c r="C120" t="s">
        <v>7958</v>
      </c>
      <c r="D120" t="s">
        <v>1384</v>
      </c>
      <c r="E120" t="s">
        <v>8297</v>
      </c>
      <c r="F120" t="s">
        <v>8880</v>
      </c>
      <c r="G120" t="s">
        <v>8361</v>
      </c>
      <c r="H120" t="s">
        <v>8881</v>
      </c>
      <c r="I120" t="s">
        <v>8882</v>
      </c>
      <c r="J120" t="s">
        <v>8119</v>
      </c>
      <c r="N120" t="s">
        <v>8260</v>
      </c>
      <c r="O120" t="s">
        <v>11</v>
      </c>
      <c r="P120" t="s">
        <v>8753</v>
      </c>
      <c r="Q120">
        <v>0</v>
      </c>
      <c r="R120" t="s">
        <v>8091</v>
      </c>
      <c r="S120">
        <v>206</v>
      </c>
      <c r="T120">
        <v>194</v>
      </c>
      <c r="U120">
        <v>183</v>
      </c>
      <c r="V120">
        <v>172</v>
      </c>
      <c r="W120">
        <v>161</v>
      </c>
      <c r="X120">
        <v>150</v>
      </c>
      <c r="AH120">
        <v>0</v>
      </c>
      <c r="BP120">
        <v>213.6</v>
      </c>
      <c r="BQ120" s="594">
        <v>225.2</v>
      </c>
      <c r="BR120" t="s">
        <v>1980</v>
      </c>
      <c r="BS120" t="s">
        <v>8093</v>
      </c>
      <c r="BT120">
        <v>0</v>
      </c>
      <c r="BU120" t="s">
        <v>8093</v>
      </c>
      <c r="BV120">
        <v>0</v>
      </c>
      <c r="BW120">
        <v>187.7</v>
      </c>
      <c r="BX120" t="s">
        <v>1980</v>
      </c>
      <c r="BY120">
        <v>0</v>
      </c>
      <c r="BZ120">
        <v>0</v>
      </c>
      <c r="CA120">
        <v>0</v>
      </c>
      <c r="CB120">
        <v>0</v>
      </c>
      <c r="CD120" t="s">
        <v>8883</v>
      </c>
    </row>
    <row r="121" spans="1:82" ht="25.5">
      <c r="A121" t="s">
        <v>7968</v>
      </c>
      <c r="B121" t="s">
        <v>8884</v>
      </c>
      <c r="C121" t="s">
        <v>7958</v>
      </c>
      <c r="D121" t="s">
        <v>1384</v>
      </c>
      <c r="E121" t="s">
        <v>8297</v>
      </c>
      <c r="F121" t="s">
        <v>8880</v>
      </c>
      <c r="G121" t="s">
        <v>8367</v>
      </c>
      <c r="H121" t="s">
        <v>8885</v>
      </c>
      <c r="I121" t="s">
        <v>8886</v>
      </c>
      <c r="J121" t="s">
        <v>8119</v>
      </c>
      <c r="N121" t="s">
        <v>8252</v>
      </c>
      <c r="O121" t="s">
        <v>6241</v>
      </c>
      <c r="P121" t="s">
        <v>8758</v>
      </c>
      <c r="Q121" t="s">
        <v>8092</v>
      </c>
      <c r="S121" t="s">
        <v>8746</v>
      </c>
      <c r="T121" t="s">
        <v>8759</v>
      </c>
      <c r="U121" t="s">
        <v>8759</v>
      </c>
      <c r="V121" t="s">
        <v>8759</v>
      </c>
      <c r="W121" t="s">
        <v>8759</v>
      </c>
      <c r="X121" t="s">
        <v>8759</v>
      </c>
      <c r="AH121">
        <v>0</v>
      </c>
      <c r="BP121" t="s">
        <v>3323</v>
      </c>
      <c r="BQ121" s="593" t="s">
        <v>8761</v>
      </c>
      <c r="BR121" t="s">
        <v>1979</v>
      </c>
      <c r="BS121" t="s">
        <v>8093</v>
      </c>
      <c r="BT121">
        <v>0</v>
      </c>
      <c r="BU121" t="s">
        <v>8093</v>
      </c>
      <c r="BV121">
        <v>0</v>
      </c>
      <c r="BW121" t="s">
        <v>8761</v>
      </c>
      <c r="BX121" t="s">
        <v>1979</v>
      </c>
      <c r="BY121">
        <v>0</v>
      </c>
      <c r="BZ121">
        <v>0</v>
      </c>
      <c r="CA121">
        <v>0</v>
      </c>
      <c r="CB121">
        <v>0</v>
      </c>
      <c r="CD121" t="s">
        <v>8887</v>
      </c>
    </row>
    <row r="122" spans="1:82">
      <c r="A122" t="s">
        <v>7968</v>
      </c>
      <c r="B122" t="s">
        <v>8888</v>
      </c>
      <c r="C122" t="s">
        <v>7958</v>
      </c>
      <c r="D122" t="s">
        <v>8163</v>
      </c>
      <c r="E122" t="s">
        <v>8164</v>
      </c>
      <c r="F122" t="s">
        <v>8729</v>
      </c>
      <c r="G122" t="s">
        <v>8395</v>
      </c>
      <c r="H122" t="s">
        <v>8889</v>
      </c>
      <c r="I122" t="s">
        <v>8890</v>
      </c>
      <c r="J122" t="s">
        <v>8119</v>
      </c>
      <c r="N122" t="s">
        <v>8274</v>
      </c>
      <c r="O122" t="s">
        <v>8170</v>
      </c>
      <c r="P122" t="s">
        <v>8864</v>
      </c>
      <c r="Q122">
        <v>1</v>
      </c>
      <c r="R122" t="s">
        <v>8129</v>
      </c>
      <c r="S122">
        <v>8.1999999999999993</v>
      </c>
      <c r="T122">
        <v>8.1999999999999993</v>
      </c>
      <c r="U122">
        <v>8.1999999999999993</v>
      </c>
      <c r="V122">
        <v>8.1999999999999993</v>
      </c>
      <c r="W122">
        <v>8.1999999999999993</v>
      </c>
      <c r="X122">
        <v>8.1999999999999993</v>
      </c>
      <c r="AH122">
        <v>0</v>
      </c>
      <c r="BP122">
        <v>8.3000000000000007</v>
      </c>
      <c r="BQ122" s="591">
        <v>8.5</v>
      </c>
      <c r="BR122" t="s">
        <v>1979</v>
      </c>
      <c r="BS122" t="s">
        <v>8093</v>
      </c>
      <c r="BT122">
        <v>0</v>
      </c>
      <c r="BU122" t="s">
        <v>8093</v>
      </c>
      <c r="BV122">
        <v>0</v>
      </c>
      <c r="BW122">
        <v>8.5</v>
      </c>
      <c r="BX122" t="s">
        <v>1979</v>
      </c>
      <c r="BY122">
        <v>0</v>
      </c>
      <c r="BZ122">
        <v>0</v>
      </c>
      <c r="CA122">
        <v>0</v>
      </c>
      <c r="CB122">
        <v>0</v>
      </c>
      <c r="CD122" t="s">
        <v>8891</v>
      </c>
    </row>
    <row r="123" spans="1:82">
      <c r="A123" t="s">
        <v>7968</v>
      </c>
      <c r="B123" t="s">
        <v>8892</v>
      </c>
      <c r="C123" t="s">
        <v>7958</v>
      </c>
      <c r="D123" t="s">
        <v>8163</v>
      </c>
      <c r="E123" t="s">
        <v>8164</v>
      </c>
      <c r="F123" t="s">
        <v>8729</v>
      </c>
      <c r="G123" t="s">
        <v>8400</v>
      </c>
      <c r="H123" t="s">
        <v>8893</v>
      </c>
      <c r="I123" t="s">
        <v>8894</v>
      </c>
      <c r="J123" t="s">
        <v>8088</v>
      </c>
      <c r="K123" t="s">
        <v>8089</v>
      </c>
      <c r="M123" t="s">
        <v>1980</v>
      </c>
      <c r="N123" t="s">
        <v>8169</v>
      </c>
      <c r="O123" t="s">
        <v>8170</v>
      </c>
      <c r="P123" t="s">
        <v>8171</v>
      </c>
      <c r="Q123">
        <v>1</v>
      </c>
      <c r="R123" t="s">
        <v>8129</v>
      </c>
      <c r="S123">
        <v>89.4</v>
      </c>
      <c r="T123">
        <v>90</v>
      </c>
      <c r="U123">
        <v>90</v>
      </c>
      <c r="V123">
        <v>90</v>
      </c>
      <c r="W123">
        <v>90</v>
      </c>
      <c r="X123">
        <v>90</v>
      </c>
      <c r="AH123">
        <v>0</v>
      </c>
      <c r="AI123" t="s">
        <v>1979</v>
      </c>
      <c r="AJ123" t="s">
        <v>1979</v>
      </c>
      <c r="AK123" t="s">
        <v>1979</v>
      </c>
      <c r="AL123" t="s">
        <v>1979</v>
      </c>
      <c r="AM123" t="s">
        <v>1979</v>
      </c>
      <c r="AN123" t="s">
        <v>8172</v>
      </c>
      <c r="AO123" t="s">
        <v>8172</v>
      </c>
      <c r="AP123" t="s">
        <v>8172</v>
      </c>
      <c r="AQ123" t="s">
        <v>8172</v>
      </c>
      <c r="AR123" t="s">
        <v>8172</v>
      </c>
      <c r="AS123" t="s">
        <v>8172</v>
      </c>
      <c r="AT123" t="s">
        <v>8172</v>
      </c>
      <c r="AU123" t="s">
        <v>8172</v>
      </c>
      <c r="AV123" t="s">
        <v>8172</v>
      </c>
      <c r="AW123" t="s">
        <v>8172</v>
      </c>
      <c r="AX123" t="s">
        <v>8172</v>
      </c>
      <c r="AY123" t="s">
        <v>8172</v>
      </c>
      <c r="AZ123" t="s">
        <v>8172</v>
      </c>
      <c r="BA123" t="s">
        <v>8172</v>
      </c>
      <c r="BB123" t="s">
        <v>8172</v>
      </c>
      <c r="BC123" t="s">
        <v>8172</v>
      </c>
      <c r="BD123" t="s">
        <v>8172</v>
      </c>
      <c r="BE123" t="s">
        <v>8172</v>
      </c>
      <c r="BF123" t="s">
        <v>8172</v>
      </c>
      <c r="BG123" t="s">
        <v>8172</v>
      </c>
      <c r="BH123" t="s">
        <v>8172</v>
      </c>
      <c r="BL123" t="s">
        <v>8172</v>
      </c>
      <c r="BN123">
        <v>1</v>
      </c>
      <c r="BO123" t="s">
        <v>8092</v>
      </c>
      <c r="BP123">
        <v>83.72</v>
      </c>
      <c r="BQ123" s="591">
        <v>83.64</v>
      </c>
      <c r="BR123" t="s">
        <v>1980</v>
      </c>
      <c r="BS123" t="s">
        <v>8093</v>
      </c>
      <c r="BT123">
        <v>0</v>
      </c>
      <c r="BU123" t="s">
        <v>8093</v>
      </c>
      <c r="BV123">
        <v>0</v>
      </c>
      <c r="BW123">
        <v>87.53</v>
      </c>
      <c r="BX123" t="s">
        <v>1980</v>
      </c>
      <c r="BY123">
        <v>0</v>
      </c>
      <c r="BZ123">
        <v>0</v>
      </c>
      <c r="CA123">
        <v>0</v>
      </c>
      <c r="CB123">
        <v>0</v>
      </c>
      <c r="CD123" t="s">
        <v>8895</v>
      </c>
    </row>
    <row r="124" spans="1:82">
      <c r="A124" t="s">
        <v>7968</v>
      </c>
      <c r="B124" t="s">
        <v>8896</v>
      </c>
      <c r="C124" t="s">
        <v>7958</v>
      </c>
      <c r="D124" t="s">
        <v>8163</v>
      </c>
      <c r="E124" t="s">
        <v>8164</v>
      </c>
      <c r="F124" t="s">
        <v>8729</v>
      </c>
      <c r="G124" t="s">
        <v>8897</v>
      </c>
      <c r="H124" t="s">
        <v>8898</v>
      </c>
      <c r="I124" t="s">
        <v>8899</v>
      </c>
      <c r="J124" t="s">
        <v>8119</v>
      </c>
      <c r="N124" t="s">
        <v>8274</v>
      </c>
      <c r="O124" t="s">
        <v>10</v>
      </c>
      <c r="P124" t="s">
        <v>8275</v>
      </c>
      <c r="Q124">
        <v>0</v>
      </c>
      <c r="R124" t="s">
        <v>8129</v>
      </c>
      <c r="S124">
        <v>32</v>
      </c>
      <c r="T124">
        <v>32</v>
      </c>
      <c r="U124">
        <v>32</v>
      </c>
      <c r="V124">
        <v>32</v>
      </c>
      <c r="W124">
        <v>32</v>
      </c>
      <c r="X124">
        <v>32</v>
      </c>
      <c r="AH124">
        <v>0</v>
      </c>
      <c r="BP124">
        <v>42</v>
      </c>
      <c r="BQ124" s="594">
        <v>49</v>
      </c>
      <c r="BR124" t="s">
        <v>1979</v>
      </c>
      <c r="BS124" t="s">
        <v>8093</v>
      </c>
      <c r="BT124">
        <v>0</v>
      </c>
      <c r="BU124" t="s">
        <v>8093</v>
      </c>
      <c r="BV124">
        <v>0</v>
      </c>
      <c r="BW124">
        <v>46</v>
      </c>
      <c r="BX124" t="s">
        <v>1979</v>
      </c>
      <c r="BY124">
        <v>0</v>
      </c>
      <c r="BZ124">
        <v>0</v>
      </c>
      <c r="CA124">
        <v>0</v>
      </c>
      <c r="CB124">
        <v>0</v>
      </c>
      <c r="CD124" t="s">
        <v>8900</v>
      </c>
    </row>
    <row r="125" spans="1:82">
      <c r="A125" t="s">
        <v>7968</v>
      </c>
      <c r="B125" t="s">
        <v>8901</v>
      </c>
      <c r="C125" t="s">
        <v>7958</v>
      </c>
      <c r="D125" t="s">
        <v>8163</v>
      </c>
      <c r="E125" t="s">
        <v>8164</v>
      </c>
      <c r="F125" t="s">
        <v>8902</v>
      </c>
      <c r="G125" t="s">
        <v>8405</v>
      </c>
      <c r="H125" t="s">
        <v>8903</v>
      </c>
      <c r="I125" t="s">
        <v>8904</v>
      </c>
      <c r="J125" t="s">
        <v>8119</v>
      </c>
      <c r="N125" t="s">
        <v>8178</v>
      </c>
      <c r="O125" t="s">
        <v>8170</v>
      </c>
      <c r="P125" t="s">
        <v>8864</v>
      </c>
      <c r="Q125">
        <v>1</v>
      </c>
      <c r="R125" t="s">
        <v>8129</v>
      </c>
      <c r="S125">
        <v>7.9</v>
      </c>
      <c r="T125">
        <v>7.9</v>
      </c>
      <c r="U125">
        <v>7.9</v>
      </c>
      <c r="V125">
        <v>7.9</v>
      </c>
      <c r="W125">
        <v>7.9</v>
      </c>
      <c r="X125">
        <v>7.9</v>
      </c>
      <c r="AH125">
        <v>0</v>
      </c>
      <c r="BP125">
        <v>8.1</v>
      </c>
      <c r="BQ125" s="591">
        <v>8.1999999999999993</v>
      </c>
      <c r="BR125" t="s">
        <v>1979</v>
      </c>
      <c r="BS125" t="s">
        <v>8093</v>
      </c>
      <c r="BT125">
        <v>0</v>
      </c>
      <c r="BU125" t="s">
        <v>8093</v>
      </c>
      <c r="BV125">
        <v>0</v>
      </c>
      <c r="BW125">
        <v>8.1999999999999993</v>
      </c>
      <c r="BX125" t="s">
        <v>1979</v>
      </c>
      <c r="BY125">
        <v>0</v>
      </c>
      <c r="BZ125">
        <v>0</v>
      </c>
      <c r="CA125">
        <v>0</v>
      </c>
      <c r="CB125">
        <v>0</v>
      </c>
      <c r="CD125" t="s">
        <v>8905</v>
      </c>
    </row>
    <row r="126" spans="1:82">
      <c r="A126" t="s">
        <v>7968</v>
      </c>
      <c r="B126" t="s">
        <v>8906</v>
      </c>
      <c r="C126" t="s">
        <v>7958</v>
      </c>
      <c r="D126" t="s">
        <v>8163</v>
      </c>
      <c r="E126" t="s">
        <v>8164</v>
      </c>
      <c r="F126" t="s">
        <v>8902</v>
      </c>
      <c r="G126" t="s">
        <v>8410</v>
      </c>
      <c r="H126" t="s">
        <v>8907</v>
      </c>
      <c r="I126" t="s">
        <v>8908</v>
      </c>
      <c r="J126" t="s">
        <v>8119</v>
      </c>
      <c r="N126" t="s">
        <v>8178</v>
      </c>
      <c r="O126" t="s">
        <v>10</v>
      </c>
      <c r="P126" t="s">
        <v>8275</v>
      </c>
      <c r="Q126">
        <v>0</v>
      </c>
      <c r="R126" t="s">
        <v>8129</v>
      </c>
      <c r="S126">
        <v>83</v>
      </c>
      <c r="T126">
        <v>83</v>
      </c>
      <c r="U126">
        <v>83</v>
      </c>
      <c r="V126">
        <v>83</v>
      </c>
      <c r="W126">
        <v>83</v>
      </c>
      <c r="X126">
        <v>83</v>
      </c>
      <c r="AH126">
        <v>0</v>
      </c>
      <c r="BP126">
        <v>78</v>
      </c>
      <c r="BQ126" s="594">
        <v>77</v>
      </c>
      <c r="BR126" t="s">
        <v>1980</v>
      </c>
      <c r="BS126" t="s">
        <v>8093</v>
      </c>
      <c r="BT126">
        <v>0</v>
      </c>
      <c r="BU126" t="s">
        <v>8093</v>
      </c>
      <c r="BV126">
        <v>0</v>
      </c>
      <c r="BW126">
        <v>84</v>
      </c>
      <c r="BX126" t="s">
        <v>1979</v>
      </c>
      <c r="BY126">
        <v>0</v>
      </c>
      <c r="BZ126">
        <v>0</v>
      </c>
      <c r="CA126">
        <v>0</v>
      </c>
      <c r="CB126">
        <v>0</v>
      </c>
      <c r="CD126" t="s">
        <v>8909</v>
      </c>
    </row>
    <row r="127" spans="1:82">
      <c r="A127" t="s">
        <v>7968</v>
      </c>
      <c r="B127" t="s">
        <v>8910</v>
      </c>
      <c r="C127" t="s">
        <v>7958</v>
      </c>
      <c r="D127" t="s">
        <v>8163</v>
      </c>
      <c r="E127" t="s">
        <v>8164</v>
      </c>
      <c r="F127" t="s">
        <v>8902</v>
      </c>
      <c r="G127" t="s">
        <v>8911</v>
      </c>
      <c r="H127" t="s">
        <v>8912</v>
      </c>
      <c r="I127" t="s">
        <v>8913</v>
      </c>
      <c r="J127" t="s">
        <v>8119</v>
      </c>
      <c r="N127" t="s">
        <v>8178</v>
      </c>
      <c r="O127" t="s">
        <v>10</v>
      </c>
      <c r="P127" t="s">
        <v>8275</v>
      </c>
      <c r="Q127">
        <v>0</v>
      </c>
      <c r="R127" t="s">
        <v>8129</v>
      </c>
      <c r="S127">
        <v>84</v>
      </c>
      <c r="T127">
        <v>84</v>
      </c>
      <c r="U127">
        <v>84</v>
      </c>
      <c r="V127">
        <v>84</v>
      </c>
      <c r="W127">
        <v>84</v>
      </c>
      <c r="X127">
        <v>84</v>
      </c>
      <c r="AH127">
        <v>0</v>
      </c>
      <c r="BP127">
        <v>81</v>
      </c>
      <c r="BQ127" s="594">
        <v>79</v>
      </c>
      <c r="BR127" t="s">
        <v>1980</v>
      </c>
      <c r="BS127" t="s">
        <v>8093</v>
      </c>
      <c r="BT127">
        <v>0</v>
      </c>
      <c r="BU127" t="s">
        <v>8093</v>
      </c>
      <c r="BV127">
        <v>0</v>
      </c>
      <c r="BW127">
        <v>84</v>
      </c>
      <c r="BX127" t="s">
        <v>1979</v>
      </c>
      <c r="BY127">
        <v>0</v>
      </c>
      <c r="BZ127">
        <v>0</v>
      </c>
      <c r="CA127">
        <v>0</v>
      </c>
      <c r="CB127">
        <v>0</v>
      </c>
      <c r="CD127" t="s">
        <v>8914</v>
      </c>
    </row>
    <row r="128" spans="1:82">
      <c r="A128" t="s">
        <v>7968</v>
      </c>
      <c r="B128" t="s">
        <v>8915</v>
      </c>
      <c r="C128" t="s">
        <v>7958</v>
      </c>
      <c r="D128" t="s">
        <v>8163</v>
      </c>
      <c r="E128" t="s">
        <v>8164</v>
      </c>
      <c r="F128" t="s">
        <v>8902</v>
      </c>
      <c r="G128" t="s">
        <v>8916</v>
      </c>
      <c r="H128" t="s">
        <v>8917</v>
      </c>
      <c r="I128" t="s">
        <v>8918</v>
      </c>
      <c r="J128" t="s">
        <v>8119</v>
      </c>
      <c r="N128" t="s">
        <v>8178</v>
      </c>
      <c r="O128" t="s">
        <v>10</v>
      </c>
      <c r="P128" t="s">
        <v>8275</v>
      </c>
      <c r="Q128">
        <v>0</v>
      </c>
      <c r="R128" t="s">
        <v>8129</v>
      </c>
      <c r="S128">
        <v>73</v>
      </c>
      <c r="T128">
        <v>73</v>
      </c>
      <c r="U128">
        <v>73</v>
      </c>
      <c r="V128">
        <v>73</v>
      </c>
      <c r="W128">
        <v>73</v>
      </c>
      <c r="X128">
        <v>73</v>
      </c>
      <c r="AH128">
        <v>0</v>
      </c>
      <c r="BP128">
        <v>73</v>
      </c>
      <c r="BQ128" s="594">
        <v>70</v>
      </c>
      <c r="BR128" t="s">
        <v>1980</v>
      </c>
      <c r="BS128" t="s">
        <v>8093</v>
      </c>
      <c r="BT128">
        <v>0</v>
      </c>
      <c r="BU128" t="s">
        <v>8093</v>
      </c>
      <c r="BV128">
        <v>0</v>
      </c>
      <c r="BW128">
        <v>67</v>
      </c>
      <c r="BX128" t="s">
        <v>1980</v>
      </c>
      <c r="BY128">
        <v>0</v>
      </c>
      <c r="BZ128">
        <v>0</v>
      </c>
      <c r="CA128">
        <v>0</v>
      </c>
      <c r="CB128">
        <v>0</v>
      </c>
      <c r="CD128" t="s">
        <v>8919</v>
      </c>
    </row>
    <row r="129" spans="1:82">
      <c r="A129" t="s">
        <v>7968</v>
      </c>
      <c r="B129" t="s">
        <v>8920</v>
      </c>
      <c r="C129" t="s">
        <v>7958</v>
      </c>
      <c r="D129" t="s">
        <v>8163</v>
      </c>
      <c r="E129" t="s">
        <v>8164</v>
      </c>
      <c r="F129" t="s">
        <v>8743</v>
      </c>
      <c r="G129" t="s">
        <v>8415</v>
      </c>
      <c r="H129" t="s">
        <v>8921</v>
      </c>
      <c r="I129" t="s">
        <v>8922</v>
      </c>
      <c r="J129" t="s">
        <v>8119</v>
      </c>
      <c r="N129" t="s">
        <v>8274</v>
      </c>
      <c r="O129" t="s">
        <v>10</v>
      </c>
      <c r="P129" t="s">
        <v>8275</v>
      </c>
      <c r="Q129" t="s">
        <v>8120</v>
      </c>
      <c r="R129" t="s">
        <v>8129</v>
      </c>
      <c r="S129" t="s">
        <v>8746</v>
      </c>
      <c r="T129" t="s">
        <v>8747</v>
      </c>
      <c r="U129" t="s">
        <v>8747</v>
      </c>
      <c r="V129" t="s">
        <v>8747</v>
      </c>
      <c r="W129" t="s">
        <v>8747</v>
      </c>
      <c r="X129" t="s">
        <v>8747</v>
      </c>
      <c r="AH129">
        <v>0</v>
      </c>
      <c r="BP129">
        <v>91</v>
      </c>
      <c r="BQ129" s="593">
        <v>94</v>
      </c>
      <c r="BR129" t="s">
        <v>8093</v>
      </c>
      <c r="BS129" t="s">
        <v>8093</v>
      </c>
      <c r="BT129">
        <v>0</v>
      </c>
      <c r="BU129" t="s">
        <v>8093</v>
      </c>
      <c r="BV129">
        <v>0</v>
      </c>
      <c r="BW129">
        <v>94</v>
      </c>
      <c r="BX129" t="s">
        <v>1981</v>
      </c>
      <c r="BY129">
        <v>0</v>
      </c>
      <c r="BZ129">
        <v>0</v>
      </c>
      <c r="CA129">
        <v>0</v>
      </c>
      <c r="CB129">
        <v>0</v>
      </c>
      <c r="CD129" t="s">
        <v>8923</v>
      </c>
    </row>
    <row r="130" spans="1:82">
      <c r="A130" t="s">
        <v>7968</v>
      </c>
      <c r="B130" t="s">
        <v>8924</v>
      </c>
      <c r="C130" t="s">
        <v>7958</v>
      </c>
      <c r="D130" t="s">
        <v>8163</v>
      </c>
      <c r="E130" t="s">
        <v>8164</v>
      </c>
      <c r="F130" t="s">
        <v>8880</v>
      </c>
      <c r="G130" t="s">
        <v>8925</v>
      </c>
      <c r="H130" t="s">
        <v>8926</v>
      </c>
      <c r="I130" t="s">
        <v>8927</v>
      </c>
      <c r="J130" t="s">
        <v>8119</v>
      </c>
      <c r="N130" t="s">
        <v>8260</v>
      </c>
      <c r="O130" t="s">
        <v>11</v>
      </c>
      <c r="P130" t="s">
        <v>8753</v>
      </c>
      <c r="Q130">
        <v>0</v>
      </c>
      <c r="R130" t="s">
        <v>8091</v>
      </c>
      <c r="S130">
        <v>206</v>
      </c>
      <c r="T130">
        <v>194</v>
      </c>
      <c r="U130">
        <v>183</v>
      </c>
      <c r="V130">
        <v>172</v>
      </c>
      <c r="W130">
        <v>161</v>
      </c>
      <c r="X130">
        <v>150</v>
      </c>
      <c r="AH130">
        <v>0</v>
      </c>
      <c r="BP130">
        <v>213.6</v>
      </c>
      <c r="BQ130" s="594">
        <v>225.2</v>
      </c>
      <c r="BR130" t="s">
        <v>1980</v>
      </c>
      <c r="BS130" t="s">
        <v>8093</v>
      </c>
      <c r="BT130">
        <v>0</v>
      </c>
      <c r="BU130" t="s">
        <v>8093</v>
      </c>
      <c r="BV130">
        <v>0</v>
      </c>
      <c r="BW130">
        <v>187.7</v>
      </c>
      <c r="BX130" t="s">
        <v>1980</v>
      </c>
      <c r="BY130">
        <v>0</v>
      </c>
      <c r="BZ130">
        <v>0</v>
      </c>
      <c r="CA130">
        <v>0</v>
      </c>
      <c r="CB130">
        <v>0</v>
      </c>
      <c r="CD130" t="s">
        <v>8928</v>
      </c>
    </row>
    <row r="131" spans="1:82" ht="25.5">
      <c r="A131" t="s">
        <v>7968</v>
      </c>
      <c r="B131" t="s">
        <v>8929</v>
      </c>
      <c r="C131" t="s">
        <v>7958</v>
      </c>
      <c r="D131" t="s">
        <v>8163</v>
      </c>
      <c r="E131" t="s">
        <v>8164</v>
      </c>
      <c r="F131" t="s">
        <v>8880</v>
      </c>
      <c r="G131" t="s">
        <v>8930</v>
      </c>
      <c r="H131" t="s">
        <v>8931</v>
      </c>
      <c r="I131" t="s">
        <v>8932</v>
      </c>
      <c r="J131" t="s">
        <v>8119</v>
      </c>
      <c r="N131" t="s">
        <v>8252</v>
      </c>
      <c r="O131" t="s">
        <v>6241</v>
      </c>
      <c r="P131" t="s">
        <v>8758</v>
      </c>
      <c r="Q131" t="s">
        <v>8092</v>
      </c>
      <c r="S131" t="s">
        <v>8746</v>
      </c>
      <c r="T131" t="s">
        <v>8759</v>
      </c>
      <c r="U131" t="s">
        <v>8759</v>
      </c>
      <c r="V131" t="s">
        <v>8759</v>
      </c>
      <c r="W131" t="s">
        <v>8759</v>
      </c>
      <c r="X131" t="s">
        <v>8759</v>
      </c>
      <c r="AH131">
        <v>0</v>
      </c>
      <c r="BP131" t="s">
        <v>3323</v>
      </c>
      <c r="BQ131" s="593" t="s">
        <v>8760</v>
      </c>
      <c r="BR131" t="s">
        <v>1979</v>
      </c>
      <c r="BS131" t="s">
        <v>8093</v>
      </c>
      <c r="BT131">
        <v>0</v>
      </c>
      <c r="BU131" t="s">
        <v>8093</v>
      </c>
      <c r="BV131">
        <v>0</v>
      </c>
      <c r="BW131" t="s">
        <v>8761</v>
      </c>
      <c r="BX131" t="s">
        <v>1979</v>
      </c>
      <c r="BY131">
        <v>0</v>
      </c>
      <c r="BZ131">
        <v>0</v>
      </c>
      <c r="CA131">
        <v>0</v>
      </c>
      <c r="CB131">
        <v>0</v>
      </c>
      <c r="CD131" t="s">
        <v>8933</v>
      </c>
    </row>
    <row r="132" spans="1:82">
      <c r="A132" t="s">
        <v>7968</v>
      </c>
      <c r="B132" t="s">
        <v>8934</v>
      </c>
      <c r="C132" t="s">
        <v>7958</v>
      </c>
      <c r="D132" t="s">
        <v>8163</v>
      </c>
      <c r="E132" t="s">
        <v>8164</v>
      </c>
      <c r="F132" t="s">
        <v>8935</v>
      </c>
      <c r="G132" t="s">
        <v>8936</v>
      </c>
      <c r="H132" t="s">
        <v>8937</v>
      </c>
      <c r="I132" t="s">
        <v>8938</v>
      </c>
      <c r="J132" t="s">
        <v>8099</v>
      </c>
      <c r="K132" t="s">
        <v>8089</v>
      </c>
      <c r="M132" t="s">
        <v>1980</v>
      </c>
      <c r="N132" t="s">
        <v>8178</v>
      </c>
      <c r="O132" t="s">
        <v>8</v>
      </c>
      <c r="P132" t="s">
        <v>8939</v>
      </c>
      <c r="Q132">
        <v>3</v>
      </c>
      <c r="S132">
        <v>0</v>
      </c>
      <c r="T132" t="s">
        <v>8565</v>
      </c>
      <c r="U132" t="s">
        <v>8565</v>
      </c>
      <c r="V132" t="s">
        <v>8565</v>
      </c>
      <c r="W132" t="s">
        <v>8565</v>
      </c>
      <c r="X132">
        <v>5.4930000000000003</v>
      </c>
      <c r="AD132" t="s">
        <v>1979</v>
      </c>
      <c r="AH132">
        <v>0</v>
      </c>
      <c r="AK132" t="s">
        <v>1979</v>
      </c>
      <c r="AL132" t="s">
        <v>1979</v>
      </c>
      <c r="AM132" t="s">
        <v>1979</v>
      </c>
      <c r="AN132" t="s">
        <v>8565</v>
      </c>
      <c r="AO132" t="s">
        <v>8565</v>
      </c>
      <c r="AP132" t="s">
        <v>8858</v>
      </c>
      <c r="AQ132" t="s">
        <v>8858</v>
      </c>
      <c r="AR132" t="s">
        <v>8858</v>
      </c>
      <c r="AS132" t="s">
        <v>8565</v>
      </c>
      <c r="AT132" t="s">
        <v>8565</v>
      </c>
      <c r="AU132" t="s">
        <v>8858</v>
      </c>
      <c r="AV132" t="s">
        <v>8858</v>
      </c>
      <c r="AW132" t="s">
        <v>8858</v>
      </c>
      <c r="BH132" t="s">
        <v>8940</v>
      </c>
      <c r="BI132">
        <v>1.25</v>
      </c>
      <c r="BN132">
        <v>1</v>
      </c>
      <c r="BO132" t="s">
        <v>8092</v>
      </c>
      <c r="BP132" t="s">
        <v>3323</v>
      </c>
      <c r="BQ132" s="593" t="s">
        <v>3323</v>
      </c>
      <c r="BR132" t="s">
        <v>8093</v>
      </c>
      <c r="BS132" t="s">
        <v>8093</v>
      </c>
      <c r="BT132">
        <v>0</v>
      </c>
      <c r="BU132" t="s">
        <v>8093</v>
      </c>
      <c r="BV132">
        <v>0</v>
      </c>
      <c r="BW132" t="s">
        <v>3323</v>
      </c>
      <c r="BX132" t="s">
        <v>1981</v>
      </c>
      <c r="BY132">
        <v>0</v>
      </c>
      <c r="BZ132">
        <v>0</v>
      </c>
      <c r="CA132">
        <v>0</v>
      </c>
      <c r="CB132">
        <v>0</v>
      </c>
      <c r="CD132" t="s">
        <v>8941</v>
      </c>
    </row>
    <row r="133" spans="1:82">
      <c r="A133" t="s">
        <v>8942</v>
      </c>
      <c r="B133" t="s">
        <v>8943</v>
      </c>
      <c r="C133" t="s">
        <v>7995</v>
      </c>
      <c r="D133" t="s">
        <v>1383</v>
      </c>
      <c r="E133" t="s">
        <v>8083</v>
      </c>
      <c r="F133" t="s">
        <v>8944</v>
      </c>
      <c r="G133" t="s">
        <v>6966</v>
      </c>
      <c r="H133" t="s">
        <v>8945</v>
      </c>
      <c r="I133" t="s">
        <v>8946</v>
      </c>
      <c r="J133" t="s">
        <v>8088</v>
      </c>
      <c r="K133" t="s">
        <v>8089</v>
      </c>
      <c r="N133" t="s">
        <v>8148</v>
      </c>
      <c r="O133" t="s">
        <v>11</v>
      </c>
      <c r="P133" t="s">
        <v>8149</v>
      </c>
      <c r="Q133">
        <v>0</v>
      </c>
      <c r="R133" t="s">
        <v>8091</v>
      </c>
      <c r="S133">
        <v>342</v>
      </c>
      <c r="T133">
        <v>342</v>
      </c>
      <c r="U133">
        <v>342</v>
      </c>
      <c r="V133">
        <v>342</v>
      </c>
      <c r="W133">
        <v>342</v>
      </c>
      <c r="X133">
        <v>342</v>
      </c>
      <c r="AE133" t="s">
        <v>1979</v>
      </c>
      <c r="AH133">
        <v>0</v>
      </c>
      <c r="AM133" t="s">
        <v>1979</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8092</v>
      </c>
      <c r="BP133">
        <v>294</v>
      </c>
      <c r="BQ133" s="594">
        <v>219</v>
      </c>
      <c r="BR133" t="s">
        <v>1979</v>
      </c>
      <c r="BS133" t="s">
        <v>8093</v>
      </c>
      <c r="BT133">
        <v>0</v>
      </c>
      <c r="BU133" t="s">
        <v>8093</v>
      </c>
      <c r="BV133">
        <v>0</v>
      </c>
      <c r="BW133">
        <v>298</v>
      </c>
      <c r="BX133" t="s">
        <v>1979</v>
      </c>
      <c r="BY133">
        <v>0</v>
      </c>
      <c r="BZ133">
        <v>0</v>
      </c>
      <c r="CA133">
        <v>0</v>
      </c>
      <c r="CB133">
        <v>0</v>
      </c>
      <c r="CD133" t="s">
        <v>8947</v>
      </c>
    </row>
    <row r="134" spans="1:82">
      <c r="A134" t="s">
        <v>8942</v>
      </c>
      <c r="B134" t="s">
        <v>8948</v>
      </c>
      <c r="C134" t="s">
        <v>7995</v>
      </c>
      <c r="D134" t="s">
        <v>1383</v>
      </c>
      <c r="E134" t="s">
        <v>8083</v>
      </c>
      <c r="F134" t="s">
        <v>8944</v>
      </c>
      <c r="G134" t="s">
        <v>6967</v>
      </c>
      <c r="H134" t="s">
        <v>8949</v>
      </c>
      <c r="I134" t="s">
        <v>8950</v>
      </c>
      <c r="J134" t="s">
        <v>8099</v>
      </c>
      <c r="K134" t="s">
        <v>8089</v>
      </c>
      <c r="N134" t="s">
        <v>8127</v>
      </c>
      <c r="O134" t="s">
        <v>10</v>
      </c>
      <c r="P134" t="s">
        <v>8128</v>
      </c>
      <c r="Q134">
        <v>2</v>
      </c>
      <c r="R134" t="s">
        <v>8129</v>
      </c>
      <c r="S134">
        <v>99.98</v>
      </c>
      <c r="T134">
        <v>99.98</v>
      </c>
      <c r="U134">
        <v>99.98</v>
      </c>
      <c r="V134">
        <v>100</v>
      </c>
      <c r="W134">
        <v>100</v>
      </c>
      <c r="X134">
        <v>100</v>
      </c>
      <c r="Y134" t="s">
        <v>1979</v>
      </c>
      <c r="AE134" t="s">
        <v>1979</v>
      </c>
      <c r="AH134">
        <v>0</v>
      </c>
      <c r="AI134" t="s">
        <v>1979</v>
      </c>
      <c r="AJ134" t="s">
        <v>1979</v>
      </c>
      <c r="AK134" t="s">
        <v>1979</v>
      </c>
      <c r="AL134" t="s">
        <v>1979</v>
      </c>
      <c r="AM134" t="s">
        <v>1979</v>
      </c>
      <c r="AN134">
        <v>0</v>
      </c>
      <c r="AO134">
        <v>0</v>
      </c>
      <c r="AP134">
        <v>0</v>
      </c>
      <c r="AQ134">
        <v>0</v>
      </c>
      <c r="AR134">
        <v>0</v>
      </c>
      <c r="AS134">
        <v>99.95</v>
      </c>
      <c r="AT134">
        <v>99.95</v>
      </c>
      <c r="AU134">
        <v>99.95</v>
      </c>
      <c r="AV134">
        <v>99.95</v>
      </c>
      <c r="AW134">
        <v>99.95</v>
      </c>
      <c r="BH134">
        <v>0.31941999999999998</v>
      </c>
      <c r="BN134">
        <v>100</v>
      </c>
      <c r="BO134" t="s">
        <v>8092</v>
      </c>
      <c r="BP134">
        <v>99.97</v>
      </c>
      <c r="BQ134" s="595">
        <v>99.94</v>
      </c>
      <c r="BR134" t="s">
        <v>1980</v>
      </c>
      <c r="BS134" t="s">
        <v>8093</v>
      </c>
      <c r="BT134">
        <v>0</v>
      </c>
      <c r="BU134" t="s">
        <v>1983</v>
      </c>
      <c r="BV134">
        <v>-0.31941999999999998</v>
      </c>
      <c r="BW134">
        <v>99.99</v>
      </c>
      <c r="BX134" t="s">
        <v>1979</v>
      </c>
      <c r="BY134">
        <v>0</v>
      </c>
      <c r="BZ134">
        <v>0</v>
      </c>
      <c r="CA134">
        <v>0</v>
      </c>
      <c r="CB134">
        <v>0</v>
      </c>
      <c r="CD134" t="s">
        <v>8951</v>
      </c>
    </row>
    <row r="135" spans="1:82">
      <c r="A135" t="s">
        <v>8942</v>
      </c>
      <c r="B135" t="s">
        <v>8952</v>
      </c>
      <c r="C135" t="s">
        <v>7995</v>
      </c>
      <c r="D135" t="s">
        <v>1383</v>
      </c>
      <c r="E135" t="s">
        <v>8083</v>
      </c>
      <c r="F135" t="s">
        <v>8944</v>
      </c>
      <c r="G135" t="s">
        <v>7851</v>
      </c>
      <c r="H135" t="s">
        <v>8953</v>
      </c>
      <c r="I135" t="s">
        <v>8954</v>
      </c>
      <c r="J135" t="s">
        <v>8088</v>
      </c>
      <c r="K135" t="s">
        <v>8089</v>
      </c>
      <c r="N135" t="s">
        <v>8055</v>
      </c>
      <c r="O135" t="s">
        <v>11</v>
      </c>
      <c r="P135" t="s">
        <v>8955</v>
      </c>
      <c r="Q135">
        <v>3</v>
      </c>
      <c r="R135" t="s">
        <v>8091</v>
      </c>
      <c r="S135">
        <v>0.434</v>
      </c>
      <c r="T135">
        <v>0.42899999999999999</v>
      </c>
      <c r="U135">
        <v>0.42499999999999999</v>
      </c>
      <c r="V135">
        <v>0.42099999999999999</v>
      </c>
      <c r="W135">
        <v>0.41699999999999998</v>
      </c>
      <c r="X135">
        <v>0.41299999999999998</v>
      </c>
      <c r="Z135" t="s">
        <v>1979</v>
      </c>
      <c r="AE135" t="s">
        <v>1979</v>
      </c>
      <c r="AH135">
        <v>0</v>
      </c>
      <c r="AM135" t="s">
        <v>1979</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8956</v>
      </c>
      <c r="BP135">
        <v>0.84099999999999997</v>
      </c>
      <c r="BQ135" s="604">
        <v>0.56999999999999995</v>
      </c>
      <c r="BR135" t="s">
        <v>1980</v>
      </c>
      <c r="BS135" t="s">
        <v>8093</v>
      </c>
      <c r="BT135">
        <v>0</v>
      </c>
      <c r="BU135" t="s">
        <v>8093</v>
      </c>
      <c r="BV135">
        <v>0</v>
      </c>
      <c r="BW135">
        <v>0.67</v>
      </c>
      <c r="BX135" t="s">
        <v>1980</v>
      </c>
      <c r="BY135">
        <v>0</v>
      </c>
      <c r="BZ135">
        <v>0</v>
      </c>
      <c r="CA135">
        <v>0</v>
      </c>
      <c r="CB135">
        <v>0</v>
      </c>
      <c r="CD135" t="s">
        <v>8957</v>
      </c>
    </row>
    <row r="136" spans="1:82">
      <c r="A136" t="s">
        <v>8942</v>
      </c>
      <c r="B136" t="s">
        <v>8958</v>
      </c>
      <c r="C136" t="s">
        <v>7995</v>
      </c>
      <c r="D136" t="s">
        <v>1383</v>
      </c>
      <c r="E136" t="s">
        <v>8083</v>
      </c>
      <c r="F136" t="s">
        <v>8944</v>
      </c>
      <c r="G136" t="s">
        <v>7854</v>
      </c>
      <c r="H136" t="s">
        <v>8959</v>
      </c>
      <c r="I136" t="s">
        <v>8960</v>
      </c>
      <c r="J136" t="s">
        <v>8119</v>
      </c>
      <c r="N136" t="s">
        <v>8214</v>
      </c>
      <c r="O136" t="s">
        <v>11</v>
      </c>
      <c r="P136" t="s">
        <v>8961</v>
      </c>
      <c r="Q136">
        <v>0</v>
      </c>
      <c r="R136" t="s">
        <v>8091</v>
      </c>
      <c r="S136">
        <v>0</v>
      </c>
      <c r="T136">
        <v>0</v>
      </c>
      <c r="U136">
        <v>0</v>
      </c>
      <c r="V136">
        <v>0</v>
      </c>
      <c r="W136">
        <v>0</v>
      </c>
      <c r="X136">
        <v>0</v>
      </c>
      <c r="AH136">
        <v>0</v>
      </c>
      <c r="BP136">
        <v>0</v>
      </c>
      <c r="BQ136" s="594">
        <v>0</v>
      </c>
      <c r="BR136" t="s">
        <v>1979</v>
      </c>
      <c r="BS136" t="s">
        <v>8093</v>
      </c>
      <c r="BT136">
        <v>0</v>
      </c>
      <c r="BU136" t="s">
        <v>8093</v>
      </c>
      <c r="BV136">
        <v>0</v>
      </c>
      <c r="BW136">
        <v>0</v>
      </c>
      <c r="BX136" t="s">
        <v>1979</v>
      </c>
      <c r="BY136">
        <v>0</v>
      </c>
      <c r="BZ136">
        <v>0</v>
      </c>
      <c r="CA136">
        <v>0</v>
      </c>
      <c r="CB136">
        <v>0</v>
      </c>
      <c r="CD136" t="s">
        <v>8962</v>
      </c>
    </row>
    <row r="137" spans="1:82">
      <c r="A137" t="s">
        <v>8942</v>
      </c>
      <c r="B137" t="s">
        <v>8963</v>
      </c>
      <c r="C137" t="s">
        <v>7995</v>
      </c>
      <c r="D137" t="s">
        <v>1383</v>
      </c>
      <c r="E137" t="s">
        <v>8083</v>
      </c>
      <c r="F137" t="s">
        <v>8964</v>
      </c>
      <c r="G137" t="s">
        <v>6968</v>
      </c>
      <c r="H137" t="s">
        <v>8965</v>
      </c>
      <c r="I137" t="s">
        <v>8966</v>
      </c>
      <c r="J137" t="s">
        <v>8088</v>
      </c>
      <c r="K137" t="s">
        <v>8089</v>
      </c>
      <c r="N137" t="s">
        <v>2534</v>
      </c>
      <c r="O137" t="s">
        <v>11</v>
      </c>
      <c r="P137" t="s">
        <v>8090</v>
      </c>
      <c r="Q137">
        <v>2</v>
      </c>
      <c r="R137" t="s">
        <v>8091</v>
      </c>
      <c r="S137">
        <v>30</v>
      </c>
      <c r="T137">
        <v>30</v>
      </c>
      <c r="U137">
        <v>29.95</v>
      </c>
      <c r="V137">
        <v>29.9</v>
      </c>
      <c r="W137">
        <v>29.85</v>
      </c>
      <c r="X137">
        <v>29.8</v>
      </c>
      <c r="AE137" t="s">
        <v>1979</v>
      </c>
      <c r="AH137">
        <v>0</v>
      </c>
      <c r="AM137" t="s">
        <v>1979</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8092</v>
      </c>
      <c r="BP137">
        <v>28.85</v>
      </c>
      <c r="BQ137" s="595">
        <v>28.23</v>
      </c>
      <c r="BR137" t="s">
        <v>1979</v>
      </c>
      <c r="BS137" t="s">
        <v>8093</v>
      </c>
      <c r="BT137">
        <v>0</v>
      </c>
      <c r="BU137" t="s">
        <v>8093</v>
      </c>
      <c r="BV137">
        <v>0</v>
      </c>
      <c r="BW137">
        <v>30.37</v>
      </c>
      <c r="BX137" t="s">
        <v>1980</v>
      </c>
      <c r="BY137">
        <v>0</v>
      </c>
      <c r="BZ137">
        <v>0</v>
      </c>
      <c r="CA137">
        <v>0</v>
      </c>
      <c r="CB137">
        <v>0</v>
      </c>
      <c r="CD137" t="s">
        <v>8967</v>
      </c>
    </row>
    <row r="138" spans="1:82" ht="25.5">
      <c r="A138" t="s">
        <v>8942</v>
      </c>
      <c r="B138" t="s">
        <v>8968</v>
      </c>
      <c r="C138" t="s">
        <v>7995</v>
      </c>
      <c r="D138" t="s">
        <v>1383</v>
      </c>
      <c r="E138" t="s">
        <v>8083</v>
      </c>
      <c r="F138" t="s">
        <v>8969</v>
      </c>
      <c r="G138" t="s">
        <v>7872</v>
      </c>
      <c r="H138" t="s">
        <v>8970</v>
      </c>
      <c r="I138" t="s">
        <v>8971</v>
      </c>
      <c r="J138" t="s">
        <v>8088</v>
      </c>
      <c r="K138" t="s">
        <v>8089</v>
      </c>
      <c r="M138" t="s">
        <v>1980</v>
      </c>
      <c r="N138" t="s">
        <v>2556</v>
      </c>
      <c r="O138" t="s">
        <v>8186</v>
      </c>
      <c r="P138" t="s">
        <v>8676</v>
      </c>
      <c r="Q138" t="s">
        <v>8677</v>
      </c>
      <c r="R138" t="s">
        <v>8091</v>
      </c>
      <c r="S138">
        <v>0.20833333333333334</v>
      </c>
      <c r="T138">
        <v>0.20833333333333334</v>
      </c>
      <c r="U138">
        <v>0.20833333333333334</v>
      </c>
      <c r="V138">
        <v>0.20833333333333334</v>
      </c>
      <c r="W138">
        <v>0.20833333333333334</v>
      </c>
      <c r="X138">
        <v>0.20833333333333334</v>
      </c>
      <c r="AA138" t="s">
        <v>1979</v>
      </c>
      <c r="AE138" t="s">
        <v>1979</v>
      </c>
      <c r="AH138">
        <v>0</v>
      </c>
      <c r="AM138" t="s">
        <v>1979</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8092</v>
      </c>
      <c r="BP138" t="s">
        <v>8972</v>
      </c>
      <c r="BQ138" s="603" t="s">
        <v>8973</v>
      </c>
      <c r="BR138" t="s">
        <v>1979</v>
      </c>
      <c r="BS138" t="s">
        <v>8093</v>
      </c>
      <c r="BT138">
        <v>0</v>
      </c>
      <c r="BU138" t="s">
        <v>8093</v>
      </c>
      <c r="BV138">
        <v>0</v>
      </c>
      <c r="BW138" t="s">
        <v>8974</v>
      </c>
      <c r="BX138" t="s">
        <v>1979</v>
      </c>
      <c r="BY138">
        <v>0</v>
      </c>
      <c r="BZ138">
        <v>0</v>
      </c>
      <c r="CA138">
        <v>0</v>
      </c>
      <c r="CB138">
        <v>0</v>
      </c>
      <c r="CD138" t="s">
        <v>8975</v>
      </c>
    </row>
    <row r="139" spans="1:82">
      <c r="A139" t="s">
        <v>8942</v>
      </c>
      <c r="B139" t="s">
        <v>8976</v>
      </c>
      <c r="C139" t="s">
        <v>7995</v>
      </c>
      <c r="D139" t="s">
        <v>1383</v>
      </c>
      <c r="E139" t="s">
        <v>8083</v>
      </c>
      <c r="F139" t="s">
        <v>8977</v>
      </c>
      <c r="G139" t="s">
        <v>7879</v>
      </c>
      <c r="H139" t="s">
        <v>8978</v>
      </c>
      <c r="I139" t="s">
        <v>8979</v>
      </c>
      <c r="J139" t="s">
        <v>8099</v>
      </c>
      <c r="K139" t="s">
        <v>8089</v>
      </c>
      <c r="N139" t="s">
        <v>8245</v>
      </c>
      <c r="O139" t="s">
        <v>10</v>
      </c>
      <c r="P139" t="s">
        <v>8980</v>
      </c>
      <c r="Q139">
        <v>0</v>
      </c>
      <c r="R139" t="s">
        <v>8129</v>
      </c>
      <c r="S139" t="s">
        <v>8565</v>
      </c>
      <c r="T139">
        <v>0</v>
      </c>
      <c r="U139">
        <v>25</v>
      </c>
      <c r="V139">
        <v>50</v>
      </c>
      <c r="W139">
        <v>75</v>
      </c>
      <c r="X139">
        <v>90</v>
      </c>
      <c r="AF139" t="s">
        <v>1979</v>
      </c>
      <c r="AH139">
        <v>0</v>
      </c>
      <c r="AM139" t="s">
        <v>1979</v>
      </c>
      <c r="AR139">
        <v>0</v>
      </c>
      <c r="AW139">
        <v>90</v>
      </c>
      <c r="BH139">
        <v>4.4095000000000002E-2</v>
      </c>
      <c r="BN139">
        <v>0.1</v>
      </c>
      <c r="BO139" t="s">
        <v>8981</v>
      </c>
      <c r="BP139" t="s">
        <v>8982</v>
      </c>
      <c r="BQ139" s="594">
        <v>20</v>
      </c>
      <c r="BR139" t="s">
        <v>1979</v>
      </c>
      <c r="BS139" t="s">
        <v>8093</v>
      </c>
      <c r="BT139">
        <v>0</v>
      </c>
      <c r="BU139" t="s">
        <v>8093</v>
      </c>
      <c r="BV139">
        <v>0</v>
      </c>
      <c r="BW139">
        <v>40</v>
      </c>
      <c r="BX139" t="s">
        <v>1979</v>
      </c>
      <c r="BY139">
        <v>0</v>
      </c>
      <c r="BZ139">
        <v>0</v>
      </c>
      <c r="CA139">
        <v>0</v>
      </c>
      <c r="CB139">
        <v>0</v>
      </c>
      <c r="CD139" t="s">
        <v>8983</v>
      </c>
    </row>
    <row r="140" spans="1:82" ht="25.5">
      <c r="A140" t="s">
        <v>8942</v>
      </c>
      <c r="B140" t="s">
        <v>8984</v>
      </c>
      <c r="C140" t="s">
        <v>7995</v>
      </c>
      <c r="D140" t="s">
        <v>1383</v>
      </c>
      <c r="E140" t="s">
        <v>8083</v>
      </c>
      <c r="F140" t="s">
        <v>8977</v>
      </c>
      <c r="G140" t="s">
        <v>7882</v>
      </c>
      <c r="H140" t="s">
        <v>8985</v>
      </c>
      <c r="I140" t="s">
        <v>8986</v>
      </c>
      <c r="J140" t="s">
        <v>8088</v>
      </c>
      <c r="K140" t="s">
        <v>8089</v>
      </c>
      <c r="M140" t="s">
        <v>1980</v>
      </c>
      <c r="N140" t="s">
        <v>8252</v>
      </c>
      <c r="O140" t="s">
        <v>6241</v>
      </c>
      <c r="P140" t="s">
        <v>8987</v>
      </c>
      <c r="Q140" t="s">
        <v>8092</v>
      </c>
      <c r="V140" t="s">
        <v>8988</v>
      </c>
      <c r="AF140" t="s">
        <v>1979</v>
      </c>
      <c r="AH140">
        <v>0</v>
      </c>
      <c r="AM140" t="s">
        <v>1979</v>
      </c>
      <c r="AR140" t="s">
        <v>8989</v>
      </c>
      <c r="BC140" t="s">
        <v>8989</v>
      </c>
      <c r="BH140">
        <v>9.8379999999999995E-3</v>
      </c>
      <c r="BL140">
        <v>7.1520000000000004E-3</v>
      </c>
      <c r="BN140">
        <v>1</v>
      </c>
      <c r="BO140" t="s">
        <v>8092</v>
      </c>
      <c r="BP140" t="s">
        <v>8982</v>
      </c>
      <c r="BQ140" s="593" t="s">
        <v>8990</v>
      </c>
      <c r="BR140" t="s">
        <v>1979</v>
      </c>
      <c r="BS140" t="s">
        <v>8093</v>
      </c>
      <c r="BT140">
        <v>0</v>
      </c>
      <c r="BU140" t="s">
        <v>8093</v>
      </c>
      <c r="BV140">
        <v>0</v>
      </c>
      <c r="BW140" t="s">
        <v>8990</v>
      </c>
      <c r="BX140" t="s">
        <v>1979</v>
      </c>
      <c r="BY140">
        <v>0</v>
      </c>
      <c r="BZ140">
        <v>0</v>
      </c>
      <c r="CA140">
        <v>0</v>
      </c>
      <c r="CB140">
        <v>0</v>
      </c>
      <c r="CD140" t="s">
        <v>8991</v>
      </c>
    </row>
    <row r="141" spans="1:82">
      <c r="A141" t="s">
        <v>8942</v>
      </c>
      <c r="B141" t="s">
        <v>8992</v>
      </c>
      <c r="C141" t="s">
        <v>7995</v>
      </c>
      <c r="D141" t="s">
        <v>1383</v>
      </c>
      <c r="E141" t="s">
        <v>8083</v>
      </c>
      <c r="F141" t="s">
        <v>8977</v>
      </c>
      <c r="G141" t="s">
        <v>7885</v>
      </c>
      <c r="H141" t="s">
        <v>8993</v>
      </c>
      <c r="I141" t="s">
        <v>8994</v>
      </c>
      <c r="J141" t="s">
        <v>8119</v>
      </c>
      <c r="N141" t="s">
        <v>8260</v>
      </c>
      <c r="O141" t="s">
        <v>10</v>
      </c>
      <c r="P141" t="s">
        <v>8995</v>
      </c>
      <c r="Q141">
        <v>0</v>
      </c>
      <c r="R141" t="s">
        <v>8129</v>
      </c>
      <c r="S141">
        <v>0</v>
      </c>
      <c r="T141">
        <v>2</v>
      </c>
      <c r="U141">
        <v>4</v>
      </c>
      <c r="V141">
        <v>6</v>
      </c>
      <c r="W141">
        <v>8</v>
      </c>
      <c r="X141">
        <v>10</v>
      </c>
      <c r="AH141">
        <v>0</v>
      </c>
      <c r="BP141" t="s">
        <v>8982</v>
      </c>
      <c r="BQ141" s="594" t="s">
        <v>8996</v>
      </c>
      <c r="BR141" t="s">
        <v>1979</v>
      </c>
      <c r="BS141" t="s">
        <v>8093</v>
      </c>
      <c r="BT141">
        <v>0</v>
      </c>
      <c r="BU141" t="s">
        <v>8093</v>
      </c>
      <c r="BV141">
        <v>0</v>
      </c>
      <c r="BW141" t="s">
        <v>8996</v>
      </c>
      <c r="BX141" t="s">
        <v>1979</v>
      </c>
      <c r="BY141">
        <v>0</v>
      </c>
      <c r="BZ141">
        <v>0</v>
      </c>
      <c r="CA141">
        <v>0</v>
      </c>
      <c r="CB141">
        <v>0</v>
      </c>
      <c r="CD141" t="s">
        <v>8997</v>
      </c>
    </row>
    <row r="142" spans="1:82">
      <c r="A142" t="s">
        <v>8942</v>
      </c>
      <c r="B142" t="s">
        <v>8998</v>
      </c>
      <c r="C142" t="s">
        <v>7995</v>
      </c>
      <c r="D142" t="s">
        <v>1383</v>
      </c>
      <c r="E142" t="s">
        <v>8083</v>
      </c>
      <c r="F142" t="s">
        <v>8999</v>
      </c>
      <c r="G142" t="s">
        <v>7895</v>
      </c>
      <c r="H142" t="s">
        <v>9000</v>
      </c>
      <c r="I142" t="s">
        <v>9001</v>
      </c>
      <c r="J142" t="s">
        <v>8119</v>
      </c>
      <c r="N142" t="s">
        <v>9002</v>
      </c>
      <c r="O142" t="s">
        <v>6241</v>
      </c>
      <c r="P142" t="s">
        <v>9003</v>
      </c>
      <c r="Q142" t="s">
        <v>8092</v>
      </c>
      <c r="S142" t="s">
        <v>9004</v>
      </c>
      <c r="T142" t="s">
        <v>9004</v>
      </c>
      <c r="U142" t="s">
        <v>9004</v>
      </c>
      <c r="V142" t="s">
        <v>9004</v>
      </c>
      <c r="W142" t="s">
        <v>9004</v>
      </c>
      <c r="X142" t="s">
        <v>9004</v>
      </c>
      <c r="AH142">
        <v>0</v>
      </c>
      <c r="BP142" t="s">
        <v>9004</v>
      </c>
      <c r="BQ142" s="593" t="s">
        <v>9004</v>
      </c>
      <c r="BR142" t="s">
        <v>1979</v>
      </c>
      <c r="BS142" t="s">
        <v>8093</v>
      </c>
      <c r="BT142">
        <v>0</v>
      </c>
      <c r="BU142" t="s">
        <v>8093</v>
      </c>
      <c r="BV142">
        <v>0</v>
      </c>
      <c r="BW142" t="s">
        <v>9004</v>
      </c>
      <c r="BX142" t="s">
        <v>1979</v>
      </c>
      <c r="BY142">
        <v>0</v>
      </c>
      <c r="BZ142">
        <v>0</v>
      </c>
      <c r="CA142">
        <v>0</v>
      </c>
      <c r="CB142">
        <v>0</v>
      </c>
      <c r="CD142" t="s">
        <v>9005</v>
      </c>
    </row>
    <row r="143" spans="1:82">
      <c r="A143" t="s">
        <v>8942</v>
      </c>
      <c r="B143" t="s">
        <v>9006</v>
      </c>
      <c r="C143" t="s">
        <v>7995</v>
      </c>
      <c r="D143" t="s">
        <v>8163</v>
      </c>
      <c r="E143" t="s">
        <v>8164</v>
      </c>
      <c r="F143" t="s">
        <v>8969</v>
      </c>
      <c r="G143" t="s">
        <v>6966</v>
      </c>
      <c r="H143" t="s">
        <v>9007</v>
      </c>
      <c r="I143" t="s">
        <v>9008</v>
      </c>
      <c r="J143" t="s">
        <v>8088</v>
      </c>
      <c r="K143" t="s">
        <v>8089</v>
      </c>
      <c r="M143" t="s">
        <v>1980</v>
      </c>
      <c r="N143" t="s">
        <v>8169</v>
      </c>
      <c r="O143" t="s">
        <v>6241</v>
      </c>
      <c r="P143" t="s">
        <v>8523</v>
      </c>
      <c r="Q143" t="s">
        <v>8092</v>
      </c>
      <c r="R143" t="s">
        <v>8129</v>
      </c>
      <c r="S143" t="s">
        <v>9009</v>
      </c>
      <c r="T143" t="s">
        <v>9009</v>
      </c>
      <c r="U143" t="s">
        <v>9009</v>
      </c>
      <c r="V143" t="s">
        <v>9009</v>
      </c>
      <c r="W143" t="s">
        <v>9009</v>
      </c>
      <c r="X143" t="s">
        <v>9009</v>
      </c>
      <c r="AH143">
        <v>0</v>
      </c>
      <c r="AI143" t="s">
        <v>1979</v>
      </c>
      <c r="AJ143" t="s">
        <v>1979</v>
      </c>
      <c r="AK143" t="s">
        <v>1979</v>
      </c>
      <c r="AL143" t="s">
        <v>1979</v>
      </c>
      <c r="AM143" t="s">
        <v>1979</v>
      </c>
      <c r="AN143" t="s">
        <v>8172</v>
      </c>
      <c r="AO143" t="s">
        <v>8172</v>
      </c>
      <c r="AP143" t="s">
        <v>8172</v>
      </c>
      <c r="AQ143" t="s">
        <v>8172</v>
      </c>
      <c r="AR143" t="s">
        <v>8172</v>
      </c>
      <c r="AS143" t="s">
        <v>8172</v>
      </c>
      <c r="AT143" t="s">
        <v>8172</v>
      </c>
      <c r="AU143" t="s">
        <v>8172</v>
      </c>
      <c r="AV143" t="s">
        <v>8172</v>
      </c>
      <c r="AW143" t="s">
        <v>8172</v>
      </c>
      <c r="AX143" t="s">
        <v>8172</v>
      </c>
      <c r="AY143" t="s">
        <v>8172</v>
      </c>
      <c r="AZ143" t="s">
        <v>8172</v>
      </c>
      <c r="BA143" t="s">
        <v>8172</v>
      </c>
      <c r="BB143" t="s">
        <v>8172</v>
      </c>
      <c r="BC143" t="s">
        <v>8172</v>
      </c>
      <c r="BD143" t="s">
        <v>8172</v>
      </c>
      <c r="BE143" t="s">
        <v>8172</v>
      </c>
      <c r="BF143" t="s">
        <v>8172</v>
      </c>
      <c r="BG143" t="s">
        <v>8172</v>
      </c>
      <c r="BH143" t="s">
        <v>8172</v>
      </c>
      <c r="BL143" t="s">
        <v>8172</v>
      </c>
      <c r="BN143">
        <v>1</v>
      </c>
      <c r="BO143" t="s">
        <v>8092</v>
      </c>
      <c r="BP143" t="s">
        <v>8982</v>
      </c>
      <c r="BQ143" s="591">
        <v>89.5</v>
      </c>
      <c r="BR143" t="s">
        <v>1979</v>
      </c>
      <c r="BS143" t="s">
        <v>8093</v>
      </c>
      <c r="BT143">
        <v>0</v>
      </c>
      <c r="BU143" t="s">
        <v>8093</v>
      </c>
      <c r="BV143">
        <v>0</v>
      </c>
      <c r="BW143">
        <v>87.68</v>
      </c>
      <c r="BX143" t="s">
        <v>1979</v>
      </c>
      <c r="BY143">
        <v>0</v>
      </c>
      <c r="BZ143">
        <v>0</v>
      </c>
      <c r="CA143">
        <v>0</v>
      </c>
      <c r="CB143">
        <v>0</v>
      </c>
      <c r="CD143" t="s">
        <v>9010</v>
      </c>
    </row>
    <row r="144" spans="1:82">
      <c r="A144" t="s">
        <v>8942</v>
      </c>
      <c r="B144" t="s">
        <v>9011</v>
      </c>
      <c r="C144" t="s">
        <v>7995</v>
      </c>
      <c r="D144" t="s">
        <v>8163</v>
      </c>
      <c r="E144" t="s">
        <v>8164</v>
      </c>
      <c r="F144" t="s">
        <v>8977</v>
      </c>
      <c r="G144" t="s">
        <v>6968</v>
      </c>
      <c r="H144" t="s">
        <v>9012</v>
      </c>
      <c r="I144" t="s">
        <v>9013</v>
      </c>
      <c r="J144" t="s">
        <v>8099</v>
      </c>
      <c r="K144" t="s">
        <v>8089</v>
      </c>
      <c r="N144" t="s">
        <v>8100</v>
      </c>
      <c r="O144" t="s">
        <v>11</v>
      </c>
      <c r="P144" t="s">
        <v>8510</v>
      </c>
      <c r="Q144">
        <v>2</v>
      </c>
      <c r="R144" t="s">
        <v>8091</v>
      </c>
      <c r="S144">
        <v>147.29</v>
      </c>
      <c r="T144">
        <v>146.63</v>
      </c>
      <c r="U144">
        <v>145.96</v>
      </c>
      <c r="V144">
        <v>145.29</v>
      </c>
      <c r="W144">
        <v>144.61000000000001</v>
      </c>
      <c r="X144">
        <v>143.93</v>
      </c>
      <c r="AH144">
        <v>0</v>
      </c>
      <c r="AM144" t="s">
        <v>1979</v>
      </c>
      <c r="AR144">
        <v>148</v>
      </c>
      <c r="AW144">
        <v>143.93</v>
      </c>
      <c r="BH144">
        <v>8.1243999999999997E-2</v>
      </c>
      <c r="BN144">
        <v>100</v>
      </c>
      <c r="BO144" t="s">
        <v>8456</v>
      </c>
      <c r="BP144">
        <v>145.55000000000001</v>
      </c>
      <c r="BQ144" s="595">
        <v>143.29</v>
      </c>
      <c r="BR144" t="s">
        <v>1979</v>
      </c>
      <c r="BS144" t="s">
        <v>8093</v>
      </c>
      <c r="BT144">
        <v>0</v>
      </c>
      <c r="BU144" t="s">
        <v>8093</v>
      </c>
      <c r="BV144">
        <v>0</v>
      </c>
      <c r="BW144">
        <v>145.1</v>
      </c>
      <c r="BX144" t="s">
        <v>1979</v>
      </c>
      <c r="BY144">
        <v>0</v>
      </c>
      <c r="BZ144">
        <v>0</v>
      </c>
      <c r="CA144">
        <v>0</v>
      </c>
      <c r="CB144">
        <v>0</v>
      </c>
      <c r="CD144" t="s">
        <v>9014</v>
      </c>
    </row>
    <row r="145" spans="1:82">
      <c r="A145" t="s">
        <v>8942</v>
      </c>
      <c r="B145" t="s">
        <v>9015</v>
      </c>
      <c r="C145" t="s">
        <v>7995</v>
      </c>
      <c r="D145" t="s">
        <v>8163</v>
      </c>
      <c r="E145" t="s">
        <v>8164</v>
      </c>
      <c r="F145" t="s">
        <v>9016</v>
      </c>
      <c r="G145" t="s">
        <v>7872</v>
      </c>
      <c r="H145" t="s">
        <v>9017</v>
      </c>
      <c r="I145" t="s">
        <v>9018</v>
      </c>
      <c r="J145" t="s">
        <v>8119</v>
      </c>
      <c r="N145" t="s">
        <v>8274</v>
      </c>
      <c r="O145" t="s">
        <v>10</v>
      </c>
      <c r="P145" t="s">
        <v>9019</v>
      </c>
      <c r="Q145">
        <v>0</v>
      </c>
      <c r="R145" t="s">
        <v>8129</v>
      </c>
      <c r="S145" t="s">
        <v>8565</v>
      </c>
      <c r="T145">
        <v>70</v>
      </c>
      <c r="U145">
        <v>70</v>
      </c>
      <c r="V145">
        <v>70</v>
      </c>
      <c r="W145">
        <v>70</v>
      </c>
      <c r="X145">
        <v>70</v>
      </c>
      <c r="AH145">
        <v>0</v>
      </c>
      <c r="BP145" t="s">
        <v>8982</v>
      </c>
      <c r="BQ145" s="594">
        <v>89</v>
      </c>
      <c r="BR145" t="s">
        <v>1979</v>
      </c>
      <c r="BS145" t="s">
        <v>8093</v>
      </c>
      <c r="BT145">
        <v>0</v>
      </c>
      <c r="BU145" t="s">
        <v>8093</v>
      </c>
      <c r="BV145">
        <v>0</v>
      </c>
      <c r="BW145">
        <v>85</v>
      </c>
      <c r="BX145" t="s">
        <v>1979</v>
      </c>
      <c r="BY145">
        <v>0</v>
      </c>
      <c r="BZ145">
        <v>0</v>
      </c>
      <c r="CA145">
        <v>0</v>
      </c>
      <c r="CB145">
        <v>0</v>
      </c>
      <c r="CD145" t="s">
        <v>9020</v>
      </c>
    </row>
    <row r="146" spans="1:82">
      <c r="A146" t="s">
        <v>9021</v>
      </c>
      <c r="B146" t="s">
        <v>9022</v>
      </c>
      <c r="C146" t="s">
        <v>7995</v>
      </c>
      <c r="D146" t="s">
        <v>1383</v>
      </c>
      <c r="E146" t="s">
        <v>8083</v>
      </c>
      <c r="F146" t="s">
        <v>9023</v>
      </c>
      <c r="G146" t="s">
        <v>6966</v>
      </c>
      <c r="H146" t="s">
        <v>9024</v>
      </c>
      <c r="I146" t="s">
        <v>9025</v>
      </c>
      <c r="J146" t="s">
        <v>8099</v>
      </c>
      <c r="K146" t="s">
        <v>8089</v>
      </c>
      <c r="N146" t="s">
        <v>8055</v>
      </c>
      <c r="O146" t="s">
        <v>11</v>
      </c>
      <c r="P146" t="s">
        <v>8135</v>
      </c>
      <c r="Q146">
        <v>2</v>
      </c>
      <c r="R146" t="s">
        <v>8091</v>
      </c>
      <c r="S146">
        <v>1.25</v>
      </c>
      <c r="T146">
        <v>1.25</v>
      </c>
      <c r="U146">
        <v>1.24</v>
      </c>
      <c r="V146">
        <v>1.23</v>
      </c>
      <c r="W146">
        <v>1.23</v>
      </c>
      <c r="X146">
        <v>1.23</v>
      </c>
      <c r="Z146" t="s">
        <v>1979</v>
      </c>
      <c r="AE146" t="s">
        <v>1979</v>
      </c>
      <c r="AH146">
        <v>0</v>
      </c>
      <c r="AI146" t="s">
        <v>1979</v>
      </c>
      <c r="AJ146" t="s">
        <v>1979</v>
      </c>
      <c r="AK146" t="s">
        <v>1979</v>
      </c>
      <c r="AL146" t="s">
        <v>1979</v>
      </c>
      <c r="AM146" t="s">
        <v>1979</v>
      </c>
      <c r="AN146">
        <v>2.56</v>
      </c>
      <c r="AO146">
        <v>2.5499999999999998</v>
      </c>
      <c r="AP146">
        <v>2.54</v>
      </c>
      <c r="AQ146">
        <v>2.54</v>
      </c>
      <c r="AR146">
        <v>2.54</v>
      </c>
      <c r="AS146">
        <v>1.31</v>
      </c>
      <c r="AT146">
        <v>1.3</v>
      </c>
      <c r="AU146">
        <v>1.29</v>
      </c>
      <c r="AV146">
        <v>1.29</v>
      </c>
      <c r="AW146">
        <v>1.29</v>
      </c>
      <c r="BH146">
        <v>0.04</v>
      </c>
      <c r="BN146">
        <v>1</v>
      </c>
      <c r="BO146" t="s">
        <v>8092</v>
      </c>
      <c r="BP146">
        <v>0.56000000000000005</v>
      </c>
      <c r="BQ146" s="595">
        <v>0.73</v>
      </c>
      <c r="BR146" t="s">
        <v>1979</v>
      </c>
      <c r="BS146" t="s">
        <v>8093</v>
      </c>
      <c r="BT146">
        <v>0</v>
      </c>
      <c r="BU146" t="s">
        <v>8093</v>
      </c>
      <c r="BV146">
        <v>0</v>
      </c>
      <c r="BW146">
        <v>0.89</v>
      </c>
      <c r="BX146" t="s">
        <v>1979</v>
      </c>
      <c r="BY146">
        <v>0</v>
      </c>
      <c r="BZ146">
        <v>0</v>
      </c>
      <c r="CA146">
        <v>0</v>
      </c>
      <c r="CB146">
        <v>0</v>
      </c>
      <c r="CD146" t="s">
        <v>9026</v>
      </c>
    </row>
    <row r="147" spans="1:82">
      <c r="A147" t="s">
        <v>9021</v>
      </c>
      <c r="B147" t="s">
        <v>9027</v>
      </c>
      <c r="C147" t="s">
        <v>7995</v>
      </c>
      <c r="D147" t="s">
        <v>1383</v>
      </c>
      <c r="E147" t="s">
        <v>8083</v>
      </c>
      <c r="F147" t="s">
        <v>9023</v>
      </c>
      <c r="G147" t="s">
        <v>6967</v>
      </c>
      <c r="H147" t="s">
        <v>9028</v>
      </c>
      <c r="I147" t="s">
        <v>9029</v>
      </c>
      <c r="J147" t="s">
        <v>8099</v>
      </c>
      <c r="K147" t="s">
        <v>8089</v>
      </c>
      <c r="N147" t="s">
        <v>8127</v>
      </c>
      <c r="O147" t="s">
        <v>10</v>
      </c>
      <c r="P147" t="s">
        <v>8128</v>
      </c>
      <c r="Q147">
        <v>2</v>
      </c>
      <c r="R147" t="s">
        <v>8129</v>
      </c>
      <c r="S147">
        <v>99.95</v>
      </c>
      <c r="T147">
        <v>99.97</v>
      </c>
      <c r="U147">
        <v>99.97</v>
      </c>
      <c r="V147">
        <v>100</v>
      </c>
      <c r="W147">
        <v>100</v>
      </c>
      <c r="X147">
        <v>100</v>
      </c>
      <c r="Y147" t="s">
        <v>1979</v>
      </c>
      <c r="AE147" t="s">
        <v>1979</v>
      </c>
      <c r="AH147">
        <v>0</v>
      </c>
      <c r="AI147" t="s">
        <v>1979</v>
      </c>
      <c r="AJ147" t="s">
        <v>1979</v>
      </c>
      <c r="AK147" t="s">
        <v>1979</v>
      </c>
      <c r="AL147" t="s">
        <v>1979</v>
      </c>
      <c r="AM147" t="s">
        <v>1979</v>
      </c>
      <c r="AN147">
        <v>99.94</v>
      </c>
      <c r="AO147">
        <v>99.94</v>
      </c>
      <c r="AP147">
        <v>99.94</v>
      </c>
      <c r="AQ147">
        <v>99.94</v>
      </c>
      <c r="AR147">
        <v>99.94</v>
      </c>
      <c r="AS147">
        <v>99.95</v>
      </c>
      <c r="AT147">
        <v>99.95</v>
      </c>
      <c r="AU147">
        <v>99.95</v>
      </c>
      <c r="AV147">
        <v>99.95</v>
      </c>
      <c r="AW147">
        <v>99.95</v>
      </c>
      <c r="BH147">
        <v>0.28399999999999997</v>
      </c>
      <c r="BN147">
        <v>100</v>
      </c>
      <c r="BO147" t="s">
        <v>8456</v>
      </c>
      <c r="BP147">
        <v>99.99</v>
      </c>
      <c r="BQ147" s="595">
        <v>100</v>
      </c>
      <c r="BR147" t="s">
        <v>1979</v>
      </c>
      <c r="BS147" t="s">
        <v>8093</v>
      </c>
      <c r="BT147">
        <v>0</v>
      </c>
      <c r="BU147" t="s">
        <v>8093</v>
      </c>
      <c r="BV147">
        <v>0</v>
      </c>
      <c r="BW147">
        <v>99.98</v>
      </c>
      <c r="BX147" t="s">
        <v>1979</v>
      </c>
      <c r="BY147">
        <v>0</v>
      </c>
      <c r="BZ147">
        <v>0</v>
      </c>
      <c r="CA147">
        <v>0</v>
      </c>
      <c r="CB147">
        <v>0</v>
      </c>
      <c r="CD147" t="s">
        <v>9030</v>
      </c>
    </row>
    <row r="148" spans="1:82">
      <c r="A148" t="s">
        <v>9021</v>
      </c>
      <c r="B148" t="s">
        <v>9031</v>
      </c>
      <c r="C148" t="s">
        <v>7995</v>
      </c>
      <c r="D148" t="s">
        <v>1383</v>
      </c>
      <c r="E148" t="s">
        <v>8083</v>
      </c>
      <c r="F148" t="s">
        <v>9032</v>
      </c>
      <c r="G148" t="s">
        <v>6968</v>
      </c>
      <c r="H148" t="s">
        <v>9033</v>
      </c>
      <c r="I148" t="s">
        <v>9034</v>
      </c>
      <c r="J148" t="s">
        <v>8088</v>
      </c>
      <c r="K148" t="s">
        <v>8089</v>
      </c>
      <c r="N148" t="s">
        <v>2534</v>
      </c>
      <c r="O148" t="s">
        <v>11</v>
      </c>
      <c r="P148" t="s">
        <v>8090</v>
      </c>
      <c r="Q148">
        <v>2</v>
      </c>
      <c r="R148" t="s">
        <v>8091</v>
      </c>
      <c r="S148">
        <v>21.47</v>
      </c>
      <c r="X148">
        <v>20</v>
      </c>
      <c r="AE148" t="s">
        <v>1979</v>
      </c>
      <c r="AH148">
        <v>0</v>
      </c>
      <c r="AM148" t="s">
        <v>1979</v>
      </c>
      <c r="AR148">
        <v>22</v>
      </c>
      <c r="AW148">
        <v>20.100000000000001</v>
      </c>
      <c r="BB148">
        <v>19.899999999999999</v>
      </c>
      <c r="BG148">
        <v>17</v>
      </c>
      <c r="BH148">
        <v>0.1152</v>
      </c>
      <c r="BL148">
        <v>3.8800000000000001E-2</v>
      </c>
      <c r="BN148">
        <v>10</v>
      </c>
      <c r="BO148" t="s">
        <v>9035</v>
      </c>
      <c r="BP148">
        <v>20.88</v>
      </c>
      <c r="BQ148" s="595">
        <v>19.632999999999999</v>
      </c>
      <c r="BR148" t="s">
        <v>8093</v>
      </c>
      <c r="BS148" t="s">
        <v>8093</v>
      </c>
      <c r="BT148">
        <v>0</v>
      </c>
      <c r="BU148" t="s">
        <v>8093</v>
      </c>
      <c r="BV148">
        <v>0</v>
      </c>
      <c r="BW148">
        <v>19</v>
      </c>
      <c r="BX148" t="s">
        <v>1981</v>
      </c>
      <c r="BY148">
        <v>0</v>
      </c>
      <c r="BZ148">
        <v>0</v>
      </c>
      <c r="CA148">
        <v>0</v>
      </c>
      <c r="CB148">
        <v>0</v>
      </c>
      <c r="CD148" t="s">
        <v>9036</v>
      </c>
    </row>
    <row r="149" spans="1:82">
      <c r="A149" t="s">
        <v>9021</v>
      </c>
      <c r="B149" t="s">
        <v>9037</v>
      </c>
      <c r="C149" t="s">
        <v>7995</v>
      </c>
      <c r="D149" t="s">
        <v>1383</v>
      </c>
      <c r="E149" t="s">
        <v>8083</v>
      </c>
      <c r="F149" t="s">
        <v>9032</v>
      </c>
      <c r="G149" t="s">
        <v>6969</v>
      </c>
      <c r="H149" t="s">
        <v>9038</v>
      </c>
      <c r="I149" t="s">
        <v>9039</v>
      </c>
      <c r="J149" t="s">
        <v>8088</v>
      </c>
      <c r="K149" t="s">
        <v>8089</v>
      </c>
      <c r="N149" t="s">
        <v>2556</v>
      </c>
      <c r="O149" t="s">
        <v>11</v>
      </c>
      <c r="P149" t="s">
        <v>9040</v>
      </c>
      <c r="Q149">
        <v>1</v>
      </c>
      <c r="R149" t="s">
        <v>8129</v>
      </c>
      <c r="X149">
        <v>12</v>
      </c>
      <c r="AE149" t="s">
        <v>1979</v>
      </c>
      <c r="AH149">
        <v>0</v>
      </c>
      <c r="AM149" t="s">
        <v>1979</v>
      </c>
      <c r="AR149">
        <v>0</v>
      </c>
      <c r="AW149">
        <v>11.5</v>
      </c>
      <c r="BB149">
        <v>12.5</v>
      </c>
      <c r="BG149">
        <v>18</v>
      </c>
      <c r="BH149">
        <v>8.1799999999999998E-2</v>
      </c>
      <c r="BL149">
        <v>0.18529999999999999</v>
      </c>
      <c r="BN149">
        <v>1</v>
      </c>
      <c r="BO149" t="s">
        <v>8092</v>
      </c>
      <c r="BP149">
        <v>0</v>
      </c>
      <c r="BQ149" s="591">
        <v>0</v>
      </c>
      <c r="BR149" t="s">
        <v>8093</v>
      </c>
      <c r="BS149" t="s">
        <v>8093</v>
      </c>
      <c r="BT149">
        <v>0</v>
      </c>
      <c r="BU149" t="s">
        <v>8093</v>
      </c>
      <c r="BV149">
        <v>0</v>
      </c>
      <c r="BW149">
        <v>0</v>
      </c>
      <c r="BX149" t="s">
        <v>1981</v>
      </c>
      <c r="BY149">
        <v>0</v>
      </c>
      <c r="BZ149">
        <v>0</v>
      </c>
      <c r="CA149">
        <v>0</v>
      </c>
      <c r="CB149">
        <v>0</v>
      </c>
      <c r="CD149" t="s">
        <v>9041</v>
      </c>
    </row>
    <row r="150" spans="1:82">
      <c r="A150" t="s">
        <v>9021</v>
      </c>
      <c r="B150" t="s">
        <v>9042</v>
      </c>
      <c r="C150" t="s">
        <v>7995</v>
      </c>
      <c r="D150" t="s">
        <v>1383</v>
      </c>
      <c r="E150" t="s">
        <v>8083</v>
      </c>
      <c r="F150" t="s">
        <v>9032</v>
      </c>
      <c r="G150" t="s">
        <v>7868</v>
      </c>
      <c r="H150" t="s">
        <v>9043</v>
      </c>
      <c r="I150" t="s">
        <v>9044</v>
      </c>
      <c r="J150" t="s">
        <v>8099</v>
      </c>
      <c r="K150" t="s">
        <v>8089</v>
      </c>
      <c r="N150" t="s">
        <v>2556</v>
      </c>
      <c r="O150" t="s">
        <v>8186</v>
      </c>
      <c r="P150" t="s">
        <v>8187</v>
      </c>
      <c r="Q150">
        <v>1</v>
      </c>
      <c r="R150" t="s">
        <v>8091</v>
      </c>
      <c r="S150">
        <v>4.4000000000000004</v>
      </c>
      <c r="T150">
        <v>4.4000000000000004</v>
      </c>
      <c r="U150">
        <v>4.4000000000000004</v>
      </c>
      <c r="V150">
        <v>4.4000000000000004</v>
      </c>
      <c r="W150">
        <v>4.4000000000000004</v>
      </c>
      <c r="X150">
        <v>4.4000000000000004</v>
      </c>
      <c r="AA150" t="s">
        <v>1979</v>
      </c>
      <c r="AE150" t="s">
        <v>1979</v>
      </c>
      <c r="AH150">
        <v>0</v>
      </c>
      <c r="AI150" t="s">
        <v>1979</v>
      </c>
      <c r="AJ150" t="s">
        <v>1979</v>
      </c>
      <c r="AK150" t="s">
        <v>1979</v>
      </c>
      <c r="AL150" t="s">
        <v>1979</v>
      </c>
      <c r="AM150" t="s">
        <v>1979</v>
      </c>
      <c r="AN150">
        <v>10.3</v>
      </c>
      <c r="AO150">
        <v>10.3</v>
      </c>
      <c r="AP150">
        <v>10.3</v>
      </c>
      <c r="AQ150">
        <v>10.3</v>
      </c>
      <c r="AR150">
        <v>10.3</v>
      </c>
      <c r="AS150">
        <v>6.4</v>
      </c>
      <c r="AT150">
        <v>6.4</v>
      </c>
      <c r="AU150">
        <v>6.4</v>
      </c>
      <c r="AV150">
        <v>6.4</v>
      </c>
      <c r="AW150">
        <v>6.4</v>
      </c>
      <c r="BH150">
        <v>7.4999999999999997E-2</v>
      </c>
      <c r="BN150">
        <v>1</v>
      </c>
      <c r="BO150" t="s">
        <v>8092</v>
      </c>
      <c r="BP150">
        <v>2.2599999999999998</v>
      </c>
      <c r="BQ150" s="591">
        <v>2.54</v>
      </c>
      <c r="BR150" t="s">
        <v>1979</v>
      </c>
      <c r="BS150" t="s">
        <v>8093</v>
      </c>
      <c r="BT150">
        <v>0</v>
      </c>
      <c r="BU150" t="s">
        <v>8093</v>
      </c>
      <c r="BV150">
        <v>0</v>
      </c>
      <c r="BW150">
        <v>1.9</v>
      </c>
      <c r="BX150" t="s">
        <v>1979</v>
      </c>
      <c r="BY150">
        <v>0</v>
      </c>
      <c r="BZ150">
        <v>0</v>
      </c>
      <c r="CA150">
        <v>0</v>
      </c>
      <c r="CB150">
        <v>0</v>
      </c>
      <c r="CD150" t="s">
        <v>9045</v>
      </c>
    </row>
    <row r="151" spans="1:82">
      <c r="A151" t="s">
        <v>9021</v>
      </c>
      <c r="B151" t="s">
        <v>9046</v>
      </c>
      <c r="C151" t="s">
        <v>7995</v>
      </c>
      <c r="D151" t="s">
        <v>1383</v>
      </c>
      <c r="E151" t="s">
        <v>8083</v>
      </c>
      <c r="F151" t="s">
        <v>9032</v>
      </c>
      <c r="G151" t="s">
        <v>8592</v>
      </c>
      <c r="H151" t="s">
        <v>9047</v>
      </c>
      <c r="I151" t="s">
        <v>9048</v>
      </c>
      <c r="J151" t="s">
        <v>8099</v>
      </c>
      <c r="K151" t="s">
        <v>8089</v>
      </c>
      <c r="M151" t="s">
        <v>1980</v>
      </c>
      <c r="N151" t="s">
        <v>8148</v>
      </c>
      <c r="O151" t="s">
        <v>8282</v>
      </c>
      <c r="P151" t="s">
        <v>8429</v>
      </c>
      <c r="Q151" t="s">
        <v>8092</v>
      </c>
      <c r="S151" t="s">
        <v>1984</v>
      </c>
      <c r="T151" t="s">
        <v>1984</v>
      </c>
      <c r="U151" t="s">
        <v>1984</v>
      </c>
      <c r="V151" t="s">
        <v>1984</v>
      </c>
      <c r="W151" t="s">
        <v>1984</v>
      </c>
      <c r="X151" t="s">
        <v>1984</v>
      </c>
      <c r="AE151" t="s">
        <v>1979</v>
      </c>
      <c r="AH151">
        <v>10</v>
      </c>
      <c r="AI151" t="s">
        <v>1979</v>
      </c>
      <c r="AJ151" t="s">
        <v>1979</v>
      </c>
      <c r="AK151" t="s">
        <v>1979</v>
      </c>
      <c r="AL151" t="s">
        <v>1979</v>
      </c>
      <c r="AM151" t="s">
        <v>1979</v>
      </c>
      <c r="AN151" t="s">
        <v>8430</v>
      </c>
      <c r="AO151" t="s">
        <v>8430</v>
      </c>
      <c r="AP151" t="s">
        <v>8430</v>
      </c>
      <c r="AQ151" t="s">
        <v>8430</v>
      </c>
      <c r="AR151" t="s">
        <v>8430</v>
      </c>
      <c r="AS151" t="s">
        <v>1982</v>
      </c>
      <c r="AT151" t="s">
        <v>1982</v>
      </c>
      <c r="AU151" t="s">
        <v>1982</v>
      </c>
      <c r="AV151" t="s">
        <v>1982</v>
      </c>
      <c r="AW151" t="s">
        <v>1982</v>
      </c>
      <c r="BH151">
        <v>0.22500000000000001</v>
      </c>
      <c r="BN151">
        <v>1</v>
      </c>
      <c r="BO151" t="s">
        <v>8092</v>
      </c>
      <c r="BP151" t="s">
        <v>1984</v>
      </c>
      <c r="BQ151" s="593" t="s">
        <v>1984</v>
      </c>
      <c r="BR151" t="s">
        <v>1979</v>
      </c>
      <c r="BS151" t="s">
        <v>8093</v>
      </c>
      <c r="BT151">
        <v>0</v>
      </c>
      <c r="BU151" t="s">
        <v>8093</v>
      </c>
      <c r="BV151">
        <v>0</v>
      </c>
      <c r="BW151" t="s">
        <v>1984</v>
      </c>
      <c r="BX151" t="s">
        <v>1979</v>
      </c>
      <c r="BY151">
        <v>0</v>
      </c>
      <c r="BZ151">
        <v>0</v>
      </c>
      <c r="CA151">
        <v>0</v>
      </c>
      <c r="CB151">
        <v>0</v>
      </c>
      <c r="CD151" t="s">
        <v>9049</v>
      </c>
    </row>
    <row r="152" spans="1:82">
      <c r="A152" t="s">
        <v>9021</v>
      </c>
      <c r="B152" t="s">
        <v>9050</v>
      </c>
      <c r="C152" t="s">
        <v>7995</v>
      </c>
      <c r="D152" t="s">
        <v>1383</v>
      </c>
      <c r="E152" t="s">
        <v>8083</v>
      </c>
      <c r="F152" t="s">
        <v>9032</v>
      </c>
      <c r="G152" t="s">
        <v>9051</v>
      </c>
      <c r="H152" t="s">
        <v>9052</v>
      </c>
      <c r="I152" t="s">
        <v>9053</v>
      </c>
      <c r="J152" t="s">
        <v>8099</v>
      </c>
      <c r="K152" t="s">
        <v>8089</v>
      </c>
      <c r="N152" t="s">
        <v>8474</v>
      </c>
      <c r="O152" t="s">
        <v>11</v>
      </c>
      <c r="P152" t="s">
        <v>9054</v>
      </c>
      <c r="Q152">
        <v>0</v>
      </c>
      <c r="R152" t="s">
        <v>8129</v>
      </c>
      <c r="X152">
        <v>9300</v>
      </c>
      <c r="AH152">
        <v>0</v>
      </c>
      <c r="AM152" t="s">
        <v>1979</v>
      </c>
      <c r="AR152">
        <v>0</v>
      </c>
      <c r="AW152">
        <v>9200</v>
      </c>
      <c r="BH152">
        <v>2.6599999999999999E-5</v>
      </c>
      <c r="BN152">
        <v>1</v>
      </c>
      <c r="BO152" t="s">
        <v>8092</v>
      </c>
      <c r="BP152">
        <v>2217</v>
      </c>
      <c r="BQ152" s="594">
        <v>2553</v>
      </c>
      <c r="BR152" t="s">
        <v>8093</v>
      </c>
      <c r="BS152" t="s">
        <v>8093</v>
      </c>
      <c r="BT152">
        <v>0</v>
      </c>
      <c r="BU152" t="s">
        <v>8093</v>
      </c>
      <c r="BV152">
        <v>0</v>
      </c>
      <c r="BW152">
        <v>4647</v>
      </c>
      <c r="BX152" t="s">
        <v>1981</v>
      </c>
      <c r="BY152">
        <v>0</v>
      </c>
      <c r="BZ152">
        <v>0</v>
      </c>
      <c r="CA152">
        <v>0</v>
      </c>
      <c r="CB152">
        <v>0</v>
      </c>
      <c r="CD152" t="s">
        <v>9055</v>
      </c>
    </row>
    <row r="153" spans="1:82">
      <c r="A153" t="s">
        <v>9021</v>
      </c>
      <c r="B153" t="s">
        <v>9056</v>
      </c>
      <c r="C153" t="s">
        <v>7995</v>
      </c>
      <c r="D153" t="s">
        <v>1383</v>
      </c>
      <c r="E153" t="s">
        <v>8083</v>
      </c>
      <c r="F153" t="s">
        <v>9032</v>
      </c>
      <c r="G153" t="s">
        <v>9057</v>
      </c>
      <c r="H153" t="s">
        <v>9058</v>
      </c>
      <c r="I153" t="s">
        <v>9059</v>
      </c>
      <c r="J153" t="s">
        <v>8119</v>
      </c>
      <c r="N153" t="s">
        <v>8100</v>
      </c>
      <c r="O153" t="s">
        <v>11</v>
      </c>
      <c r="P153" t="s">
        <v>8510</v>
      </c>
      <c r="Q153">
        <v>1</v>
      </c>
      <c r="R153" t="s">
        <v>8091</v>
      </c>
      <c r="S153">
        <v>142</v>
      </c>
      <c r="T153">
        <v>142</v>
      </c>
      <c r="X153">
        <v>140</v>
      </c>
      <c r="AH153">
        <v>0</v>
      </c>
      <c r="BP153">
        <v>138.41900000000001</v>
      </c>
      <c r="BQ153" s="594">
        <v>133.57900000000001</v>
      </c>
      <c r="BR153" t="s">
        <v>1979</v>
      </c>
      <c r="BS153" t="s">
        <v>8093</v>
      </c>
      <c r="BT153">
        <v>0</v>
      </c>
      <c r="BU153" t="s">
        <v>8093</v>
      </c>
      <c r="BV153">
        <v>0</v>
      </c>
      <c r="BW153">
        <v>143.9</v>
      </c>
      <c r="BX153" t="s">
        <v>1981</v>
      </c>
      <c r="BY153">
        <v>0</v>
      </c>
      <c r="BZ153">
        <v>0</v>
      </c>
      <c r="CA153">
        <v>0</v>
      </c>
      <c r="CB153">
        <v>0</v>
      </c>
      <c r="CD153" t="s">
        <v>9060</v>
      </c>
    </row>
    <row r="154" spans="1:82">
      <c r="A154" t="s">
        <v>9021</v>
      </c>
      <c r="B154" t="s">
        <v>9061</v>
      </c>
      <c r="C154" t="s">
        <v>7995</v>
      </c>
      <c r="D154" t="s">
        <v>1383</v>
      </c>
      <c r="E154" t="s">
        <v>8083</v>
      </c>
      <c r="F154" t="s">
        <v>9062</v>
      </c>
      <c r="G154" t="s">
        <v>7872</v>
      </c>
      <c r="H154" t="s">
        <v>9063</v>
      </c>
      <c r="I154" t="s">
        <v>9064</v>
      </c>
      <c r="J154" t="s">
        <v>8099</v>
      </c>
      <c r="K154" t="s">
        <v>8089</v>
      </c>
      <c r="N154" t="s">
        <v>2534</v>
      </c>
      <c r="O154" t="s">
        <v>10</v>
      </c>
      <c r="P154" t="s">
        <v>9065</v>
      </c>
      <c r="Q154">
        <v>1</v>
      </c>
      <c r="R154" t="s">
        <v>8129</v>
      </c>
      <c r="S154">
        <v>77</v>
      </c>
      <c r="X154">
        <v>85</v>
      </c>
      <c r="AE154" t="s">
        <v>1979</v>
      </c>
      <c r="AH154">
        <v>0</v>
      </c>
      <c r="AM154" t="s">
        <v>1979</v>
      </c>
      <c r="AR154">
        <v>77</v>
      </c>
      <c r="AW154">
        <v>84.5</v>
      </c>
      <c r="BH154">
        <v>1E-3</v>
      </c>
      <c r="BN154">
        <v>1</v>
      </c>
      <c r="BO154" t="s">
        <v>8092</v>
      </c>
      <c r="BP154">
        <v>54</v>
      </c>
      <c r="BQ154" s="591">
        <v>79.22</v>
      </c>
      <c r="BR154" t="s">
        <v>8093</v>
      </c>
      <c r="BS154" t="s">
        <v>8093</v>
      </c>
      <c r="BT154">
        <v>0</v>
      </c>
      <c r="BU154" t="s">
        <v>8093</v>
      </c>
      <c r="BV154">
        <v>0</v>
      </c>
      <c r="BW154">
        <v>80</v>
      </c>
      <c r="BX154" t="s">
        <v>1981</v>
      </c>
      <c r="BY154">
        <v>0</v>
      </c>
      <c r="BZ154">
        <v>0</v>
      </c>
      <c r="CA154">
        <v>0</v>
      </c>
      <c r="CB154">
        <v>0</v>
      </c>
      <c r="CD154" t="s">
        <v>9066</v>
      </c>
    </row>
    <row r="155" spans="1:82">
      <c r="A155" t="s">
        <v>9021</v>
      </c>
      <c r="B155" t="s">
        <v>9067</v>
      </c>
      <c r="C155" t="s">
        <v>7995</v>
      </c>
      <c r="D155" t="s">
        <v>1383</v>
      </c>
      <c r="E155" t="s">
        <v>8083</v>
      </c>
      <c r="F155" t="s">
        <v>9068</v>
      </c>
      <c r="G155" t="s">
        <v>7879</v>
      </c>
      <c r="H155" t="s">
        <v>9069</v>
      </c>
      <c r="I155" t="s">
        <v>9070</v>
      </c>
      <c r="J155" t="s">
        <v>8119</v>
      </c>
      <c r="N155" t="s">
        <v>8260</v>
      </c>
      <c r="O155" t="s">
        <v>11</v>
      </c>
      <c r="P155" t="s">
        <v>9071</v>
      </c>
      <c r="Q155">
        <v>2</v>
      </c>
      <c r="R155" t="s">
        <v>8091</v>
      </c>
      <c r="S155">
        <v>580</v>
      </c>
      <c r="X155">
        <v>530</v>
      </c>
      <c r="AH155">
        <v>0</v>
      </c>
      <c r="BP155">
        <v>592</v>
      </c>
      <c r="BQ155" s="595">
        <v>589.45000000000005</v>
      </c>
      <c r="BR155" t="s">
        <v>8093</v>
      </c>
      <c r="BS155" t="s">
        <v>8093</v>
      </c>
      <c r="BT155">
        <v>0</v>
      </c>
      <c r="BU155" t="s">
        <v>8093</v>
      </c>
      <c r="BV155">
        <v>0</v>
      </c>
      <c r="BW155">
        <v>650.25</v>
      </c>
      <c r="BX155" t="s">
        <v>1981</v>
      </c>
      <c r="BY155">
        <v>0</v>
      </c>
      <c r="BZ155">
        <v>0</v>
      </c>
      <c r="CA155">
        <v>0</v>
      </c>
      <c r="CB155">
        <v>0</v>
      </c>
      <c r="CD155" t="s">
        <v>9072</v>
      </c>
    </row>
    <row r="156" spans="1:82" ht="25.5">
      <c r="A156" t="s">
        <v>9021</v>
      </c>
      <c r="B156" t="s">
        <v>9073</v>
      </c>
      <c r="C156" t="s">
        <v>7995</v>
      </c>
      <c r="D156" t="s">
        <v>1383</v>
      </c>
      <c r="E156" t="s">
        <v>8083</v>
      </c>
      <c r="F156" t="s">
        <v>9068</v>
      </c>
      <c r="G156" t="s">
        <v>7882</v>
      </c>
      <c r="H156" t="s">
        <v>9074</v>
      </c>
      <c r="I156" t="s">
        <v>9075</v>
      </c>
      <c r="J156" t="s">
        <v>8119</v>
      </c>
      <c r="N156" t="s">
        <v>8252</v>
      </c>
      <c r="O156" t="s">
        <v>6241</v>
      </c>
      <c r="P156" t="s">
        <v>9076</v>
      </c>
      <c r="Q156" t="s">
        <v>8092</v>
      </c>
      <c r="S156" t="s">
        <v>9077</v>
      </c>
      <c r="T156" t="s">
        <v>9078</v>
      </c>
      <c r="U156" t="s">
        <v>9078</v>
      </c>
      <c r="V156" t="s">
        <v>9078</v>
      </c>
      <c r="W156" t="s">
        <v>9078</v>
      </c>
      <c r="X156" t="s">
        <v>9078</v>
      </c>
      <c r="AH156">
        <v>0</v>
      </c>
      <c r="BP156" t="s">
        <v>3323</v>
      </c>
      <c r="BQ156" s="593" t="s">
        <v>9079</v>
      </c>
      <c r="BR156" t="s">
        <v>8093</v>
      </c>
      <c r="BS156" t="s">
        <v>8093</v>
      </c>
      <c r="BT156">
        <v>0</v>
      </c>
      <c r="BU156" t="s">
        <v>8093</v>
      </c>
      <c r="BV156">
        <v>0</v>
      </c>
      <c r="BW156" t="s">
        <v>9080</v>
      </c>
      <c r="BX156" t="s">
        <v>1981</v>
      </c>
      <c r="BY156">
        <v>0</v>
      </c>
      <c r="BZ156">
        <v>0</v>
      </c>
      <c r="CA156">
        <v>0</v>
      </c>
      <c r="CB156">
        <v>0</v>
      </c>
      <c r="CD156" t="s">
        <v>9081</v>
      </c>
    </row>
    <row r="157" spans="1:82">
      <c r="A157" t="s">
        <v>9021</v>
      </c>
      <c r="B157" t="s">
        <v>9082</v>
      </c>
      <c r="C157" t="s">
        <v>7995</v>
      </c>
      <c r="D157" t="s">
        <v>1383</v>
      </c>
      <c r="E157" t="s">
        <v>8083</v>
      </c>
      <c r="F157" t="s">
        <v>9083</v>
      </c>
      <c r="G157" t="s">
        <v>7895</v>
      </c>
      <c r="H157" t="s">
        <v>9084</v>
      </c>
      <c r="I157" t="s">
        <v>9085</v>
      </c>
      <c r="J157" t="s">
        <v>8119</v>
      </c>
      <c r="N157" t="s">
        <v>9086</v>
      </c>
      <c r="O157" t="s">
        <v>11</v>
      </c>
      <c r="P157" t="s">
        <v>9087</v>
      </c>
      <c r="Q157">
        <v>0</v>
      </c>
      <c r="R157" t="s">
        <v>8129</v>
      </c>
      <c r="S157">
        <v>84</v>
      </c>
      <c r="X157">
        <v>175</v>
      </c>
      <c r="AH157">
        <v>0</v>
      </c>
      <c r="BP157">
        <v>158</v>
      </c>
      <c r="BQ157" s="594">
        <v>201.5</v>
      </c>
      <c r="BR157" t="s">
        <v>8093</v>
      </c>
      <c r="BS157" t="s">
        <v>8093</v>
      </c>
      <c r="BT157">
        <v>0</v>
      </c>
      <c r="BU157" t="s">
        <v>8093</v>
      </c>
      <c r="BV157">
        <v>0</v>
      </c>
      <c r="BW157">
        <v>80</v>
      </c>
      <c r="BX157" t="s">
        <v>1981</v>
      </c>
      <c r="BY157">
        <v>0</v>
      </c>
      <c r="BZ157">
        <v>0</v>
      </c>
      <c r="CA157">
        <v>0</v>
      </c>
      <c r="CB157">
        <v>0</v>
      </c>
      <c r="CD157" t="s">
        <v>9088</v>
      </c>
    </row>
    <row r="158" spans="1:82">
      <c r="A158" t="s">
        <v>9021</v>
      </c>
      <c r="B158" t="s">
        <v>9089</v>
      </c>
      <c r="C158" t="s">
        <v>7995</v>
      </c>
      <c r="D158" t="s">
        <v>8163</v>
      </c>
      <c r="E158" t="s">
        <v>8164</v>
      </c>
      <c r="F158" t="s">
        <v>9062</v>
      </c>
      <c r="G158" t="s">
        <v>6966</v>
      </c>
      <c r="H158" t="s">
        <v>9090</v>
      </c>
      <c r="I158" t="s">
        <v>9008</v>
      </c>
      <c r="J158" t="s">
        <v>8088</v>
      </c>
      <c r="K158" t="s">
        <v>8089</v>
      </c>
      <c r="M158" t="s">
        <v>1980</v>
      </c>
      <c r="N158" t="s">
        <v>8169</v>
      </c>
      <c r="O158" t="s">
        <v>8170</v>
      </c>
      <c r="P158" t="s">
        <v>9091</v>
      </c>
      <c r="Q158">
        <v>1</v>
      </c>
      <c r="R158" t="s">
        <v>8129</v>
      </c>
      <c r="S158">
        <v>87</v>
      </c>
      <c r="X158">
        <v>89</v>
      </c>
      <c r="AH158">
        <v>0</v>
      </c>
      <c r="AM158" t="s">
        <v>1979</v>
      </c>
      <c r="AN158" t="s">
        <v>8172</v>
      </c>
      <c r="AO158" t="s">
        <v>8172</v>
      </c>
      <c r="AP158" t="s">
        <v>8172</v>
      </c>
      <c r="AQ158" t="s">
        <v>8172</v>
      </c>
      <c r="AR158" t="s">
        <v>8172</v>
      </c>
      <c r="AS158" t="s">
        <v>8172</v>
      </c>
      <c r="AT158" t="s">
        <v>8172</v>
      </c>
      <c r="AU158" t="s">
        <v>8172</v>
      </c>
      <c r="AV158" t="s">
        <v>8172</v>
      </c>
      <c r="AW158" t="s">
        <v>8172</v>
      </c>
      <c r="AX158" t="s">
        <v>8172</v>
      </c>
      <c r="AY158" t="s">
        <v>8172</v>
      </c>
      <c r="AZ158" t="s">
        <v>8172</v>
      </c>
      <c r="BA158" t="s">
        <v>8172</v>
      </c>
      <c r="BB158" t="s">
        <v>8172</v>
      </c>
      <c r="BC158" t="s">
        <v>8172</v>
      </c>
      <c r="BD158" t="s">
        <v>8172</v>
      </c>
      <c r="BE158" t="s">
        <v>8172</v>
      </c>
      <c r="BF158" t="s">
        <v>8172</v>
      </c>
      <c r="BG158" t="s">
        <v>8172</v>
      </c>
      <c r="BH158" t="s">
        <v>8172</v>
      </c>
      <c r="BL158" t="s">
        <v>8172</v>
      </c>
      <c r="BN158">
        <v>1</v>
      </c>
      <c r="BO158" t="s">
        <v>8092</v>
      </c>
      <c r="BP158">
        <v>87.5</v>
      </c>
      <c r="BQ158" s="591">
        <v>86.2</v>
      </c>
      <c r="BR158" t="s">
        <v>8093</v>
      </c>
      <c r="BS158" t="s">
        <v>8093</v>
      </c>
      <c r="BT158">
        <v>0</v>
      </c>
      <c r="BU158" t="s">
        <v>8093</v>
      </c>
      <c r="BV158">
        <v>0</v>
      </c>
      <c r="BW158">
        <v>86.49</v>
      </c>
      <c r="BX158" t="s">
        <v>1981</v>
      </c>
      <c r="BY158">
        <v>0</v>
      </c>
      <c r="BZ158">
        <v>0</v>
      </c>
      <c r="CA158">
        <v>0</v>
      </c>
      <c r="CB158">
        <v>0</v>
      </c>
      <c r="CD158" t="s">
        <v>9092</v>
      </c>
    </row>
    <row r="159" spans="1:82">
      <c r="A159" t="s">
        <v>9021</v>
      </c>
      <c r="B159" t="s">
        <v>9093</v>
      </c>
      <c r="C159" t="s">
        <v>7995</v>
      </c>
      <c r="D159" t="s">
        <v>8163</v>
      </c>
      <c r="E159" t="s">
        <v>8164</v>
      </c>
      <c r="F159" t="s">
        <v>9062</v>
      </c>
      <c r="G159" t="s">
        <v>6967</v>
      </c>
      <c r="H159" t="s">
        <v>9094</v>
      </c>
      <c r="I159" t="s">
        <v>9095</v>
      </c>
      <c r="J159" t="s">
        <v>8099</v>
      </c>
      <c r="K159" t="s">
        <v>8089</v>
      </c>
      <c r="M159" t="s">
        <v>1980</v>
      </c>
      <c r="N159" t="s">
        <v>8178</v>
      </c>
      <c r="O159" t="s">
        <v>8</v>
      </c>
      <c r="P159" t="s">
        <v>8939</v>
      </c>
      <c r="Q159">
        <v>2</v>
      </c>
      <c r="S159">
        <v>0</v>
      </c>
      <c r="T159" t="s">
        <v>8565</v>
      </c>
      <c r="U159" t="s">
        <v>8565</v>
      </c>
      <c r="V159" t="s">
        <v>8565</v>
      </c>
      <c r="W159" t="s">
        <v>8565</v>
      </c>
      <c r="X159">
        <v>1.18</v>
      </c>
      <c r="AD159" t="s">
        <v>1979</v>
      </c>
      <c r="AH159">
        <v>0</v>
      </c>
      <c r="AI159" t="s">
        <v>1979</v>
      </c>
      <c r="AJ159" t="s">
        <v>1979</v>
      </c>
      <c r="AK159" t="s">
        <v>1979</v>
      </c>
      <c r="AL159" t="s">
        <v>1979</v>
      </c>
      <c r="AM159" t="s">
        <v>1979</v>
      </c>
      <c r="AN159" t="s">
        <v>8565</v>
      </c>
      <c r="AO159" t="s">
        <v>8565</v>
      </c>
      <c r="AP159" t="s">
        <v>8565</v>
      </c>
      <c r="AQ159" t="s">
        <v>8565</v>
      </c>
      <c r="AR159">
        <v>0</v>
      </c>
      <c r="AS159" t="s">
        <v>8565</v>
      </c>
      <c r="AT159" t="s">
        <v>8565</v>
      </c>
      <c r="AU159" t="s">
        <v>8565</v>
      </c>
      <c r="AV159" t="s">
        <v>8565</v>
      </c>
      <c r="AW159">
        <v>1.1000000000000001</v>
      </c>
      <c r="BH159">
        <v>0.05</v>
      </c>
      <c r="BI159">
        <v>0.17</v>
      </c>
      <c r="BN159">
        <v>1</v>
      </c>
      <c r="BO159" t="s">
        <v>8092</v>
      </c>
      <c r="BP159" t="s">
        <v>3323</v>
      </c>
      <c r="BQ159" s="593">
        <v>0.33600000000000002</v>
      </c>
      <c r="BR159" t="s">
        <v>8093</v>
      </c>
      <c r="BS159" t="s">
        <v>8093</v>
      </c>
      <c r="BT159">
        <v>0</v>
      </c>
      <c r="BU159" t="s">
        <v>8093</v>
      </c>
      <c r="BV159">
        <v>0</v>
      </c>
      <c r="BW159">
        <v>0.68300000000000005</v>
      </c>
      <c r="BX159" t="s">
        <v>1981</v>
      </c>
      <c r="BY159">
        <v>0</v>
      </c>
      <c r="BZ159">
        <v>0</v>
      </c>
      <c r="CA159">
        <v>0</v>
      </c>
      <c r="CB159">
        <v>0</v>
      </c>
      <c r="CD159" t="s">
        <v>9096</v>
      </c>
    </row>
    <row r="160" spans="1:82">
      <c r="A160" t="s">
        <v>9021</v>
      </c>
      <c r="B160" t="s">
        <v>9097</v>
      </c>
      <c r="C160" t="s">
        <v>7995</v>
      </c>
      <c r="D160" t="s">
        <v>8163</v>
      </c>
      <c r="E160" t="s">
        <v>8164</v>
      </c>
      <c r="F160" t="s">
        <v>9098</v>
      </c>
      <c r="G160" t="s">
        <v>6968</v>
      </c>
      <c r="H160" t="s">
        <v>9099</v>
      </c>
      <c r="I160" t="s">
        <v>9100</v>
      </c>
      <c r="J160" t="s">
        <v>8119</v>
      </c>
      <c r="N160" t="s">
        <v>8178</v>
      </c>
      <c r="O160" t="s">
        <v>10</v>
      </c>
      <c r="P160" t="s">
        <v>9101</v>
      </c>
      <c r="Q160">
        <v>2</v>
      </c>
      <c r="R160" t="s">
        <v>8091</v>
      </c>
      <c r="X160" t="s">
        <v>9102</v>
      </c>
      <c r="AH160">
        <v>0</v>
      </c>
      <c r="BP160">
        <v>3.36</v>
      </c>
      <c r="BQ160" s="593">
        <v>3.71</v>
      </c>
      <c r="BR160" t="s">
        <v>8093</v>
      </c>
      <c r="BS160" t="s">
        <v>8093</v>
      </c>
      <c r="BT160">
        <v>0</v>
      </c>
      <c r="BU160" t="s">
        <v>8093</v>
      </c>
      <c r="BV160">
        <v>0</v>
      </c>
      <c r="BW160">
        <v>3.23</v>
      </c>
      <c r="BX160" t="s">
        <v>1981</v>
      </c>
      <c r="BY160">
        <v>0</v>
      </c>
      <c r="BZ160">
        <v>0</v>
      </c>
      <c r="CA160">
        <v>0</v>
      </c>
      <c r="CB160">
        <v>0</v>
      </c>
      <c r="CD160" t="s">
        <v>9103</v>
      </c>
    </row>
    <row r="161" spans="1:82">
      <c r="A161" t="s">
        <v>9104</v>
      </c>
      <c r="B161" t="s">
        <v>9105</v>
      </c>
      <c r="C161" t="s">
        <v>7995</v>
      </c>
      <c r="D161" t="s">
        <v>1383</v>
      </c>
      <c r="E161" t="s">
        <v>8083</v>
      </c>
      <c r="F161" t="s">
        <v>9106</v>
      </c>
      <c r="G161" t="s">
        <v>6966</v>
      </c>
      <c r="H161" t="s">
        <v>9107</v>
      </c>
      <c r="I161" t="s">
        <v>9108</v>
      </c>
      <c r="J161" t="s">
        <v>8099</v>
      </c>
      <c r="K161" t="s">
        <v>8089</v>
      </c>
      <c r="M161" t="s">
        <v>1980</v>
      </c>
      <c r="N161" t="s">
        <v>8107</v>
      </c>
      <c r="O161" t="s">
        <v>8170</v>
      </c>
      <c r="P161" t="s">
        <v>8222</v>
      </c>
      <c r="Q161">
        <v>0</v>
      </c>
      <c r="R161" t="s">
        <v>8129</v>
      </c>
      <c r="S161">
        <v>100</v>
      </c>
      <c r="T161">
        <v>100</v>
      </c>
      <c r="U161">
        <v>100</v>
      </c>
      <c r="V161">
        <v>100</v>
      </c>
      <c r="W161">
        <v>100</v>
      </c>
      <c r="X161">
        <v>100</v>
      </c>
      <c r="AH161">
        <v>0</v>
      </c>
      <c r="AI161" t="s">
        <v>1979</v>
      </c>
      <c r="AJ161" t="s">
        <v>1979</v>
      </c>
      <c r="AK161" t="s">
        <v>1979</v>
      </c>
      <c r="AL161" t="s">
        <v>1979</v>
      </c>
      <c r="AM161" t="s">
        <v>1979</v>
      </c>
      <c r="AN161" t="s">
        <v>9109</v>
      </c>
      <c r="AO161" t="s">
        <v>9109</v>
      </c>
      <c r="AP161" t="s">
        <v>9109</v>
      </c>
      <c r="AQ161" t="s">
        <v>9109</v>
      </c>
      <c r="AR161" t="s">
        <v>9109</v>
      </c>
      <c r="AS161">
        <v>98</v>
      </c>
      <c r="AT161">
        <v>98</v>
      </c>
      <c r="AU161">
        <v>98</v>
      </c>
      <c r="AV161">
        <v>98</v>
      </c>
      <c r="AW161">
        <v>98</v>
      </c>
      <c r="BH161">
        <v>0.2</v>
      </c>
      <c r="BN161">
        <v>1</v>
      </c>
      <c r="BO161" t="s">
        <v>8092</v>
      </c>
      <c r="BP161">
        <v>100</v>
      </c>
      <c r="BQ161" s="594">
        <v>100</v>
      </c>
      <c r="BR161" t="s">
        <v>1979</v>
      </c>
      <c r="BS161" t="s">
        <v>8093</v>
      </c>
      <c r="BT161">
        <v>0</v>
      </c>
      <c r="BU161" t="s">
        <v>8093</v>
      </c>
      <c r="BV161">
        <v>0</v>
      </c>
      <c r="BW161">
        <v>100</v>
      </c>
      <c r="BX161" t="s">
        <v>1979</v>
      </c>
      <c r="BY161">
        <v>0</v>
      </c>
      <c r="BZ161">
        <v>0</v>
      </c>
      <c r="CA161">
        <v>0</v>
      </c>
      <c r="CB161">
        <v>0</v>
      </c>
      <c r="CD161" t="s">
        <v>9110</v>
      </c>
    </row>
    <row r="162" spans="1:82">
      <c r="A162" t="s">
        <v>9104</v>
      </c>
      <c r="B162" t="s">
        <v>9111</v>
      </c>
      <c r="C162" t="s">
        <v>7995</v>
      </c>
      <c r="D162" t="s">
        <v>1383</v>
      </c>
      <c r="E162" t="s">
        <v>8083</v>
      </c>
      <c r="F162" t="s">
        <v>9106</v>
      </c>
      <c r="G162" t="s">
        <v>6967</v>
      </c>
      <c r="H162" t="s">
        <v>9112</v>
      </c>
      <c r="I162" t="s">
        <v>9113</v>
      </c>
      <c r="J162" t="s">
        <v>8119</v>
      </c>
      <c r="N162" t="s">
        <v>8107</v>
      </c>
      <c r="O162" t="s">
        <v>8170</v>
      </c>
      <c r="P162" t="s">
        <v>8222</v>
      </c>
      <c r="Q162">
        <v>0</v>
      </c>
      <c r="R162" t="s">
        <v>8129</v>
      </c>
      <c r="S162">
        <v>100</v>
      </c>
      <c r="T162">
        <v>100</v>
      </c>
      <c r="U162">
        <v>100</v>
      </c>
      <c r="V162">
        <v>100</v>
      </c>
      <c r="W162">
        <v>100</v>
      </c>
      <c r="X162">
        <v>100</v>
      </c>
      <c r="AH162">
        <v>0</v>
      </c>
      <c r="BP162">
        <v>100</v>
      </c>
      <c r="BQ162" s="593">
        <v>100</v>
      </c>
      <c r="BR162" t="s">
        <v>1979</v>
      </c>
      <c r="BS162" t="s">
        <v>8093</v>
      </c>
      <c r="BT162">
        <v>0</v>
      </c>
      <c r="BU162" t="s">
        <v>8093</v>
      </c>
      <c r="BV162">
        <v>0</v>
      </c>
      <c r="BW162">
        <v>100</v>
      </c>
      <c r="BX162" t="s">
        <v>1979</v>
      </c>
      <c r="BY162">
        <v>0</v>
      </c>
      <c r="BZ162">
        <v>0</v>
      </c>
      <c r="CA162">
        <v>0</v>
      </c>
      <c r="CB162">
        <v>0</v>
      </c>
      <c r="CD162" t="s">
        <v>9114</v>
      </c>
    </row>
    <row r="163" spans="1:82">
      <c r="A163" t="s">
        <v>9104</v>
      </c>
      <c r="B163" t="s">
        <v>9115</v>
      </c>
      <c r="C163" t="s">
        <v>7995</v>
      </c>
      <c r="D163" t="s">
        <v>1383</v>
      </c>
      <c r="E163" t="s">
        <v>8083</v>
      </c>
      <c r="F163" t="s">
        <v>9106</v>
      </c>
      <c r="G163" t="s">
        <v>7851</v>
      </c>
      <c r="H163" t="s">
        <v>9116</v>
      </c>
      <c r="I163" t="s">
        <v>9117</v>
      </c>
      <c r="J163" t="s">
        <v>8088</v>
      </c>
      <c r="K163" t="s">
        <v>8089</v>
      </c>
      <c r="N163" t="s">
        <v>2556</v>
      </c>
      <c r="O163" t="s">
        <v>8186</v>
      </c>
      <c r="P163" t="s">
        <v>8579</v>
      </c>
      <c r="Q163">
        <v>2</v>
      </c>
      <c r="R163" t="s">
        <v>8091</v>
      </c>
      <c r="S163">
        <v>0.28999999999999998</v>
      </c>
      <c r="T163">
        <v>0.26</v>
      </c>
      <c r="U163">
        <v>0.23</v>
      </c>
      <c r="V163">
        <v>0.2</v>
      </c>
      <c r="W163">
        <v>0.2</v>
      </c>
      <c r="X163">
        <v>0.2</v>
      </c>
      <c r="AA163" t="s">
        <v>1979</v>
      </c>
      <c r="AE163" t="s">
        <v>1979</v>
      </c>
      <c r="AH163">
        <v>0</v>
      </c>
      <c r="AI163" t="s">
        <v>1979</v>
      </c>
      <c r="AJ163" t="s">
        <v>1979</v>
      </c>
      <c r="AK163" t="s">
        <v>1979</v>
      </c>
      <c r="AL163" t="s">
        <v>1979</v>
      </c>
      <c r="AM163" t="s">
        <v>1979</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8092</v>
      </c>
      <c r="BP163">
        <v>0.48</v>
      </c>
      <c r="BQ163" s="595">
        <v>0.1</v>
      </c>
      <c r="BR163" t="s">
        <v>1979</v>
      </c>
      <c r="BS163" t="s">
        <v>8093</v>
      </c>
      <c r="BT163">
        <v>0</v>
      </c>
      <c r="BU163" t="s">
        <v>1988</v>
      </c>
      <c r="BV163">
        <v>0.2</v>
      </c>
      <c r="BW163">
        <v>7.2999999999999995E-2</v>
      </c>
      <c r="BX163" t="s">
        <v>1979</v>
      </c>
      <c r="BY163">
        <v>0</v>
      </c>
      <c r="BZ163">
        <v>0</v>
      </c>
      <c r="CA163" t="s">
        <v>1988</v>
      </c>
      <c r="CB163">
        <v>0.254</v>
      </c>
      <c r="CD163" t="s">
        <v>9118</v>
      </c>
    </row>
    <row r="164" spans="1:82">
      <c r="A164" t="s">
        <v>9104</v>
      </c>
      <c r="B164" t="s">
        <v>9119</v>
      </c>
      <c r="C164" t="s">
        <v>7995</v>
      </c>
      <c r="D164" t="s">
        <v>1383</v>
      </c>
      <c r="E164" t="s">
        <v>8083</v>
      </c>
      <c r="F164" t="s">
        <v>9106</v>
      </c>
      <c r="G164" t="s">
        <v>7854</v>
      </c>
      <c r="H164" t="s">
        <v>9120</v>
      </c>
      <c r="I164" t="s">
        <v>9121</v>
      </c>
      <c r="J164" t="s">
        <v>8099</v>
      </c>
      <c r="K164" t="s">
        <v>8089</v>
      </c>
      <c r="N164" t="s">
        <v>8148</v>
      </c>
      <c r="O164" t="s">
        <v>11</v>
      </c>
      <c r="P164" t="s">
        <v>8149</v>
      </c>
      <c r="Q164">
        <v>0</v>
      </c>
      <c r="R164" t="s">
        <v>8091</v>
      </c>
      <c r="S164">
        <v>227</v>
      </c>
      <c r="T164">
        <v>290</v>
      </c>
      <c r="U164">
        <v>290</v>
      </c>
      <c r="V164">
        <v>290</v>
      </c>
      <c r="W164">
        <v>290</v>
      </c>
      <c r="X164">
        <v>290</v>
      </c>
      <c r="AE164" t="s">
        <v>1979</v>
      </c>
      <c r="AH164">
        <v>0</v>
      </c>
      <c r="AI164" t="s">
        <v>1979</v>
      </c>
      <c r="AJ164" t="s">
        <v>1979</v>
      </c>
      <c r="AK164" t="s">
        <v>1979</v>
      </c>
      <c r="AL164" t="s">
        <v>1979</v>
      </c>
      <c r="AM164" t="s">
        <v>1979</v>
      </c>
      <c r="AN164">
        <v>470</v>
      </c>
      <c r="AO164">
        <v>470</v>
      </c>
      <c r="AP164">
        <v>470</v>
      </c>
      <c r="AQ164">
        <v>470</v>
      </c>
      <c r="AR164">
        <v>470</v>
      </c>
      <c r="AS164">
        <v>345</v>
      </c>
      <c r="AT164">
        <v>345</v>
      </c>
      <c r="AU164">
        <v>345</v>
      </c>
      <c r="AV164">
        <v>345</v>
      </c>
      <c r="AW164">
        <v>345</v>
      </c>
      <c r="BH164">
        <v>3.0000000000000001E-3</v>
      </c>
      <c r="BN164">
        <v>1</v>
      </c>
      <c r="BO164" t="s">
        <v>8092</v>
      </c>
      <c r="BP164">
        <v>221</v>
      </c>
      <c r="BQ164" s="594">
        <v>212</v>
      </c>
      <c r="BR164" t="s">
        <v>1979</v>
      </c>
      <c r="BS164" t="s">
        <v>8093</v>
      </c>
      <c r="BT164">
        <v>0</v>
      </c>
      <c r="BU164" t="s">
        <v>8093</v>
      </c>
      <c r="BV164">
        <v>0</v>
      </c>
      <c r="BW164">
        <v>234</v>
      </c>
      <c r="BX164" t="s">
        <v>1979</v>
      </c>
      <c r="BY164">
        <v>0</v>
      </c>
      <c r="BZ164">
        <v>0</v>
      </c>
      <c r="CA164">
        <v>0</v>
      </c>
      <c r="CB164">
        <v>0</v>
      </c>
      <c r="CD164" t="s">
        <v>9122</v>
      </c>
    </row>
    <row r="165" spans="1:82">
      <c r="A165" t="s">
        <v>9104</v>
      </c>
      <c r="B165" t="s">
        <v>9123</v>
      </c>
      <c r="C165" t="s">
        <v>7995</v>
      </c>
      <c r="D165" t="s">
        <v>1383</v>
      </c>
      <c r="E165" t="s">
        <v>8083</v>
      </c>
      <c r="F165" t="s">
        <v>9106</v>
      </c>
      <c r="G165" t="s">
        <v>7857</v>
      </c>
      <c r="H165" t="s">
        <v>9124</v>
      </c>
      <c r="I165" t="s">
        <v>9125</v>
      </c>
      <c r="J165" t="s">
        <v>8099</v>
      </c>
      <c r="K165" t="s">
        <v>8089</v>
      </c>
      <c r="N165" t="s">
        <v>8127</v>
      </c>
      <c r="O165" t="s">
        <v>10</v>
      </c>
      <c r="P165" t="s">
        <v>8128</v>
      </c>
      <c r="Q165">
        <v>2</v>
      </c>
      <c r="R165" t="s">
        <v>8129</v>
      </c>
      <c r="S165">
        <v>100</v>
      </c>
      <c r="T165">
        <v>100</v>
      </c>
      <c r="U165">
        <v>100</v>
      </c>
      <c r="V165">
        <v>100</v>
      </c>
      <c r="W165">
        <v>100</v>
      </c>
      <c r="X165">
        <v>100</v>
      </c>
      <c r="Y165" t="s">
        <v>1979</v>
      </c>
      <c r="AE165" t="s">
        <v>1979</v>
      </c>
      <c r="AH165">
        <v>0</v>
      </c>
      <c r="AI165" t="s">
        <v>1979</v>
      </c>
      <c r="AJ165" t="s">
        <v>1979</v>
      </c>
      <c r="AK165" t="s">
        <v>1979</v>
      </c>
      <c r="AL165" t="s">
        <v>1979</v>
      </c>
      <c r="AM165" t="s">
        <v>1979</v>
      </c>
      <c r="AN165">
        <v>99.93</v>
      </c>
      <c r="AO165">
        <v>99.93</v>
      </c>
      <c r="AP165">
        <v>99.94</v>
      </c>
      <c r="AQ165">
        <v>99.94</v>
      </c>
      <c r="AR165">
        <v>99.94</v>
      </c>
      <c r="AS165">
        <v>99.94</v>
      </c>
      <c r="AT165">
        <v>99.94</v>
      </c>
      <c r="AU165">
        <v>99.95</v>
      </c>
      <c r="AV165">
        <v>99.95</v>
      </c>
      <c r="AW165">
        <v>99.95</v>
      </c>
      <c r="BH165">
        <v>0.14000000000000001</v>
      </c>
      <c r="BN165">
        <v>100</v>
      </c>
      <c r="BO165" t="s">
        <v>8456</v>
      </c>
      <c r="BP165">
        <v>99.98</v>
      </c>
      <c r="BQ165" s="595">
        <v>99.95</v>
      </c>
      <c r="BR165" t="s">
        <v>1980</v>
      </c>
      <c r="BS165" t="s">
        <v>8093</v>
      </c>
      <c r="BT165">
        <v>0</v>
      </c>
      <c r="BU165" t="s">
        <v>1985</v>
      </c>
      <c r="BV165">
        <v>0</v>
      </c>
      <c r="BW165">
        <v>99.98</v>
      </c>
      <c r="BX165" t="s">
        <v>1980</v>
      </c>
      <c r="BY165">
        <v>0</v>
      </c>
      <c r="BZ165">
        <v>0</v>
      </c>
      <c r="CA165" t="s">
        <v>1985</v>
      </c>
      <c r="CB165">
        <v>0</v>
      </c>
      <c r="CD165" t="s">
        <v>9126</v>
      </c>
    </row>
    <row r="166" spans="1:82">
      <c r="A166" t="s">
        <v>9104</v>
      </c>
      <c r="B166" t="s">
        <v>9127</v>
      </c>
      <c r="C166" t="s">
        <v>7995</v>
      </c>
      <c r="D166" t="s">
        <v>1383</v>
      </c>
      <c r="E166" t="s">
        <v>8083</v>
      </c>
      <c r="F166" t="s">
        <v>9106</v>
      </c>
      <c r="G166" t="s">
        <v>7860</v>
      </c>
      <c r="H166" t="s">
        <v>9128</v>
      </c>
      <c r="I166" t="s">
        <v>9129</v>
      </c>
      <c r="J166" t="s">
        <v>8088</v>
      </c>
      <c r="K166" t="s">
        <v>8089</v>
      </c>
      <c r="N166" t="s">
        <v>8055</v>
      </c>
      <c r="O166" t="s">
        <v>11</v>
      </c>
      <c r="P166" t="s">
        <v>8462</v>
      </c>
      <c r="Q166">
        <v>0</v>
      </c>
      <c r="R166" t="s">
        <v>8091</v>
      </c>
      <c r="S166">
        <v>350</v>
      </c>
      <c r="T166">
        <v>350</v>
      </c>
      <c r="U166">
        <v>350</v>
      </c>
      <c r="V166">
        <v>350</v>
      </c>
      <c r="W166">
        <v>350</v>
      </c>
      <c r="X166">
        <v>350</v>
      </c>
      <c r="Z166" t="s">
        <v>1979</v>
      </c>
      <c r="AE166" t="s">
        <v>1979</v>
      </c>
      <c r="AH166">
        <v>0</v>
      </c>
      <c r="AI166" t="s">
        <v>1979</v>
      </c>
      <c r="AJ166" t="s">
        <v>1979</v>
      </c>
      <c r="AK166" t="s">
        <v>1979</v>
      </c>
      <c r="AL166" t="s">
        <v>1979</v>
      </c>
      <c r="AM166" t="s">
        <v>1979</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8092</v>
      </c>
      <c r="BP166">
        <v>540</v>
      </c>
      <c r="BQ166" s="594">
        <v>419</v>
      </c>
      <c r="BR166" t="s">
        <v>1980</v>
      </c>
      <c r="BS166" t="s">
        <v>8093</v>
      </c>
      <c r="BT166">
        <v>0</v>
      </c>
      <c r="BU166" t="s">
        <v>1983</v>
      </c>
      <c r="BV166">
        <v>-4.3999999999999997E-2</v>
      </c>
      <c r="BW166">
        <v>375</v>
      </c>
      <c r="BX166" t="s">
        <v>1980</v>
      </c>
      <c r="BY166">
        <v>0</v>
      </c>
      <c r="BZ166">
        <v>0</v>
      </c>
      <c r="CA166" t="s">
        <v>1985</v>
      </c>
      <c r="CB166">
        <v>0</v>
      </c>
      <c r="CD166" t="s">
        <v>9130</v>
      </c>
    </row>
    <row r="167" spans="1:82">
      <c r="A167" t="s">
        <v>9104</v>
      </c>
      <c r="B167" t="s">
        <v>9131</v>
      </c>
      <c r="C167" t="s">
        <v>7995</v>
      </c>
      <c r="D167" t="s">
        <v>1383</v>
      </c>
      <c r="E167" t="s">
        <v>8083</v>
      </c>
      <c r="F167" t="s">
        <v>9106</v>
      </c>
      <c r="G167" t="s">
        <v>9132</v>
      </c>
      <c r="H167" t="s">
        <v>9133</v>
      </c>
      <c r="I167" t="s">
        <v>9134</v>
      </c>
      <c r="J167" t="s">
        <v>8099</v>
      </c>
      <c r="K167" t="s">
        <v>8089</v>
      </c>
      <c r="M167" t="s">
        <v>1980</v>
      </c>
      <c r="N167" t="s">
        <v>8127</v>
      </c>
      <c r="O167" t="s">
        <v>6241</v>
      </c>
      <c r="P167" t="s">
        <v>9135</v>
      </c>
      <c r="Q167" t="s">
        <v>8092</v>
      </c>
      <c r="S167" t="s">
        <v>8859</v>
      </c>
      <c r="T167" t="s">
        <v>8859</v>
      </c>
      <c r="U167" t="s">
        <v>8859</v>
      </c>
      <c r="V167" t="s">
        <v>8859</v>
      </c>
      <c r="W167" t="s">
        <v>8859</v>
      </c>
      <c r="X167" t="s">
        <v>8859</v>
      </c>
      <c r="AD167" t="s">
        <v>1979</v>
      </c>
      <c r="AE167" t="s">
        <v>1979</v>
      </c>
      <c r="AH167">
        <v>0</v>
      </c>
      <c r="AI167" t="s">
        <v>1979</v>
      </c>
      <c r="AJ167" t="s">
        <v>1979</v>
      </c>
      <c r="AK167" t="s">
        <v>1979</v>
      </c>
      <c r="AL167" t="s">
        <v>1979</v>
      </c>
      <c r="AM167" t="s">
        <v>1979</v>
      </c>
      <c r="AS167" t="s">
        <v>8858</v>
      </c>
      <c r="AT167" t="s">
        <v>8858</v>
      </c>
      <c r="AU167" t="s">
        <v>8858</v>
      </c>
      <c r="AV167" t="s">
        <v>8858</v>
      </c>
      <c r="AW167" t="s">
        <v>8858</v>
      </c>
      <c r="BH167">
        <v>3</v>
      </c>
      <c r="BN167">
        <v>1</v>
      </c>
      <c r="BO167" t="s">
        <v>8092</v>
      </c>
      <c r="BP167" t="s">
        <v>8982</v>
      </c>
      <c r="BQ167" s="593" t="s">
        <v>8989</v>
      </c>
      <c r="BR167" t="s">
        <v>1979</v>
      </c>
      <c r="BS167" t="s">
        <v>8093</v>
      </c>
      <c r="BT167">
        <v>0</v>
      </c>
      <c r="BU167" t="s">
        <v>8093</v>
      </c>
      <c r="BV167">
        <v>0</v>
      </c>
      <c r="BW167" t="s">
        <v>8989</v>
      </c>
      <c r="BX167" t="s">
        <v>1979</v>
      </c>
      <c r="BY167">
        <v>0</v>
      </c>
      <c r="BZ167">
        <v>0</v>
      </c>
      <c r="CA167">
        <v>0</v>
      </c>
      <c r="CB167">
        <v>0</v>
      </c>
      <c r="CD167" t="s">
        <v>9136</v>
      </c>
    </row>
    <row r="168" spans="1:82">
      <c r="A168" t="s">
        <v>9104</v>
      </c>
      <c r="B168" t="s">
        <v>9137</v>
      </c>
      <c r="C168" t="s">
        <v>7995</v>
      </c>
      <c r="D168" t="s">
        <v>1383</v>
      </c>
      <c r="E168" t="s">
        <v>8083</v>
      </c>
      <c r="F168" t="s">
        <v>9138</v>
      </c>
      <c r="G168" t="s">
        <v>7872</v>
      </c>
      <c r="H168" t="s">
        <v>9139</v>
      </c>
      <c r="I168" t="s">
        <v>9140</v>
      </c>
      <c r="J168" t="s">
        <v>8119</v>
      </c>
      <c r="N168" t="s">
        <v>8214</v>
      </c>
      <c r="O168" t="s">
        <v>11</v>
      </c>
      <c r="P168" t="s">
        <v>9141</v>
      </c>
      <c r="Q168">
        <v>0</v>
      </c>
      <c r="R168" t="s">
        <v>8091</v>
      </c>
      <c r="S168">
        <v>1</v>
      </c>
      <c r="T168">
        <v>1</v>
      </c>
      <c r="U168">
        <v>1</v>
      </c>
      <c r="V168">
        <v>1</v>
      </c>
      <c r="W168">
        <v>1</v>
      </c>
      <c r="X168">
        <v>1</v>
      </c>
      <c r="AH168">
        <v>0</v>
      </c>
      <c r="BP168">
        <v>0</v>
      </c>
      <c r="BQ168" s="594">
        <v>0</v>
      </c>
      <c r="BR168" t="s">
        <v>1979</v>
      </c>
      <c r="BS168" t="s">
        <v>8093</v>
      </c>
      <c r="BT168">
        <v>0</v>
      </c>
      <c r="BU168" t="s">
        <v>8093</v>
      </c>
      <c r="BV168">
        <v>0</v>
      </c>
      <c r="BW168">
        <v>0</v>
      </c>
      <c r="BX168" t="s">
        <v>1979</v>
      </c>
      <c r="BY168">
        <v>0</v>
      </c>
      <c r="BZ168">
        <v>0</v>
      </c>
      <c r="CA168">
        <v>0</v>
      </c>
      <c r="CB168">
        <v>0</v>
      </c>
      <c r="CD168" t="s">
        <v>9142</v>
      </c>
    </row>
    <row r="169" spans="1:82">
      <c r="A169" t="s">
        <v>9104</v>
      </c>
      <c r="B169" t="s">
        <v>9143</v>
      </c>
      <c r="C169" t="s">
        <v>7995</v>
      </c>
      <c r="D169" t="s">
        <v>1383</v>
      </c>
      <c r="E169" t="s">
        <v>8083</v>
      </c>
      <c r="F169" t="s">
        <v>9138</v>
      </c>
      <c r="G169" t="s">
        <v>7875</v>
      </c>
      <c r="H169" t="s">
        <v>9144</v>
      </c>
      <c r="I169" t="s">
        <v>9145</v>
      </c>
      <c r="J169" t="s">
        <v>8088</v>
      </c>
      <c r="K169" t="s">
        <v>8089</v>
      </c>
      <c r="N169" t="s">
        <v>4821</v>
      </c>
      <c r="O169" t="s">
        <v>10</v>
      </c>
      <c r="P169" t="s">
        <v>9146</v>
      </c>
      <c r="Q169">
        <v>0</v>
      </c>
      <c r="R169" t="s">
        <v>8129</v>
      </c>
      <c r="S169">
        <v>36</v>
      </c>
      <c r="T169">
        <v>36</v>
      </c>
      <c r="U169">
        <v>36</v>
      </c>
      <c r="V169">
        <v>36</v>
      </c>
      <c r="W169">
        <v>56</v>
      </c>
      <c r="X169">
        <v>56</v>
      </c>
      <c r="AE169" t="s">
        <v>1979</v>
      </c>
      <c r="AH169">
        <v>0</v>
      </c>
      <c r="AL169" t="s">
        <v>1979</v>
      </c>
      <c r="AM169" t="s">
        <v>1979</v>
      </c>
      <c r="AQ169">
        <v>51</v>
      </c>
      <c r="AR169">
        <v>51</v>
      </c>
      <c r="AV169">
        <v>56</v>
      </c>
      <c r="AW169">
        <v>56</v>
      </c>
      <c r="BA169">
        <v>56</v>
      </c>
      <c r="BB169">
        <v>56</v>
      </c>
      <c r="BF169">
        <v>66</v>
      </c>
      <c r="BG169">
        <v>66</v>
      </c>
      <c r="BH169">
        <v>1.485E-2</v>
      </c>
      <c r="BL169">
        <v>5.1999999999999998E-3</v>
      </c>
      <c r="BN169">
        <v>1</v>
      </c>
      <c r="BO169" t="s">
        <v>8092</v>
      </c>
      <c r="BP169">
        <v>36</v>
      </c>
      <c r="BQ169" s="594">
        <v>36</v>
      </c>
      <c r="BR169" t="s">
        <v>1979</v>
      </c>
      <c r="BS169" t="s">
        <v>8093</v>
      </c>
      <c r="BT169">
        <v>0</v>
      </c>
      <c r="BU169" t="s">
        <v>8093</v>
      </c>
      <c r="BV169">
        <v>0</v>
      </c>
      <c r="BW169">
        <v>36</v>
      </c>
      <c r="BX169" t="s">
        <v>1979</v>
      </c>
      <c r="BY169">
        <v>0</v>
      </c>
      <c r="BZ169">
        <v>0</v>
      </c>
      <c r="CA169">
        <v>0</v>
      </c>
      <c r="CB169">
        <v>0</v>
      </c>
      <c r="CD169" t="s">
        <v>9147</v>
      </c>
    </row>
    <row r="170" spans="1:82">
      <c r="A170" t="s">
        <v>9104</v>
      </c>
      <c r="B170" t="s">
        <v>9148</v>
      </c>
      <c r="C170" t="s">
        <v>7995</v>
      </c>
      <c r="D170" t="s">
        <v>1383</v>
      </c>
      <c r="E170" t="s">
        <v>8083</v>
      </c>
      <c r="F170" t="s">
        <v>9149</v>
      </c>
      <c r="G170" t="s">
        <v>7895</v>
      </c>
      <c r="H170" t="s">
        <v>9150</v>
      </c>
      <c r="I170" t="s">
        <v>9151</v>
      </c>
      <c r="J170" t="s">
        <v>8088</v>
      </c>
      <c r="K170" t="s">
        <v>8089</v>
      </c>
      <c r="N170" t="s">
        <v>2534</v>
      </c>
      <c r="O170" t="s">
        <v>11</v>
      </c>
      <c r="P170" t="s">
        <v>8090</v>
      </c>
      <c r="Q170">
        <v>2</v>
      </c>
      <c r="R170" t="s">
        <v>8091</v>
      </c>
      <c r="S170">
        <v>24.5</v>
      </c>
      <c r="T170">
        <v>24.4</v>
      </c>
      <c r="U170">
        <v>24.3</v>
      </c>
      <c r="V170">
        <v>24.2</v>
      </c>
      <c r="W170">
        <v>24.1</v>
      </c>
      <c r="X170">
        <v>24</v>
      </c>
      <c r="AE170" t="s">
        <v>1979</v>
      </c>
      <c r="AH170">
        <v>0</v>
      </c>
      <c r="AI170" t="s">
        <v>1979</v>
      </c>
      <c r="AJ170" t="s">
        <v>1979</v>
      </c>
      <c r="AK170" t="s">
        <v>1979</v>
      </c>
      <c r="AL170" t="s">
        <v>1979</v>
      </c>
      <c r="AM170" t="s">
        <v>1979</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8092</v>
      </c>
      <c r="BP170">
        <v>24.2</v>
      </c>
      <c r="BQ170" s="591">
        <v>24.17</v>
      </c>
      <c r="BR170" t="s">
        <v>1979</v>
      </c>
      <c r="BS170" t="s">
        <v>8093</v>
      </c>
      <c r="BT170">
        <v>0</v>
      </c>
      <c r="BU170" t="s">
        <v>1992</v>
      </c>
      <c r="BV170">
        <v>0</v>
      </c>
      <c r="BW170">
        <v>24.34</v>
      </c>
      <c r="BX170" t="s">
        <v>1980</v>
      </c>
      <c r="BY170">
        <v>0</v>
      </c>
      <c r="BZ170">
        <v>0</v>
      </c>
      <c r="CA170" t="s">
        <v>1985</v>
      </c>
      <c r="CB170">
        <v>0</v>
      </c>
      <c r="CD170" t="s">
        <v>9152</v>
      </c>
    </row>
    <row r="171" spans="1:82">
      <c r="A171" t="s">
        <v>9104</v>
      </c>
      <c r="B171" t="s">
        <v>9153</v>
      </c>
      <c r="C171" t="s">
        <v>7995</v>
      </c>
      <c r="D171" t="s">
        <v>1383</v>
      </c>
      <c r="E171" t="s">
        <v>8083</v>
      </c>
      <c r="F171" t="s">
        <v>9149</v>
      </c>
      <c r="G171" t="s">
        <v>7898</v>
      </c>
      <c r="H171" t="s">
        <v>9154</v>
      </c>
      <c r="I171" t="s">
        <v>9155</v>
      </c>
      <c r="J171" t="s">
        <v>8099</v>
      </c>
      <c r="K171" t="s">
        <v>8089</v>
      </c>
      <c r="N171" t="s">
        <v>8100</v>
      </c>
      <c r="O171" t="s">
        <v>11</v>
      </c>
      <c r="P171" t="s">
        <v>8510</v>
      </c>
      <c r="Q171">
        <v>1</v>
      </c>
      <c r="R171" t="s">
        <v>8091</v>
      </c>
      <c r="S171">
        <v>162.80000000000001</v>
      </c>
      <c r="T171">
        <v>161.19999999999999</v>
      </c>
      <c r="U171">
        <v>160</v>
      </c>
      <c r="V171">
        <v>158.80000000000001</v>
      </c>
      <c r="W171">
        <v>157.69999999999999</v>
      </c>
      <c r="X171">
        <v>156.9</v>
      </c>
      <c r="AH171">
        <v>0</v>
      </c>
      <c r="AI171" t="s">
        <v>1979</v>
      </c>
      <c r="AJ171" t="s">
        <v>1979</v>
      </c>
      <c r="AK171" t="s">
        <v>1979</v>
      </c>
      <c r="AL171" t="s">
        <v>1979</v>
      </c>
      <c r="AM171" t="s">
        <v>1979</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8092</v>
      </c>
      <c r="BP171">
        <v>161.1</v>
      </c>
      <c r="BQ171" s="591">
        <v>160.9</v>
      </c>
      <c r="BR171" t="s">
        <v>1979</v>
      </c>
      <c r="BS171" t="s">
        <v>8093</v>
      </c>
      <c r="BT171">
        <v>0</v>
      </c>
      <c r="BU171" t="s">
        <v>8093</v>
      </c>
      <c r="BV171">
        <v>0</v>
      </c>
      <c r="BW171">
        <v>159.72999999999999</v>
      </c>
      <c r="BX171" t="s">
        <v>1979</v>
      </c>
      <c r="BY171">
        <v>0</v>
      </c>
      <c r="BZ171">
        <v>0</v>
      </c>
      <c r="CA171">
        <v>0</v>
      </c>
      <c r="CB171">
        <v>0</v>
      </c>
      <c r="CD171" t="s">
        <v>9156</v>
      </c>
    </row>
    <row r="172" spans="1:82">
      <c r="A172" t="s">
        <v>9104</v>
      </c>
      <c r="B172" t="s">
        <v>9157</v>
      </c>
      <c r="C172" t="s">
        <v>7995</v>
      </c>
      <c r="D172" t="s">
        <v>1383</v>
      </c>
      <c r="E172" t="s">
        <v>8083</v>
      </c>
      <c r="F172" t="s">
        <v>9149</v>
      </c>
      <c r="G172" t="s">
        <v>7901</v>
      </c>
      <c r="H172" t="s">
        <v>9158</v>
      </c>
      <c r="I172" t="s">
        <v>9159</v>
      </c>
      <c r="J172" t="s">
        <v>8119</v>
      </c>
      <c r="N172" t="s">
        <v>9160</v>
      </c>
      <c r="O172" t="s">
        <v>11</v>
      </c>
      <c r="P172" t="s">
        <v>9161</v>
      </c>
      <c r="Q172">
        <v>0</v>
      </c>
      <c r="R172" t="s">
        <v>8129</v>
      </c>
      <c r="S172">
        <v>6221</v>
      </c>
      <c r="T172">
        <v>8000</v>
      </c>
      <c r="U172">
        <v>8500</v>
      </c>
      <c r="V172">
        <v>9000</v>
      </c>
      <c r="W172">
        <v>9500</v>
      </c>
      <c r="X172" t="s">
        <v>9162</v>
      </c>
      <c r="AH172">
        <v>0</v>
      </c>
      <c r="BP172">
        <v>7249</v>
      </c>
      <c r="BQ172" s="594">
        <v>13314</v>
      </c>
      <c r="BR172" t="s">
        <v>1979</v>
      </c>
      <c r="BS172" t="s">
        <v>8093</v>
      </c>
      <c r="BT172">
        <v>0</v>
      </c>
      <c r="BU172" t="s">
        <v>8093</v>
      </c>
      <c r="BV172">
        <v>0</v>
      </c>
      <c r="BW172">
        <v>10703</v>
      </c>
      <c r="BX172" t="s">
        <v>1979</v>
      </c>
      <c r="BY172">
        <v>0</v>
      </c>
      <c r="BZ172">
        <v>0</v>
      </c>
      <c r="CA172">
        <v>0</v>
      </c>
      <c r="CB172">
        <v>0</v>
      </c>
      <c r="CD172" t="s">
        <v>9163</v>
      </c>
    </row>
    <row r="173" spans="1:82">
      <c r="A173" t="s">
        <v>9104</v>
      </c>
      <c r="B173" t="s">
        <v>9164</v>
      </c>
      <c r="C173" t="s">
        <v>7995</v>
      </c>
      <c r="D173" t="s">
        <v>1383</v>
      </c>
      <c r="E173" t="s">
        <v>8083</v>
      </c>
      <c r="F173" t="s">
        <v>9149</v>
      </c>
      <c r="G173" t="s">
        <v>7904</v>
      </c>
      <c r="H173" t="s">
        <v>9165</v>
      </c>
      <c r="I173" t="s">
        <v>9166</v>
      </c>
      <c r="J173" t="s">
        <v>8119</v>
      </c>
      <c r="N173" t="s">
        <v>8260</v>
      </c>
      <c r="O173" t="s">
        <v>11</v>
      </c>
      <c r="P173" t="s">
        <v>9167</v>
      </c>
      <c r="Q173">
        <v>0</v>
      </c>
      <c r="R173" t="s">
        <v>8091</v>
      </c>
      <c r="S173">
        <v>529</v>
      </c>
      <c r="T173">
        <v>525</v>
      </c>
      <c r="U173">
        <v>525</v>
      </c>
      <c r="V173">
        <v>525</v>
      </c>
      <c r="W173">
        <v>525</v>
      </c>
      <c r="X173">
        <v>525</v>
      </c>
      <c r="AH173">
        <v>0</v>
      </c>
      <c r="BP173">
        <v>509</v>
      </c>
      <c r="BQ173" s="594">
        <v>470</v>
      </c>
      <c r="BR173" t="s">
        <v>1979</v>
      </c>
      <c r="BS173" t="s">
        <v>8093</v>
      </c>
      <c r="BT173">
        <v>0</v>
      </c>
      <c r="BU173" t="s">
        <v>8093</v>
      </c>
      <c r="BV173">
        <v>0</v>
      </c>
      <c r="BW173">
        <v>420</v>
      </c>
      <c r="BX173" t="s">
        <v>1979</v>
      </c>
      <c r="BY173">
        <v>0</v>
      </c>
      <c r="BZ173">
        <v>0</v>
      </c>
      <c r="CA173">
        <v>0</v>
      </c>
      <c r="CB173">
        <v>0</v>
      </c>
      <c r="CD173" t="s">
        <v>9168</v>
      </c>
    </row>
    <row r="174" spans="1:82">
      <c r="A174" t="s">
        <v>9104</v>
      </c>
      <c r="B174" t="s">
        <v>9169</v>
      </c>
      <c r="C174" t="s">
        <v>7995</v>
      </c>
      <c r="D174" t="s">
        <v>1383</v>
      </c>
      <c r="E174" t="s">
        <v>8083</v>
      </c>
      <c r="F174" t="s">
        <v>9149</v>
      </c>
      <c r="G174" t="s">
        <v>7907</v>
      </c>
      <c r="H174" t="s">
        <v>9170</v>
      </c>
      <c r="I174" t="s">
        <v>9171</v>
      </c>
      <c r="J174" t="s">
        <v>8119</v>
      </c>
      <c r="N174" t="s">
        <v>8337</v>
      </c>
      <c r="O174" t="s">
        <v>11</v>
      </c>
      <c r="P174" t="s">
        <v>9172</v>
      </c>
      <c r="Q174">
        <v>1</v>
      </c>
      <c r="R174" t="s">
        <v>8091</v>
      </c>
      <c r="S174">
        <v>0.3</v>
      </c>
      <c r="T174">
        <v>0</v>
      </c>
      <c r="U174">
        <v>0</v>
      </c>
      <c r="V174">
        <v>0</v>
      </c>
      <c r="W174">
        <v>0</v>
      </c>
      <c r="X174">
        <v>0</v>
      </c>
      <c r="AE174" t="s">
        <v>1979</v>
      </c>
      <c r="AH174">
        <v>0</v>
      </c>
      <c r="BP174">
        <v>0.3</v>
      </c>
      <c r="BQ174" s="591">
        <v>0.6</v>
      </c>
      <c r="BR174" t="s">
        <v>1980</v>
      </c>
      <c r="BS174" t="s">
        <v>8093</v>
      </c>
      <c r="BT174">
        <v>0</v>
      </c>
      <c r="BU174" t="s">
        <v>8093</v>
      </c>
      <c r="BV174">
        <v>0</v>
      </c>
      <c r="BW174">
        <v>0.3</v>
      </c>
      <c r="BX174" t="s">
        <v>1980</v>
      </c>
      <c r="BY174">
        <v>0</v>
      </c>
      <c r="BZ174">
        <v>0</v>
      </c>
      <c r="CA174">
        <v>0</v>
      </c>
      <c r="CB174">
        <v>0</v>
      </c>
      <c r="CD174" t="s">
        <v>9173</v>
      </c>
    </row>
    <row r="175" spans="1:82">
      <c r="A175" t="s">
        <v>9104</v>
      </c>
      <c r="B175" t="s">
        <v>9174</v>
      </c>
      <c r="C175" t="s">
        <v>7995</v>
      </c>
      <c r="D175" t="s">
        <v>1383</v>
      </c>
      <c r="E175" t="s">
        <v>8083</v>
      </c>
      <c r="F175" t="s">
        <v>9149</v>
      </c>
      <c r="G175" t="s">
        <v>9175</v>
      </c>
      <c r="H175" t="s">
        <v>9176</v>
      </c>
      <c r="I175" t="s">
        <v>9177</v>
      </c>
      <c r="J175" t="s">
        <v>8119</v>
      </c>
      <c r="N175" t="s">
        <v>8252</v>
      </c>
      <c r="O175" t="s">
        <v>11</v>
      </c>
      <c r="P175" t="s">
        <v>9178</v>
      </c>
      <c r="Q175">
        <v>0</v>
      </c>
      <c r="R175" t="s">
        <v>8129</v>
      </c>
      <c r="S175">
        <v>0</v>
      </c>
      <c r="T175">
        <v>0</v>
      </c>
      <c r="U175">
        <v>0</v>
      </c>
      <c r="V175">
        <v>0</v>
      </c>
      <c r="W175">
        <v>0</v>
      </c>
      <c r="X175">
        <v>14</v>
      </c>
      <c r="AF175" t="s">
        <v>1979</v>
      </c>
      <c r="AH175">
        <v>0</v>
      </c>
      <c r="BP175">
        <v>0</v>
      </c>
      <c r="BQ175" s="594">
        <v>0</v>
      </c>
      <c r="BR175" t="s">
        <v>1979</v>
      </c>
      <c r="BS175" t="s">
        <v>8093</v>
      </c>
      <c r="BT175">
        <v>0</v>
      </c>
      <c r="BU175" t="s">
        <v>8093</v>
      </c>
      <c r="BV175">
        <v>0</v>
      </c>
      <c r="BW175">
        <v>0</v>
      </c>
      <c r="BX175" t="s">
        <v>1979</v>
      </c>
      <c r="BY175">
        <v>0</v>
      </c>
      <c r="BZ175">
        <v>0</v>
      </c>
      <c r="CA175">
        <v>0</v>
      </c>
      <c r="CB175">
        <v>0</v>
      </c>
      <c r="CD175" t="s">
        <v>9179</v>
      </c>
    </row>
    <row r="176" spans="1:82">
      <c r="A176" t="s">
        <v>9104</v>
      </c>
      <c r="B176" t="s">
        <v>9180</v>
      </c>
      <c r="C176" t="s">
        <v>7995</v>
      </c>
      <c r="D176" t="s">
        <v>8163</v>
      </c>
      <c r="E176" t="s">
        <v>8164</v>
      </c>
      <c r="F176" t="s">
        <v>9181</v>
      </c>
      <c r="G176" t="s">
        <v>6968</v>
      </c>
      <c r="H176" t="s">
        <v>9182</v>
      </c>
      <c r="I176" t="s">
        <v>9183</v>
      </c>
      <c r="J176" t="s">
        <v>8119</v>
      </c>
      <c r="N176" t="s">
        <v>8178</v>
      </c>
      <c r="O176" t="s">
        <v>11</v>
      </c>
      <c r="P176" t="s">
        <v>9184</v>
      </c>
      <c r="Q176">
        <v>0</v>
      </c>
      <c r="R176" t="s">
        <v>8129</v>
      </c>
      <c r="S176">
        <v>2000</v>
      </c>
      <c r="T176">
        <v>5000</v>
      </c>
      <c r="U176">
        <v>5000</v>
      </c>
      <c r="V176">
        <v>5000</v>
      </c>
      <c r="W176">
        <v>5000</v>
      </c>
      <c r="X176">
        <v>5000</v>
      </c>
      <c r="AH176">
        <v>0</v>
      </c>
      <c r="BP176">
        <v>2851</v>
      </c>
      <c r="BQ176" s="594">
        <v>5686</v>
      </c>
      <c r="BR176" t="s">
        <v>1979</v>
      </c>
      <c r="BS176" t="s">
        <v>8093</v>
      </c>
      <c r="BT176">
        <v>0</v>
      </c>
      <c r="BU176" t="s">
        <v>8093</v>
      </c>
      <c r="BV176">
        <v>0</v>
      </c>
      <c r="BW176">
        <v>5809</v>
      </c>
      <c r="BX176" t="s">
        <v>1979</v>
      </c>
      <c r="BY176">
        <v>0</v>
      </c>
      <c r="BZ176">
        <v>0</v>
      </c>
      <c r="CA176">
        <v>0</v>
      </c>
      <c r="CB176">
        <v>0</v>
      </c>
      <c r="CD176" t="s">
        <v>9185</v>
      </c>
    </row>
    <row r="177" spans="1:82">
      <c r="A177" t="s">
        <v>9104</v>
      </c>
      <c r="B177" t="s">
        <v>9186</v>
      </c>
      <c r="C177" t="s">
        <v>7995</v>
      </c>
      <c r="D177" t="s">
        <v>8163</v>
      </c>
      <c r="E177" t="s">
        <v>8164</v>
      </c>
      <c r="F177" t="s">
        <v>9181</v>
      </c>
      <c r="G177" t="s">
        <v>6969</v>
      </c>
      <c r="H177" t="s">
        <v>9187</v>
      </c>
      <c r="I177" t="s">
        <v>9188</v>
      </c>
      <c r="J177" t="s">
        <v>8119</v>
      </c>
      <c r="N177" t="s">
        <v>8178</v>
      </c>
      <c r="O177" t="s">
        <v>10</v>
      </c>
      <c r="P177" t="s">
        <v>9189</v>
      </c>
      <c r="Q177">
        <v>2</v>
      </c>
      <c r="R177" t="s">
        <v>8091</v>
      </c>
      <c r="S177">
        <v>0.83</v>
      </c>
      <c r="T177" t="s">
        <v>9190</v>
      </c>
      <c r="U177" t="s">
        <v>9190</v>
      </c>
      <c r="V177" t="s">
        <v>9190</v>
      </c>
      <c r="W177" t="s">
        <v>9190</v>
      </c>
      <c r="X177" t="s">
        <v>9190</v>
      </c>
      <c r="AH177">
        <v>0</v>
      </c>
      <c r="BP177">
        <v>0.9</v>
      </c>
      <c r="BQ177" s="595">
        <v>0.75</v>
      </c>
      <c r="BR177" t="s">
        <v>1979</v>
      </c>
      <c r="BS177" t="s">
        <v>8093</v>
      </c>
      <c r="BT177">
        <v>0</v>
      </c>
      <c r="BU177" t="s">
        <v>8093</v>
      </c>
      <c r="BV177">
        <v>0</v>
      </c>
      <c r="BW177">
        <v>0.67</v>
      </c>
      <c r="BX177" t="s">
        <v>1979</v>
      </c>
      <c r="BY177">
        <v>0</v>
      </c>
      <c r="BZ177">
        <v>0</v>
      </c>
      <c r="CA177">
        <v>0</v>
      </c>
      <c r="CB177">
        <v>0</v>
      </c>
      <c r="CD177" t="s">
        <v>9191</v>
      </c>
    </row>
    <row r="178" spans="1:82">
      <c r="A178" t="s">
        <v>9104</v>
      </c>
      <c r="B178" t="s">
        <v>9192</v>
      </c>
      <c r="C178" t="s">
        <v>7995</v>
      </c>
      <c r="D178" t="s">
        <v>8163</v>
      </c>
      <c r="E178" t="s">
        <v>8164</v>
      </c>
      <c r="F178" t="s">
        <v>9181</v>
      </c>
      <c r="G178" t="s">
        <v>7868</v>
      </c>
      <c r="H178" t="s">
        <v>9193</v>
      </c>
      <c r="I178" t="s">
        <v>9194</v>
      </c>
      <c r="J178" t="s">
        <v>8119</v>
      </c>
      <c r="N178" t="s">
        <v>8178</v>
      </c>
      <c r="O178" t="s">
        <v>10</v>
      </c>
      <c r="P178" t="s">
        <v>8275</v>
      </c>
      <c r="Q178">
        <v>0</v>
      </c>
      <c r="R178" t="s">
        <v>8091</v>
      </c>
      <c r="S178">
        <v>17</v>
      </c>
      <c r="T178" t="s">
        <v>9195</v>
      </c>
      <c r="U178" t="s">
        <v>9195</v>
      </c>
      <c r="V178" t="s">
        <v>9195</v>
      </c>
      <c r="W178" t="s">
        <v>9195</v>
      </c>
      <c r="X178" t="s">
        <v>9195</v>
      </c>
      <c r="AH178">
        <v>0</v>
      </c>
      <c r="BP178">
        <v>9</v>
      </c>
      <c r="BQ178" s="594">
        <v>9</v>
      </c>
      <c r="BR178" t="s">
        <v>1979</v>
      </c>
      <c r="BS178" t="s">
        <v>8093</v>
      </c>
      <c r="BT178">
        <v>0</v>
      </c>
      <c r="BU178" t="s">
        <v>8093</v>
      </c>
      <c r="BV178">
        <v>0</v>
      </c>
      <c r="BW178">
        <v>6.3</v>
      </c>
      <c r="BX178" t="s">
        <v>1979</v>
      </c>
      <c r="BY178">
        <v>0</v>
      </c>
      <c r="BZ178">
        <v>0</v>
      </c>
      <c r="CA178">
        <v>0</v>
      </c>
      <c r="CB178">
        <v>0</v>
      </c>
      <c r="CD178" t="s">
        <v>9196</v>
      </c>
    </row>
    <row r="179" spans="1:82">
      <c r="A179" t="s">
        <v>9104</v>
      </c>
      <c r="B179" t="s">
        <v>9197</v>
      </c>
      <c r="C179" t="s">
        <v>7995</v>
      </c>
      <c r="D179" t="s">
        <v>8163</v>
      </c>
      <c r="E179" t="s">
        <v>8164</v>
      </c>
      <c r="F179" t="s">
        <v>9198</v>
      </c>
      <c r="G179" t="s">
        <v>7879</v>
      </c>
      <c r="H179" t="s">
        <v>9199</v>
      </c>
      <c r="I179" t="s">
        <v>9200</v>
      </c>
      <c r="J179" t="s">
        <v>8119</v>
      </c>
      <c r="N179" t="s">
        <v>8274</v>
      </c>
      <c r="O179" t="s">
        <v>10</v>
      </c>
      <c r="P179" t="s">
        <v>8275</v>
      </c>
      <c r="Q179">
        <v>1</v>
      </c>
      <c r="R179" t="s">
        <v>8129</v>
      </c>
      <c r="S179">
        <v>88</v>
      </c>
      <c r="T179">
        <v>89</v>
      </c>
      <c r="U179">
        <v>89.5</v>
      </c>
      <c r="V179">
        <v>90</v>
      </c>
      <c r="W179">
        <v>90</v>
      </c>
      <c r="X179">
        <v>91</v>
      </c>
      <c r="AH179">
        <v>0</v>
      </c>
      <c r="BP179">
        <v>89</v>
      </c>
      <c r="BQ179" s="591">
        <v>91.5</v>
      </c>
      <c r="BR179" t="s">
        <v>1979</v>
      </c>
      <c r="BS179" t="s">
        <v>8093</v>
      </c>
      <c r="BT179">
        <v>0</v>
      </c>
      <c r="BU179" t="s">
        <v>8093</v>
      </c>
      <c r="BV179">
        <v>0</v>
      </c>
      <c r="BW179">
        <v>92.3</v>
      </c>
      <c r="BX179" t="s">
        <v>1979</v>
      </c>
      <c r="BY179">
        <v>0</v>
      </c>
      <c r="BZ179">
        <v>0</v>
      </c>
      <c r="CA179">
        <v>0</v>
      </c>
      <c r="CB179">
        <v>0</v>
      </c>
      <c r="CD179" t="s">
        <v>9201</v>
      </c>
    </row>
    <row r="180" spans="1:82">
      <c r="A180" t="s">
        <v>9104</v>
      </c>
      <c r="B180" t="s">
        <v>9202</v>
      </c>
      <c r="C180" t="s">
        <v>7995</v>
      </c>
      <c r="D180" t="s">
        <v>8163</v>
      </c>
      <c r="E180" t="s">
        <v>8164</v>
      </c>
      <c r="F180" t="s">
        <v>9198</v>
      </c>
      <c r="G180" t="s">
        <v>7882</v>
      </c>
      <c r="H180" t="s">
        <v>9203</v>
      </c>
      <c r="I180" t="s">
        <v>9204</v>
      </c>
      <c r="J180" t="s">
        <v>8088</v>
      </c>
      <c r="K180" t="s">
        <v>8089</v>
      </c>
      <c r="M180" t="s">
        <v>1980</v>
      </c>
      <c r="N180" t="s">
        <v>8169</v>
      </c>
      <c r="O180" t="s">
        <v>8170</v>
      </c>
      <c r="P180" t="s">
        <v>8171</v>
      </c>
      <c r="Q180">
        <v>1</v>
      </c>
      <c r="R180" t="s">
        <v>8129</v>
      </c>
      <c r="S180">
        <v>85</v>
      </c>
      <c r="T180">
        <v>85.6</v>
      </c>
      <c r="U180">
        <v>86.2</v>
      </c>
      <c r="V180">
        <v>86.8</v>
      </c>
      <c r="W180">
        <v>87.4</v>
      </c>
      <c r="X180">
        <v>88</v>
      </c>
      <c r="AH180">
        <v>0</v>
      </c>
      <c r="AI180" t="s">
        <v>1979</v>
      </c>
      <c r="AJ180" t="s">
        <v>1979</v>
      </c>
      <c r="AK180" t="s">
        <v>1979</v>
      </c>
      <c r="AL180" t="s">
        <v>1979</v>
      </c>
      <c r="AM180" t="s">
        <v>1979</v>
      </c>
      <c r="AN180" t="s">
        <v>8172</v>
      </c>
      <c r="AO180" t="s">
        <v>8172</v>
      </c>
      <c r="AP180" t="s">
        <v>8172</v>
      </c>
      <c r="AQ180" t="s">
        <v>8172</v>
      </c>
      <c r="AR180" t="s">
        <v>8172</v>
      </c>
      <c r="AS180" t="s">
        <v>8172</v>
      </c>
      <c r="AT180" t="s">
        <v>8172</v>
      </c>
      <c r="AU180" t="s">
        <v>8172</v>
      </c>
      <c r="AV180" t="s">
        <v>8172</v>
      </c>
      <c r="AW180" t="s">
        <v>8172</v>
      </c>
      <c r="AX180" t="s">
        <v>8172</v>
      </c>
      <c r="AY180" t="s">
        <v>8172</v>
      </c>
      <c r="AZ180" t="s">
        <v>8172</v>
      </c>
      <c r="BA180" t="s">
        <v>8172</v>
      </c>
      <c r="BB180" t="s">
        <v>8172</v>
      </c>
      <c r="BC180" t="s">
        <v>8172</v>
      </c>
      <c r="BD180" t="s">
        <v>8172</v>
      </c>
      <c r="BE180" t="s">
        <v>8172</v>
      </c>
      <c r="BF180" t="s">
        <v>8172</v>
      </c>
      <c r="BG180" t="s">
        <v>8172</v>
      </c>
      <c r="BH180" t="s">
        <v>8172</v>
      </c>
      <c r="BL180" t="s">
        <v>8172</v>
      </c>
      <c r="BN180">
        <v>1</v>
      </c>
      <c r="BO180" t="s">
        <v>8092</v>
      </c>
      <c r="BP180">
        <v>80.7</v>
      </c>
      <c r="BQ180" s="591">
        <v>80.8</v>
      </c>
      <c r="BR180" t="s">
        <v>1980</v>
      </c>
      <c r="BS180" t="s">
        <v>8093</v>
      </c>
      <c r="BT180">
        <v>0</v>
      </c>
      <c r="BU180" t="s">
        <v>8093</v>
      </c>
      <c r="BV180">
        <v>0</v>
      </c>
      <c r="BW180">
        <v>79.599999999999994</v>
      </c>
      <c r="BX180" t="s">
        <v>1980</v>
      </c>
      <c r="BY180">
        <v>0</v>
      </c>
      <c r="BZ180">
        <v>0</v>
      </c>
      <c r="CA180">
        <v>0</v>
      </c>
      <c r="CB180">
        <v>0</v>
      </c>
      <c r="CD180" t="s">
        <v>9205</v>
      </c>
    </row>
    <row r="181" spans="1:82">
      <c r="A181" t="s">
        <v>9104</v>
      </c>
      <c r="B181" t="s">
        <v>9206</v>
      </c>
      <c r="C181" t="s">
        <v>7995</v>
      </c>
      <c r="D181" t="s">
        <v>8163</v>
      </c>
      <c r="E181" t="s">
        <v>8164</v>
      </c>
      <c r="F181" t="s">
        <v>9198</v>
      </c>
      <c r="G181" t="s">
        <v>7885</v>
      </c>
      <c r="H181" t="s">
        <v>9207</v>
      </c>
      <c r="I181" t="s">
        <v>9208</v>
      </c>
      <c r="J181" t="s">
        <v>8119</v>
      </c>
      <c r="N181" t="s">
        <v>8274</v>
      </c>
      <c r="O181" t="s">
        <v>11</v>
      </c>
      <c r="P181" t="s">
        <v>9209</v>
      </c>
      <c r="Q181">
        <v>1</v>
      </c>
      <c r="R181" t="s">
        <v>8091</v>
      </c>
      <c r="S181">
        <v>7.6</v>
      </c>
      <c r="T181">
        <v>7.4</v>
      </c>
      <c r="U181">
        <v>7.2</v>
      </c>
      <c r="V181">
        <v>7</v>
      </c>
      <c r="W181">
        <v>6.8</v>
      </c>
      <c r="X181">
        <v>6.6</v>
      </c>
      <c r="AH181">
        <v>0</v>
      </c>
      <c r="BP181">
        <v>8.1</v>
      </c>
      <c r="BQ181" s="591">
        <v>10</v>
      </c>
      <c r="BR181" t="s">
        <v>1980</v>
      </c>
      <c r="BS181" t="s">
        <v>8093</v>
      </c>
      <c r="BT181">
        <v>0</v>
      </c>
      <c r="BU181" t="s">
        <v>8093</v>
      </c>
      <c r="BV181">
        <v>0</v>
      </c>
      <c r="BW181">
        <v>11.3</v>
      </c>
      <c r="BX181" t="s">
        <v>1980</v>
      </c>
      <c r="BY181">
        <v>0</v>
      </c>
      <c r="BZ181">
        <v>0</v>
      </c>
      <c r="CA181">
        <v>0</v>
      </c>
      <c r="CB181">
        <v>0</v>
      </c>
      <c r="CD181" t="s">
        <v>9210</v>
      </c>
    </row>
    <row r="182" spans="1:82">
      <c r="A182" t="s">
        <v>9211</v>
      </c>
      <c r="B182" t="s">
        <v>9212</v>
      </c>
      <c r="C182" t="s">
        <v>7995</v>
      </c>
      <c r="D182" t="s">
        <v>1383</v>
      </c>
      <c r="E182" t="s">
        <v>8083</v>
      </c>
      <c r="F182" t="s">
        <v>9213</v>
      </c>
      <c r="G182" t="s">
        <v>6966</v>
      </c>
      <c r="H182" t="s">
        <v>9214</v>
      </c>
      <c r="I182" t="s">
        <v>9215</v>
      </c>
      <c r="J182" t="s">
        <v>8088</v>
      </c>
      <c r="K182" t="s">
        <v>8089</v>
      </c>
      <c r="N182" t="s">
        <v>8274</v>
      </c>
      <c r="O182" t="s">
        <v>8170</v>
      </c>
      <c r="P182" t="s">
        <v>9216</v>
      </c>
      <c r="Q182">
        <v>1</v>
      </c>
      <c r="R182" t="s">
        <v>8129</v>
      </c>
      <c r="S182">
        <v>4.5999999999999996</v>
      </c>
      <c r="T182">
        <v>4.5999999999999996</v>
      </c>
      <c r="U182">
        <v>4.5999999999999996</v>
      </c>
      <c r="V182">
        <v>4.5999999999999996</v>
      </c>
      <c r="W182">
        <v>4.5999999999999996</v>
      </c>
      <c r="X182">
        <v>4.5999999999999996</v>
      </c>
      <c r="AH182">
        <v>0</v>
      </c>
      <c r="AJ182" t="s">
        <v>1979</v>
      </c>
      <c r="AK182" t="s">
        <v>1979</v>
      </c>
      <c r="AL182" t="s">
        <v>1979</v>
      </c>
      <c r="AM182" t="s">
        <v>1979</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9217</v>
      </c>
      <c r="BP182" t="s">
        <v>8093</v>
      </c>
      <c r="BQ182" s="591">
        <v>4.4000000000000004</v>
      </c>
      <c r="BR182" t="s">
        <v>1980</v>
      </c>
      <c r="BS182" t="s">
        <v>8093</v>
      </c>
      <c r="BT182">
        <v>0</v>
      </c>
      <c r="BU182" t="s">
        <v>8093</v>
      </c>
      <c r="BV182">
        <v>0</v>
      </c>
      <c r="BW182">
        <v>4.5</v>
      </c>
      <c r="BX182" t="s">
        <v>1980</v>
      </c>
      <c r="BY182">
        <v>0</v>
      </c>
      <c r="BZ182">
        <v>0</v>
      </c>
      <c r="CA182" t="s">
        <v>1985</v>
      </c>
      <c r="CB182">
        <v>0</v>
      </c>
      <c r="CD182" t="s">
        <v>9218</v>
      </c>
    </row>
    <row r="183" spans="1:82">
      <c r="A183" t="s">
        <v>9211</v>
      </c>
      <c r="B183" t="s">
        <v>9219</v>
      </c>
      <c r="C183" t="s">
        <v>7995</v>
      </c>
      <c r="D183" t="s">
        <v>1383</v>
      </c>
      <c r="E183" t="s">
        <v>8083</v>
      </c>
      <c r="F183" t="s">
        <v>9220</v>
      </c>
      <c r="G183" t="s">
        <v>6968</v>
      </c>
      <c r="H183" t="s">
        <v>9221</v>
      </c>
      <c r="I183" t="s">
        <v>9222</v>
      </c>
      <c r="J183" t="s">
        <v>8088</v>
      </c>
      <c r="K183" t="s">
        <v>8089</v>
      </c>
      <c r="N183" t="s">
        <v>8274</v>
      </c>
      <c r="O183" t="s">
        <v>8170</v>
      </c>
      <c r="P183" t="s">
        <v>9216</v>
      </c>
      <c r="Q183">
        <v>1</v>
      </c>
      <c r="R183" t="s">
        <v>8129</v>
      </c>
      <c r="S183">
        <v>4.3</v>
      </c>
      <c r="T183">
        <v>4.3</v>
      </c>
      <c r="U183">
        <v>4.3</v>
      </c>
      <c r="V183">
        <v>4.3</v>
      </c>
      <c r="W183">
        <v>4.3</v>
      </c>
      <c r="X183">
        <v>4.3</v>
      </c>
      <c r="AH183">
        <v>0</v>
      </c>
      <c r="AJ183" t="s">
        <v>1979</v>
      </c>
      <c r="AK183" t="s">
        <v>1979</v>
      </c>
      <c r="AL183" t="s">
        <v>1979</v>
      </c>
      <c r="AM183" t="s">
        <v>1979</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9217</v>
      </c>
      <c r="BP183" t="s">
        <v>8093</v>
      </c>
      <c r="BQ183" s="591">
        <v>4.0999999999999996</v>
      </c>
      <c r="BR183" t="s">
        <v>1980</v>
      </c>
      <c r="BS183" t="s">
        <v>8093</v>
      </c>
      <c r="BT183">
        <v>0</v>
      </c>
      <c r="BU183" t="s">
        <v>8093</v>
      </c>
      <c r="BV183">
        <v>0</v>
      </c>
      <c r="BW183">
        <v>4.2</v>
      </c>
      <c r="BX183" t="s">
        <v>1980</v>
      </c>
      <c r="BY183">
        <v>0</v>
      </c>
      <c r="BZ183">
        <v>0</v>
      </c>
      <c r="CA183" t="s">
        <v>1985</v>
      </c>
      <c r="CB183">
        <v>0</v>
      </c>
      <c r="CD183" t="s">
        <v>9223</v>
      </c>
    </row>
    <row r="184" spans="1:82">
      <c r="A184" t="s">
        <v>9211</v>
      </c>
      <c r="B184" t="s">
        <v>9224</v>
      </c>
      <c r="C184" t="s">
        <v>7995</v>
      </c>
      <c r="D184" t="s">
        <v>1383</v>
      </c>
      <c r="E184" t="s">
        <v>8083</v>
      </c>
      <c r="F184" t="s">
        <v>9225</v>
      </c>
      <c r="G184" t="s">
        <v>7872</v>
      </c>
      <c r="H184" t="s">
        <v>9226</v>
      </c>
      <c r="I184" t="s">
        <v>9227</v>
      </c>
      <c r="J184" t="s">
        <v>8088</v>
      </c>
      <c r="K184" t="s">
        <v>8089</v>
      </c>
      <c r="N184" t="s">
        <v>8274</v>
      </c>
      <c r="O184" t="s">
        <v>8170</v>
      </c>
      <c r="P184" t="s">
        <v>9216</v>
      </c>
      <c r="Q184">
        <v>1</v>
      </c>
      <c r="R184" t="s">
        <v>8129</v>
      </c>
      <c r="S184">
        <v>3.6</v>
      </c>
      <c r="T184">
        <v>4</v>
      </c>
      <c r="U184">
        <v>4</v>
      </c>
      <c r="V184">
        <v>4</v>
      </c>
      <c r="W184">
        <v>4</v>
      </c>
      <c r="X184">
        <v>4</v>
      </c>
      <c r="AH184">
        <v>0</v>
      </c>
      <c r="AJ184" t="s">
        <v>1979</v>
      </c>
      <c r="AK184" t="s">
        <v>1979</v>
      </c>
      <c r="AL184" t="s">
        <v>1979</v>
      </c>
      <c r="AM184" t="s">
        <v>1979</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9217</v>
      </c>
      <c r="BP184" t="s">
        <v>8093</v>
      </c>
      <c r="BQ184" s="591">
        <v>3.4</v>
      </c>
      <c r="BR184" t="s">
        <v>1980</v>
      </c>
      <c r="BS184" t="s">
        <v>8093</v>
      </c>
      <c r="BT184">
        <v>0</v>
      </c>
      <c r="BU184" t="s">
        <v>8093</v>
      </c>
      <c r="BV184">
        <v>0</v>
      </c>
      <c r="BW184">
        <v>3.8</v>
      </c>
      <c r="BX184" t="s">
        <v>1980</v>
      </c>
      <c r="BY184">
        <v>0</v>
      </c>
      <c r="BZ184">
        <v>0</v>
      </c>
      <c r="CA184" t="s">
        <v>1983</v>
      </c>
      <c r="CB184">
        <v>-2.5899999999999996E-2</v>
      </c>
      <c r="CD184" t="s">
        <v>9228</v>
      </c>
    </row>
    <row r="185" spans="1:82">
      <c r="A185" t="s">
        <v>9211</v>
      </c>
      <c r="B185" t="s">
        <v>9229</v>
      </c>
      <c r="C185" t="s">
        <v>7995</v>
      </c>
      <c r="D185" t="s">
        <v>1383</v>
      </c>
      <c r="E185" t="s">
        <v>8083</v>
      </c>
      <c r="F185" t="s">
        <v>9225</v>
      </c>
      <c r="G185" t="s">
        <v>7875</v>
      </c>
      <c r="H185" t="s">
        <v>9230</v>
      </c>
      <c r="I185" t="s">
        <v>9231</v>
      </c>
      <c r="J185" t="s">
        <v>8088</v>
      </c>
      <c r="K185" t="s">
        <v>8089</v>
      </c>
      <c r="N185" t="s">
        <v>2534</v>
      </c>
      <c r="O185" t="s">
        <v>11</v>
      </c>
      <c r="P185" t="s">
        <v>8090</v>
      </c>
      <c r="Q185">
        <v>1</v>
      </c>
      <c r="R185" t="s">
        <v>8091</v>
      </c>
      <c r="S185">
        <v>93</v>
      </c>
      <c r="T185">
        <v>91.8</v>
      </c>
      <c r="U185">
        <v>90.9</v>
      </c>
      <c r="V185">
        <v>90</v>
      </c>
      <c r="W185">
        <v>89.1</v>
      </c>
      <c r="X185">
        <v>88.1</v>
      </c>
      <c r="AE185" t="s">
        <v>1979</v>
      </c>
      <c r="AH185">
        <v>0</v>
      </c>
      <c r="AI185" t="s">
        <v>1979</v>
      </c>
      <c r="AJ185" t="s">
        <v>1979</v>
      </c>
      <c r="AK185" t="s">
        <v>1979</v>
      </c>
      <c r="AL185" t="s">
        <v>1979</v>
      </c>
      <c r="AM185" t="s">
        <v>1979</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8092</v>
      </c>
      <c r="BP185">
        <v>92.45</v>
      </c>
      <c r="BQ185" s="591">
        <v>88.11</v>
      </c>
      <c r="BR185" t="s">
        <v>1979</v>
      </c>
      <c r="BS185" t="s">
        <v>8093</v>
      </c>
      <c r="BT185">
        <v>0</v>
      </c>
      <c r="BU185" t="s">
        <v>1988</v>
      </c>
      <c r="BV185">
        <v>0.84626632607813057</v>
      </c>
      <c r="BW185">
        <v>88.6</v>
      </c>
      <c r="BX185" t="s">
        <v>1979</v>
      </c>
      <c r="BY185">
        <v>0</v>
      </c>
      <c r="BZ185">
        <v>0</v>
      </c>
      <c r="CA185" t="s">
        <v>1988</v>
      </c>
      <c r="CB185">
        <v>0.40899999999999997</v>
      </c>
      <c r="CD185" t="s">
        <v>9232</v>
      </c>
    </row>
    <row r="186" spans="1:82">
      <c r="A186" t="s">
        <v>9211</v>
      </c>
      <c r="B186" t="s">
        <v>9233</v>
      </c>
      <c r="C186" t="s">
        <v>7995</v>
      </c>
      <c r="D186" t="s">
        <v>1383</v>
      </c>
      <c r="E186" t="s">
        <v>8083</v>
      </c>
      <c r="F186" t="s">
        <v>9234</v>
      </c>
      <c r="G186" t="s">
        <v>7879</v>
      </c>
      <c r="H186" t="s">
        <v>9235</v>
      </c>
      <c r="I186" t="s">
        <v>9236</v>
      </c>
      <c r="J186" t="s">
        <v>8088</v>
      </c>
      <c r="K186" t="s">
        <v>8089</v>
      </c>
      <c r="N186" t="s">
        <v>8274</v>
      </c>
      <c r="O186" t="s">
        <v>8170</v>
      </c>
      <c r="P186" t="s">
        <v>9216</v>
      </c>
      <c r="Q186">
        <v>1</v>
      </c>
      <c r="R186" t="s">
        <v>8129</v>
      </c>
      <c r="S186">
        <v>4.5</v>
      </c>
      <c r="T186">
        <v>4.5</v>
      </c>
      <c r="U186">
        <v>4.5</v>
      </c>
      <c r="V186">
        <v>4.5</v>
      </c>
      <c r="W186">
        <v>4.5</v>
      </c>
      <c r="X186">
        <v>4.5</v>
      </c>
      <c r="AH186">
        <v>0</v>
      </c>
      <c r="AJ186" t="s">
        <v>1979</v>
      </c>
      <c r="AK186" t="s">
        <v>1979</v>
      </c>
      <c r="AL186" t="s">
        <v>1979</v>
      </c>
      <c r="AM186" t="s">
        <v>1979</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9217</v>
      </c>
      <c r="BP186" t="s">
        <v>8093</v>
      </c>
      <c r="BQ186" s="591">
        <v>4.2</v>
      </c>
      <c r="BR186" t="s">
        <v>1980</v>
      </c>
      <c r="BS186" t="s">
        <v>8093</v>
      </c>
      <c r="BT186">
        <v>0</v>
      </c>
      <c r="BU186" t="s">
        <v>8093</v>
      </c>
      <c r="BV186">
        <v>0</v>
      </c>
      <c r="BW186">
        <v>4.3</v>
      </c>
      <c r="BX186" t="s">
        <v>1980</v>
      </c>
      <c r="BY186">
        <v>0</v>
      </c>
      <c r="BZ186">
        <v>0</v>
      </c>
      <c r="CA186" t="s">
        <v>1983</v>
      </c>
      <c r="CB186">
        <v>-1.6000000000000001E-3</v>
      </c>
      <c r="CD186" t="s">
        <v>9237</v>
      </c>
    </row>
    <row r="187" spans="1:82">
      <c r="A187" t="s">
        <v>9211</v>
      </c>
      <c r="B187" t="s">
        <v>9238</v>
      </c>
      <c r="C187" t="s">
        <v>7995</v>
      </c>
      <c r="D187" t="s">
        <v>1383</v>
      </c>
      <c r="E187" t="s">
        <v>8083</v>
      </c>
      <c r="F187" t="s">
        <v>9234</v>
      </c>
      <c r="G187" t="s">
        <v>7882</v>
      </c>
      <c r="H187" t="s">
        <v>9239</v>
      </c>
      <c r="I187" t="s">
        <v>9240</v>
      </c>
      <c r="J187" t="s">
        <v>8088</v>
      </c>
      <c r="K187" t="s">
        <v>8089</v>
      </c>
      <c r="M187" t="s">
        <v>1980</v>
      </c>
      <c r="N187" t="s">
        <v>8169</v>
      </c>
      <c r="O187" t="s">
        <v>8170</v>
      </c>
      <c r="P187" t="s">
        <v>8171</v>
      </c>
      <c r="Q187">
        <v>1</v>
      </c>
      <c r="R187" t="s">
        <v>8129</v>
      </c>
      <c r="S187">
        <v>78</v>
      </c>
      <c r="X187" t="s">
        <v>8798</v>
      </c>
      <c r="AH187">
        <v>0</v>
      </c>
      <c r="AI187" t="s">
        <v>1979</v>
      </c>
      <c r="AJ187" t="s">
        <v>1979</v>
      </c>
      <c r="AK187" t="s">
        <v>1979</v>
      </c>
      <c r="AL187" t="s">
        <v>1979</v>
      </c>
      <c r="AM187" t="s">
        <v>1979</v>
      </c>
      <c r="AN187" t="s">
        <v>8172</v>
      </c>
      <c r="AO187" t="s">
        <v>8172</v>
      </c>
      <c r="AP187" t="s">
        <v>8172</v>
      </c>
      <c r="AQ187" t="s">
        <v>8172</v>
      </c>
      <c r="AR187" t="s">
        <v>8172</v>
      </c>
      <c r="AS187" t="s">
        <v>8172</v>
      </c>
      <c r="AT187" t="s">
        <v>8172</v>
      </c>
      <c r="AU187" t="s">
        <v>8172</v>
      </c>
      <c r="AV187" t="s">
        <v>8172</v>
      </c>
      <c r="AW187" t="s">
        <v>8172</v>
      </c>
      <c r="AX187" t="s">
        <v>8172</v>
      </c>
      <c r="AY187" t="s">
        <v>8172</v>
      </c>
      <c r="AZ187" t="s">
        <v>8172</v>
      </c>
      <c r="BA187" t="s">
        <v>8172</v>
      </c>
      <c r="BB187" t="s">
        <v>8172</v>
      </c>
      <c r="BC187" t="s">
        <v>8172</v>
      </c>
      <c r="BD187" t="s">
        <v>8172</v>
      </c>
      <c r="BE187" t="s">
        <v>8172</v>
      </c>
      <c r="BF187" t="s">
        <v>8172</v>
      </c>
      <c r="BG187" t="s">
        <v>8172</v>
      </c>
      <c r="BH187" t="s">
        <v>8172</v>
      </c>
      <c r="BL187" t="s">
        <v>8172</v>
      </c>
      <c r="BN187">
        <v>1</v>
      </c>
      <c r="BO187" t="s">
        <v>8092</v>
      </c>
      <c r="BP187" t="s">
        <v>8093</v>
      </c>
      <c r="BQ187" s="591">
        <v>81.95</v>
      </c>
      <c r="BR187" t="s">
        <v>8093</v>
      </c>
      <c r="BS187" t="s">
        <v>8093</v>
      </c>
      <c r="BT187">
        <v>0</v>
      </c>
      <c r="BU187" t="s">
        <v>8093</v>
      </c>
      <c r="BV187">
        <v>0</v>
      </c>
      <c r="BW187">
        <v>84.6</v>
      </c>
      <c r="BX187" t="s">
        <v>1981</v>
      </c>
      <c r="BY187">
        <v>0</v>
      </c>
      <c r="BZ187">
        <v>0</v>
      </c>
      <c r="CA187">
        <v>0</v>
      </c>
      <c r="CB187">
        <v>0</v>
      </c>
      <c r="CD187" t="s">
        <v>9241</v>
      </c>
    </row>
    <row r="188" spans="1:82">
      <c r="A188" t="s">
        <v>9211</v>
      </c>
      <c r="B188" t="s">
        <v>9242</v>
      </c>
      <c r="C188" t="s">
        <v>7995</v>
      </c>
      <c r="D188" t="s">
        <v>1383</v>
      </c>
      <c r="E188" t="s">
        <v>8083</v>
      </c>
      <c r="F188" t="s">
        <v>9243</v>
      </c>
      <c r="G188" t="s">
        <v>7895</v>
      </c>
      <c r="H188" t="s">
        <v>9244</v>
      </c>
      <c r="I188" t="s">
        <v>9245</v>
      </c>
      <c r="J188" t="s">
        <v>8119</v>
      </c>
      <c r="N188" t="s">
        <v>8178</v>
      </c>
      <c r="O188" t="s">
        <v>10</v>
      </c>
      <c r="P188" t="s">
        <v>8275</v>
      </c>
      <c r="Q188">
        <v>0</v>
      </c>
      <c r="R188" t="s">
        <v>8129</v>
      </c>
      <c r="S188">
        <v>72</v>
      </c>
      <c r="X188" t="s">
        <v>8798</v>
      </c>
      <c r="AH188">
        <v>0</v>
      </c>
      <c r="BP188">
        <v>72</v>
      </c>
      <c r="BQ188" s="594">
        <v>71</v>
      </c>
      <c r="BR188" t="s">
        <v>8093</v>
      </c>
      <c r="BS188" t="s">
        <v>8093</v>
      </c>
      <c r="BT188">
        <v>0</v>
      </c>
      <c r="BU188" t="s">
        <v>8093</v>
      </c>
      <c r="BV188">
        <v>0</v>
      </c>
      <c r="BW188">
        <v>0.74</v>
      </c>
      <c r="BX188" t="s">
        <v>1981</v>
      </c>
      <c r="BY188">
        <v>0</v>
      </c>
      <c r="BZ188">
        <v>0</v>
      </c>
      <c r="CA188">
        <v>0</v>
      </c>
      <c r="CB188">
        <v>0</v>
      </c>
      <c r="CD188" t="s">
        <v>9246</v>
      </c>
    </row>
    <row r="189" spans="1:82">
      <c r="A189" t="s">
        <v>9211</v>
      </c>
      <c r="B189" t="s">
        <v>9247</v>
      </c>
      <c r="C189" t="s">
        <v>7995</v>
      </c>
      <c r="D189" t="s">
        <v>1383</v>
      </c>
      <c r="E189" t="s">
        <v>8083</v>
      </c>
      <c r="F189" t="s">
        <v>9248</v>
      </c>
      <c r="G189" t="s">
        <v>7911</v>
      </c>
      <c r="H189" t="s">
        <v>9249</v>
      </c>
      <c r="I189" t="s">
        <v>9250</v>
      </c>
      <c r="J189" t="s">
        <v>8088</v>
      </c>
      <c r="K189" t="s">
        <v>8089</v>
      </c>
      <c r="N189" t="s">
        <v>8274</v>
      </c>
      <c r="O189" t="s">
        <v>8170</v>
      </c>
      <c r="P189" t="s">
        <v>9216</v>
      </c>
      <c r="Q189">
        <v>1</v>
      </c>
      <c r="R189" t="s">
        <v>8129</v>
      </c>
      <c r="S189">
        <v>4.5</v>
      </c>
      <c r="T189">
        <v>4.5</v>
      </c>
      <c r="U189">
        <v>4.5</v>
      </c>
      <c r="V189">
        <v>4.5</v>
      </c>
      <c r="W189">
        <v>4.5</v>
      </c>
      <c r="X189">
        <v>4.5</v>
      </c>
      <c r="AH189">
        <v>0</v>
      </c>
      <c r="AJ189" t="s">
        <v>1979</v>
      </c>
      <c r="AK189" t="s">
        <v>1979</v>
      </c>
      <c r="AL189" t="s">
        <v>1979</v>
      </c>
      <c r="AM189" t="s">
        <v>1979</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9217</v>
      </c>
      <c r="BP189" t="s">
        <v>8093</v>
      </c>
      <c r="BQ189" s="591">
        <v>4.2</v>
      </c>
      <c r="BR189" t="s">
        <v>1980</v>
      </c>
      <c r="BS189" t="s">
        <v>8093</v>
      </c>
      <c r="BT189">
        <v>0</v>
      </c>
      <c r="BU189" t="s">
        <v>8093</v>
      </c>
      <c r="BV189">
        <v>0</v>
      </c>
      <c r="BW189">
        <v>4.2</v>
      </c>
      <c r="BX189" t="s">
        <v>1980</v>
      </c>
      <c r="BY189">
        <v>0</v>
      </c>
      <c r="BZ189">
        <v>0</v>
      </c>
      <c r="CA189" t="s">
        <v>1983</v>
      </c>
      <c r="CB189">
        <v>-4.7699999999999999E-2</v>
      </c>
      <c r="CD189" t="s">
        <v>9251</v>
      </c>
    </row>
    <row r="190" spans="1:82">
      <c r="A190" t="s">
        <v>9211</v>
      </c>
      <c r="B190" t="s">
        <v>9252</v>
      </c>
      <c r="C190" t="s">
        <v>7995</v>
      </c>
      <c r="D190" t="s">
        <v>1383</v>
      </c>
      <c r="E190" t="s">
        <v>8083</v>
      </c>
      <c r="F190" t="s">
        <v>9248</v>
      </c>
      <c r="G190" t="s">
        <v>7914</v>
      </c>
      <c r="H190" t="s">
        <v>9253</v>
      </c>
      <c r="I190" t="s">
        <v>9254</v>
      </c>
      <c r="J190" t="s">
        <v>8088</v>
      </c>
      <c r="K190" t="s">
        <v>8428</v>
      </c>
      <c r="N190" t="s">
        <v>8192</v>
      </c>
      <c r="O190" t="s">
        <v>11</v>
      </c>
      <c r="P190" t="s">
        <v>9255</v>
      </c>
      <c r="Q190">
        <v>0</v>
      </c>
      <c r="R190" t="s">
        <v>8091</v>
      </c>
      <c r="S190">
        <v>60</v>
      </c>
      <c r="T190">
        <v>60</v>
      </c>
      <c r="U190">
        <v>60</v>
      </c>
      <c r="V190">
        <v>60</v>
      </c>
      <c r="W190">
        <v>60</v>
      </c>
      <c r="X190">
        <v>60</v>
      </c>
      <c r="AE190" t="s">
        <v>1979</v>
      </c>
      <c r="AH190">
        <v>0</v>
      </c>
      <c r="AI190" t="s">
        <v>1979</v>
      </c>
      <c r="AJ190" t="s">
        <v>1979</v>
      </c>
      <c r="AK190" t="s">
        <v>1979</v>
      </c>
      <c r="AL190" t="s">
        <v>1979</v>
      </c>
      <c r="AM190" t="s">
        <v>1979</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8092</v>
      </c>
      <c r="BP190">
        <v>60</v>
      </c>
      <c r="BQ190" s="594">
        <v>53</v>
      </c>
      <c r="BR190" t="s">
        <v>1979</v>
      </c>
      <c r="BS190" t="s">
        <v>8093</v>
      </c>
      <c r="BT190">
        <v>0</v>
      </c>
      <c r="BU190" t="s">
        <v>1988</v>
      </c>
      <c r="BV190">
        <v>2E-3</v>
      </c>
      <c r="BW190">
        <v>49</v>
      </c>
      <c r="BX190" t="s">
        <v>1979</v>
      </c>
      <c r="BY190">
        <v>0</v>
      </c>
      <c r="BZ190">
        <v>0</v>
      </c>
      <c r="CA190" t="s">
        <v>1988</v>
      </c>
      <c r="CB190">
        <v>3.0000000000000001E-3</v>
      </c>
      <c r="CD190" t="s">
        <v>9256</v>
      </c>
    </row>
    <row r="191" spans="1:82">
      <c r="A191" t="s">
        <v>9211</v>
      </c>
      <c r="B191" t="s">
        <v>9257</v>
      </c>
      <c r="C191" t="s">
        <v>7995</v>
      </c>
      <c r="D191" t="s">
        <v>1383</v>
      </c>
      <c r="E191" t="s">
        <v>8083</v>
      </c>
      <c r="F191" t="s">
        <v>9258</v>
      </c>
      <c r="G191" t="s">
        <v>8471</v>
      </c>
      <c r="H191" t="s">
        <v>9259</v>
      </c>
      <c r="I191" t="s">
        <v>9260</v>
      </c>
      <c r="J191" t="s">
        <v>8088</v>
      </c>
      <c r="K191" t="s">
        <v>8089</v>
      </c>
      <c r="N191" t="s">
        <v>8274</v>
      </c>
      <c r="O191" t="s">
        <v>8170</v>
      </c>
      <c r="P191" t="s">
        <v>9216</v>
      </c>
      <c r="Q191">
        <v>1</v>
      </c>
      <c r="R191" t="s">
        <v>8129</v>
      </c>
      <c r="S191">
        <v>4.7</v>
      </c>
      <c r="T191">
        <v>4.7</v>
      </c>
      <c r="U191">
        <v>4.7</v>
      </c>
      <c r="V191">
        <v>4.7</v>
      </c>
      <c r="W191">
        <v>4.7</v>
      </c>
      <c r="X191">
        <v>4.7</v>
      </c>
      <c r="AH191">
        <v>0</v>
      </c>
      <c r="AJ191" t="s">
        <v>1979</v>
      </c>
      <c r="AK191" t="s">
        <v>1979</v>
      </c>
      <c r="AL191" t="s">
        <v>1979</v>
      </c>
      <c r="AM191" t="s">
        <v>1979</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9217</v>
      </c>
      <c r="BP191" t="s">
        <v>8093</v>
      </c>
      <c r="BQ191" s="591">
        <v>4.5999999999999996</v>
      </c>
      <c r="BR191" t="s">
        <v>1980</v>
      </c>
      <c r="BS191" t="s">
        <v>8093</v>
      </c>
      <c r="BT191">
        <v>0</v>
      </c>
      <c r="BU191" t="s">
        <v>8093</v>
      </c>
      <c r="BV191">
        <v>0</v>
      </c>
      <c r="BW191">
        <v>4.5999999999999996</v>
      </c>
      <c r="BX191" t="s">
        <v>1980</v>
      </c>
      <c r="BY191">
        <v>0</v>
      </c>
      <c r="BZ191">
        <v>0</v>
      </c>
      <c r="CA191" t="s">
        <v>1985</v>
      </c>
      <c r="CB191">
        <v>0</v>
      </c>
      <c r="CD191" t="s">
        <v>9261</v>
      </c>
    </row>
    <row r="192" spans="1:82">
      <c r="A192" t="s">
        <v>9211</v>
      </c>
      <c r="B192" t="s">
        <v>9262</v>
      </c>
      <c r="C192" t="s">
        <v>7995</v>
      </c>
      <c r="D192" t="s">
        <v>1383</v>
      </c>
      <c r="E192" t="s">
        <v>8083</v>
      </c>
      <c r="F192" t="s">
        <v>9258</v>
      </c>
      <c r="G192" t="s">
        <v>8507</v>
      </c>
      <c r="H192" t="s">
        <v>9263</v>
      </c>
      <c r="I192" t="s">
        <v>9264</v>
      </c>
      <c r="J192" t="s">
        <v>8088</v>
      </c>
      <c r="K192" t="s">
        <v>8089</v>
      </c>
      <c r="N192" t="s">
        <v>2556</v>
      </c>
      <c r="O192" t="s">
        <v>8186</v>
      </c>
      <c r="P192" t="s">
        <v>8187</v>
      </c>
      <c r="Q192">
        <v>1</v>
      </c>
      <c r="R192" t="s">
        <v>8091</v>
      </c>
      <c r="S192">
        <v>13</v>
      </c>
      <c r="T192">
        <v>12.7</v>
      </c>
      <c r="U192">
        <v>12.3</v>
      </c>
      <c r="V192">
        <v>12</v>
      </c>
      <c r="W192">
        <v>12</v>
      </c>
      <c r="X192">
        <v>12</v>
      </c>
      <c r="AA192" t="s">
        <v>1979</v>
      </c>
      <c r="AE192" t="s">
        <v>1979</v>
      </c>
      <c r="AH192">
        <v>0</v>
      </c>
      <c r="AI192" t="s">
        <v>1979</v>
      </c>
      <c r="AJ192" t="s">
        <v>1979</v>
      </c>
      <c r="AK192" t="s">
        <v>1979</v>
      </c>
      <c r="AL192" t="s">
        <v>1979</v>
      </c>
      <c r="AM192" t="s">
        <v>1979</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8092</v>
      </c>
      <c r="BP192">
        <v>8</v>
      </c>
      <c r="BQ192" s="591">
        <v>32.049999999999997</v>
      </c>
      <c r="BR192" t="s">
        <v>1980</v>
      </c>
      <c r="BS192" t="s">
        <v>8093</v>
      </c>
      <c r="BT192">
        <v>0</v>
      </c>
      <c r="BU192" t="s">
        <v>1983</v>
      </c>
      <c r="BV192">
        <v>-0.93184</v>
      </c>
      <c r="BW192">
        <v>12.9</v>
      </c>
      <c r="BX192" t="s">
        <v>1980</v>
      </c>
      <c r="BY192">
        <v>0</v>
      </c>
      <c r="BZ192">
        <v>0</v>
      </c>
      <c r="CA192" t="s">
        <v>1985</v>
      </c>
      <c r="CB192">
        <v>0</v>
      </c>
      <c r="CD192" t="s">
        <v>9265</v>
      </c>
    </row>
    <row r="193" spans="1:82">
      <c r="A193" t="s">
        <v>9211</v>
      </c>
      <c r="B193" t="s">
        <v>9266</v>
      </c>
      <c r="C193" t="s">
        <v>7995</v>
      </c>
      <c r="D193" t="s">
        <v>1383</v>
      </c>
      <c r="E193" t="s">
        <v>8083</v>
      </c>
      <c r="F193" t="s">
        <v>9267</v>
      </c>
      <c r="G193" t="s">
        <v>8479</v>
      </c>
      <c r="H193" t="s">
        <v>9268</v>
      </c>
      <c r="I193" t="s">
        <v>9269</v>
      </c>
      <c r="J193" t="s">
        <v>8088</v>
      </c>
      <c r="K193" t="s">
        <v>8089</v>
      </c>
      <c r="N193" t="s">
        <v>8274</v>
      </c>
      <c r="O193" t="s">
        <v>8170</v>
      </c>
      <c r="P193" t="s">
        <v>9216</v>
      </c>
      <c r="Q193">
        <v>1</v>
      </c>
      <c r="R193" t="s">
        <v>8129</v>
      </c>
      <c r="S193">
        <v>4.0999999999999996</v>
      </c>
      <c r="T193">
        <v>4.0999999999999996</v>
      </c>
      <c r="U193">
        <v>4.0999999999999996</v>
      </c>
      <c r="V193">
        <v>4.0999999999999996</v>
      </c>
      <c r="W193">
        <v>4.0999999999999996</v>
      </c>
      <c r="X193">
        <v>4.0999999999999996</v>
      </c>
      <c r="AH193">
        <v>0</v>
      </c>
      <c r="AJ193" t="s">
        <v>1979</v>
      </c>
      <c r="AK193" t="s">
        <v>1979</v>
      </c>
      <c r="AL193" t="s">
        <v>1979</v>
      </c>
      <c r="AM193" t="s">
        <v>1979</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9217</v>
      </c>
      <c r="BP193" t="s">
        <v>8093</v>
      </c>
      <c r="BQ193" s="591">
        <v>4.2</v>
      </c>
      <c r="BR193" t="s">
        <v>1979</v>
      </c>
      <c r="BS193" t="s">
        <v>8093</v>
      </c>
      <c r="BT193">
        <v>0</v>
      </c>
      <c r="BU193" t="s">
        <v>8093</v>
      </c>
      <c r="BV193">
        <v>0</v>
      </c>
      <c r="BW193">
        <v>4.4000000000000004</v>
      </c>
      <c r="BX193" t="s">
        <v>1979</v>
      </c>
      <c r="BY193">
        <v>0</v>
      </c>
      <c r="BZ193">
        <v>0</v>
      </c>
      <c r="CA193" t="s">
        <v>1988</v>
      </c>
      <c r="CB193">
        <v>4.3200000000000002E-2</v>
      </c>
      <c r="CD193" t="s">
        <v>9270</v>
      </c>
    </row>
    <row r="194" spans="1:82">
      <c r="A194" t="s">
        <v>9211</v>
      </c>
      <c r="B194" t="s">
        <v>9271</v>
      </c>
      <c r="C194" t="s">
        <v>7995</v>
      </c>
      <c r="D194" t="s">
        <v>1383</v>
      </c>
      <c r="E194" t="s">
        <v>8083</v>
      </c>
      <c r="F194" t="s">
        <v>9267</v>
      </c>
      <c r="G194" t="s">
        <v>8485</v>
      </c>
      <c r="H194" t="s">
        <v>9272</v>
      </c>
      <c r="I194" t="s">
        <v>9273</v>
      </c>
      <c r="J194" t="s">
        <v>8099</v>
      </c>
      <c r="K194" t="s">
        <v>8089</v>
      </c>
      <c r="M194" t="s">
        <v>1980</v>
      </c>
      <c r="N194" t="s">
        <v>8107</v>
      </c>
      <c r="O194" t="s">
        <v>11</v>
      </c>
      <c r="P194" t="s">
        <v>8090</v>
      </c>
      <c r="Q194">
        <v>0</v>
      </c>
      <c r="R194" t="s">
        <v>8091</v>
      </c>
      <c r="S194">
        <v>0</v>
      </c>
      <c r="T194">
        <v>0</v>
      </c>
      <c r="U194">
        <v>0</v>
      </c>
      <c r="V194">
        <v>0</v>
      </c>
      <c r="W194">
        <v>0</v>
      </c>
      <c r="X194">
        <v>0</v>
      </c>
      <c r="AH194">
        <v>0</v>
      </c>
      <c r="AI194" t="s">
        <v>1979</v>
      </c>
      <c r="AJ194" t="s">
        <v>1979</v>
      </c>
      <c r="AK194" t="s">
        <v>1979</v>
      </c>
      <c r="AL194" t="s">
        <v>1979</v>
      </c>
      <c r="AM194" t="s">
        <v>1979</v>
      </c>
      <c r="AN194" t="s">
        <v>9274</v>
      </c>
      <c r="AO194" t="s">
        <v>9274</v>
      </c>
      <c r="AP194" t="s">
        <v>9274</v>
      </c>
      <c r="AQ194" t="s">
        <v>9274</v>
      </c>
      <c r="AR194" t="s">
        <v>9274</v>
      </c>
      <c r="AS194">
        <v>0</v>
      </c>
      <c r="AT194">
        <v>0</v>
      </c>
      <c r="AU194">
        <v>0</v>
      </c>
      <c r="AV194">
        <v>0</v>
      </c>
      <c r="AW194">
        <v>0</v>
      </c>
      <c r="BH194">
        <v>0.504</v>
      </c>
      <c r="BN194">
        <v>1</v>
      </c>
      <c r="BO194" t="s">
        <v>8092</v>
      </c>
      <c r="BP194" t="s">
        <v>8093</v>
      </c>
      <c r="BQ194" s="594">
        <v>0</v>
      </c>
      <c r="BR194" t="s">
        <v>1979</v>
      </c>
      <c r="BS194" t="s">
        <v>8093</v>
      </c>
      <c r="BT194">
        <v>0</v>
      </c>
      <c r="BU194" t="s">
        <v>8093</v>
      </c>
      <c r="BV194">
        <v>0</v>
      </c>
      <c r="BW194">
        <v>0</v>
      </c>
      <c r="BX194" t="s">
        <v>1979</v>
      </c>
      <c r="BY194">
        <v>0</v>
      </c>
      <c r="BZ194">
        <v>0</v>
      </c>
      <c r="CA194">
        <v>0</v>
      </c>
      <c r="CB194">
        <v>0</v>
      </c>
      <c r="CD194" t="s">
        <v>9275</v>
      </c>
    </row>
    <row r="195" spans="1:82">
      <c r="A195" t="s">
        <v>9211</v>
      </c>
      <c r="B195" t="s">
        <v>9276</v>
      </c>
      <c r="C195" t="s">
        <v>7995</v>
      </c>
      <c r="D195" t="s">
        <v>1383</v>
      </c>
      <c r="E195" t="s">
        <v>8083</v>
      </c>
      <c r="F195" t="s">
        <v>9277</v>
      </c>
      <c r="G195" t="s">
        <v>8514</v>
      </c>
      <c r="H195" t="s">
        <v>9278</v>
      </c>
      <c r="I195" t="s">
        <v>9279</v>
      </c>
      <c r="J195" t="s">
        <v>8099</v>
      </c>
      <c r="K195" t="s">
        <v>8089</v>
      </c>
      <c r="N195" t="s">
        <v>8127</v>
      </c>
      <c r="O195" t="s">
        <v>10</v>
      </c>
      <c r="P195" t="s">
        <v>8128</v>
      </c>
      <c r="Q195">
        <v>2</v>
      </c>
      <c r="R195" t="s">
        <v>8129</v>
      </c>
      <c r="S195">
        <v>100</v>
      </c>
      <c r="T195">
        <v>100</v>
      </c>
      <c r="U195">
        <v>100</v>
      </c>
      <c r="V195">
        <v>100</v>
      </c>
      <c r="W195">
        <v>100</v>
      </c>
      <c r="X195">
        <v>100</v>
      </c>
      <c r="Y195" t="s">
        <v>1979</v>
      </c>
      <c r="AE195" t="s">
        <v>1979</v>
      </c>
      <c r="AH195">
        <v>0</v>
      </c>
      <c r="AI195" t="s">
        <v>1979</v>
      </c>
      <c r="AJ195" t="s">
        <v>1979</v>
      </c>
      <c r="AK195" t="s">
        <v>1979</v>
      </c>
      <c r="AL195" t="s">
        <v>1979</v>
      </c>
      <c r="AM195" t="s">
        <v>1979</v>
      </c>
      <c r="AN195">
        <v>99.94</v>
      </c>
      <c r="AO195">
        <v>99.94</v>
      </c>
      <c r="AP195">
        <v>99.94</v>
      </c>
      <c r="AQ195">
        <v>99.94</v>
      </c>
      <c r="AR195">
        <v>99.94</v>
      </c>
      <c r="AS195">
        <v>99.95</v>
      </c>
      <c r="AT195">
        <v>99.95</v>
      </c>
      <c r="AU195">
        <v>99.95</v>
      </c>
      <c r="AV195">
        <v>99.95</v>
      </c>
      <c r="AW195">
        <v>99.95</v>
      </c>
      <c r="BH195">
        <v>0.28399999999999997</v>
      </c>
      <c r="BN195">
        <v>100</v>
      </c>
      <c r="BO195" t="s">
        <v>8456</v>
      </c>
      <c r="BP195">
        <v>99.96</v>
      </c>
      <c r="BQ195" s="595">
        <v>99.96</v>
      </c>
      <c r="BR195" t="s">
        <v>1980</v>
      </c>
      <c r="BS195" t="s">
        <v>8093</v>
      </c>
      <c r="BT195">
        <v>0</v>
      </c>
      <c r="BU195" t="s">
        <v>1985</v>
      </c>
      <c r="BV195">
        <v>0</v>
      </c>
      <c r="BW195">
        <v>99.95</v>
      </c>
      <c r="BX195" t="s">
        <v>1980</v>
      </c>
      <c r="BY195">
        <v>0</v>
      </c>
      <c r="BZ195">
        <v>0</v>
      </c>
      <c r="CA195" t="s">
        <v>1985</v>
      </c>
      <c r="CB195">
        <v>0</v>
      </c>
      <c r="CD195" t="s">
        <v>9280</v>
      </c>
    </row>
    <row r="196" spans="1:82">
      <c r="A196" t="s">
        <v>9211</v>
      </c>
      <c r="B196" t="s">
        <v>9281</v>
      </c>
      <c r="C196" t="s">
        <v>7995</v>
      </c>
      <c r="D196" t="s">
        <v>1383</v>
      </c>
      <c r="E196" t="s">
        <v>8083</v>
      </c>
      <c r="F196" t="s">
        <v>9282</v>
      </c>
      <c r="G196" t="s">
        <v>8520</v>
      </c>
      <c r="H196" t="s">
        <v>9283</v>
      </c>
      <c r="I196" t="s">
        <v>9284</v>
      </c>
      <c r="J196" t="s">
        <v>8119</v>
      </c>
      <c r="N196" t="s">
        <v>8252</v>
      </c>
      <c r="O196" t="s">
        <v>11</v>
      </c>
      <c r="P196" t="s">
        <v>9285</v>
      </c>
      <c r="Q196">
        <v>0</v>
      </c>
      <c r="R196" t="s">
        <v>8091</v>
      </c>
      <c r="S196">
        <v>0</v>
      </c>
      <c r="T196">
        <v>0</v>
      </c>
      <c r="U196">
        <v>0</v>
      </c>
      <c r="V196">
        <v>0</v>
      </c>
      <c r="W196">
        <v>0</v>
      </c>
      <c r="X196">
        <v>0</v>
      </c>
      <c r="AE196" t="s">
        <v>1979</v>
      </c>
      <c r="AH196">
        <v>0</v>
      </c>
      <c r="BP196" t="s">
        <v>8093</v>
      </c>
      <c r="BQ196" s="594">
        <v>25</v>
      </c>
      <c r="BR196" t="s">
        <v>1980</v>
      </c>
      <c r="BS196" t="s">
        <v>8093</v>
      </c>
      <c r="BT196">
        <v>0</v>
      </c>
      <c r="BU196" t="s">
        <v>8093</v>
      </c>
      <c r="BV196">
        <v>0</v>
      </c>
      <c r="BW196">
        <v>5</v>
      </c>
      <c r="BX196" t="s">
        <v>1980</v>
      </c>
      <c r="BY196">
        <v>0</v>
      </c>
      <c r="BZ196">
        <v>0</v>
      </c>
      <c r="CA196">
        <v>0</v>
      </c>
      <c r="CB196">
        <v>0</v>
      </c>
      <c r="CD196" t="s">
        <v>9286</v>
      </c>
    </row>
    <row r="197" spans="1:82">
      <c r="A197" t="s">
        <v>9211</v>
      </c>
      <c r="B197" t="s">
        <v>9287</v>
      </c>
      <c r="C197" t="s">
        <v>7995</v>
      </c>
      <c r="D197" t="s">
        <v>1383</v>
      </c>
      <c r="E197" t="s">
        <v>8083</v>
      </c>
      <c r="F197" t="s">
        <v>9282</v>
      </c>
      <c r="G197" t="s">
        <v>8527</v>
      </c>
      <c r="H197" t="s">
        <v>9288</v>
      </c>
      <c r="I197" t="s">
        <v>9289</v>
      </c>
      <c r="J197" t="s">
        <v>8119</v>
      </c>
      <c r="N197" t="s">
        <v>8252</v>
      </c>
      <c r="O197" t="s">
        <v>11</v>
      </c>
      <c r="P197" t="s">
        <v>9290</v>
      </c>
      <c r="Q197">
        <v>0</v>
      </c>
      <c r="R197" t="s">
        <v>8091</v>
      </c>
      <c r="S197">
        <v>0</v>
      </c>
      <c r="T197">
        <v>0</v>
      </c>
      <c r="U197">
        <v>0</v>
      </c>
      <c r="V197">
        <v>0</v>
      </c>
      <c r="W197">
        <v>0</v>
      </c>
      <c r="X197">
        <v>0</v>
      </c>
      <c r="AE197" t="s">
        <v>1979</v>
      </c>
      <c r="AH197">
        <v>0</v>
      </c>
      <c r="BP197" t="s">
        <v>8093</v>
      </c>
      <c r="BQ197" s="594">
        <v>0</v>
      </c>
      <c r="BR197" t="s">
        <v>1979</v>
      </c>
      <c r="BS197" t="s">
        <v>8093</v>
      </c>
      <c r="BT197">
        <v>0</v>
      </c>
      <c r="BU197" t="s">
        <v>8093</v>
      </c>
      <c r="BV197">
        <v>0</v>
      </c>
      <c r="BW197">
        <v>2</v>
      </c>
      <c r="BX197" t="s">
        <v>1980</v>
      </c>
      <c r="BY197">
        <v>0</v>
      </c>
      <c r="BZ197">
        <v>0</v>
      </c>
      <c r="CA197">
        <v>0</v>
      </c>
      <c r="CB197">
        <v>0</v>
      </c>
      <c r="CD197" t="s">
        <v>9291</v>
      </c>
    </row>
    <row r="198" spans="1:82">
      <c r="A198" t="s">
        <v>9211</v>
      </c>
      <c r="B198" t="s">
        <v>9292</v>
      </c>
      <c r="C198" t="s">
        <v>7995</v>
      </c>
      <c r="D198" t="s">
        <v>1383</v>
      </c>
      <c r="E198" t="s">
        <v>8083</v>
      </c>
      <c r="F198" t="s">
        <v>9293</v>
      </c>
      <c r="G198" t="s">
        <v>8539</v>
      </c>
      <c r="H198" t="s">
        <v>9294</v>
      </c>
      <c r="I198" t="s">
        <v>9295</v>
      </c>
      <c r="J198" t="s">
        <v>8119</v>
      </c>
      <c r="N198" t="s">
        <v>9002</v>
      </c>
      <c r="O198" t="s">
        <v>11</v>
      </c>
      <c r="P198" t="s">
        <v>9296</v>
      </c>
      <c r="Q198">
        <v>0</v>
      </c>
      <c r="R198" t="s">
        <v>8091</v>
      </c>
      <c r="S198">
        <v>0</v>
      </c>
      <c r="T198">
        <v>0</v>
      </c>
      <c r="U198">
        <v>0</v>
      </c>
      <c r="V198">
        <v>0</v>
      </c>
      <c r="W198">
        <v>0</v>
      </c>
      <c r="X198">
        <v>0</v>
      </c>
      <c r="AH198">
        <v>0</v>
      </c>
      <c r="BP198" t="s">
        <v>8093</v>
      </c>
      <c r="BQ198" s="594">
        <v>0</v>
      </c>
      <c r="BR198" t="s">
        <v>1979</v>
      </c>
      <c r="BS198" t="s">
        <v>8093</v>
      </c>
      <c r="BT198">
        <v>0</v>
      </c>
      <c r="BU198" t="s">
        <v>8093</v>
      </c>
      <c r="BV198">
        <v>0</v>
      </c>
      <c r="BW198">
        <v>0</v>
      </c>
      <c r="BX198" t="s">
        <v>1979</v>
      </c>
      <c r="BY198">
        <v>0</v>
      </c>
      <c r="BZ198">
        <v>0</v>
      </c>
      <c r="CA198">
        <v>0</v>
      </c>
      <c r="CB198">
        <v>0</v>
      </c>
      <c r="CD198" t="s">
        <v>9297</v>
      </c>
    </row>
    <row r="199" spans="1:82">
      <c r="A199" t="s">
        <v>9211</v>
      </c>
      <c r="B199" t="s">
        <v>9298</v>
      </c>
      <c r="C199" t="s">
        <v>7995</v>
      </c>
      <c r="D199" t="s">
        <v>1383</v>
      </c>
      <c r="E199" t="s">
        <v>8083</v>
      </c>
      <c r="F199" t="s">
        <v>9299</v>
      </c>
      <c r="G199" t="s">
        <v>8546</v>
      </c>
      <c r="H199" t="s">
        <v>9300</v>
      </c>
      <c r="I199" t="s">
        <v>9301</v>
      </c>
      <c r="J199" t="s">
        <v>8119</v>
      </c>
      <c r="N199" t="s">
        <v>4837</v>
      </c>
      <c r="O199" t="s">
        <v>11</v>
      </c>
      <c r="P199" t="s">
        <v>9302</v>
      </c>
      <c r="Q199">
        <v>0</v>
      </c>
      <c r="R199" t="s">
        <v>8091</v>
      </c>
      <c r="S199">
        <v>0</v>
      </c>
      <c r="T199">
        <v>0</v>
      </c>
      <c r="U199">
        <v>0</v>
      </c>
      <c r="V199">
        <v>0</v>
      </c>
      <c r="W199">
        <v>0</v>
      </c>
      <c r="X199">
        <v>0</v>
      </c>
      <c r="AH199">
        <v>0</v>
      </c>
      <c r="BP199" t="s">
        <v>8093</v>
      </c>
      <c r="BQ199" s="594">
        <v>0</v>
      </c>
      <c r="BR199" t="s">
        <v>1979</v>
      </c>
      <c r="BS199" t="s">
        <v>8093</v>
      </c>
      <c r="BT199">
        <v>0</v>
      </c>
      <c r="BU199" t="s">
        <v>8093</v>
      </c>
      <c r="BV199">
        <v>0</v>
      </c>
      <c r="BW199">
        <v>0</v>
      </c>
      <c r="BX199" t="s">
        <v>1979</v>
      </c>
      <c r="BY199">
        <v>0</v>
      </c>
      <c r="BZ199">
        <v>0</v>
      </c>
      <c r="CA199">
        <v>0</v>
      </c>
      <c r="CB199">
        <v>0</v>
      </c>
      <c r="CD199" t="s">
        <v>9303</v>
      </c>
    </row>
    <row r="200" spans="1:82">
      <c r="A200" t="s">
        <v>9211</v>
      </c>
      <c r="B200" t="s">
        <v>9304</v>
      </c>
      <c r="C200" t="s">
        <v>7995</v>
      </c>
      <c r="D200" t="s">
        <v>1383</v>
      </c>
      <c r="E200" t="s">
        <v>8083</v>
      </c>
      <c r="F200" t="s">
        <v>9305</v>
      </c>
      <c r="G200" t="s">
        <v>9306</v>
      </c>
      <c r="H200" t="s">
        <v>9307</v>
      </c>
      <c r="I200" t="s">
        <v>9308</v>
      </c>
      <c r="J200" t="s">
        <v>8119</v>
      </c>
      <c r="N200" t="s">
        <v>8252</v>
      </c>
      <c r="O200" t="s">
        <v>11</v>
      </c>
      <c r="P200" t="s">
        <v>9309</v>
      </c>
      <c r="Q200">
        <v>0</v>
      </c>
      <c r="R200" t="s">
        <v>8091</v>
      </c>
      <c r="S200">
        <v>0</v>
      </c>
      <c r="T200">
        <v>0</v>
      </c>
      <c r="U200">
        <v>0</v>
      </c>
      <c r="V200">
        <v>0</v>
      </c>
      <c r="W200">
        <v>0</v>
      </c>
      <c r="X200">
        <v>0</v>
      </c>
      <c r="AF200" t="s">
        <v>1979</v>
      </c>
      <c r="AH200">
        <v>0</v>
      </c>
      <c r="BP200" t="s">
        <v>8093</v>
      </c>
      <c r="BQ200" s="594">
        <v>0</v>
      </c>
      <c r="BR200" t="s">
        <v>1979</v>
      </c>
      <c r="BS200" t="s">
        <v>8093</v>
      </c>
      <c r="BT200">
        <v>0</v>
      </c>
      <c r="BU200" t="s">
        <v>8093</v>
      </c>
      <c r="BV200">
        <v>0</v>
      </c>
      <c r="BW200">
        <v>1</v>
      </c>
      <c r="BX200" t="s">
        <v>1980</v>
      </c>
      <c r="BY200">
        <v>0</v>
      </c>
      <c r="BZ200">
        <v>0</v>
      </c>
      <c r="CA200">
        <v>0</v>
      </c>
      <c r="CB200">
        <v>0</v>
      </c>
      <c r="CD200" t="s">
        <v>9310</v>
      </c>
    </row>
    <row r="201" spans="1:82">
      <c r="A201" t="s">
        <v>9211</v>
      </c>
      <c r="B201" t="s">
        <v>9311</v>
      </c>
      <c r="C201" t="s">
        <v>7995</v>
      </c>
      <c r="D201" t="s">
        <v>1383</v>
      </c>
      <c r="E201" t="s">
        <v>8083</v>
      </c>
      <c r="F201" t="s">
        <v>9312</v>
      </c>
      <c r="G201" t="s">
        <v>9313</v>
      </c>
      <c r="H201" t="s">
        <v>9314</v>
      </c>
      <c r="I201" t="s">
        <v>9315</v>
      </c>
      <c r="J201" t="s">
        <v>8088</v>
      </c>
      <c r="K201" t="s">
        <v>8428</v>
      </c>
      <c r="N201" t="s">
        <v>8055</v>
      </c>
      <c r="O201" t="s">
        <v>11</v>
      </c>
      <c r="P201" t="s">
        <v>8135</v>
      </c>
      <c r="Q201">
        <v>2</v>
      </c>
      <c r="R201" t="s">
        <v>8091</v>
      </c>
      <c r="S201">
        <v>1.17</v>
      </c>
      <c r="T201">
        <v>0.97</v>
      </c>
      <c r="U201">
        <v>0.78</v>
      </c>
      <c r="V201">
        <v>0.57999999999999996</v>
      </c>
      <c r="W201">
        <v>0.57999999999999996</v>
      </c>
      <c r="X201">
        <v>0.57999999999999996</v>
      </c>
      <c r="Z201" t="s">
        <v>1979</v>
      </c>
      <c r="AE201" t="s">
        <v>1979</v>
      </c>
      <c r="AH201">
        <v>0</v>
      </c>
      <c r="AI201" t="s">
        <v>1979</v>
      </c>
      <c r="AJ201" t="s">
        <v>1979</v>
      </c>
      <c r="AK201" t="s">
        <v>1979</v>
      </c>
      <c r="AL201" t="s">
        <v>1979</v>
      </c>
      <c r="AM201" t="s">
        <v>1979</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8956</v>
      </c>
      <c r="BP201">
        <v>1.19</v>
      </c>
      <c r="BQ201" s="595">
        <v>0.98</v>
      </c>
      <c r="BR201" t="s">
        <v>1980</v>
      </c>
      <c r="BS201" t="s">
        <v>8093</v>
      </c>
      <c r="BT201">
        <v>0</v>
      </c>
      <c r="BU201" t="s">
        <v>1985</v>
      </c>
      <c r="BV201">
        <v>0</v>
      </c>
      <c r="BW201">
        <v>0.96</v>
      </c>
      <c r="BX201" t="s">
        <v>1980</v>
      </c>
      <c r="BY201">
        <v>0</v>
      </c>
      <c r="BZ201">
        <v>0</v>
      </c>
      <c r="CA201" t="s">
        <v>1985</v>
      </c>
      <c r="CB201">
        <v>0</v>
      </c>
      <c r="CD201" t="s">
        <v>9316</v>
      </c>
    </row>
    <row r="202" spans="1:82">
      <c r="A202" t="s">
        <v>9211</v>
      </c>
      <c r="B202" t="s">
        <v>9317</v>
      </c>
      <c r="C202" t="s">
        <v>7995</v>
      </c>
      <c r="D202" t="s">
        <v>1383</v>
      </c>
      <c r="E202" t="s">
        <v>8083</v>
      </c>
      <c r="F202" t="s">
        <v>9312</v>
      </c>
      <c r="G202" t="s">
        <v>9318</v>
      </c>
      <c r="H202" t="s">
        <v>9319</v>
      </c>
      <c r="I202" t="s">
        <v>9320</v>
      </c>
      <c r="J202" t="s">
        <v>8099</v>
      </c>
      <c r="K202" t="s">
        <v>8428</v>
      </c>
      <c r="M202" t="s">
        <v>1980</v>
      </c>
      <c r="N202" t="s">
        <v>8148</v>
      </c>
      <c r="O202" t="s">
        <v>8282</v>
      </c>
      <c r="P202" t="s">
        <v>8429</v>
      </c>
      <c r="Q202" t="s">
        <v>8092</v>
      </c>
      <c r="S202" t="s">
        <v>1984</v>
      </c>
      <c r="T202" t="s">
        <v>1984</v>
      </c>
      <c r="U202" t="s">
        <v>1984</v>
      </c>
      <c r="V202" t="s">
        <v>1984</v>
      </c>
      <c r="W202" t="s">
        <v>1984</v>
      </c>
      <c r="X202" t="s">
        <v>1984</v>
      </c>
      <c r="AE202" t="s">
        <v>1979</v>
      </c>
      <c r="AH202">
        <v>4</v>
      </c>
      <c r="AI202" t="s">
        <v>1979</v>
      </c>
      <c r="AJ202" t="s">
        <v>1979</v>
      </c>
      <c r="AK202" t="s">
        <v>1979</v>
      </c>
      <c r="AL202" t="s">
        <v>1979</v>
      </c>
      <c r="AM202" t="s">
        <v>1979</v>
      </c>
      <c r="AN202" t="s">
        <v>9321</v>
      </c>
      <c r="AO202" t="s">
        <v>9321</v>
      </c>
      <c r="AP202" t="s">
        <v>9321</v>
      </c>
      <c r="AQ202" t="s">
        <v>9321</v>
      </c>
      <c r="AR202" t="s">
        <v>9321</v>
      </c>
      <c r="AS202" t="s">
        <v>9321</v>
      </c>
      <c r="AT202" t="s">
        <v>9321</v>
      </c>
      <c r="AU202" t="s">
        <v>9321</v>
      </c>
      <c r="AV202" t="s">
        <v>9321</v>
      </c>
      <c r="AW202" t="s">
        <v>9321</v>
      </c>
      <c r="BH202">
        <v>4</v>
      </c>
      <c r="BN202">
        <v>1</v>
      </c>
      <c r="BO202" t="s">
        <v>8092</v>
      </c>
      <c r="BP202" t="s">
        <v>1984</v>
      </c>
      <c r="BQ202" s="593" t="s">
        <v>1984</v>
      </c>
      <c r="BR202" t="s">
        <v>1979</v>
      </c>
      <c r="BS202" t="s">
        <v>8093</v>
      </c>
      <c r="BT202">
        <v>0</v>
      </c>
      <c r="BU202" t="s">
        <v>8093</v>
      </c>
      <c r="BV202">
        <v>0</v>
      </c>
      <c r="BW202" t="s">
        <v>1984</v>
      </c>
      <c r="BX202" t="s">
        <v>1979</v>
      </c>
      <c r="BY202">
        <v>0</v>
      </c>
      <c r="BZ202">
        <v>0</v>
      </c>
      <c r="CA202">
        <v>0</v>
      </c>
      <c r="CB202">
        <v>0</v>
      </c>
      <c r="CD202" t="s">
        <v>9322</v>
      </c>
    </row>
    <row r="203" spans="1:82">
      <c r="A203" t="s">
        <v>9211</v>
      </c>
      <c r="B203" t="s">
        <v>9323</v>
      </c>
      <c r="C203" t="s">
        <v>7995</v>
      </c>
      <c r="D203" t="s">
        <v>1383</v>
      </c>
      <c r="E203" t="s">
        <v>8083</v>
      </c>
      <c r="F203" t="s">
        <v>9312</v>
      </c>
      <c r="G203" t="s">
        <v>9324</v>
      </c>
      <c r="H203" t="s">
        <v>9325</v>
      </c>
      <c r="I203" t="s">
        <v>9326</v>
      </c>
      <c r="J203" t="s">
        <v>8119</v>
      </c>
      <c r="N203" t="s">
        <v>4821</v>
      </c>
      <c r="O203" t="s">
        <v>11</v>
      </c>
      <c r="P203" t="s">
        <v>9327</v>
      </c>
      <c r="Q203">
        <v>0</v>
      </c>
      <c r="R203" t="s">
        <v>8091</v>
      </c>
      <c r="S203">
        <v>55</v>
      </c>
      <c r="X203">
        <v>0</v>
      </c>
      <c r="AE203" t="s">
        <v>1979</v>
      </c>
      <c r="AH203">
        <v>0</v>
      </c>
      <c r="BP203" t="s">
        <v>8093</v>
      </c>
      <c r="BQ203" s="594">
        <v>55</v>
      </c>
      <c r="BR203" t="s">
        <v>8093</v>
      </c>
      <c r="BS203" t="s">
        <v>8093</v>
      </c>
      <c r="BT203">
        <v>0</v>
      </c>
      <c r="BU203" t="s">
        <v>8093</v>
      </c>
      <c r="BV203">
        <v>0</v>
      </c>
      <c r="BW203">
        <v>33</v>
      </c>
      <c r="BX203" t="s">
        <v>1981</v>
      </c>
      <c r="BY203">
        <v>0</v>
      </c>
      <c r="BZ203">
        <v>0</v>
      </c>
      <c r="CA203">
        <v>0</v>
      </c>
      <c r="CB203">
        <v>0</v>
      </c>
      <c r="CD203" t="s">
        <v>9328</v>
      </c>
    </row>
    <row r="204" spans="1:82">
      <c r="A204" t="s">
        <v>9211</v>
      </c>
      <c r="B204" t="s">
        <v>9329</v>
      </c>
      <c r="C204" t="s">
        <v>7995</v>
      </c>
      <c r="D204" t="s">
        <v>1383</v>
      </c>
      <c r="E204" t="s">
        <v>8083</v>
      </c>
      <c r="F204" t="s">
        <v>9312</v>
      </c>
      <c r="G204" t="s">
        <v>9330</v>
      </c>
      <c r="H204" t="s">
        <v>9331</v>
      </c>
      <c r="I204" t="s">
        <v>9332</v>
      </c>
      <c r="J204" t="s">
        <v>8099</v>
      </c>
      <c r="K204" t="s">
        <v>8428</v>
      </c>
      <c r="N204" t="s">
        <v>8148</v>
      </c>
      <c r="O204" t="s">
        <v>11</v>
      </c>
      <c r="P204" t="s">
        <v>8149</v>
      </c>
      <c r="Q204">
        <v>0</v>
      </c>
      <c r="R204" t="s">
        <v>8091</v>
      </c>
      <c r="S204">
        <v>2429</v>
      </c>
      <c r="T204">
        <v>2429</v>
      </c>
      <c r="U204">
        <v>2429</v>
      </c>
      <c r="V204">
        <v>2429</v>
      </c>
      <c r="W204">
        <v>2429</v>
      </c>
      <c r="X204">
        <v>2429</v>
      </c>
      <c r="AE204" t="s">
        <v>1979</v>
      </c>
      <c r="AH204">
        <v>0</v>
      </c>
      <c r="AI204" t="s">
        <v>1979</v>
      </c>
      <c r="AJ204" t="s">
        <v>1979</v>
      </c>
      <c r="AK204" t="s">
        <v>1979</v>
      </c>
      <c r="AL204" t="s">
        <v>1979</v>
      </c>
      <c r="AM204" t="s">
        <v>1979</v>
      </c>
      <c r="AN204">
        <v>4014</v>
      </c>
      <c r="AO204">
        <v>4014</v>
      </c>
      <c r="AP204">
        <v>4014</v>
      </c>
      <c r="AQ204">
        <v>4014</v>
      </c>
      <c r="AR204">
        <v>4014</v>
      </c>
      <c r="AS204">
        <v>3048</v>
      </c>
      <c r="AT204">
        <v>3048</v>
      </c>
      <c r="AU204">
        <v>3048</v>
      </c>
      <c r="AV204">
        <v>3048</v>
      </c>
      <c r="AW204">
        <v>3048</v>
      </c>
      <c r="BH204">
        <v>7.1199999999999996E-4</v>
      </c>
      <c r="BN204">
        <v>1</v>
      </c>
      <c r="BO204" t="s">
        <v>8092</v>
      </c>
      <c r="BP204">
        <v>2372</v>
      </c>
      <c r="BQ204" s="594">
        <v>2307</v>
      </c>
      <c r="BR204" t="s">
        <v>1979</v>
      </c>
      <c r="BS204" t="s">
        <v>8093</v>
      </c>
      <c r="BT204">
        <v>0</v>
      </c>
      <c r="BU204" t="s">
        <v>8093</v>
      </c>
      <c r="BV204">
        <v>0</v>
      </c>
      <c r="BW204">
        <v>3032</v>
      </c>
      <c r="BX204" t="s">
        <v>1980</v>
      </c>
      <c r="BY204">
        <v>0</v>
      </c>
      <c r="BZ204">
        <v>0</v>
      </c>
      <c r="CA204" t="s">
        <v>1985</v>
      </c>
      <c r="CB204">
        <v>0</v>
      </c>
      <c r="CD204" t="s">
        <v>9333</v>
      </c>
    </row>
    <row r="205" spans="1:82">
      <c r="A205" t="s">
        <v>9211</v>
      </c>
      <c r="B205" t="s">
        <v>9334</v>
      </c>
      <c r="C205" t="s">
        <v>7995</v>
      </c>
      <c r="D205" t="s">
        <v>1383</v>
      </c>
      <c r="E205" t="s">
        <v>8083</v>
      </c>
      <c r="F205" t="s">
        <v>9335</v>
      </c>
      <c r="G205" t="s">
        <v>9336</v>
      </c>
      <c r="H205" t="s">
        <v>9337</v>
      </c>
      <c r="I205" t="s">
        <v>9338</v>
      </c>
      <c r="J205" t="s">
        <v>8119</v>
      </c>
      <c r="N205" t="s">
        <v>8260</v>
      </c>
      <c r="O205" t="s">
        <v>11</v>
      </c>
      <c r="P205" t="s">
        <v>9339</v>
      </c>
      <c r="Q205">
        <v>1</v>
      </c>
      <c r="R205" t="s">
        <v>8091</v>
      </c>
      <c r="S205">
        <v>39.4</v>
      </c>
      <c r="X205">
        <v>37.700000000000003</v>
      </c>
      <c r="AH205">
        <v>0</v>
      </c>
      <c r="BP205" t="s">
        <v>8093</v>
      </c>
      <c r="BQ205" s="591">
        <v>36.799999999999997</v>
      </c>
      <c r="BR205" t="s">
        <v>8093</v>
      </c>
      <c r="BS205" t="s">
        <v>8093</v>
      </c>
      <c r="BT205">
        <v>0</v>
      </c>
      <c r="BU205" t="s">
        <v>8093</v>
      </c>
      <c r="BV205">
        <v>0</v>
      </c>
      <c r="BW205">
        <v>37.200000000000003</v>
      </c>
      <c r="BX205" t="s">
        <v>1981</v>
      </c>
      <c r="BY205">
        <v>0</v>
      </c>
      <c r="BZ205">
        <v>0</v>
      </c>
      <c r="CA205">
        <v>0</v>
      </c>
      <c r="CB205">
        <v>0</v>
      </c>
      <c r="CD205" t="s">
        <v>9340</v>
      </c>
    </row>
    <row r="206" spans="1:82">
      <c r="A206" t="s">
        <v>9211</v>
      </c>
      <c r="B206" t="s">
        <v>9341</v>
      </c>
      <c r="C206" t="s">
        <v>7995</v>
      </c>
      <c r="D206" t="s">
        <v>1383</v>
      </c>
      <c r="E206" t="s">
        <v>8083</v>
      </c>
      <c r="F206" t="s">
        <v>9335</v>
      </c>
      <c r="G206" t="s">
        <v>9342</v>
      </c>
      <c r="H206" t="s">
        <v>9343</v>
      </c>
      <c r="I206" t="s">
        <v>9344</v>
      </c>
      <c r="J206" t="s">
        <v>8119</v>
      </c>
      <c r="N206" t="s">
        <v>8113</v>
      </c>
      <c r="O206" t="s">
        <v>8120</v>
      </c>
      <c r="P206" t="s">
        <v>9345</v>
      </c>
      <c r="Q206" t="s">
        <v>8120</v>
      </c>
      <c r="S206" t="s">
        <v>8120</v>
      </c>
      <c r="T206" t="s">
        <v>8120</v>
      </c>
      <c r="U206" t="s">
        <v>8120</v>
      </c>
      <c r="V206" t="s">
        <v>8120</v>
      </c>
      <c r="W206" t="s">
        <v>8120</v>
      </c>
      <c r="X206" t="s">
        <v>8120</v>
      </c>
      <c r="AG206" t="s">
        <v>1979</v>
      </c>
      <c r="AH206">
        <v>0</v>
      </c>
      <c r="BP206" t="s">
        <v>8093</v>
      </c>
      <c r="BQ206" s="593" t="s">
        <v>8093</v>
      </c>
      <c r="BR206" t="s">
        <v>8093</v>
      </c>
      <c r="BS206" t="s">
        <v>8093</v>
      </c>
      <c r="BT206">
        <v>0</v>
      </c>
      <c r="BU206" t="s">
        <v>8093</v>
      </c>
      <c r="BV206">
        <v>0</v>
      </c>
      <c r="BW206">
        <v>-0.18</v>
      </c>
      <c r="BX206" t="s">
        <v>1979</v>
      </c>
      <c r="BY206">
        <v>0</v>
      </c>
      <c r="BZ206">
        <v>0</v>
      </c>
      <c r="CA206">
        <v>0</v>
      </c>
      <c r="CB206">
        <v>0</v>
      </c>
      <c r="CD206" t="s">
        <v>9346</v>
      </c>
    </row>
    <row r="207" spans="1:82">
      <c r="A207" t="s">
        <v>9211</v>
      </c>
      <c r="B207" t="s">
        <v>9347</v>
      </c>
      <c r="C207" t="s">
        <v>7995</v>
      </c>
      <c r="D207" t="s">
        <v>8163</v>
      </c>
      <c r="E207" t="s">
        <v>8164</v>
      </c>
      <c r="F207" t="s">
        <v>9213</v>
      </c>
      <c r="G207" t="s">
        <v>6966</v>
      </c>
      <c r="H207" t="s">
        <v>9348</v>
      </c>
      <c r="I207" t="s">
        <v>9215</v>
      </c>
      <c r="J207" t="s">
        <v>8088</v>
      </c>
      <c r="K207" t="s">
        <v>8089</v>
      </c>
      <c r="N207" t="s">
        <v>8274</v>
      </c>
      <c r="O207" t="s">
        <v>8170</v>
      </c>
      <c r="P207" t="s">
        <v>9216</v>
      </c>
      <c r="Q207">
        <v>1</v>
      </c>
      <c r="R207" t="s">
        <v>8129</v>
      </c>
      <c r="S207">
        <v>4.5999999999999996</v>
      </c>
      <c r="T207">
        <v>4.5999999999999996</v>
      </c>
      <c r="U207">
        <v>4.5999999999999996</v>
      </c>
      <c r="V207">
        <v>4.5999999999999996</v>
      </c>
      <c r="W207">
        <v>4.5999999999999996</v>
      </c>
      <c r="X207">
        <v>4.5999999999999996</v>
      </c>
      <c r="AH207">
        <v>0</v>
      </c>
      <c r="AJ207" t="s">
        <v>1979</v>
      </c>
      <c r="AK207" t="s">
        <v>1979</v>
      </c>
      <c r="AL207" t="s">
        <v>1979</v>
      </c>
      <c r="AM207" t="s">
        <v>1979</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9217</v>
      </c>
      <c r="BP207" t="s">
        <v>8093</v>
      </c>
      <c r="BQ207" s="591">
        <v>4.4000000000000004</v>
      </c>
      <c r="BR207" t="s">
        <v>1980</v>
      </c>
      <c r="BS207" t="s">
        <v>8093</v>
      </c>
      <c r="BT207">
        <v>0</v>
      </c>
      <c r="BU207" t="s">
        <v>8093</v>
      </c>
      <c r="BV207">
        <v>0</v>
      </c>
      <c r="BW207">
        <v>4.5</v>
      </c>
      <c r="BX207" t="s">
        <v>1980</v>
      </c>
      <c r="BY207">
        <v>0</v>
      </c>
      <c r="BZ207">
        <v>0</v>
      </c>
      <c r="CA207" t="s">
        <v>1985</v>
      </c>
      <c r="CB207">
        <v>0</v>
      </c>
      <c r="CD207" t="s">
        <v>9218</v>
      </c>
    </row>
    <row r="208" spans="1:82">
      <c r="A208" t="s">
        <v>9211</v>
      </c>
      <c r="B208" t="s">
        <v>9349</v>
      </c>
      <c r="C208" t="s">
        <v>7995</v>
      </c>
      <c r="D208" t="s">
        <v>8163</v>
      </c>
      <c r="E208" t="s">
        <v>8164</v>
      </c>
      <c r="F208" t="s">
        <v>9220</v>
      </c>
      <c r="G208" t="s">
        <v>6968</v>
      </c>
      <c r="H208" t="s">
        <v>9350</v>
      </c>
      <c r="I208" t="s">
        <v>9222</v>
      </c>
      <c r="J208" t="s">
        <v>8088</v>
      </c>
      <c r="K208" t="s">
        <v>8089</v>
      </c>
      <c r="N208" t="s">
        <v>8274</v>
      </c>
      <c r="O208" t="s">
        <v>8170</v>
      </c>
      <c r="P208" t="s">
        <v>9216</v>
      </c>
      <c r="Q208">
        <v>1</v>
      </c>
      <c r="R208" t="s">
        <v>8129</v>
      </c>
      <c r="S208">
        <v>4.3</v>
      </c>
      <c r="T208">
        <v>4.3</v>
      </c>
      <c r="U208">
        <v>4.3</v>
      </c>
      <c r="V208">
        <v>4.3</v>
      </c>
      <c r="W208">
        <v>4.3</v>
      </c>
      <c r="X208">
        <v>4.3</v>
      </c>
      <c r="AH208">
        <v>0</v>
      </c>
      <c r="AJ208" t="s">
        <v>1979</v>
      </c>
      <c r="AK208" t="s">
        <v>1979</v>
      </c>
      <c r="AL208" t="s">
        <v>1979</v>
      </c>
      <c r="AM208" t="s">
        <v>1979</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9217</v>
      </c>
      <c r="BP208" t="s">
        <v>8093</v>
      </c>
      <c r="BQ208" s="591">
        <v>4.0999999999999996</v>
      </c>
      <c r="BR208" t="s">
        <v>1980</v>
      </c>
      <c r="BS208" t="s">
        <v>8093</v>
      </c>
      <c r="BT208">
        <v>0</v>
      </c>
      <c r="BU208" t="s">
        <v>8093</v>
      </c>
      <c r="BV208">
        <v>0</v>
      </c>
      <c r="BW208">
        <v>4.2</v>
      </c>
      <c r="BX208" t="s">
        <v>1980</v>
      </c>
      <c r="BY208">
        <v>0</v>
      </c>
      <c r="BZ208">
        <v>0</v>
      </c>
      <c r="CA208" t="s">
        <v>1985</v>
      </c>
      <c r="CB208">
        <v>0</v>
      </c>
      <c r="CD208" t="s">
        <v>9223</v>
      </c>
    </row>
    <row r="209" spans="1:82">
      <c r="A209" t="s">
        <v>9211</v>
      </c>
      <c r="B209" t="s">
        <v>9351</v>
      </c>
      <c r="C209" t="s">
        <v>7995</v>
      </c>
      <c r="D209" t="s">
        <v>8163</v>
      </c>
      <c r="E209" t="s">
        <v>8164</v>
      </c>
      <c r="F209" t="s">
        <v>9225</v>
      </c>
      <c r="G209" t="s">
        <v>7872</v>
      </c>
      <c r="H209" t="s">
        <v>9352</v>
      </c>
      <c r="I209" t="s">
        <v>9227</v>
      </c>
      <c r="J209" t="s">
        <v>8088</v>
      </c>
      <c r="K209" t="s">
        <v>8089</v>
      </c>
      <c r="N209" t="s">
        <v>8274</v>
      </c>
      <c r="O209" t="s">
        <v>8170</v>
      </c>
      <c r="P209" t="s">
        <v>9216</v>
      </c>
      <c r="Q209">
        <v>1</v>
      </c>
      <c r="R209" t="s">
        <v>8129</v>
      </c>
      <c r="S209">
        <v>3.6</v>
      </c>
      <c r="T209">
        <v>4</v>
      </c>
      <c r="U209">
        <v>4</v>
      </c>
      <c r="V209">
        <v>4</v>
      </c>
      <c r="W209">
        <v>4</v>
      </c>
      <c r="X209">
        <v>4</v>
      </c>
      <c r="AH209">
        <v>0</v>
      </c>
      <c r="AJ209" t="s">
        <v>1979</v>
      </c>
      <c r="AK209" t="s">
        <v>1979</v>
      </c>
      <c r="AL209" t="s">
        <v>1979</v>
      </c>
      <c r="AM209" t="s">
        <v>1979</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9217</v>
      </c>
      <c r="BP209" t="s">
        <v>8093</v>
      </c>
      <c r="BQ209" s="591">
        <v>3.4</v>
      </c>
      <c r="BR209" t="s">
        <v>1980</v>
      </c>
      <c r="BS209" t="s">
        <v>8093</v>
      </c>
      <c r="BT209">
        <v>0</v>
      </c>
      <c r="BU209" t="s">
        <v>8093</v>
      </c>
      <c r="BV209">
        <v>0</v>
      </c>
      <c r="BW209">
        <v>3.8</v>
      </c>
      <c r="BX209" t="s">
        <v>1980</v>
      </c>
      <c r="BY209">
        <v>0</v>
      </c>
      <c r="BZ209">
        <v>0</v>
      </c>
      <c r="CA209" t="s">
        <v>1983</v>
      </c>
      <c r="CB209">
        <v>-1.1099999999999999E-2</v>
      </c>
      <c r="CD209" t="s">
        <v>9228</v>
      </c>
    </row>
    <row r="210" spans="1:82">
      <c r="A210" t="s">
        <v>9211</v>
      </c>
      <c r="B210" t="s">
        <v>9353</v>
      </c>
      <c r="C210" t="s">
        <v>7995</v>
      </c>
      <c r="D210" t="s">
        <v>8163</v>
      </c>
      <c r="E210" t="s">
        <v>8164</v>
      </c>
      <c r="F210" t="s">
        <v>9234</v>
      </c>
      <c r="G210" t="s">
        <v>7879</v>
      </c>
      <c r="H210" t="s">
        <v>9354</v>
      </c>
      <c r="I210" t="s">
        <v>9236</v>
      </c>
      <c r="J210" t="s">
        <v>8088</v>
      </c>
      <c r="K210" t="s">
        <v>8089</v>
      </c>
      <c r="N210" t="s">
        <v>8274</v>
      </c>
      <c r="O210" t="s">
        <v>8170</v>
      </c>
      <c r="P210" t="s">
        <v>9216</v>
      </c>
      <c r="Q210">
        <v>1</v>
      </c>
      <c r="R210" t="s">
        <v>8129</v>
      </c>
      <c r="S210">
        <v>4.5</v>
      </c>
      <c r="T210">
        <v>4.5</v>
      </c>
      <c r="U210">
        <v>4.5</v>
      </c>
      <c r="V210">
        <v>4.5</v>
      </c>
      <c r="W210">
        <v>4.5</v>
      </c>
      <c r="X210">
        <v>4.5</v>
      </c>
      <c r="AH210">
        <v>0</v>
      </c>
      <c r="AJ210" t="s">
        <v>1979</v>
      </c>
      <c r="AK210" t="s">
        <v>1979</v>
      </c>
      <c r="AL210" t="s">
        <v>1979</v>
      </c>
      <c r="AM210" t="s">
        <v>1979</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9217</v>
      </c>
      <c r="BP210" t="s">
        <v>8093</v>
      </c>
      <c r="BQ210" s="591">
        <v>4.2</v>
      </c>
      <c r="BR210" t="s">
        <v>1980</v>
      </c>
      <c r="BS210" t="s">
        <v>8093</v>
      </c>
      <c r="BT210">
        <v>0</v>
      </c>
      <c r="BU210" t="s">
        <v>8093</v>
      </c>
      <c r="BV210">
        <v>0</v>
      </c>
      <c r="BW210">
        <v>4.3</v>
      </c>
      <c r="BX210" t="s">
        <v>1980</v>
      </c>
      <c r="BY210">
        <v>0</v>
      </c>
      <c r="BZ210">
        <v>0</v>
      </c>
      <c r="CA210" t="s">
        <v>1983</v>
      </c>
      <c r="CB210">
        <v>-6.4000000000000003E-3</v>
      </c>
      <c r="CD210" t="s">
        <v>9237</v>
      </c>
    </row>
    <row r="211" spans="1:82">
      <c r="A211" t="s">
        <v>9211</v>
      </c>
      <c r="B211" t="s">
        <v>9355</v>
      </c>
      <c r="C211" t="s">
        <v>7995</v>
      </c>
      <c r="D211" t="s">
        <v>8163</v>
      </c>
      <c r="E211" t="s">
        <v>8164</v>
      </c>
      <c r="F211" t="s">
        <v>9234</v>
      </c>
      <c r="G211" t="s">
        <v>7882</v>
      </c>
      <c r="H211" t="s">
        <v>9356</v>
      </c>
      <c r="I211" t="s">
        <v>9240</v>
      </c>
      <c r="J211" t="s">
        <v>8088</v>
      </c>
      <c r="K211" t="s">
        <v>8089</v>
      </c>
      <c r="M211" t="s">
        <v>1980</v>
      </c>
      <c r="N211" t="s">
        <v>8169</v>
      </c>
      <c r="O211" t="s">
        <v>8170</v>
      </c>
      <c r="P211" t="s">
        <v>8171</v>
      </c>
      <c r="Q211">
        <v>1</v>
      </c>
      <c r="R211" t="s">
        <v>8129</v>
      </c>
      <c r="S211">
        <v>78</v>
      </c>
      <c r="X211" t="s">
        <v>8798</v>
      </c>
      <c r="AH211">
        <v>0</v>
      </c>
      <c r="AI211" t="s">
        <v>1979</v>
      </c>
      <c r="AJ211" t="s">
        <v>1979</v>
      </c>
      <c r="AK211" t="s">
        <v>1979</v>
      </c>
      <c r="AL211" t="s">
        <v>1979</v>
      </c>
      <c r="AM211" t="s">
        <v>1979</v>
      </c>
      <c r="AN211" t="s">
        <v>8172</v>
      </c>
      <c r="AO211" t="s">
        <v>8172</v>
      </c>
      <c r="AP211" t="s">
        <v>8172</v>
      </c>
      <c r="AQ211" t="s">
        <v>8172</v>
      </c>
      <c r="AR211" t="s">
        <v>8172</v>
      </c>
      <c r="AS211" t="s">
        <v>8172</v>
      </c>
      <c r="AT211" t="s">
        <v>8172</v>
      </c>
      <c r="AU211" t="s">
        <v>8172</v>
      </c>
      <c r="AV211" t="s">
        <v>8172</v>
      </c>
      <c r="AW211" t="s">
        <v>8172</v>
      </c>
      <c r="AX211" t="s">
        <v>8172</v>
      </c>
      <c r="AY211" t="s">
        <v>8172</v>
      </c>
      <c r="AZ211" t="s">
        <v>8172</v>
      </c>
      <c r="BA211" t="s">
        <v>8172</v>
      </c>
      <c r="BB211" t="s">
        <v>8172</v>
      </c>
      <c r="BC211" t="s">
        <v>8172</v>
      </c>
      <c r="BD211" t="s">
        <v>8172</v>
      </c>
      <c r="BE211" t="s">
        <v>8172</v>
      </c>
      <c r="BF211" t="s">
        <v>8172</v>
      </c>
      <c r="BG211" t="s">
        <v>8172</v>
      </c>
      <c r="BH211" t="s">
        <v>8172</v>
      </c>
      <c r="BL211" t="s">
        <v>8172</v>
      </c>
      <c r="BN211">
        <v>1</v>
      </c>
      <c r="BO211" t="s">
        <v>8092</v>
      </c>
      <c r="BP211" t="s">
        <v>8093</v>
      </c>
      <c r="BQ211" s="591">
        <v>81.95</v>
      </c>
      <c r="BR211" t="s">
        <v>8093</v>
      </c>
      <c r="BS211" t="s">
        <v>8093</v>
      </c>
      <c r="BT211">
        <v>0</v>
      </c>
      <c r="BU211" t="s">
        <v>8093</v>
      </c>
      <c r="BV211">
        <v>0</v>
      </c>
      <c r="BW211">
        <v>84.6</v>
      </c>
      <c r="BX211" t="s">
        <v>1981</v>
      </c>
      <c r="BY211">
        <v>0</v>
      </c>
      <c r="BZ211">
        <v>0</v>
      </c>
      <c r="CA211">
        <v>0</v>
      </c>
      <c r="CB211">
        <v>0</v>
      </c>
      <c r="CD211" t="s">
        <v>9241</v>
      </c>
    </row>
    <row r="212" spans="1:82">
      <c r="A212" t="s">
        <v>9211</v>
      </c>
      <c r="B212" t="s">
        <v>9357</v>
      </c>
      <c r="C212" t="s">
        <v>7995</v>
      </c>
      <c r="D212" t="s">
        <v>8163</v>
      </c>
      <c r="E212" t="s">
        <v>8164</v>
      </c>
      <c r="F212" t="s">
        <v>9243</v>
      </c>
      <c r="G212" t="s">
        <v>7895</v>
      </c>
      <c r="H212" t="s">
        <v>9358</v>
      </c>
      <c r="I212" t="s">
        <v>9245</v>
      </c>
      <c r="J212" t="s">
        <v>8119</v>
      </c>
      <c r="N212" t="s">
        <v>8178</v>
      </c>
      <c r="O212" t="s">
        <v>10</v>
      </c>
      <c r="P212" t="s">
        <v>8275</v>
      </c>
      <c r="Q212">
        <v>0</v>
      </c>
      <c r="R212" t="s">
        <v>8129</v>
      </c>
      <c r="S212">
        <v>72</v>
      </c>
      <c r="X212" t="s">
        <v>8798</v>
      </c>
      <c r="AH212">
        <v>0</v>
      </c>
      <c r="BP212">
        <v>72</v>
      </c>
      <c r="BQ212" s="594">
        <v>71</v>
      </c>
      <c r="BR212" t="s">
        <v>8093</v>
      </c>
      <c r="BS212" t="s">
        <v>8093</v>
      </c>
      <c r="BT212">
        <v>0</v>
      </c>
      <c r="BU212" t="s">
        <v>8093</v>
      </c>
      <c r="BV212">
        <v>0</v>
      </c>
      <c r="BW212">
        <v>74</v>
      </c>
      <c r="BX212" t="s">
        <v>1981</v>
      </c>
      <c r="BY212">
        <v>0</v>
      </c>
      <c r="BZ212">
        <v>0</v>
      </c>
      <c r="CA212">
        <v>0</v>
      </c>
      <c r="CB212">
        <v>0</v>
      </c>
      <c r="CD212" t="s">
        <v>9246</v>
      </c>
    </row>
    <row r="213" spans="1:82">
      <c r="A213" t="s">
        <v>9211</v>
      </c>
      <c r="B213" t="s">
        <v>9359</v>
      </c>
      <c r="C213" t="s">
        <v>7995</v>
      </c>
      <c r="D213" t="s">
        <v>8163</v>
      </c>
      <c r="E213" t="s">
        <v>8164</v>
      </c>
      <c r="F213" t="s">
        <v>9248</v>
      </c>
      <c r="G213" t="s">
        <v>7911</v>
      </c>
      <c r="H213" t="s">
        <v>9360</v>
      </c>
      <c r="I213" t="s">
        <v>9250</v>
      </c>
      <c r="J213" t="s">
        <v>8088</v>
      </c>
      <c r="K213" t="s">
        <v>8089</v>
      </c>
      <c r="N213" t="s">
        <v>8274</v>
      </c>
      <c r="O213" t="s">
        <v>8170</v>
      </c>
      <c r="P213" t="s">
        <v>9216</v>
      </c>
      <c r="Q213">
        <v>1</v>
      </c>
      <c r="R213" t="s">
        <v>8129</v>
      </c>
      <c r="S213">
        <v>4.5</v>
      </c>
      <c r="T213">
        <v>4.5</v>
      </c>
      <c r="U213">
        <v>4.5</v>
      </c>
      <c r="V213">
        <v>4.5</v>
      </c>
      <c r="W213">
        <v>4.5</v>
      </c>
      <c r="X213">
        <v>4.5</v>
      </c>
      <c r="AH213">
        <v>0</v>
      </c>
      <c r="AJ213" t="s">
        <v>1979</v>
      </c>
      <c r="AK213" t="s">
        <v>1979</v>
      </c>
      <c r="AL213" t="s">
        <v>1979</v>
      </c>
      <c r="AM213" t="s">
        <v>1979</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9217</v>
      </c>
      <c r="BP213" t="s">
        <v>8093</v>
      </c>
      <c r="BQ213" s="591">
        <v>4.2</v>
      </c>
      <c r="BR213" t="s">
        <v>1980</v>
      </c>
      <c r="BS213" t="s">
        <v>8093</v>
      </c>
      <c r="BT213">
        <v>0</v>
      </c>
      <c r="BU213" t="s">
        <v>8093</v>
      </c>
      <c r="BV213">
        <v>0</v>
      </c>
      <c r="BW213">
        <v>4.2</v>
      </c>
      <c r="BX213" t="s">
        <v>1980</v>
      </c>
      <c r="BY213">
        <v>0</v>
      </c>
      <c r="BZ213">
        <v>0</v>
      </c>
      <c r="CA213" t="s">
        <v>1983</v>
      </c>
      <c r="CB213">
        <v>-5.3E-3</v>
      </c>
      <c r="CD213" t="s">
        <v>9251</v>
      </c>
    </row>
    <row r="214" spans="1:82">
      <c r="A214" t="s">
        <v>9211</v>
      </c>
      <c r="B214" t="s">
        <v>9361</v>
      </c>
      <c r="C214" t="s">
        <v>7995</v>
      </c>
      <c r="D214" t="s">
        <v>8163</v>
      </c>
      <c r="E214" t="s">
        <v>8164</v>
      </c>
      <c r="F214" t="s">
        <v>9258</v>
      </c>
      <c r="G214" t="s">
        <v>8471</v>
      </c>
      <c r="H214" t="s">
        <v>9362</v>
      </c>
      <c r="I214" t="s">
        <v>9260</v>
      </c>
      <c r="J214" t="s">
        <v>8088</v>
      </c>
      <c r="K214" t="s">
        <v>8089</v>
      </c>
      <c r="N214" t="s">
        <v>8274</v>
      </c>
      <c r="O214" t="s">
        <v>8170</v>
      </c>
      <c r="P214" t="s">
        <v>9216</v>
      </c>
      <c r="Q214">
        <v>1</v>
      </c>
      <c r="R214" t="s">
        <v>8129</v>
      </c>
      <c r="S214">
        <v>4.7</v>
      </c>
      <c r="T214">
        <v>4.7</v>
      </c>
      <c r="U214">
        <v>4.7</v>
      </c>
      <c r="V214">
        <v>4.7</v>
      </c>
      <c r="W214">
        <v>4.7</v>
      </c>
      <c r="X214">
        <v>4.7</v>
      </c>
      <c r="AH214">
        <v>0</v>
      </c>
      <c r="AJ214" t="s">
        <v>1979</v>
      </c>
      <c r="AK214" t="s">
        <v>1979</v>
      </c>
      <c r="AL214" t="s">
        <v>1979</v>
      </c>
      <c r="AM214" t="s">
        <v>1979</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9217</v>
      </c>
      <c r="BP214" t="s">
        <v>8093</v>
      </c>
      <c r="BQ214" s="591">
        <v>4.5999999999999996</v>
      </c>
      <c r="BR214" t="s">
        <v>1980</v>
      </c>
      <c r="BS214" t="s">
        <v>8093</v>
      </c>
      <c r="BT214">
        <v>0</v>
      </c>
      <c r="BU214" t="s">
        <v>8093</v>
      </c>
      <c r="BV214">
        <v>0</v>
      </c>
      <c r="BW214">
        <v>4.5999999999999996</v>
      </c>
      <c r="BX214" t="s">
        <v>1980</v>
      </c>
      <c r="BY214">
        <v>0</v>
      </c>
      <c r="BZ214">
        <v>0</v>
      </c>
      <c r="CA214" t="s">
        <v>1985</v>
      </c>
      <c r="CB214">
        <v>0</v>
      </c>
      <c r="CD214" t="s">
        <v>9261</v>
      </c>
    </row>
    <row r="215" spans="1:82">
      <c r="A215" t="s">
        <v>9211</v>
      </c>
      <c r="B215" t="s">
        <v>9363</v>
      </c>
      <c r="C215" t="s">
        <v>7995</v>
      </c>
      <c r="D215" t="s">
        <v>8163</v>
      </c>
      <c r="E215" t="s">
        <v>8164</v>
      </c>
      <c r="F215" t="s">
        <v>9267</v>
      </c>
      <c r="G215" t="s">
        <v>8479</v>
      </c>
      <c r="H215" t="s">
        <v>9364</v>
      </c>
      <c r="I215" t="s">
        <v>9269</v>
      </c>
      <c r="J215" t="s">
        <v>8088</v>
      </c>
      <c r="K215" t="s">
        <v>8089</v>
      </c>
      <c r="N215" t="s">
        <v>8274</v>
      </c>
      <c r="O215" t="s">
        <v>8170</v>
      </c>
      <c r="P215" t="s">
        <v>9216</v>
      </c>
      <c r="Q215">
        <v>1</v>
      </c>
      <c r="R215" t="s">
        <v>8129</v>
      </c>
      <c r="S215">
        <v>4.0999999999999996</v>
      </c>
      <c r="T215">
        <v>4.0999999999999996</v>
      </c>
      <c r="U215">
        <v>4.0999999999999996</v>
      </c>
      <c r="V215">
        <v>4.0999999999999996</v>
      </c>
      <c r="W215">
        <v>4.0999999999999996</v>
      </c>
      <c r="X215">
        <v>4.0999999999999996</v>
      </c>
      <c r="AH215">
        <v>0</v>
      </c>
      <c r="AJ215" t="s">
        <v>1979</v>
      </c>
      <c r="AK215" t="s">
        <v>1979</v>
      </c>
      <c r="AL215" t="s">
        <v>1979</v>
      </c>
      <c r="AM215" t="s">
        <v>1979</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9217</v>
      </c>
      <c r="BP215" t="s">
        <v>8093</v>
      </c>
      <c r="BQ215" s="591">
        <v>4.2</v>
      </c>
      <c r="BR215" t="s">
        <v>1979</v>
      </c>
      <c r="BS215" t="s">
        <v>8093</v>
      </c>
      <c r="BT215">
        <v>0</v>
      </c>
      <c r="BU215" t="s">
        <v>8093</v>
      </c>
      <c r="BV215">
        <v>0</v>
      </c>
      <c r="BW215">
        <v>4.4000000000000004</v>
      </c>
      <c r="BX215" t="s">
        <v>1979</v>
      </c>
      <c r="BY215">
        <v>0</v>
      </c>
      <c r="BZ215">
        <v>0</v>
      </c>
      <c r="CA215" t="s">
        <v>1988</v>
      </c>
      <c r="CB215">
        <v>4.8000000000000004E-3</v>
      </c>
      <c r="CD215" t="s">
        <v>9270</v>
      </c>
    </row>
    <row r="216" spans="1:82">
      <c r="A216" t="s">
        <v>7981</v>
      </c>
      <c r="B216" t="s">
        <v>9365</v>
      </c>
      <c r="C216" t="s">
        <v>7958</v>
      </c>
      <c r="D216" t="s">
        <v>1383</v>
      </c>
      <c r="E216" t="s">
        <v>8083</v>
      </c>
      <c r="F216" t="s">
        <v>9366</v>
      </c>
      <c r="G216">
        <v>1</v>
      </c>
      <c r="H216" t="s">
        <v>9367</v>
      </c>
      <c r="I216" t="s">
        <v>9368</v>
      </c>
      <c r="J216" t="s">
        <v>8099</v>
      </c>
      <c r="K216" t="s">
        <v>8428</v>
      </c>
      <c r="M216" t="s">
        <v>1980</v>
      </c>
      <c r="N216" t="s">
        <v>8148</v>
      </c>
      <c r="O216" t="s">
        <v>8282</v>
      </c>
      <c r="P216" t="s">
        <v>8429</v>
      </c>
      <c r="Q216" t="s">
        <v>8092</v>
      </c>
      <c r="S216" t="s">
        <v>8565</v>
      </c>
      <c r="T216" t="s">
        <v>1984</v>
      </c>
      <c r="U216" t="s">
        <v>1984</v>
      </c>
      <c r="V216" t="s">
        <v>1984</v>
      </c>
      <c r="W216" t="s">
        <v>1984</v>
      </c>
      <c r="X216" t="s">
        <v>1984</v>
      </c>
      <c r="AE216" t="s">
        <v>1979</v>
      </c>
      <c r="AH216">
        <v>5</v>
      </c>
      <c r="AI216" t="s">
        <v>1979</v>
      </c>
      <c r="AJ216" t="s">
        <v>1979</v>
      </c>
      <c r="AK216" t="s">
        <v>1979</v>
      </c>
      <c r="AL216" t="s">
        <v>1979</v>
      </c>
      <c r="AM216" t="s">
        <v>1979</v>
      </c>
      <c r="AN216" t="s">
        <v>9321</v>
      </c>
      <c r="AO216" t="s">
        <v>9321</v>
      </c>
      <c r="AP216" t="s">
        <v>9321</v>
      </c>
      <c r="AQ216" t="s">
        <v>9321</v>
      </c>
      <c r="AR216" t="s">
        <v>9321</v>
      </c>
      <c r="AS216" t="s">
        <v>9321</v>
      </c>
      <c r="AT216" t="s">
        <v>9321</v>
      </c>
      <c r="AU216" t="s">
        <v>9321</v>
      </c>
      <c r="AV216" t="s">
        <v>9321</v>
      </c>
      <c r="AW216" t="s">
        <v>9321</v>
      </c>
      <c r="BH216" t="s">
        <v>9321</v>
      </c>
      <c r="BI216" t="s">
        <v>9321</v>
      </c>
      <c r="BJ216" t="s">
        <v>9321</v>
      </c>
      <c r="BK216" t="s">
        <v>9321</v>
      </c>
      <c r="BN216">
        <v>1</v>
      </c>
      <c r="BO216" t="s">
        <v>8092</v>
      </c>
      <c r="BP216" t="s">
        <v>8565</v>
      </c>
      <c r="BQ216" s="593" t="s">
        <v>1984</v>
      </c>
      <c r="BR216" t="s">
        <v>1979</v>
      </c>
      <c r="BS216" t="s">
        <v>8093</v>
      </c>
      <c r="BT216">
        <v>0</v>
      </c>
      <c r="BU216" t="s">
        <v>8093</v>
      </c>
      <c r="BV216">
        <v>0</v>
      </c>
      <c r="BW216" t="s">
        <v>1984</v>
      </c>
      <c r="BX216" t="s">
        <v>1979</v>
      </c>
      <c r="BY216">
        <v>0</v>
      </c>
      <c r="BZ216">
        <v>0</v>
      </c>
      <c r="CA216">
        <v>0</v>
      </c>
      <c r="CB216">
        <v>0</v>
      </c>
      <c r="CD216" t="s">
        <v>9369</v>
      </c>
    </row>
    <row r="217" spans="1:82">
      <c r="A217" t="s">
        <v>7981</v>
      </c>
      <c r="B217" t="s">
        <v>9370</v>
      </c>
      <c r="C217" t="s">
        <v>7958</v>
      </c>
      <c r="D217" t="s">
        <v>1383</v>
      </c>
      <c r="E217" t="s">
        <v>8083</v>
      </c>
      <c r="F217" t="s">
        <v>9366</v>
      </c>
      <c r="G217">
        <v>2</v>
      </c>
      <c r="H217" t="s">
        <v>9371</v>
      </c>
      <c r="I217" t="s">
        <v>9372</v>
      </c>
      <c r="J217" t="s">
        <v>8099</v>
      </c>
      <c r="K217" t="s">
        <v>8089</v>
      </c>
      <c r="N217" t="s">
        <v>8214</v>
      </c>
      <c r="O217" t="s">
        <v>11</v>
      </c>
      <c r="P217" t="s">
        <v>9373</v>
      </c>
      <c r="Q217">
        <v>0</v>
      </c>
      <c r="R217" t="s">
        <v>8091</v>
      </c>
      <c r="S217">
        <v>0</v>
      </c>
      <c r="T217">
        <v>0</v>
      </c>
      <c r="U217">
        <v>0</v>
      </c>
      <c r="V217">
        <v>0</v>
      </c>
      <c r="W217">
        <v>0</v>
      </c>
      <c r="X217">
        <v>0</v>
      </c>
      <c r="AH217">
        <v>0</v>
      </c>
      <c r="AI217" t="s">
        <v>1979</v>
      </c>
      <c r="AJ217" t="s">
        <v>1979</v>
      </c>
      <c r="AK217" t="s">
        <v>1979</v>
      </c>
      <c r="AL217" t="s">
        <v>1979</v>
      </c>
      <c r="AM217" t="s">
        <v>1979</v>
      </c>
      <c r="AN217">
        <v>1095338</v>
      </c>
      <c r="AO217">
        <v>1095338</v>
      </c>
      <c r="AP217">
        <v>1095338</v>
      </c>
      <c r="AQ217">
        <v>1095338</v>
      </c>
      <c r="AR217">
        <v>1095338</v>
      </c>
      <c r="AS217">
        <v>0</v>
      </c>
      <c r="AT217">
        <v>0</v>
      </c>
      <c r="AU217">
        <v>0</v>
      </c>
      <c r="AV217">
        <v>0</v>
      </c>
      <c r="AW217">
        <v>0</v>
      </c>
      <c r="BH217">
        <v>1.484E-5</v>
      </c>
      <c r="BN217">
        <v>1</v>
      </c>
      <c r="BO217" t="s">
        <v>8092</v>
      </c>
      <c r="BP217">
        <v>0</v>
      </c>
      <c r="BQ217" s="594">
        <v>0</v>
      </c>
      <c r="BR217" t="s">
        <v>1979</v>
      </c>
      <c r="BS217" t="s">
        <v>8093</v>
      </c>
      <c r="BT217">
        <v>0</v>
      </c>
      <c r="BU217" t="s">
        <v>8093</v>
      </c>
      <c r="BV217">
        <v>0</v>
      </c>
      <c r="BW217">
        <v>0</v>
      </c>
      <c r="BX217" t="s">
        <v>1979</v>
      </c>
      <c r="BY217">
        <v>0</v>
      </c>
      <c r="BZ217">
        <v>0</v>
      </c>
      <c r="CA217">
        <v>0</v>
      </c>
      <c r="CB217">
        <v>0</v>
      </c>
      <c r="CD217" t="s">
        <v>9374</v>
      </c>
    </row>
    <row r="218" spans="1:82">
      <c r="A218" t="s">
        <v>7981</v>
      </c>
      <c r="B218" t="s">
        <v>9375</v>
      </c>
      <c r="C218" t="s">
        <v>7958</v>
      </c>
      <c r="D218" t="s">
        <v>1383</v>
      </c>
      <c r="E218" t="s">
        <v>8083</v>
      </c>
      <c r="F218" t="s">
        <v>9366</v>
      </c>
      <c r="G218">
        <v>3</v>
      </c>
      <c r="H218" t="s">
        <v>9376</v>
      </c>
      <c r="I218" t="s">
        <v>9377</v>
      </c>
      <c r="J218" t="s">
        <v>8088</v>
      </c>
      <c r="K218" t="s">
        <v>8089</v>
      </c>
      <c r="N218" t="s">
        <v>2534</v>
      </c>
      <c r="O218" t="s">
        <v>11</v>
      </c>
      <c r="P218" t="s">
        <v>8090</v>
      </c>
      <c r="Q218">
        <v>1</v>
      </c>
      <c r="R218" t="s">
        <v>8091</v>
      </c>
      <c r="S218">
        <v>88</v>
      </c>
      <c r="X218">
        <v>87</v>
      </c>
      <c r="AE218" t="s">
        <v>1979</v>
      </c>
      <c r="AH218">
        <v>0</v>
      </c>
      <c r="AM218" t="s">
        <v>1979</v>
      </c>
      <c r="AR218">
        <v>96</v>
      </c>
      <c r="AW218">
        <v>87</v>
      </c>
      <c r="BB218">
        <v>85</v>
      </c>
      <c r="BG218">
        <v>83.6</v>
      </c>
      <c r="BH218">
        <v>0.13686799999999999</v>
      </c>
      <c r="BL218">
        <v>0.109496</v>
      </c>
      <c r="BN218">
        <v>1</v>
      </c>
      <c r="BO218" t="s">
        <v>8092</v>
      </c>
      <c r="BP218">
        <v>81.7</v>
      </c>
      <c r="BQ218" s="591">
        <v>83.9</v>
      </c>
      <c r="BR218" t="s">
        <v>8093</v>
      </c>
      <c r="BS218" t="s">
        <v>8093</v>
      </c>
      <c r="BT218">
        <v>0</v>
      </c>
      <c r="BU218" t="s">
        <v>8093</v>
      </c>
      <c r="BV218">
        <v>0</v>
      </c>
      <c r="BW218">
        <v>88.110156640835783</v>
      </c>
      <c r="BX218" t="s">
        <v>1981</v>
      </c>
      <c r="BY218">
        <v>0</v>
      </c>
      <c r="BZ218">
        <v>0</v>
      </c>
      <c r="CA218">
        <v>0</v>
      </c>
      <c r="CB218">
        <v>0</v>
      </c>
      <c r="CD218" t="s">
        <v>9378</v>
      </c>
    </row>
    <row r="219" spans="1:82">
      <c r="A219" t="s">
        <v>7981</v>
      </c>
      <c r="B219" t="s">
        <v>9379</v>
      </c>
      <c r="C219" t="s">
        <v>7958</v>
      </c>
      <c r="D219" t="s">
        <v>1383</v>
      </c>
      <c r="E219" t="s">
        <v>8083</v>
      </c>
      <c r="F219" t="s">
        <v>9366</v>
      </c>
      <c r="G219">
        <v>4</v>
      </c>
      <c r="H219" t="s">
        <v>9380</v>
      </c>
      <c r="I219" t="s">
        <v>9381</v>
      </c>
      <c r="J219" t="s">
        <v>8099</v>
      </c>
      <c r="K219" t="s">
        <v>8089</v>
      </c>
      <c r="N219" t="s">
        <v>2556</v>
      </c>
      <c r="O219" t="s">
        <v>8186</v>
      </c>
      <c r="P219" t="s">
        <v>8187</v>
      </c>
      <c r="Q219">
        <v>0</v>
      </c>
      <c r="R219" t="s">
        <v>8091</v>
      </c>
      <c r="S219">
        <v>9</v>
      </c>
      <c r="T219">
        <v>9</v>
      </c>
      <c r="U219">
        <v>9</v>
      </c>
      <c r="V219">
        <v>9</v>
      </c>
      <c r="W219">
        <v>9</v>
      </c>
      <c r="X219">
        <v>9</v>
      </c>
      <c r="AA219" t="s">
        <v>1979</v>
      </c>
      <c r="AE219" t="s">
        <v>1979</v>
      </c>
      <c r="AH219">
        <v>0</v>
      </c>
      <c r="AI219" t="s">
        <v>1979</v>
      </c>
      <c r="AJ219" t="s">
        <v>1979</v>
      </c>
      <c r="AK219" t="s">
        <v>1979</v>
      </c>
      <c r="AL219" t="s">
        <v>1979</v>
      </c>
      <c r="AM219" t="s">
        <v>1979</v>
      </c>
      <c r="AN219">
        <v>22</v>
      </c>
      <c r="AO219">
        <v>22</v>
      </c>
      <c r="AP219">
        <v>22</v>
      </c>
      <c r="AQ219">
        <v>22</v>
      </c>
      <c r="AR219">
        <v>22</v>
      </c>
      <c r="AS219">
        <v>12</v>
      </c>
      <c r="AT219">
        <v>12</v>
      </c>
      <c r="AU219">
        <v>12</v>
      </c>
      <c r="AV219">
        <v>12</v>
      </c>
      <c r="AW219">
        <v>12</v>
      </c>
      <c r="BH219">
        <v>5.7403000000000003E-2</v>
      </c>
      <c r="BN219">
        <v>1</v>
      </c>
      <c r="BO219" t="s">
        <v>8092</v>
      </c>
      <c r="BP219">
        <v>6</v>
      </c>
      <c r="BQ219" s="594">
        <v>12</v>
      </c>
      <c r="BR219" t="s">
        <v>1980</v>
      </c>
      <c r="BS219" t="s">
        <v>8093</v>
      </c>
      <c r="BT219">
        <v>0</v>
      </c>
      <c r="BU219" t="s">
        <v>1985</v>
      </c>
      <c r="BV219">
        <v>0</v>
      </c>
      <c r="BW219">
        <v>7</v>
      </c>
      <c r="BX219" t="s">
        <v>1979</v>
      </c>
      <c r="BY219">
        <v>0</v>
      </c>
      <c r="BZ219">
        <v>0</v>
      </c>
      <c r="CA219">
        <v>0</v>
      </c>
      <c r="CB219">
        <v>0</v>
      </c>
      <c r="CD219" t="s">
        <v>9382</v>
      </c>
    </row>
    <row r="220" spans="1:82">
      <c r="A220" t="s">
        <v>7981</v>
      </c>
      <c r="B220" t="s">
        <v>9383</v>
      </c>
      <c r="C220" t="s">
        <v>7958</v>
      </c>
      <c r="D220" t="s">
        <v>1383</v>
      </c>
      <c r="E220" t="s">
        <v>8083</v>
      </c>
      <c r="F220" t="s">
        <v>9366</v>
      </c>
      <c r="G220">
        <v>5</v>
      </c>
      <c r="H220" t="s">
        <v>9384</v>
      </c>
      <c r="I220" t="s">
        <v>9385</v>
      </c>
      <c r="J220" t="s">
        <v>8099</v>
      </c>
      <c r="K220" t="s">
        <v>8089</v>
      </c>
      <c r="N220" t="s">
        <v>8127</v>
      </c>
      <c r="O220" t="s">
        <v>10</v>
      </c>
      <c r="P220" t="s">
        <v>8128</v>
      </c>
      <c r="Q220">
        <v>2</v>
      </c>
      <c r="R220" t="s">
        <v>8129</v>
      </c>
      <c r="S220">
        <v>99.94</v>
      </c>
      <c r="T220">
        <v>99.95</v>
      </c>
      <c r="U220">
        <v>99.95</v>
      </c>
      <c r="V220">
        <v>100</v>
      </c>
      <c r="W220">
        <v>100</v>
      </c>
      <c r="X220">
        <v>100</v>
      </c>
      <c r="Y220" t="s">
        <v>1979</v>
      </c>
      <c r="AE220" t="s">
        <v>1979</v>
      </c>
      <c r="AH220">
        <v>0</v>
      </c>
      <c r="AI220" t="s">
        <v>1979</v>
      </c>
      <c r="AJ220" t="s">
        <v>1979</v>
      </c>
      <c r="AK220" t="s">
        <v>1979</v>
      </c>
      <c r="AL220" t="s">
        <v>1979</v>
      </c>
      <c r="AM220" t="s">
        <v>1979</v>
      </c>
      <c r="AN220">
        <v>99.91</v>
      </c>
      <c r="AO220">
        <v>99.91</v>
      </c>
      <c r="AP220">
        <v>99.93</v>
      </c>
      <c r="AQ220">
        <v>99.93</v>
      </c>
      <c r="AR220">
        <v>99.93</v>
      </c>
      <c r="AS220">
        <v>99.93</v>
      </c>
      <c r="AT220">
        <v>99.93</v>
      </c>
      <c r="AU220">
        <v>99.95</v>
      </c>
      <c r="AV220">
        <v>99.95</v>
      </c>
      <c r="AW220">
        <v>99.95</v>
      </c>
      <c r="BH220">
        <v>0.21937499999999999</v>
      </c>
      <c r="BN220">
        <v>100</v>
      </c>
      <c r="BO220" t="s">
        <v>8456</v>
      </c>
      <c r="BP220">
        <v>99.97</v>
      </c>
      <c r="BQ220" s="595">
        <v>99.98</v>
      </c>
      <c r="BR220" t="s">
        <v>1979</v>
      </c>
      <c r="BS220" t="s">
        <v>8093</v>
      </c>
      <c r="BT220">
        <v>0</v>
      </c>
      <c r="BU220" t="s">
        <v>8093</v>
      </c>
      <c r="BV220">
        <v>0</v>
      </c>
      <c r="BW220">
        <v>99.96</v>
      </c>
      <c r="BX220" t="s">
        <v>1979</v>
      </c>
      <c r="BY220">
        <v>0</v>
      </c>
      <c r="BZ220">
        <v>0</v>
      </c>
      <c r="CA220">
        <v>0</v>
      </c>
      <c r="CB220">
        <v>0</v>
      </c>
      <c r="CD220" t="s">
        <v>9386</v>
      </c>
    </row>
    <row r="221" spans="1:82">
      <c r="A221" t="s">
        <v>7981</v>
      </c>
      <c r="B221" t="s">
        <v>9387</v>
      </c>
      <c r="C221" t="s">
        <v>7958</v>
      </c>
      <c r="D221" t="s">
        <v>1383</v>
      </c>
      <c r="E221" t="s">
        <v>8083</v>
      </c>
      <c r="F221" t="s">
        <v>9366</v>
      </c>
      <c r="G221" t="s">
        <v>2400</v>
      </c>
      <c r="H221" t="s">
        <v>9388</v>
      </c>
      <c r="I221" t="s">
        <v>9389</v>
      </c>
      <c r="J221" t="s">
        <v>8099</v>
      </c>
      <c r="K221" t="s">
        <v>8089</v>
      </c>
      <c r="N221" t="s">
        <v>8055</v>
      </c>
      <c r="O221" t="s">
        <v>11</v>
      </c>
      <c r="P221" t="s">
        <v>8135</v>
      </c>
      <c r="Q221">
        <v>2</v>
      </c>
      <c r="R221" t="s">
        <v>8091</v>
      </c>
      <c r="S221">
        <v>0.9</v>
      </c>
      <c r="T221">
        <v>0.87</v>
      </c>
      <c r="U221">
        <v>0.85</v>
      </c>
      <c r="V221">
        <v>0.82</v>
      </c>
      <c r="W221">
        <v>0.82</v>
      </c>
      <c r="X221">
        <v>0.82</v>
      </c>
      <c r="Z221" t="s">
        <v>1979</v>
      </c>
      <c r="AE221" t="s">
        <v>1979</v>
      </c>
      <c r="AH221">
        <v>0</v>
      </c>
      <c r="AI221" t="s">
        <v>1979</v>
      </c>
      <c r="AJ221" t="s">
        <v>1979</v>
      </c>
      <c r="AK221" t="s">
        <v>1979</v>
      </c>
      <c r="AL221" t="s">
        <v>1979</v>
      </c>
      <c r="AM221" t="s">
        <v>1979</v>
      </c>
      <c r="AN221">
        <v>1.21</v>
      </c>
      <c r="AO221">
        <v>1.21</v>
      </c>
      <c r="AP221">
        <v>1.17</v>
      </c>
      <c r="AQ221">
        <v>1.17</v>
      </c>
      <c r="AR221">
        <v>1.17</v>
      </c>
      <c r="AS221">
        <v>0.9</v>
      </c>
      <c r="AT221">
        <v>0.9</v>
      </c>
      <c r="AU221">
        <v>0.86</v>
      </c>
      <c r="AV221">
        <v>0.86</v>
      </c>
      <c r="AW221">
        <v>0.86</v>
      </c>
      <c r="BH221">
        <v>0.55700000000000005</v>
      </c>
      <c r="BN221">
        <v>1</v>
      </c>
      <c r="BO221" t="s">
        <v>8092</v>
      </c>
      <c r="BP221">
        <v>0.57999999999999996</v>
      </c>
      <c r="BQ221" s="595">
        <v>0.8</v>
      </c>
      <c r="BR221" t="s">
        <v>1979</v>
      </c>
      <c r="BS221" t="s">
        <v>8093</v>
      </c>
      <c r="BT221">
        <v>0</v>
      </c>
      <c r="BU221" t="s">
        <v>8093</v>
      </c>
      <c r="BV221">
        <v>0</v>
      </c>
      <c r="BW221">
        <v>0.74</v>
      </c>
      <c r="BX221" t="s">
        <v>1979</v>
      </c>
      <c r="BY221">
        <v>0</v>
      </c>
      <c r="BZ221">
        <v>0</v>
      </c>
      <c r="CA221">
        <v>0</v>
      </c>
      <c r="CB221">
        <v>0</v>
      </c>
      <c r="CD221" t="s">
        <v>9390</v>
      </c>
    </row>
    <row r="222" spans="1:82">
      <c r="A222" t="s">
        <v>7981</v>
      </c>
      <c r="B222" t="s">
        <v>9391</v>
      </c>
      <c r="C222" t="s">
        <v>7958</v>
      </c>
      <c r="D222" t="s">
        <v>1383</v>
      </c>
      <c r="E222" t="s">
        <v>8083</v>
      </c>
      <c r="F222" t="s">
        <v>9366</v>
      </c>
      <c r="G222">
        <v>6</v>
      </c>
      <c r="H222" t="s">
        <v>9392</v>
      </c>
      <c r="I222" t="s">
        <v>9393</v>
      </c>
      <c r="J222" t="s">
        <v>8099</v>
      </c>
      <c r="K222" t="s">
        <v>8089</v>
      </c>
      <c r="N222" t="s">
        <v>8192</v>
      </c>
      <c r="O222" t="s">
        <v>11</v>
      </c>
      <c r="P222" t="s">
        <v>9255</v>
      </c>
      <c r="Q222">
        <v>0</v>
      </c>
      <c r="R222" t="s">
        <v>8091</v>
      </c>
      <c r="S222">
        <v>257</v>
      </c>
      <c r="T222">
        <v>257</v>
      </c>
      <c r="U222">
        <v>257</v>
      </c>
      <c r="V222">
        <v>257</v>
      </c>
      <c r="W222">
        <v>257</v>
      </c>
      <c r="X222">
        <v>257</v>
      </c>
      <c r="AE222" t="s">
        <v>1979</v>
      </c>
      <c r="AH222">
        <v>0</v>
      </c>
      <c r="AI222" t="s">
        <v>1979</v>
      </c>
      <c r="AJ222" t="s">
        <v>1979</v>
      </c>
      <c r="AK222" t="s">
        <v>1979</v>
      </c>
      <c r="AL222" t="s">
        <v>1979</v>
      </c>
      <c r="AM222" t="s">
        <v>1979</v>
      </c>
      <c r="AN222">
        <v>336</v>
      </c>
      <c r="AO222">
        <v>336</v>
      </c>
      <c r="AP222">
        <v>336</v>
      </c>
      <c r="AQ222">
        <v>336</v>
      </c>
      <c r="AR222">
        <v>336</v>
      </c>
      <c r="AS222">
        <v>296</v>
      </c>
      <c r="AT222">
        <v>296</v>
      </c>
      <c r="AU222">
        <v>296</v>
      </c>
      <c r="AV222">
        <v>296</v>
      </c>
      <c r="AW222">
        <v>296</v>
      </c>
      <c r="BH222">
        <v>4.339E-3</v>
      </c>
      <c r="BN222">
        <v>1</v>
      </c>
      <c r="BO222" t="s">
        <v>8092</v>
      </c>
      <c r="BP222">
        <v>254</v>
      </c>
      <c r="BQ222" s="594">
        <v>288</v>
      </c>
      <c r="BR222" t="s">
        <v>1980</v>
      </c>
      <c r="BS222" t="s">
        <v>8093</v>
      </c>
      <c r="BT222">
        <v>0</v>
      </c>
      <c r="BU222" t="s">
        <v>1985</v>
      </c>
      <c r="BV222">
        <v>0</v>
      </c>
      <c r="BW222">
        <v>222</v>
      </c>
      <c r="BX222" t="s">
        <v>1979</v>
      </c>
      <c r="BY222">
        <v>0</v>
      </c>
      <c r="BZ222">
        <v>0</v>
      </c>
      <c r="CA222">
        <v>0</v>
      </c>
      <c r="CB222">
        <v>0</v>
      </c>
      <c r="CD222" t="s">
        <v>9394</v>
      </c>
    </row>
    <row r="223" spans="1:82">
      <c r="A223" t="s">
        <v>7981</v>
      </c>
      <c r="B223" t="s">
        <v>9395</v>
      </c>
      <c r="C223" t="s">
        <v>7958</v>
      </c>
      <c r="D223" t="s">
        <v>1383</v>
      </c>
      <c r="E223" t="s">
        <v>8083</v>
      </c>
      <c r="F223" t="s">
        <v>9396</v>
      </c>
      <c r="G223">
        <v>7</v>
      </c>
      <c r="H223" t="s">
        <v>9397</v>
      </c>
      <c r="I223" t="s">
        <v>9398</v>
      </c>
      <c r="J223" t="s">
        <v>8119</v>
      </c>
      <c r="N223" t="s">
        <v>8113</v>
      </c>
      <c r="O223" t="s">
        <v>11</v>
      </c>
      <c r="P223" t="s">
        <v>8090</v>
      </c>
      <c r="Q223">
        <v>2</v>
      </c>
      <c r="R223" t="s">
        <v>8091</v>
      </c>
      <c r="S223">
        <v>533.97</v>
      </c>
      <c r="T223">
        <v>525.48</v>
      </c>
      <c r="U223">
        <v>525.05999999999995</v>
      </c>
      <c r="V223">
        <v>525.77</v>
      </c>
      <c r="W223">
        <v>526.79</v>
      </c>
      <c r="X223">
        <v>526.39</v>
      </c>
      <c r="AH223">
        <v>0</v>
      </c>
      <c r="BP223">
        <v>524.24</v>
      </c>
      <c r="BQ223" s="595">
        <v>520.64</v>
      </c>
      <c r="BR223" t="s">
        <v>1979</v>
      </c>
      <c r="BS223" t="s">
        <v>8093</v>
      </c>
      <c r="BT223">
        <v>0</v>
      </c>
      <c r="BU223" t="s">
        <v>8093</v>
      </c>
      <c r="BV223">
        <v>0</v>
      </c>
      <c r="BW223">
        <v>532.28119807697828</v>
      </c>
      <c r="BX223" t="s">
        <v>1980</v>
      </c>
      <c r="BY223">
        <v>0</v>
      </c>
      <c r="BZ223">
        <v>0</v>
      </c>
      <c r="CA223">
        <v>0</v>
      </c>
      <c r="CB223">
        <v>0</v>
      </c>
      <c r="CD223" t="s">
        <v>9399</v>
      </c>
    </row>
    <row r="224" spans="1:82">
      <c r="A224" t="s">
        <v>7981</v>
      </c>
      <c r="B224" t="s">
        <v>9400</v>
      </c>
      <c r="C224" t="s">
        <v>7958</v>
      </c>
      <c r="D224" t="s">
        <v>1383</v>
      </c>
      <c r="E224" t="s">
        <v>8083</v>
      </c>
      <c r="F224" t="s">
        <v>9401</v>
      </c>
      <c r="G224">
        <v>8</v>
      </c>
      <c r="H224" t="s">
        <v>9402</v>
      </c>
      <c r="I224" t="s">
        <v>9403</v>
      </c>
      <c r="J224" t="s">
        <v>8088</v>
      </c>
      <c r="K224" t="s">
        <v>8089</v>
      </c>
      <c r="N224" t="s">
        <v>8100</v>
      </c>
      <c r="O224" t="s">
        <v>11</v>
      </c>
      <c r="P224" t="s">
        <v>8510</v>
      </c>
      <c r="Q224">
        <v>1</v>
      </c>
      <c r="R224" t="s">
        <v>8091</v>
      </c>
      <c r="S224">
        <v>147.19999999999999</v>
      </c>
      <c r="X224">
        <v>133.69999999999999</v>
      </c>
      <c r="AH224">
        <v>0</v>
      </c>
      <c r="AM224" t="s">
        <v>1979</v>
      </c>
      <c r="AR224">
        <v>135.69999999999999</v>
      </c>
      <c r="AW224">
        <v>133.69999999999999</v>
      </c>
      <c r="BB224">
        <v>133.69999999999999</v>
      </c>
      <c r="BG224">
        <v>131.69999999999999</v>
      </c>
      <c r="BH224">
        <v>1.0969</v>
      </c>
      <c r="BL224">
        <v>0.6875</v>
      </c>
      <c r="BN224">
        <v>1</v>
      </c>
      <c r="BO224" t="s">
        <v>8092</v>
      </c>
      <c r="BP224">
        <v>134.80000000000001</v>
      </c>
      <c r="BQ224" s="591">
        <v>129.69999999999999</v>
      </c>
      <c r="BR224" t="s">
        <v>8093</v>
      </c>
      <c r="BS224" t="s">
        <v>8093</v>
      </c>
      <c r="BT224">
        <v>0</v>
      </c>
      <c r="BU224" t="s">
        <v>8093</v>
      </c>
      <c r="BV224">
        <v>0</v>
      </c>
      <c r="BW224">
        <v>131.29</v>
      </c>
      <c r="BX224" t="s">
        <v>1981</v>
      </c>
      <c r="BY224">
        <v>0</v>
      </c>
      <c r="BZ224">
        <v>0</v>
      </c>
      <c r="CA224">
        <v>0</v>
      </c>
      <c r="CB224">
        <v>0</v>
      </c>
      <c r="CD224" t="s">
        <v>9404</v>
      </c>
    </row>
    <row r="225" spans="1:82">
      <c r="A225" t="s">
        <v>7981</v>
      </c>
      <c r="B225" t="s">
        <v>9405</v>
      </c>
      <c r="C225" t="s">
        <v>7958</v>
      </c>
      <c r="D225" t="s">
        <v>1384</v>
      </c>
      <c r="E225" t="s">
        <v>8297</v>
      </c>
      <c r="F225" t="s">
        <v>9406</v>
      </c>
      <c r="G225">
        <v>1</v>
      </c>
      <c r="H225" t="s">
        <v>9407</v>
      </c>
      <c r="I225" t="s">
        <v>9408</v>
      </c>
      <c r="J225" t="s">
        <v>8099</v>
      </c>
      <c r="K225" t="s">
        <v>8428</v>
      </c>
      <c r="M225" t="s">
        <v>1980</v>
      </c>
      <c r="N225" t="s">
        <v>8364</v>
      </c>
      <c r="O225" t="s">
        <v>8282</v>
      </c>
      <c r="P225" t="s">
        <v>8429</v>
      </c>
      <c r="Q225" t="s">
        <v>8092</v>
      </c>
      <c r="S225" t="s">
        <v>8565</v>
      </c>
      <c r="T225" t="s">
        <v>1984</v>
      </c>
      <c r="U225" t="s">
        <v>1984</v>
      </c>
      <c r="V225" t="s">
        <v>1984</v>
      </c>
      <c r="W225" t="s">
        <v>1984</v>
      </c>
      <c r="X225" t="s">
        <v>1984</v>
      </c>
      <c r="AE225" t="s">
        <v>1979</v>
      </c>
      <c r="AH225">
        <v>3</v>
      </c>
      <c r="AI225" t="s">
        <v>1979</v>
      </c>
      <c r="AJ225" t="s">
        <v>1979</v>
      </c>
      <c r="AK225" t="s">
        <v>1979</v>
      </c>
      <c r="AL225" t="s">
        <v>1979</v>
      </c>
      <c r="AM225" t="s">
        <v>1979</v>
      </c>
      <c r="AN225" t="s">
        <v>9321</v>
      </c>
      <c r="AO225" t="s">
        <v>9321</v>
      </c>
      <c r="AP225" t="s">
        <v>9321</v>
      </c>
      <c r="AQ225" t="s">
        <v>9321</v>
      </c>
      <c r="AR225" t="s">
        <v>9321</v>
      </c>
      <c r="AS225" t="s">
        <v>9321</v>
      </c>
      <c r="AT225" t="s">
        <v>9321</v>
      </c>
      <c r="AU225" t="s">
        <v>9321</v>
      </c>
      <c r="AV225" t="s">
        <v>9321</v>
      </c>
      <c r="AW225" t="s">
        <v>9321</v>
      </c>
      <c r="BH225">
        <v>5.6250000000000001E-2</v>
      </c>
      <c r="BI225">
        <v>14.95</v>
      </c>
      <c r="BJ225">
        <v>2.9599999999999998E-4</v>
      </c>
      <c r="BN225">
        <v>1</v>
      </c>
      <c r="BO225" t="s">
        <v>8092</v>
      </c>
      <c r="BP225" t="s">
        <v>8565</v>
      </c>
      <c r="BQ225" s="593" t="s">
        <v>1984</v>
      </c>
      <c r="BR225" t="s">
        <v>1979</v>
      </c>
      <c r="BS225" t="s">
        <v>8093</v>
      </c>
      <c r="BT225">
        <v>0</v>
      </c>
      <c r="BU225" t="s">
        <v>8093</v>
      </c>
      <c r="BV225">
        <v>0</v>
      </c>
      <c r="BW225" t="s">
        <v>1984</v>
      </c>
      <c r="BX225" t="s">
        <v>1979</v>
      </c>
      <c r="BY225">
        <v>0</v>
      </c>
      <c r="BZ225">
        <v>0</v>
      </c>
      <c r="CA225">
        <v>0</v>
      </c>
      <c r="CB225">
        <v>0</v>
      </c>
      <c r="CD225" t="s">
        <v>9409</v>
      </c>
    </row>
    <row r="226" spans="1:82">
      <c r="A226" t="s">
        <v>7981</v>
      </c>
      <c r="B226" t="s">
        <v>9410</v>
      </c>
      <c r="C226" t="s">
        <v>7958</v>
      </c>
      <c r="D226" t="s">
        <v>1384</v>
      </c>
      <c r="E226" t="s">
        <v>8297</v>
      </c>
      <c r="F226" t="s">
        <v>9406</v>
      </c>
      <c r="G226" t="s">
        <v>2382</v>
      </c>
      <c r="H226" t="s">
        <v>9411</v>
      </c>
      <c r="I226" t="s">
        <v>9412</v>
      </c>
      <c r="J226" t="s">
        <v>8099</v>
      </c>
      <c r="K226" t="s">
        <v>8428</v>
      </c>
      <c r="N226" t="s">
        <v>8337</v>
      </c>
      <c r="O226" t="s">
        <v>11</v>
      </c>
      <c r="P226" t="s">
        <v>8338</v>
      </c>
      <c r="Q226">
        <v>0</v>
      </c>
      <c r="R226" t="s">
        <v>8091</v>
      </c>
      <c r="S226">
        <v>348</v>
      </c>
      <c r="T226">
        <v>285</v>
      </c>
      <c r="U226">
        <v>221</v>
      </c>
      <c r="V226">
        <v>158</v>
      </c>
      <c r="W226">
        <v>158</v>
      </c>
      <c r="X226">
        <v>158</v>
      </c>
      <c r="AB226" t="s">
        <v>1979</v>
      </c>
      <c r="AE226" t="s">
        <v>1979</v>
      </c>
      <c r="AH226">
        <v>0</v>
      </c>
      <c r="AI226" t="s">
        <v>1979</v>
      </c>
      <c r="AJ226" t="s">
        <v>1979</v>
      </c>
      <c r="AK226" t="s">
        <v>1979</v>
      </c>
      <c r="AL226" t="s">
        <v>1979</v>
      </c>
      <c r="AM226" t="s">
        <v>1979</v>
      </c>
      <c r="AN226">
        <v>453</v>
      </c>
      <c r="AO226">
        <v>453</v>
      </c>
      <c r="AP226">
        <v>280</v>
      </c>
      <c r="AQ226">
        <v>280</v>
      </c>
      <c r="AR226">
        <v>280</v>
      </c>
      <c r="AS226">
        <v>348</v>
      </c>
      <c r="AT226">
        <v>348</v>
      </c>
      <c r="AU226">
        <v>175</v>
      </c>
      <c r="AV226">
        <v>175</v>
      </c>
      <c r="AW226">
        <v>175</v>
      </c>
      <c r="BH226">
        <v>2.0570999999999999E-2</v>
      </c>
      <c r="BN226">
        <v>1</v>
      </c>
      <c r="BO226" t="s">
        <v>8092</v>
      </c>
      <c r="BP226">
        <v>283</v>
      </c>
      <c r="BQ226" s="594">
        <v>160</v>
      </c>
      <c r="BR226" t="s">
        <v>1979</v>
      </c>
      <c r="BS226" t="s">
        <v>8093</v>
      </c>
      <c r="BT226">
        <v>0</v>
      </c>
      <c r="BU226" t="s">
        <v>8093</v>
      </c>
      <c r="BV226">
        <v>0</v>
      </c>
      <c r="BW226">
        <v>143</v>
      </c>
      <c r="BX226" t="s">
        <v>1979</v>
      </c>
      <c r="BY226">
        <v>0</v>
      </c>
      <c r="BZ226">
        <v>0</v>
      </c>
      <c r="CA226">
        <v>0</v>
      </c>
      <c r="CB226">
        <v>0</v>
      </c>
      <c r="CD226" t="s">
        <v>9413</v>
      </c>
    </row>
    <row r="227" spans="1:82">
      <c r="A227" t="s">
        <v>7981</v>
      </c>
      <c r="B227" t="s">
        <v>9414</v>
      </c>
      <c r="C227" t="s">
        <v>7958</v>
      </c>
      <c r="D227" t="s">
        <v>1384</v>
      </c>
      <c r="E227" t="s">
        <v>8297</v>
      </c>
      <c r="F227" t="s">
        <v>9406</v>
      </c>
      <c r="G227">
        <v>2</v>
      </c>
      <c r="H227" t="s">
        <v>9415</v>
      </c>
      <c r="I227" t="s">
        <v>9416</v>
      </c>
      <c r="J227" t="s">
        <v>8088</v>
      </c>
      <c r="K227" t="s">
        <v>8089</v>
      </c>
      <c r="M227" t="s">
        <v>1980</v>
      </c>
      <c r="N227" t="s">
        <v>8301</v>
      </c>
      <c r="O227" t="s">
        <v>11</v>
      </c>
      <c r="P227" t="s">
        <v>9417</v>
      </c>
      <c r="Q227">
        <v>0</v>
      </c>
      <c r="R227" t="s">
        <v>8091</v>
      </c>
      <c r="S227">
        <v>551</v>
      </c>
      <c r="T227">
        <v>446</v>
      </c>
      <c r="U227">
        <v>436</v>
      </c>
      <c r="V227">
        <v>414</v>
      </c>
      <c r="W227">
        <v>392</v>
      </c>
      <c r="X227">
        <v>382</v>
      </c>
      <c r="AC227" t="s">
        <v>1979</v>
      </c>
      <c r="AE227" t="s">
        <v>1979</v>
      </c>
      <c r="AH227">
        <v>0</v>
      </c>
      <c r="AM227" t="s">
        <v>1979</v>
      </c>
      <c r="AR227">
        <v>2440</v>
      </c>
      <c r="AW227">
        <v>2215</v>
      </c>
      <c r="BB227">
        <v>2000</v>
      </c>
      <c r="BG227">
        <v>1700</v>
      </c>
      <c r="BH227">
        <v>7.5259999999999994E-2</v>
      </c>
      <c r="BL227">
        <v>7.2228000000000001E-2</v>
      </c>
      <c r="BN227">
        <v>1</v>
      </c>
      <c r="BO227" t="s">
        <v>8092</v>
      </c>
      <c r="BP227">
        <v>487</v>
      </c>
      <c r="BQ227" s="594">
        <v>492</v>
      </c>
      <c r="BR227" t="s">
        <v>1980</v>
      </c>
      <c r="BS227" t="s">
        <v>8093</v>
      </c>
      <c r="BT227">
        <v>0</v>
      </c>
      <c r="BU227" t="s">
        <v>8093</v>
      </c>
      <c r="BV227">
        <v>0</v>
      </c>
      <c r="BW227">
        <v>448</v>
      </c>
      <c r="BX227" t="s">
        <v>1980</v>
      </c>
      <c r="BY227">
        <v>0</v>
      </c>
      <c r="BZ227">
        <v>0</v>
      </c>
      <c r="CA227">
        <v>0</v>
      </c>
      <c r="CB227">
        <v>0</v>
      </c>
      <c r="CD227" t="s">
        <v>9418</v>
      </c>
    </row>
    <row r="228" spans="1:82">
      <c r="A228" t="s">
        <v>7981</v>
      </c>
      <c r="B228" t="s">
        <v>9419</v>
      </c>
      <c r="C228" t="s">
        <v>7958</v>
      </c>
      <c r="D228" t="s">
        <v>1384</v>
      </c>
      <c r="E228" t="s">
        <v>8297</v>
      </c>
      <c r="F228" t="s">
        <v>9406</v>
      </c>
      <c r="G228">
        <v>3</v>
      </c>
      <c r="H228" t="s">
        <v>9420</v>
      </c>
      <c r="I228" t="s">
        <v>9421</v>
      </c>
      <c r="J228" t="s">
        <v>8119</v>
      </c>
      <c r="N228" t="s">
        <v>8301</v>
      </c>
      <c r="O228" t="s">
        <v>11</v>
      </c>
      <c r="P228" t="s">
        <v>9422</v>
      </c>
      <c r="Q228">
        <v>0</v>
      </c>
      <c r="R228" t="s">
        <v>8091</v>
      </c>
      <c r="S228">
        <v>9694</v>
      </c>
      <c r="T228">
        <v>9694</v>
      </c>
      <c r="U228">
        <v>9694</v>
      </c>
      <c r="V228">
        <v>9694</v>
      </c>
      <c r="W228">
        <v>9694</v>
      </c>
      <c r="X228">
        <v>9694</v>
      </c>
      <c r="AE228" t="s">
        <v>1979</v>
      </c>
      <c r="AH228">
        <v>0</v>
      </c>
      <c r="BP228">
        <v>9796</v>
      </c>
      <c r="BQ228" s="594">
        <v>8314</v>
      </c>
      <c r="BR228" t="s">
        <v>1979</v>
      </c>
      <c r="BS228" t="s">
        <v>8093</v>
      </c>
      <c r="BT228">
        <v>0</v>
      </c>
      <c r="BU228" t="s">
        <v>8093</v>
      </c>
      <c r="BV228">
        <v>0</v>
      </c>
      <c r="BW228">
        <v>8009</v>
      </c>
      <c r="BX228" t="s">
        <v>1979</v>
      </c>
      <c r="BY228">
        <v>0</v>
      </c>
      <c r="BZ228">
        <v>0</v>
      </c>
      <c r="CA228">
        <v>0</v>
      </c>
      <c r="CB228">
        <v>0</v>
      </c>
      <c r="CD228" t="s">
        <v>9423</v>
      </c>
    </row>
    <row r="229" spans="1:82">
      <c r="A229" t="s">
        <v>7981</v>
      </c>
      <c r="B229" t="s">
        <v>9424</v>
      </c>
      <c r="C229" t="s">
        <v>7958</v>
      </c>
      <c r="D229" t="s">
        <v>1384</v>
      </c>
      <c r="E229" t="s">
        <v>8297</v>
      </c>
      <c r="F229" t="s">
        <v>9406</v>
      </c>
      <c r="G229">
        <v>4</v>
      </c>
      <c r="H229" t="s">
        <v>9425</v>
      </c>
      <c r="I229" t="s">
        <v>9426</v>
      </c>
      <c r="J229" t="s">
        <v>8099</v>
      </c>
      <c r="K229" t="s">
        <v>8089</v>
      </c>
      <c r="N229" t="s">
        <v>8301</v>
      </c>
      <c r="O229" t="s">
        <v>11</v>
      </c>
      <c r="P229" t="s">
        <v>9427</v>
      </c>
      <c r="Q229">
        <v>2</v>
      </c>
      <c r="R229" t="s">
        <v>8091</v>
      </c>
      <c r="S229">
        <v>0.57999999999999996</v>
      </c>
      <c r="T229">
        <v>0.57999999999999996</v>
      </c>
      <c r="U229">
        <v>0.57999999999999996</v>
      </c>
      <c r="V229">
        <v>0.57999999999999996</v>
      </c>
      <c r="W229">
        <v>0.57999999999999996</v>
      </c>
      <c r="X229">
        <v>0.57999999999999996</v>
      </c>
      <c r="AE229" t="s">
        <v>1979</v>
      </c>
      <c r="AH229">
        <v>0</v>
      </c>
      <c r="AI229" t="s">
        <v>1979</v>
      </c>
      <c r="AJ229" t="s">
        <v>1979</v>
      </c>
      <c r="AK229" t="s">
        <v>1979</v>
      </c>
      <c r="AL229" t="s">
        <v>1979</v>
      </c>
      <c r="AM229" t="s">
        <v>1979</v>
      </c>
      <c r="AN229">
        <v>0.65</v>
      </c>
      <c r="AO229">
        <v>0.65</v>
      </c>
      <c r="AP229">
        <v>0.65</v>
      </c>
      <c r="AQ229">
        <v>0.65</v>
      </c>
      <c r="AR229">
        <v>0.65</v>
      </c>
      <c r="AS229">
        <v>0.59</v>
      </c>
      <c r="AT229">
        <v>0.59</v>
      </c>
      <c r="AU229">
        <v>0.59</v>
      </c>
      <c r="AV229">
        <v>0.59</v>
      </c>
      <c r="AW229">
        <v>0.59</v>
      </c>
      <c r="BH229">
        <v>16.276</v>
      </c>
      <c r="BN229">
        <v>1</v>
      </c>
      <c r="BO229" t="s">
        <v>8092</v>
      </c>
      <c r="BP229">
        <v>0.55000000000000004</v>
      </c>
      <c r="BQ229" s="595">
        <v>0.56000000000000005</v>
      </c>
      <c r="BR229" t="s">
        <v>1979</v>
      </c>
      <c r="BS229" t="s">
        <v>8093</v>
      </c>
      <c r="BT229">
        <v>0</v>
      </c>
      <c r="BU229" t="s">
        <v>8093</v>
      </c>
      <c r="BV229">
        <v>0</v>
      </c>
      <c r="BW229">
        <v>0.55000000000000004</v>
      </c>
      <c r="BX229" t="s">
        <v>1979</v>
      </c>
      <c r="BY229">
        <v>0</v>
      </c>
      <c r="BZ229">
        <v>0</v>
      </c>
      <c r="CA229">
        <v>0</v>
      </c>
      <c r="CB229">
        <v>0</v>
      </c>
      <c r="CD229" t="s">
        <v>9428</v>
      </c>
    </row>
    <row r="230" spans="1:82">
      <c r="A230" t="s">
        <v>7981</v>
      </c>
      <c r="B230" t="s">
        <v>9429</v>
      </c>
      <c r="C230" t="s">
        <v>7958</v>
      </c>
      <c r="D230" t="s">
        <v>1384</v>
      </c>
      <c r="E230" t="s">
        <v>8297</v>
      </c>
      <c r="F230" t="s">
        <v>9406</v>
      </c>
      <c r="G230">
        <v>5</v>
      </c>
      <c r="H230" t="s">
        <v>9430</v>
      </c>
      <c r="I230" t="s">
        <v>9431</v>
      </c>
      <c r="J230" t="s">
        <v>8099</v>
      </c>
      <c r="K230" t="s">
        <v>8089</v>
      </c>
      <c r="N230" t="s">
        <v>9432</v>
      </c>
      <c r="O230" t="s">
        <v>11</v>
      </c>
      <c r="P230" t="s">
        <v>9433</v>
      </c>
      <c r="Q230">
        <v>0</v>
      </c>
      <c r="R230" t="s">
        <v>8091</v>
      </c>
      <c r="S230" t="s">
        <v>8565</v>
      </c>
      <c r="T230" t="s">
        <v>8565</v>
      </c>
      <c r="U230" t="s">
        <v>8565</v>
      </c>
      <c r="V230" t="s">
        <v>8565</v>
      </c>
      <c r="W230">
        <v>0</v>
      </c>
      <c r="X230">
        <v>0</v>
      </c>
      <c r="AD230" t="s">
        <v>1979</v>
      </c>
      <c r="AE230" t="s">
        <v>1979</v>
      </c>
      <c r="AH230">
        <v>0</v>
      </c>
      <c r="AL230" t="s">
        <v>1979</v>
      </c>
      <c r="AM230" t="s">
        <v>1979</v>
      </c>
      <c r="AQ230">
        <v>20</v>
      </c>
      <c r="AR230">
        <v>20</v>
      </c>
      <c r="AV230">
        <v>0</v>
      </c>
      <c r="AW230">
        <v>0</v>
      </c>
      <c r="BH230">
        <v>7.9000000000000001E-2</v>
      </c>
      <c r="BN230">
        <v>1</v>
      </c>
      <c r="BO230" t="s">
        <v>8092</v>
      </c>
      <c r="BP230" t="s">
        <v>8565</v>
      </c>
      <c r="BQ230" s="594" t="s">
        <v>8565</v>
      </c>
      <c r="BR230" t="s">
        <v>8093</v>
      </c>
      <c r="BS230" t="s">
        <v>8093</v>
      </c>
      <c r="BT230">
        <v>0</v>
      </c>
      <c r="BU230" t="s">
        <v>8093</v>
      </c>
      <c r="BV230">
        <v>0</v>
      </c>
      <c r="BW230" t="s">
        <v>8565</v>
      </c>
      <c r="BX230" t="s">
        <v>1981</v>
      </c>
      <c r="BY230">
        <v>0</v>
      </c>
      <c r="BZ230">
        <v>0</v>
      </c>
      <c r="CA230">
        <v>0</v>
      </c>
      <c r="CB230">
        <v>0</v>
      </c>
      <c r="CD230" t="s">
        <v>9434</v>
      </c>
    </row>
    <row r="231" spans="1:82">
      <c r="A231" t="s">
        <v>7981</v>
      </c>
      <c r="B231" t="s">
        <v>9435</v>
      </c>
      <c r="C231" t="s">
        <v>7958</v>
      </c>
      <c r="D231" t="s">
        <v>1384</v>
      </c>
      <c r="E231" t="s">
        <v>8297</v>
      </c>
      <c r="F231" t="s">
        <v>9396</v>
      </c>
      <c r="G231">
        <v>6</v>
      </c>
      <c r="H231" t="s">
        <v>9436</v>
      </c>
      <c r="I231" t="s">
        <v>9437</v>
      </c>
      <c r="J231" t="s">
        <v>8099</v>
      </c>
      <c r="K231" t="s">
        <v>8089</v>
      </c>
      <c r="N231" t="s">
        <v>8252</v>
      </c>
      <c r="O231" t="s">
        <v>10</v>
      </c>
      <c r="P231" t="s">
        <v>9438</v>
      </c>
      <c r="Q231">
        <v>1</v>
      </c>
      <c r="R231" t="s">
        <v>8129</v>
      </c>
      <c r="S231">
        <v>98.6</v>
      </c>
      <c r="T231">
        <v>100</v>
      </c>
      <c r="U231">
        <v>100</v>
      </c>
      <c r="V231">
        <v>100</v>
      </c>
      <c r="W231">
        <v>100</v>
      </c>
      <c r="X231">
        <v>100</v>
      </c>
      <c r="AE231" t="s">
        <v>1979</v>
      </c>
      <c r="AH231">
        <v>0</v>
      </c>
      <c r="AI231" t="s">
        <v>1979</v>
      </c>
      <c r="AJ231" t="s">
        <v>1979</v>
      </c>
      <c r="AK231" t="s">
        <v>1979</v>
      </c>
      <c r="AL231" t="s">
        <v>1979</v>
      </c>
      <c r="AM231" t="s">
        <v>1979</v>
      </c>
      <c r="AN231">
        <v>96.8</v>
      </c>
      <c r="AO231">
        <v>96.8</v>
      </c>
      <c r="AP231">
        <v>96.8</v>
      </c>
      <c r="AQ231">
        <v>96.8</v>
      </c>
      <c r="AR231">
        <v>96.8</v>
      </c>
      <c r="AS231">
        <v>97.7</v>
      </c>
      <c r="AT231">
        <v>97.7</v>
      </c>
      <c r="AU231">
        <v>97.7</v>
      </c>
      <c r="AV231">
        <v>97.7</v>
      </c>
      <c r="AW231">
        <v>97.7</v>
      </c>
      <c r="BH231">
        <v>1.661</v>
      </c>
      <c r="BN231">
        <v>10</v>
      </c>
      <c r="BO231" t="s">
        <v>9439</v>
      </c>
      <c r="BP231">
        <v>99</v>
      </c>
      <c r="BQ231" s="591">
        <v>99.3</v>
      </c>
      <c r="BR231" t="s">
        <v>1980</v>
      </c>
      <c r="BS231" t="s">
        <v>8093</v>
      </c>
      <c r="BT231">
        <v>0</v>
      </c>
      <c r="BU231" t="s">
        <v>1985</v>
      </c>
      <c r="BV231">
        <v>0</v>
      </c>
      <c r="BW231">
        <v>99.32</v>
      </c>
      <c r="BX231" t="s">
        <v>1980</v>
      </c>
      <c r="BY231">
        <v>0</v>
      </c>
      <c r="BZ231">
        <v>0</v>
      </c>
      <c r="CA231" t="s">
        <v>1985</v>
      </c>
      <c r="CB231">
        <v>0</v>
      </c>
      <c r="CD231" t="s">
        <v>9440</v>
      </c>
    </row>
    <row r="232" spans="1:82">
      <c r="A232" t="s">
        <v>7981</v>
      </c>
      <c r="B232" t="s">
        <v>9441</v>
      </c>
      <c r="C232" t="s">
        <v>7958</v>
      </c>
      <c r="D232" t="s">
        <v>1384</v>
      </c>
      <c r="E232" t="s">
        <v>8297</v>
      </c>
      <c r="F232" t="s">
        <v>9396</v>
      </c>
      <c r="G232">
        <v>7</v>
      </c>
      <c r="H232" t="s">
        <v>9442</v>
      </c>
      <c r="I232" t="s">
        <v>9443</v>
      </c>
      <c r="J232" t="s">
        <v>8119</v>
      </c>
      <c r="N232" t="s">
        <v>8260</v>
      </c>
      <c r="O232" t="s">
        <v>10</v>
      </c>
      <c r="P232" t="s">
        <v>9444</v>
      </c>
      <c r="Q232">
        <v>1</v>
      </c>
      <c r="R232" t="s">
        <v>8129</v>
      </c>
      <c r="S232">
        <v>14.5</v>
      </c>
      <c r="X232">
        <v>16.5</v>
      </c>
      <c r="AH232">
        <v>0</v>
      </c>
      <c r="BP232">
        <v>16</v>
      </c>
      <c r="BQ232" s="591">
        <v>17.3</v>
      </c>
      <c r="BR232" t="s">
        <v>8093</v>
      </c>
      <c r="BS232" t="s">
        <v>8093</v>
      </c>
      <c r="BT232">
        <v>0</v>
      </c>
      <c r="BU232" t="s">
        <v>8093</v>
      </c>
      <c r="BV232">
        <v>0</v>
      </c>
      <c r="BW232">
        <v>17.03</v>
      </c>
      <c r="BX232" t="s">
        <v>1981</v>
      </c>
      <c r="BY232">
        <v>0</v>
      </c>
      <c r="BZ232">
        <v>0</v>
      </c>
      <c r="CA232">
        <v>0</v>
      </c>
      <c r="CB232">
        <v>0</v>
      </c>
      <c r="CD232" t="s">
        <v>9445</v>
      </c>
    </row>
    <row r="233" spans="1:82">
      <c r="A233" t="s">
        <v>7981</v>
      </c>
      <c r="B233" t="s">
        <v>9446</v>
      </c>
      <c r="C233" t="s">
        <v>7958</v>
      </c>
      <c r="D233" t="s">
        <v>1384</v>
      </c>
      <c r="E233" t="s">
        <v>8297</v>
      </c>
      <c r="F233" t="s">
        <v>9396</v>
      </c>
      <c r="G233">
        <v>8</v>
      </c>
      <c r="H233" t="s">
        <v>9447</v>
      </c>
      <c r="I233" t="s">
        <v>9448</v>
      </c>
      <c r="J233" t="s">
        <v>8088</v>
      </c>
      <c r="K233" t="s">
        <v>8089</v>
      </c>
      <c r="N233" t="s">
        <v>8252</v>
      </c>
      <c r="O233" t="s">
        <v>11</v>
      </c>
      <c r="P233" t="s">
        <v>9449</v>
      </c>
      <c r="Q233">
        <v>0</v>
      </c>
      <c r="R233" t="s">
        <v>8129</v>
      </c>
      <c r="T233">
        <v>54</v>
      </c>
      <c r="U233">
        <v>54</v>
      </c>
      <c r="V233">
        <v>54</v>
      </c>
      <c r="W233">
        <v>54</v>
      </c>
      <c r="X233">
        <v>54</v>
      </c>
      <c r="AH233">
        <v>0</v>
      </c>
      <c r="AI233" t="s">
        <v>1979</v>
      </c>
      <c r="AJ233" t="s">
        <v>1979</v>
      </c>
      <c r="AK233" t="s">
        <v>1979</v>
      </c>
      <c r="AL233" t="s">
        <v>1979</v>
      </c>
      <c r="AM233" t="s">
        <v>1979</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8092</v>
      </c>
      <c r="BP233">
        <v>54</v>
      </c>
      <c r="BQ233" s="594">
        <v>43</v>
      </c>
      <c r="BR233" t="s">
        <v>1980</v>
      </c>
      <c r="BS233" t="s">
        <v>8093</v>
      </c>
      <c r="BT233">
        <v>0</v>
      </c>
      <c r="BU233" t="s">
        <v>1983</v>
      </c>
      <c r="BV233">
        <v>-1.4575</v>
      </c>
      <c r="BW233">
        <v>51</v>
      </c>
      <c r="BX233" t="s">
        <v>1980</v>
      </c>
      <c r="BY233">
        <v>0</v>
      </c>
      <c r="BZ233">
        <v>0</v>
      </c>
      <c r="CA233" t="s">
        <v>1985</v>
      </c>
      <c r="CB233">
        <v>0</v>
      </c>
      <c r="CD233" t="s">
        <v>9450</v>
      </c>
    </row>
    <row r="234" spans="1:82">
      <c r="A234" t="s">
        <v>7981</v>
      </c>
      <c r="B234" t="s">
        <v>9451</v>
      </c>
      <c r="C234" t="s">
        <v>7958</v>
      </c>
      <c r="D234" t="s">
        <v>1384</v>
      </c>
      <c r="E234" t="s">
        <v>8297</v>
      </c>
      <c r="F234" t="s">
        <v>9396</v>
      </c>
      <c r="G234">
        <v>9</v>
      </c>
      <c r="H234" t="s">
        <v>9452</v>
      </c>
      <c r="I234" t="s">
        <v>9453</v>
      </c>
      <c r="J234" t="s">
        <v>8088</v>
      </c>
      <c r="K234" t="s">
        <v>8089</v>
      </c>
      <c r="N234" t="s">
        <v>8252</v>
      </c>
      <c r="O234" t="s">
        <v>11</v>
      </c>
      <c r="P234" t="s">
        <v>9449</v>
      </c>
      <c r="Q234">
        <v>0</v>
      </c>
      <c r="R234" t="s">
        <v>8129</v>
      </c>
      <c r="T234">
        <v>0</v>
      </c>
      <c r="U234">
        <v>0</v>
      </c>
      <c r="V234">
        <v>0</v>
      </c>
      <c r="W234">
        <v>0</v>
      </c>
      <c r="X234">
        <v>7</v>
      </c>
      <c r="AD234" t="s">
        <v>1979</v>
      </c>
      <c r="AH234">
        <v>0</v>
      </c>
      <c r="AI234" t="s">
        <v>1979</v>
      </c>
      <c r="AJ234" t="s">
        <v>1979</v>
      </c>
      <c r="AK234" t="s">
        <v>1979</v>
      </c>
      <c r="AL234" t="s">
        <v>1979</v>
      </c>
      <c r="AM234" t="s">
        <v>1979</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8092</v>
      </c>
      <c r="BP234">
        <v>0</v>
      </c>
      <c r="BQ234" s="594">
        <v>0</v>
      </c>
      <c r="BR234" t="s">
        <v>1979</v>
      </c>
      <c r="BS234" t="s">
        <v>8093</v>
      </c>
      <c r="BT234">
        <v>0</v>
      </c>
      <c r="BU234" t="s">
        <v>8093</v>
      </c>
      <c r="BV234">
        <v>0</v>
      </c>
      <c r="BW234">
        <v>0</v>
      </c>
      <c r="BX234" t="s">
        <v>1979</v>
      </c>
      <c r="BY234">
        <v>0</v>
      </c>
      <c r="BZ234">
        <v>0</v>
      </c>
      <c r="CA234">
        <v>0</v>
      </c>
      <c r="CB234">
        <v>0</v>
      </c>
      <c r="CD234" t="s">
        <v>9454</v>
      </c>
    </row>
    <row r="235" spans="1:82">
      <c r="A235" t="s">
        <v>7981</v>
      </c>
      <c r="B235" t="s">
        <v>9455</v>
      </c>
      <c r="C235" t="s">
        <v>7958</v>
      </c>
      <c r="D235" t="s">
        <v>1384</v>
      </c>
      <c r="E235" t="s">
        <v>8297</v>
      </c>
      <c r="F235" t="s">
        <v>9396</v>
      </c>
      <c r="G235">
        <v>10</v>
      </c>
      <c r="H235" t="s">
        <v>9456</v>
      </c>
      <c r="I235" t="s">
        <v>9457</v>
      </c>
      <c r="J235" t="s">
        <v>8099</v>
      </c>
      <c r="K235" t="s">
        <v>8428</v>
      </c>
      <c r="N235" t="s">
        <v>8252</v>
      </c>
      <c r="O235" t="s">
        <v>8</v>
      </c>
      <c r="P235" t="s">
        <v>9458</v>
      </c>
      <c r="Q235">
        <v>1</v>
      </c>
      <c r="S235" t="s">
        <v>8565</v>
      </c>
      <c r="X235">
        <v>31.5</v>
      </c>
      <c r="AH235">
        <v>0</v>
      </c>
      <c r="AM235" t="s">
        <v>1979</v>
      </c>
      <c r="AR235">
        <v>0</v>
      </c>
      <c r="AW235">
        <v>24.56</v>
      </c>
      <c r="BH235">
        <v>0.5</v>
      </c>
      <c r="BN235">
        <v>1</v>
      </c>
      <c r="BO235" t="s">
        <v>8092</v>
      </c>
      <c r="BP235" t="s">
        <v>8565</v>
      </c>
      <c r="BQ235" s="594" t="s">
        <v>8565</v>
      </c>
      <c r="BR235" t="s">
        <v>8093</v>
      </c>
      <c r="BS235" t="s">
        <v>8093</v>
      </c>
      <c r="BT235">
        <v>0</v>
      </c>
      <c r="BU235" t="s">
        <v>8093</v>
      </c>
      <c r="BV235">
        <v>0</v>
      </c>
      <c r="BW235" t="s">
        <v>8565</v>
      </c>
      <c r="BX235" t="s">
        <v>1981</v>
      </c>
      <c r="BY235">
        <v>0</v>
      </c>
      <c r="BZ235">
        <v>0</v>
      </c>
      <c r="CA235">
        <v>0</v>
      </c>
      <c r="CB235">
        <v>0</v>
      </c>
      <c r="CD235" t="s">
        <v>9459</v>
      </c>
    </row>
    <row r="236" spans="1:82">
      <c r="A236" t="s">
        <v>7981</v>
      </c>
      <c r="B236" t="s">
        <v>9460</v>
      </c>
      <c r="C236" t="s">
        <v>7958</v>
      </c>
      <c r="D236" t="s">
        <v>1384</v>
      </c>
      <c r="E236" t="s">
        <v>8297</v>
      </c>
      <c r="F236" t="s">
        <v>9396</v>
      </c>
      <c r="G236">
        <v>11</v>
      </c>
      <c r="H236" t="s">
        <v>9461</v>
      </c>
      <c r="I236" t="s">
        <v>9462</v>
      </c>
      <c r="J236" t="s">
        <v>8119</v>
      </c>
      <c r="N236" t="s">
        <v>8337</v>
      </c>
      <c r="O236" t="s">
        <v>11</v>
      </c>
      <c r="P236" t="s">
        <v>9463</v>
      </c>
      <c r="Q236">
        <v>0</v>
      </c>
      <c r="R236" t="s">
        <v>8091</v>
      </c>
      <c r="S236">
        <v>7</v>
      </c>
      <c r="T236">
        <v>8</v>
      </c>
      <c r="U236">
        <v>6</v>
      </c>
      <c r="V236">
        <v>4</v>
      </c>
      <c r="W236">
        <v>2</v>
      </c>
      <c r="X236">
        <v>0</v>
      </c>
      <c r="AE236" t="s">
        <v>1979</v>
      </c>
      <c r="AH236">
        <v>0</v>
      </c>
      <c r="BP236">
        <v>12</v>
      </c>
      <c r="BQ236" s="594">
        <v>7</v>
      </c>
      <c r="BR236" t="s">
        <v>1979</v>
      </c>
      <c r="BS236" t="s">
        <v>8093</v>
      </c>
      <c r="BT236">
        <v>0</v>
      </c>
      <c r="BU236" t="s">
        <v>8093</v>
      </c>
      <c r="BV236">
        <v>0</v>
      </c>
      <c r="BW236">
        <v>3</v>
      </c>
      <c r="BX236" t="s">
        <v>1979</v>
      </c>
      <c r="BY236">
        <v>0</v>
      </c>
      <c r="BZ236">
        <v>0</v>
      </c>
      <c r="CA236">
        <v>0</v>
      </c>
      <c r="CB236">
        <v>0</v>
      </c>
      <c r="CD236" t="s">
        <v>9464</v>
      </c>
    </row>
    <row r="237" spans="1:82">
      <c r="A237" t="s">
        <v>7981</v>
      </c>
      <c r="B237" t="s">
        <v>9465</v>
      </c>
      <c r="C237" t="s">
        <v>7958</v>
      </c>
      <c r="D237" t="s">
        <v>1384</v>
      </c>
      <c r="E237" t="s">
        <v>8297</v>
      </c>
      <c r="F237" t="s">
        <v>9401</v>
      </c>
      <c r="G237">
        <v>12</v>
      </c>
      <c r="H237" t="s">
        <v>9466</v>
      </c>
      <c r="I237" t="s">
        <v>9467</v>
      </c>
      <c r="J237" t="s">
        <v>8119</v>
      </c>
      <c r="N237" t="s">
        <v>9160</v>
      </c>
      <c r="O237" t="s">
        <v>10</v>
      </c>
      <c r="P237" t="s">
        <v>9468</v>
      </c>
      <c r="Q237">
        <v>0</v>
      </c>
      <c r="R237" t="s">
        <v>8129</v>
      </c>
      <c r="S237" t="s">
        <v>8565</v>
      </c>
      <c r="T237">
        <v>77</v>
      </c>
      <c r="U237">
        <v>78</v>
      </c>
      <c r="V237">
        <v>78</v>
      </c>
      <c r="W237">
        <v>79</v>
      </c>
      <c r="X237">
        <v>80</v>
      </c>
      <c r="AH237">
        <v>0</v>
      </c>
      <c r="BP237" t="s">
        <v>8565</v>
      </c>
      <c r="BQ237" s="594">
        <v>77</v>
      </c>
      <c r="BR237" t="s">
        <v>8093</v>
      </c>
      <c r="BS237" t="s">
        <v>8093</v>
      </c>
      <c r="BT237">
        <v>0</v>
      </c>
      <c r="BU237" t="s">
        <v>8093</v>
      </c>
      <c r="BV237">
        <v>0</v>
      </c>
      <c r="BW237">
        <v>79</v>
      </c>
      <c r="BX237" t="s">
        <v>1979</v>
      </c>
      <c r="BY237">
        <v>0</v>
      </c>
      <c r="BZ237">
        <v>0</v>
      </c>
      <c r="CA237">
        <v>0</v>
      </c>
      <c r="CB237">
        <v>0</v>
      </c>
      <c r="CD237" t="s">
        <v>9469</v>
      </c>
    </row>
    <row r="238" spans="1:82">
      <c r="A238" t="s">
        <v>7981</v>
      </c>
      <c r="B238" t="s">
        <v>9470</v>
      </c>
      <c r="C238" t="s">
        <v>7958</v>
      </c>
      <c r="D238" t="s">
        <v>1384</v>
      </c>
      <c r="E238" t="s">
        <v>8297</v>
      </c>
      <c r="F238" t="s">
        <v>9471</v>
      </c>
      <c r="G238">
        <v>13</v>
      </c>
      <c r="H238" t="s">
        <v>9472</v>
      </c>
      <c r="I238" t="s">
        <v>9473</v>
      </c>
      <c r="J238" t="s">
        <v>8099</v>
      </c>
      <c r="K238" t="s">
        <v>8428</v>
      </c>
      <c r="M238" t="s">
        <v>1980</v>
      </c>
      <c r="N238" t="s">
        <v>8252</v>
      </c>
      <c r="O238" t="s">
        <v>6241</v>
      </c>
      <c r="P238" t="s">
        <v>9474</v>
      </c>
      <c r="Q238" t="s">
        <v>8092</v>
      </c>
      <c r="S238" t="s">
        <v>8565</v>
      </c>
      <c r="W238" t="s">
        <v>8572</v>
      </c>
      <c r="X238" t="s">
        <v>8989</v>
      </c>
      <c r="AD238" t="s">
        <v>1979</v>
      </c>
      <c r="AF238" t="s">
        <v>1979</v>
      </c>
      <c r="AH238">
        <v>0</v>
      </c>
      <c r="AM238" t="s">
        <v>1979</v>
      </c>
      <c r="AR238" t="s">
        <v>9475</v>
      </c>
      <c r="AW238" t="s">
        <v>9475</v>
      </c>
      <c r="BH238">
        <v>31.207999999999998</v>
      </c>
      <c r="BI238">
        <v>0.95</v>
      </c>
      <c r="BN238">
        <v>1</v>
      </c>
      <c r="BO238" t="s">
        <v>8092</v>
      </c>
      <c r="BP238" t="s">
        <v>8565</v>
      </c>
      <c r="BQ238" s="593" t="s">
        <v>8565</v>
      </c>
      <c r="BR238" t="s">
        <v>8093</v>
      </c>
      <c r="BS238" t="s">
        <v>8093</v>
      </c>
      <c r="BT238">
        <v>0</v>
      </c>
      <c r="BU238" t="s">
        <v>8093</v>
      </c>
      <c r="BV238">
        <v>0</v>
      </c>
      <c r="BW238" t="s">
        <v>8565</v>
      </c>
      <c r="BX238" t="s">
        <v>1981</v>
      </c>
      <c r="BY238">
        <v>0</v>
      </c>
      <c r="BZ238">
        <v>0</v>
      </c>
      <c r="CA238">
        <v>0</v>
      </c>
      <c r="CB238">
        <v>0</v>
      </c>
      <c r="CD238" t="s">
        <v>9476</v>
      </c>
    </row>
    <row r="239" spans="1:82">
      <c r="A239" t="s">
        <v>7981</v>
      </c>
      <c r="B239" t="s">
        <v>9477</v>
      </c>
      <c r="C239" t="s">
        <v>7958</v>
      </c>
      <c r="D239" t="s">
        <v>1384</v>
      </c>
      <c r="E239" t="s">
        <v>8297</v>
      </c>
      <c r="F239" t="s">
        <v>9471</v>
      </c>
      <c r="G239">
        <v>14</v>
      </c>
      <c r="H239" t="s">
        <v>9478</v>
      </c>
      <c r="I239" t="s">
        <v>9479</v>
      </c>
      <c r="J239" t="s">
        <v>8099</v>
      </c>
      <c r="K239" t="s">
        <v>8428</v>
      </c>
      <c r="M239" t="s">
        <v>1980</v>
      </c>
      <c r="N239" t="s">
        <v>8252</v>
      </c>
      <c r="O239" t="s">
        <v>6241</v>
      </c>
      <c r="P239" t="s">
        <v>9474</v>
      </c>
      <c r="Q239" t="s">
        <v>8092</v>
      </c>
      <c r="S239" t="s">
        <v>8565</v>
      </c>
      <c r="W239" t="s">
        <v>8572</v>
      </c>
      <c r="X239" t="s">
        <v>8989</v>
      </c>
      <c r="AD239" t="s">
        <v>1979</v>
      </c>
      <c r="AF239" t="s">
        <v>1979</v>
      </c>
      <c r="AH239">
        <v>0</v>
      </c>
      <c r="AM239" t="s">
        <v>1979</v>
      </c>
      <c r="AR239" t="s">
        <v>9475</v>
      </c>
      <c r="AW239" t="s">
        <v>9475</v>
      </c>
      <c r="BH239">
        <v>21.696000000000002</v>
      </c>
      <c r="BI239">
        <v>0.9</v>
      </c>
      <c r="BN239">
        <v>1</v>
      </c>
      <c r="BO239" t="s">
        <v>8092</v>
      </c>
      <c r="BP239" t="s">
        <v>8565</v>
      </c>
      <c r="BQ239" s="593" t="s">
        <v>8565</v>
      </c>
      <c r="BR239" t="s">
        <v>8093</v>
      </c>
      <c r="BS239" t="s">
        <v>8093</v>
      </c>
      <c r="BT239">
        <v>0</v>
      </c>
      <c r="BU239" t="s">
        <v>8093</v>
      </c>
      <c r="BV239">
        <v>0</v>
      </c>
      <c r="BW239" t="s">
        <v>8565</v>
      </c>
      <c r="BX239" t="s">
        <v>1981</v>
      </c>
      <c r="BY239">
        <v>0</v>
      </c>
      <c r="BZ239">
        <v>0</v>
      </c>
      <c r="CA239">
        <v>0</v>
      </c>
      <c r="CB239">
        <v>0</v>
      </c>
      <c r="CD239" t="s">
        <v>9480</v>
      </c>
    </row>
    <row r="240" spans="1:82">
      <c r="A240" t="s">
        <v>7981</v>
      </c>
      <c r="B240" t="s">
        <v>9481</v>
      </c>
      <c r="C240" t="s">
        <v>7958</v>
      </c>
      <c r="D240" t="s">
        <v>1384</v>
      </c>
      <c r="E240" t="s">
        <v>8297</v>
      </c>
      <c r="F240" t="s">
        <v>9471</v>
      </c>
      <c r="G240">
        <v>15</v>
      </c>
      <c r="H240" t="s">
        <v>9482</v>
      </c>
      <c r="I240" t="s">
        <v>9483</v>
      </c>
      <c r="J240" t="s">
        <v>8099</v>
      </c>
      <c r="K240" t="s">
        <v>8428</v>
      </c>
      <c r="N240" t="s">
        <v>749</v>
      </c>
      <c r="O240" t="s">
        <v>11</v>
      </c>
      <c r="P240" t="s">
        <v>9484</v>
      </c>
      <c r="Q240">
        <v>0</v>
      </c>
      <c r="R240" t="s">
        <v>8129</v>
      </c>
      <c r="S240" t="s">
        <v>8565</v>
      </c>
      <c r="X240">
        <v>6000</v>
      </c>
      <c r="AD240" t="s">
        <v>1979</v>
      </c>
      <c r="AH240">
        <v>0</v>
      </c>
      <c r="AM240" t="s">
        <v>1979</v>
      </c>
      <c r="AR240">
        <v>0</v>
      </c>
      <c r="AW240">
        <v>6000</v>
      </c>
      <c r="BH240">
        <v>1.8890000000000001E-3</v>
      </c>
      <c r="BN240">
        <v>1</v>
      </c>
      <c r="BO240" t="s">
        <v>8092</v>
      </c>
      <c r="BP240" t="s">
        <v>8565</v>
      </c>
      <c r="BQ240" s="594" t="s">
        <v>8565</v>
      </c>
      <c r="BR240" t="s">
        <v>8093</v>
      </c>
      <c r="BS240" t="s">
        <v>8093</v>
      </c>
      <c r="BT240">
        <v>0</v>
      </c>
      <c r="BU240" t="s">
        <v>8093</v>
      </c>
      <c r="BV240">
        <v>0</v>
      </c>
      <c r="BW240" t="s">
        <v>8565</v>
      </c>
      <c r="BX240" t="s">
        <v>1981</v>
      </c>
      <c r="BY240">
        <v>0</v>
      </c>
      <c r="BZ240">
        <v>0</v>
      </c>
      <c r="CA240">
        <v>0</v>
      </c>
      <c r="CB240">
        <v>0</v>
      </c>
      <c r="CD240" t="s">
        <v>9485</v>
      </c>
    </row>
    <row r="241" spans="1:82">
      <c r="A241" t="s">
        <v>7981</v>
      </c>
      <c r="B241" t="s">
        <v>9486</v>
      </c>
      <c r="C241" t="s">
        <v>7958</v>
      </c>
      <c r="D241" t="s">
        <v>8163</v>
      </c>
      <c r="E241" t="s">
        <v>8164</v>
      </c>
      <c r="F241" t="s">
        <v>9487</v>
      </c>
      <c r="G241">
        <v>1</v>
      </c>
      <c r="H241" t="s">
        <v>9488</v>
      </c>
      <c r="I241" t="s">
        <v>9489</v>
      </c>
      <c r="J241" t="s">
        <v>8119</v>
      </c>
      <c r="N241" t="s">
        <v>8274</v>
      </c>
      <c r="O241" t="s">
        <v>10</v>
      </c>
      <c r="P241" t="s">
        <v>9490</v>
      </c>
      <c r="Q241">
        <v>0</v>
      </c>
      <c r="R241" t="s">
        <v>8129</v>
      </c>
      <c r="S241">
        <v>80</v>
      </c>
      <c r="T241" t="s">
        <v>9491</v>
      </c>
      <c r="U241" t="s">
        <v>9491</v>
      </c>
      <c r="V241" t="s">
        <v>9491</v>
      </c>
      <c r="W241" t="s">
        <v>9491</v>
      </c>
      <c r="X241" t="s">
        <v>9491</v>
      </c>
      <c r="AH241">
        <v>0</v>
      </c>
      <c r="BP241" t="s">
        <v>8565</v>
      </c>
      <c r="BQ241" s="593">
        <v>67</v>
      </c>
      <c r="BR241" t="s">
        <v>1980</v>
      </c>
      <c r="BS241" t="s">
        <v>8093</v>
      </c>
      <c r="BT241">
        <v>0</v>
      </c>
      <c r="BU241" t="s">
        <v>8093</v>
      </c>
      <c r="BV241">
        <v>0</v>
      </c>
      <c r="BW241">
        <v>67</v>
      </c>
      <c r="BX241" t="s">
        <v>1980</v>
      </c>
      <c r="BY241">
        <v>0</v>
      </c>
      <c r="BZ241">
        <v>0</v>
      </c>
      <c r="CA241">
        <v>0</v>
      </c>
      <c r="CB241">
        <v>0</v>
      </c>
      <c r="CD241" t="s">
        <v>9492</v>
      </c>
    </row>
    <row r="242" spans="1:82">
      <c r="A242" t="s">
        <v>7981</v>
      </c>
      <c r="B242" t="s">
        <v>9493</v>
      </c>
      <c r="C242" t="s">
        <v>7958</v>
      </c>
      <c r="D242" t="s">
        <v>8163</v>
      </c>
      <c r="E242" t="s">
        <v>8164</v>
      </c>
      <c r="F242" t="s">
        <v>9487</v>
      </c>
      <c r="G242">
        <v>2</v>
      </c>
      <c r="H242" t="s">
        <v>9494</v>
      </c>
      <c r="I242" t="s">
        <v>9495</v>
      </c>
      <c r="J242" t="s">
        <v>8119</v>
      </c>
      <c r="N242" t="s">
        <v>8274</v>
      </c>
      <c r="O242" t="s">
        <v>10</v>
      </c>
      <c r="P242" t="s">
        <v>9496</v>
      </c>
      <c r="Q242" t="s">
        <v>2622</v>
      </c>
      <c r="R242" t="s">
        <v>8129</v>
      </c>
      <c r="S242" t="s">
        <v>8565</v>
      </c>
      <c r="T242">
        <v>66</v>
      </c>
      <c r="U242" t="s">
        <v>9491</v>
      </c>
      <c r="V242" t="s">
        <v>9491</v>
      </c>
      <c r="W242" t="s">
        <v>9491</v>
      </c>
      <c r="X242" t="s">
        <v>9491</v>
      </c>
      <c r="AH242">
        <v>0</v>
      </c>
      <c r="BP242" t="s">
        <v>8565</v>
      </c>
      <c r="BQ242" s="593">
        <v>66</v>
      </c>
      <c r="BR242" t="s">
        <v>8093</v>
      </c>
      <c r="BS242" t="s">
        <v>8093</v>
      </c>
      <c r="BT242">
        <v>0</v>
      </c>
      <c r="BU242" t="s">
        <v>8093</v>
      </c>
      <c r="BV242">
        <v>0</v>
      </c>
      <c r="BW242">
        <v>66.2</v>
      </c>
      <c r="BX242" t="s">
        <v>1979</v>
      </c>
      <c r="BY242">
        <v>0</v>
      </c>
      <c r="BZ242">
        <v>0</v>
      </c>
      <c r="CA242">
        <v>0</v>
      </c>
      <c r="CB242">
        <v>0</v>
      </c>
      <c r="CD242" t="s">
        <v>9497</v>
      </c>
    </row>
    <row r="243" spans="1:82">
      <c r="A243" t="s">
        <v>7981</v>
      </c>
      <c r="B243" t="s">
        <v>9498</v>
      </c>
      <c r="C243" t="s">
        <v>7958</v>
      </c>
      <c r="D243" t="s">
        <v>8163</v>
      </c>
      <c r="E243" t="s">
        <v>8164</v>
      </c>
      <c r="F243" t="s">
        <v>9401</v>
      </c>
      <c r="G243">
        <v>3</v>
      </c>
      <c r="H243" t="s">
        <v>9499</v>
      </c>
      <c r="I243" t="s">
        <v>9500</v>
      </c>
      <c r="J243" t="s">
        <v>8119</v>
      </c>
      <c r="N243" t="s">
        <v>9160</v>
      </c>
      <c r="O243" t="s">
        <v>10</v>
      </c>
      <c r="P243" t="s">
        <v>9501</v>
      </c>
      <c r="Q243" t="s">
        <v>2622</v>
      </c>
      <c r="R243" t="s">
        <v>8129</v>
      </c>
      <c r="S243" t="s">
        <v>8565</v>
      </c>
      <c r="T243">
        <v>57</v>
      </c>
      <c r="U243" t="s">
        <v>9491</v>
      </c>
      <c r="V243" t="s">
        <v>9491</v>
      </c>
      <c r="W243" t="s">
        <v>9491</v>
      </c>
      <c r="X243" t="s">
        <v>9491</v>
      </c>
      <c r="AH243">
        <v>0</v>
      </c>
      <c r="BP243" t="s">
        <v>8565</v>
      </c>
      <c r="BQ243" s="593">
        <v>57</v>
      </c>
      <c r="BR243" t="s">
        <v>8093</v>
      </c>
      <c r="BS243" t="s">
        <v>8093</v>
      </c>
      <c r="BT243">
        <v>0</v>
      </c>
      <c r="BU243" t="s">
        <v>8093</v>
      </c>
      <c r="BV243">
        <v>0</v>
      </c>
      <c r="BW243">
        <v>55.7</v>
      </c>
      <c r="BX243" t="s">
        <v>1980</v>
      </c>
      <c r="BY243">
        <v>0</v>
      </c>
      <c r="BZ243">
        <v>0</v>
      </c>
      <c r="CA243">
        <v>0</v>
      </c>
      <c r="CB243">
        <v>0</v>
      </c>
      <c r="CD243" t="s">
        <v>9502</v>
      </c>
    </row>
    <row r="244" spans="1:82">
      <c r="A244" t="s">
        <v>7981</v>
      </c>
      <c r="B244" t="s">
        <v>9503</v>
      </c>
      <c r="C244" t="s">
        <v>7958</v>
      </c>
      <c r="D244" t="s">
        <v>8163</v>
      </c>
      <c r="E244" t="s">
        <v>8164</v>
      </c>
      <c r="F244" t="s">
        <v>9401</v>
      </c>
      <c r="G244">
        <v>4</v>
      </c>
      <c r="H244" t="s">
        <v>9504</v>
      </c>
      <c r="I244" t="s">
        <v>9505</v>
      </c>
      <c r="J244" t="s">
        <v>8119</v>
      </c>
      <c r="N244" t="s">
        <v>9160</v>
      </c>
      <c r="O244" t="s">
        <v>10</v>
      </c>
      <c r="P244" t="s">
        <v>9506</v>
      </c>
      <c r="Q244" t="s">
        <v>2622</v>
      </c>
      <c r="R244" t="s">
        <v>8129</v>
      </c>
      <c r="S244" t="s">
        <v>8565</v>
      </c>
      <c r="T244">
        <v>60</v>
      </c>
      <c r="U244" t="s">
        <v>9491</v>
      </c>
      <c r="V244" t="s">
        <v>9491</v>
      </c>
      <c r="W244" t="s">
        <v>9491</v>
      </c>
      <c r="X244" t="s">
        <v>9491</v>
      </c>
      <c r="AH244">
        <v>0</v>
      </c>
      <c r="BP244" t="s">
        <v>8565</v>
      </c>
      <c r="BQ244" s="593">
        <v>60</v>
      </c>
      <c r="BR244" t="s">
        <v>8093</v>
      </c>
      <c r="BS244" t="s">
        <v>8093</v>
      </c>
      <c r="BT244">
        <v>0</v>
      </c>
      <c r="BU244" t="s">
        <v>8093</v>
      </c>
      <c r="BV244">
        <v>0</v>
      </c>
      <c r="BW244">
        <v>56.5</v>
      </c>
      <c r="BX244" t="s">
        <v>1980</v>
      </c>
      <c r="BY244">
        <v>0</v>
      </c>
      <c r="BZ244">
        <v>0</v>
      </c>
      <c r="CA244">
        <v>0</v>
      </c>
      <c r="CB244">
        <v>0</v>
      </c>
      <c r="CD244" t="s">
        <v>9507</v>
      </c>
    </row>
    <row r="245" spans="1:82">
      <c r="A245" t="s">
        <v>7981</v>
      </c>
      <c r="B245" t="s">
        <v>9508</v>
      </c>
      <c r="C245" t="s">
        <v>7958</v>
      </c>
      <c r="D245" t="s">
        <v>8163</v>
      </c>
      <c r="E245" t="s">
        <v>8164</v>
      </c>
      <c r="F245" t="s">
        <v>9401</v>
      </c>
      <c r="G245">
        <v>5</v>
      </c>
      <c r="H245" t="s">
        <v>9509</v>
      </c>
      <c r="I245" t="s">
        <v>9510</v>
      </c>
      <c r="J245" t="s">
        <v>8119</v>
      </c>
      <c r="N245" t="s">
        <v>8178</v>
      </c>
      <c r="O245" t="s">
        <v>11</v>
      </c>
      <c r="P245" t="s">
        <v>9511</v>
      </c>
      <c r="Q245">
        <v>0</v>
      </c>
      <c r="R245" t="s">
        <v>8091</v>
      </c>
      <c r="S245">
        <v>49000</v>
      </c>
      <c r="T245" t="s">
        <v>9512</v>
      </c>
      <c r="U245" t="s">
        <v>9512</v>
      </c>
      <c r="V245" t="s">
        <v>9512</v>
      </c>
      <c r="W245" t="s">
        <v>9512</v>
      </c>
      <c r="X245">
        <v>25000</v>
      </c>
      <c r="AH245">
        <v>0</v>
      </c>
      <c r="BP245">
        <v>29326</v>
      </c>
      <c r="BQ245" s="594">
        <v>62726</v>
      </c>
      <c r="BR245" t="s">
        <v>1980</v>
      </c>
      <c r="BS245" t="s">
        <v>8093</v>
      </c>
      <c r="BT245">
        <v>0</v>
      </c>
      <c r="BU245" t="s">
        <v>8093</v>
      </c>
      <c r="BV245">
        <v>0</v>
      </c>
      <c r="BW245">
        <v>145962</v>
      </c>
      <c r="BX245" t="s">
        <v>1980</v>
      </c>
      <c r="BY245">
        <v>0</v>
      </c>
      <c r="BZ245">
        <v>0</v>
      </c>
      <c r="CA245">
        <v>0</v>
      </c>
      <c r="CB245">
        <v>0</v>
      </c>
      <c r="CD245" t="s">
        <v>9513</v>
      </c>
    </row>
    <row r="246" spans="1:82">
      <c r="A246" t="s">
        <v>7981</v>
      </c>
      <c r="B246" t="s">
        <v>9514</v>
      </c>
      <c r="C246" t="s">
        <v>7958</v>
      </c>
      <c r="D246" t="s">
        <v>8163</v>
      </c>
      <c r="E246" t="s">
        <v>8164</v>
      </c>
      <c r="F246" t="s">
        <v>8513</v>
      </c>
      <c r="G246">
        <v>6</v>
      </c>
      <c r="H246" t="s">
        <v>9515</v>
      </c>
      <c r="I246" t="s">
        <v>9516</v>
      </c>
      <c r="J246" t="s">
        <v>8119</v>
      </c>
      <c r="N246" t="s">
        <v>8178</v>
      </c>
      <c r="O246" t="s">
        <v>11</v>
      </c>
      <c r="P246" t="s">
        <v>9517</v>
      </c>
      <c r="Q246">
        <v>0</v>
      </c>
      <c r="R246" t="s">
        <v>8129</v>
      </c>
      <c r="S246">
        <v>105100</v>
      </c>
      <c r="T246">
        <v>129500</v>
      </c>
      <c r="U246">
        <v>149900</v>
      </c>
      <c r="V246">
        <v>172300</v>
      </c>
      <c r="W246">
        <v>194700</v>
      </c>
      <c r="X246">
        <v>217100</v>
      </c>
      <c r="AH246">
        <v>0</v>
      </c>
      <c r="BP246">
        <v>113210</v>
      </c>
      <c r="BQ246" s="594">
        <v>142040</v>
      </c>
      <c r="BR246" t="s">
        <v>1979</v>
      </c>
      <c r="BS246" t="s">
        <v>8093</v>
      </c>
      <c r="BT246">
        <v>0</v>
      </c>
      <c r="BU246" t="s">
        <v>8093</v>
      </c>
      <c r="BV246">
        <v>0</v>
      </c>
      <c r="BW246">
        <v>194726</v>
      </c>
      <c r="BX246" t="s">
        <v>1979</v>
      </c>
      <c r="BY246">
        <v>0</v>
      </c>
      <c r="BZ246">
        <v>0</v>
      </c>
      <c r="CA246">
        <v>0</v>
      </c>
      <c r="CB246">
        <v>0</v>
      </c>
      <c r="CD246" t="s">
        <v>9518</v>
      </c>
    </row>
    <row r="247" spans="1:82">
      <c r="A247" t="s">
        <v>7981</v>
      </c>
      <c r="B247" t="s">
        <v>9519</v>
      </c>
      <c r="C247" t="s">
        <v>7958</v>
      </c>
      <c r="D247" t="s">
        <v>8163</v>
      </c>
      <c r="E247" t="s">
        <v>8164</v>
      </c>
      <c r="F247" t="s">
        <v>8513</v>
      </c>
      <c r="G247">
        <v>7</v>
      </c>
      <c r="H247" t="s">
        <v>9520</v>
      </c>
      <c r="I247" t="s">
        <v>9521</v>
      </c>
      <c r="J247" t="s">
        <v>8119</v>
      </c>
      <c r="N247" t="s">
        <v>8178</v>
      </c>
      <c r="O247" t="s">
        <v>10</v>
      </c>
      <c r="P247" t="s">
        <v>9522</v>
      </c>
      <c r="Q247">
        <v>0</v>
      </c>
      <c r="R247" t="s">
        <v>8129</v>
      </c>
      <c r="S247" t="s">
        <v>8565</v>
      </c>
      <c r="T247">
        <v>61</v>
      </c>
      <c r="U247" t="s">
        <v>9491</v>
      </c>
      <c r="V247" t="s">
        <v>9491</v>
      </c>
      <c r="W247" t="s">
        <v>9491</v>
      </c>
      <c r="X247" t="s">
        <v>9491</v>
      </c>
      <c r="AH247">
        <v>0</v>
      </c>
      <c r="BP247" t="s">
        <v>8565</v>
      </c>
      <c r="BQ247" s="593">
        <v>61</v>
      </c>
      <c r="BR247" t="s">
        <v>8093</v>
      </c>
      <c r="BS247" t="s">
        <v>8093</v>
      </c>
      <c r="BT247">
        <v>0</v>
      </c>
      <c r="BU247" t="s">
        <v>8093</v>
      </c>
      <c r="BV247">
        <v>0</v>
      </c>
      <c r="BW247">
        <v>57.3</v>
      </c>
      <c r="BX247" t="s">
        <v>1980</v>
      </c>
      <c r="BY247">
        <v>0</v>
      </c>
      <c r="BZ247">
        <v>0</v>
      </c>
      <c r="CA247">
        <v>0</v>
      </c>
      <c r="CB247">
        <v>0</v>
      </c>
      <c r="CD247" t="s">
        <v>9523</v>
      </c>
    </row>
    <row r="248" spans="1:82">
      <c r="A248" t="s">
        <v>7981</v>
      </c>
      <c r="B248" t="s">
        <v>9524</v>
      </c>
      <c r="C248" t="s">
        <v>7958</v>
      </c>
      <c r="D248" t="s">
        <v>8163</v>
      </c>
      <c r="E248" t="s">
        <v>8164</v>
      </c>
      <c r="F248" t="s">
        <v>8513</v>
      </c>
      <c r="G248">
        <v>8</v>
      </c>
      <c r="H248" t="s">
        <v>9525</v>
      </c>
      <c r="I248" t="s">
        <v>9526</v>
      </c>
      <c r="J248" t="s">
        <v>8088</v>
      </c>
      <c r="K248" t="s">
        <v>8089</v>
      </c>
      <c r="M248" t="s">
        <v>1980</v>
      </c>
      <c r="N248" t="s">
        <v>8169</v>
      </c>
      <c r="O248" t="s">
        <v>8170</v>
      </c>
      <c r="P248" t="s">
        <v>8171</v>
      </c>
      <c r="Q248">
        <v>0</v>
      </c>
      <c r="R248" t="s">
        <v>8129</v>
      </c>
      <c r="S248">
        <v>72</v>
      </c>
      <c r="T248" t="s">
        <v>8172</v>
      </c>
      <c r="U248" t="s">
        <v>8172</v>
      </c>
      <c r="V248" t="s">
        <v>8172</v>
      </c>
      <c r="W248" t="s">
        <v>8172</v>
      </c>
      <c r="X248" t="s">
        <v>8172</v>
      </c>
      <c r="AH248">
        <v>0</v>
      </c>
      <c r="AI248" t="s">
        <v>1979</v>
      </c>
      <c r="AJ248" t="s">
        <v>1979</v>
      </c>
      <c r="AK248" t="s">
        <v>1979</v>
      </c>
      <c r="AL248" t="s">
        <v>1979</v>
      </c>
      <c r="AM248" t="s">
        <v>1979</v>
      </c>
      <c r="AN248" t="s">
        <v>8172</v>
      </c>
      <c r="AO248" t="s">
        <v>8172</v>
      </c>
      <c r="AP248" t="s">
        <v>8172</v>
      </c>
      <c r="AQ248" t="s">
        <v>8172</v>
      </c>
      <c r="AR248" t="s">
        <v>8172</v>
      </c>
      <c r="AS248" t="s">
        <v>8172</v>
      </c>
      <c r="AT248" t="s">
        <v>8172</v>
      </c>
      <c r="AU248" t="s">
        <v>8172</v>
      </c>
      <c r="AV248" t="s">
        <v>8172</v>
      </c>
      <c r="AW248" t="s">
        <v>8172</v>
      </c>
      <c r="AX248" t="s">
        <v>8172</v>
      </c>
      <c r="AY248" t="s">
        <v>8172</v>
      </c>
      <c r="AZ248" t="s">
        <v>8172</v>
      </c>
      <c r="BA248" t="s">
        <v>8172</v>
      </c>
      <c r="BB248" t="s">
        <v>8172</v>
      </c>
      <c r="BC248" t="s">
        <v>8172</v>
      </c>
      <c r="BD248" t="s">
        <v>8172</v>
      </c>
      <c r="BE248" t="s">
        <v>8172</v>
      </c>
      <c r="BF248" t="s">
        <v>8172</v>
      </c>
      <c r="BG248" t="s">
        <v>8172</v>
      </c>
      <c r="BH248" t="s">
        <v>8172</v>
      </c>
      <c r="BL248" t="s">
        <v>8172</v>
      </c>
      <c r="BN248">
        <v>1</v>
      </c>
      <c r="BO248" t="s">
        <v>8092</v>
      </c>
      <c r="BP248">
        <v>72</v>
      </c>
      <c r="BQ248" s="605">
        <v>73</v>
      </c>
      <c r="BR248" t="s">
        <v>8093</v>
      </c>
      <c r="BS248" t="s">
        <v>8093</v>
      </c>
      <c r="BT248">
        <v>0</v>
      </c>
      <c r="BU248" t="s">
        <v>8093</v>
      </c>
      <c r="BV248">
        <v>0</v>
      </c>
      <c r="BW248">
        <v>78.13</v>
      </c>
      <c r="BX248" t="s">
        <v>1981</v>
      </c>
      <c r="BY248">
        <v>0</v>
      </c>
      <c r="BZ248">
        <v>0</v>
      </c>
      <c r="CA248">
        <v>0</v>
      </c>
      <c r="CB248">
        <v>0</v>
      </c>
      <c r="CD248" t="s">
        <v>9527</v>
      </c>
    </row>
    <row r="249" spans="1:82">
      <c r="A249" t="s">
        <v>9528</v>
      </c>
      <c r="B249" t="s">
        <v>9529</v>
      </c>
      <c r="C249" t="s">
        <v>7995</v>
      </c>
      <c r="D249" t="s">
        <v>1383</v>
      </c>
      <c r="E249" t="s">
        <v>8083</v>
      </c>
      <c r="F249" t="s">
        <v>9530</v>
      </c>
      <c r="G249">
        <v>1.1000000000000001</v>
      </c>
      <c r="H249" t="s">
        <v>9531</v>
      </c>
      <c r="I249" t="s">
        <v>9532</v>
      </c>
      <c r="J249" t="s">
        <v>8099</v>
      </c>
      <c r="K249" t="s">
        <v>8089</v>
      </c>
      <c r="N249" t="s">
        <v>8127</v>
      </c>
      <c r="O249" t="s">
        <v>10</v>
      </c>
      <c r="P249" t="s">
        <v>8128</v>
      </c>
      <c r="Q249">
        <v>3</v>
      </c>
      <c r="R249" t="s">
        <v>8129</v>
      </c>
      <c r="S249">
        <v>99.97</v>
      </c>
      <c r="T249">
        <v>99.97</v>
      </c>
      <c r="U249">
        <v>99.97</v>
      </c>
      <c r="V249">
        <v>100</v>
      </c>
      <c r="W249">
        <v>100</v>
      </c>
      <c r="X249">
        <v>100</v>
      </c>
      <c r="Y249" t="s">
        <v>1979</v>
      </c>
      <c r="AE249" t="s">
        <v>1979</v>
      </c>
      <c r="AH249">
        <v>0</v>
      </c>
      <c r="AI249" t="s">
        <v>1979</v>
      </c>
      <c r="AJ249" t="s">
        <v>1979</v>
      </c>
      <c r="AK249" t="s">
        <v>1979</v>
      </c>
      <c r="AL249" t="s">
        <v>1979</v>
      </c>
      <c r="AM249" t="s">
        <v>1979</v>
      </c>
      <c r="AN249">
        <v>99.92</v>
      </c>
      <c r="AO249">
        <v>99.92</v>
      </c>
      <c r="AP249">
        <v>99.92</v>
      </c>
      <c r="AQ249">
        <v>99.92</v>
      </c>
      <c r="AR249">
        <v>99.92</v>
      </c>
      <c r="AS249">
        <v>99.95</v>
      </c>
      <c r="AT249">
        <v>99.95</v>
      </c>
      <c r="AU249">
        <v>99.95</v>
      </c>
      <c r="AV249">
        <v>99.95</v>
      </c>
      <c r="AW249">
        <v>99.95</v>
      </c>
      <c r="BH249">
        <v>5.3999999999999999E-2</v>
      </c>
      <c r="BN249">
        <v>100</v>
      </c>
      <c r="BO249" t="s">
        <v>8456</v>
      </c>
      <c r="BP249">
        <v>99.984899999999996</v>
      </c>
      <c r="BQ249" s="604">
        <v>99.883799999999994</v>
      </c>
      <c r="BR249" t="s">
        <v>1980</v>
      </c>
      <c r="BS249" t="s">
        <v>8093</v>
      </c>
      <c r="BT249">
        <v>0</v>
      </c>
      <c r="BU249" t="s">
        <v>1983</v>
      </c>
      <c r="BV249">
        <v>-0.162000000000006</v>
      </c>
      <c r="BW249">
        <v>99.981700000000004</v>
      </c>
      <c r="BX249" t="s">
        <v>1979</v>
      </c>
      <c r="BY249">
        <v>0</v>
      </c>
      <c r="BZ249">
        <v>0</v>
      </c>
      <c r="CA249">
        <v>0</v>
      </c>
      <c r="CB249">
        <v>0</v>
      </c>
      <c r="CD249" t="s">
        <v>9533</v>
      </c>
    </row>
    <row r="250" spans="1:82">
      <c r="A250" t="s">
        <v>9528</v>
      </c>
      <c r="B250" t="s">
        <v>9534</v>
      </c>
      <c r="C250" t="s">
        <v>7995</v>
      </c>
      <c r="D250" t="s">
        <v>1383</v>
      </c>
      <c r="E250" t="s">
        <v>8083</v>
      </c>
      <c r="F250" t="s">
        <v>9530</v>
      </c>
      <c r="G250">
        <v>1.2</v>
      </c>
      <c r="H250" t="s">
        <v>9535</v>
      </c>
      <c r="I250" t="s">
        <v>9536</v>
      </c>
      <c r="J250" t="s">
        <v>8088</v>
      </c>
      <c r="K250" t="s">
        <v>8089</v>
      </c>
      <c r="N250" t="s">
        <v>8055</v>
      </c>
      <c r="O250" t="s">
        <v>11</v>
      </c>
      <c r="P250" t="s">
        <v>9537</v>
      </c>
      <c r="Q250">
        <v>2</v>
      </c>
      <c r="R250" t="s">
        <v>8091</v>
      </c>
      <c r="S250">
        <v>1.83</v>
      </c>
      <c r="T250">
        <v>1.63</v>
      </c>
      <c r="U250">
        <v>1.43</v>
      </c>
      <c r="V250">
        <v>1.23</v>
      </c>
      <c r="W250">
        <v>1.23</v>
      </c>
      <c r="X250">
        <v>1.23</v>
      </c>
      <c r="Z250" t="s">
        <v>1979</v>
      </c>
      <c r="AE250" t="s">
        <v>1979</v>
      </c>
      <c r="AH250">
        <v>0</v>
      </c>
      <c r="AI250" t="s">
        <v>1979</v>
      </c>
      <c r="AJ250" t="s">
        <v>1979</v>
      </c>
      <c r="AK250" t="s">
        <v>1979</v>
      </c>
      <c r="AL250" t="s">
        <v>1979</v>
      </c>
      <c r="AM250" t="s">
        <v>1979</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9538</v>
      </c>
      <c r="BP250">
        <v>1.51</v>
      </c>
      <c r="BQ250" s="595">
        <v>1.9576</v>
      </c>
      <c r="BR250" t="s">
        <v>1980</v>
      </c>
      <c r="BS250" t="s">
        <v>8093</v>
      </c>
      <c r="BT250">
        <v>0</v>
      </c>
      <c r="BU250" t="s">
        <v>1983</v>
      </c>
      <c r="BV250">
        <v>-0.20288400000000001</v>
      </c>
      <c r="BW250">
        <v>1.6608000000000001</v>
      </c>
      <c r="BX250" t="s">
        <v>1980</v>
      </c>
      <c r="BY250">
        <v>0</v>
      </c>
      <c r="BZ250">
        <v>0</v>
      </c>
      <c r="CA250" t="s">
        <v>1985</v>
      </c>
      <c r="CB250">
        <v>0</v>
      </c>
      <c r="CD250" t="s">
        <v>9539</v>
      </c>
    </row>
    <row r="251" spans="1:82">
      <c r="A251" t="s">
        <v>9528</v>
      </c>
      <c r="B251" t="s">
        <v>9540</v>
      </c>
      <c r="C251" t="s">
        <v>7995</v>
      </c>
      <c r="D251" t="s">
        <v>1383</v>
      </c>
      <c r="E251" t="s">
        <v>8083</v>
      </c>
      <c r="F251" t="s">
        <v>9541</v>
      </c>
      <c r="G251">
        <v>2.1</v>
      </c>
      <c r="H251" t="s">
        <v>9542</v>
      </c>
      <c r="I251" t="s">
        <v>9543</v>
      </c>
      <c r="J251" t="s">
        <v>8088</v>
      </c>
      <c r="K251" t="s">
        <v>8089</v>
      </c>
      <c r="N251" t="s">
        <v>2556</v>
      </c>
      <c r="O251" t="s">
        <v>8186</v>
      </c>
      <c r="P251" t="s">
        <v>8187</v>
      </c>
      <c r="Q251">
        <v>1</v>
      </c>
      <c r="R251" t="s">
        <v>8091</v>
      </c>
      <c r="S251">
        <v>10</v>
      </c>
      <c r="T251">
        <v>10</v>
      </c>
      <c r="U251">
        <v>10</v>
      </c>
      <c r="V251">
        <v>10</v>
      </c>
      <c r="W251">
        <v>10</v>
      </c>
      <c r="X251">
        <v>10</v>
      </c>
      <c r="AA251" t="s">
        <v>1979</v>
      </c>
      <c r="AE251" t="s">
        <v>1979</v>
      </c>
      <c r="AH251">
        <v>0</v>
      </c>
      <c r="AI251" t="s">
        <v>1979</v>
      </c>
      <c r="AJ251" t="s">
        <v>1979</v>
      </c>
      <c r="AK251" t="s">
        <v>1979</v>
      </c>
      <c r="AL251" t="s">
        <v>1979</v>
      </c>
      <c r="AM251" t="s">
        <v>1979</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8092</v>
      </c>
      <c r="BP251">
        <v>8.3000000000000007</v>
      </c>
      <c r="BQ251" s="591">
        <v>4.2333333333333334</v>
      </c>
      <c r="BR251" t="s">
        <v>1979</v>
      </c>
      <c r="BS251" t="s">
        <v>8093</v>
      </c>
      <c r="BT251">
        <v>0</v>
      </c>
      <c r="BU251" t="s">
        <v>1988</v>
      </c>
      <c r="BV251">
        <v>0.90600000000000003</v>
      </c>
      <c r="BW251">
        <v>5.1802000000000001</v>
      </c>
      <c r="BX251" t="s">
        <v>1979</v>
      </c>
      <c r="BY251">
        <v>0</v>
      </c>
      <c r="BZ251">
        <v>0</v>
      </c>
      <c r="CA251" t="s">
        <v>1988</v>
      </c>
      <c r="CB251">
        <v>0.90600000000000003</v>
      </c>
      <c r="CD251" t="s">
        <v>9544</v>
      </c>
    </row>
    <row r="252" spans="1:82">
      <c r="A252" t="s">
        <v>9528</v>
      </c>
      <c r="B252" t="s">
        <v>9545</v>
      </c>
      <c r="C252" t="s">
        <v>7995</v>
      </c>
      <c r="D252" t="s">
        <v>1383</v>
      </c>
      <c r="E252" t="s">
        <v>8083</v>
      </c>
      <c r="F252" t="s">
        <v>9541</v>
      </c>
      <c r="G252">
        <v>2.2000000000000002</v>
      </c>
      <c r="H252" t="s">
        <v>9546</v>
      </c>
      <c r="I252" t="s">
        <v>9547</v>
      </c>
      <c r="J252" t="s">
        <v>8099</v>
      </c>
      <c r="K252" t="s">
        <v>8089</v>
      </c>
      <c r="M252" t="s">
        <v>1980</v>
      </c>
      <c r="N252" t="s">
        <v>8148</v>
      </c>
      <c r="O252" t="s">
        <v>8282</v>
      </c>
      <c r="P252" t="s">
        <v>8429</v>
      </c>
      <c r="Q252" t="s">
        <v>8092</v>
      </c>
      <c r="S252" t="s">
        <v>1984</v>
      </c>
      <c r="T252" t="s">
        <v>1984</v>
      </c>
      <c r="U252" t="s">
        <v>1984</v>
      </c>
      <c r="V252" t="s">
        <v>1984</v>
      </c>
      <c r="W252" t="s">
        <v>1984</v>
      </c>
      <c r="X252" t="s">
        <v>1984</v>
      </c>
      <c r="AE252" t="s">
        <v>1979</v>
      </c>
      <c r="AH252">
        <v>5</v>
      </c>
      <c r="AI252" t="s">
        <v>1979</v>
      </c>
      <c r="AJ252" t="s">
        <v>1979</v>
      </c>
      <c r="AK252" t="s">
        <v>1979</v>
      </c>
      <c r="AL252" t="s">
        <v>1979</v>
      </c>
      <c r="AM252" t="s">
        <v>1979</v>
      </c>
      <c r="AN252" t="s">
        <v>8430</v>
      </c>
      <c r="AO252" t="s">
        <v>8430</v>
      </c>
      <c r="AP252" t="s">
        <v>8430</v>
      </c>
      <c r="AQ252" t="s">
        <v>8430</v>
      </c>
      <c r="AR252" t="s">
        <v>8430</v>
      </c>
      <c r="AS252" t="s">
        <v>1982</v>
      </c>
      <c r="AT252" t="s">
        <v>1982</v>
      </c>
      <c r="AU252" t="s">
        <v>1982</v>
      </c>
      <c r="AV252" t="s">
        <v>1982</v>
      </c>
      <c r="AW252" t="s">
        <v>1982</v>
      </c>
      <c r="BH252">
        <v>7.5999999999999998E-2</v>
      </c>
      <c r="BI252">
        <v>0.379</v>
      </c>
      <c r="BN252">
        <v>1</v>
      </c>
      <c r="BO252" t="s">
        <v>8092</v>
      </c>
      <c r="BP252" t="s">
        <v>1984</v>
      </c>
      <c r="BQ252" s="593" t="s">
        <v>1984</v>
      </c>
      <c r="BR252" t="s">
        <v>1979</v>
      </c>
      <c r="BS252" t="s">
        <v>8093</v>
      </c>
      <c r="BT252">
        <v>0</v>
      </c>
      <c r="BU252" t="s">
        <v>8093</v>
      </c>
      <c r="BV252">
        <v>0</v>
      </c>
      <c r="BW252" t="s">
        <v>1984</v>
      </c>
      <c r="BX252" t="s">
        <v>1979</v>
      </c>
      <c r="BY252">
        <v>0</v>
      </c>
      <c r="BZ252">
        <v>0</v>
      </c>
      <c r="CA252">
        <v>0</v>
      </c>
      <c r="CB252">
        <v>0</v>
      </c>
      <c r="CD252" t="s">
        <v>9548</v>
      </c>
    </row>
    <row r="253" spans="1:82">
      <c r="A253" t="s">
        <v>9528</v>
      </c>
      <c r="B253" t="s">
        <v>9549</v>
      </c>
      <c r="C253" t="s">
        <v>7995</v>
      </c>
      <c r="D253" t="s">
        <v>1383</v>
      </c>
      <c r="E253" t="s">
        <v>8083</v>
      </c>
      <c r="F253" t="s">
        <v>9541</v>
      </c>
      <c r="G253">
        <v>2.2999999999999998</v>
      </c>
      <c r="H253" t="s">
        <v>9550</v>
      </c>
      <c r="I253" t="s">
        <v>9551</v>
      </c>
      <c r="J253" t="s">
        <v>8099</v>
      </c>
      <c r="K253" t="s">
        <v>8089</v>
      </c>
      <c r="M253" t="s">
        <v>1980</v>
      </c>
      <c r="N253" t="s">
        <v>8148</v>
      </c>
      <c r="O253" t="s">
        <v>8282</v>
      </c>
      <c r="P253" t="s">
        <v>8429</v>
      </c>
      <c r="Q253" t="s">
        <v>8092</v>
      </c>
      <c r="S253" t="s">
        <v>1984</v>
      </c>
      <c r="T253" t="s">
        <v>1984</v>
      </c>
      <c r="U253" t="s">
        <v>1984</v>
      </c>
      <c r="V253" t="s">
        <v>1984</v>
      </c>
      <c r="W253" t="s">
        <v>1984</v>
      </c>
      <c r="X253" t="s">
        <v>1984</v>
      </c>
      <c r="AE253" t="s">
        <v>1979</v>
      </c>
      <c r="AH253">
        <v>5</v>
      </c>
      <c r="AI253" t="s">
        <v>1979</v>
      </c>
      <c r="AJ253" t="s">
        <v>1979</v>
      </c>
      <c r="AK253" t="s">
        <v>1979</v>
      </c>
      <c r="AL253" t="s">
        <v>1979</v>
      </c>
      <c r="AM253" t="s">
        <v>1979</v>
      </c>
      <c r="AN253" t="s">
        <v>8430</v>
      </c>
      <c r="AO253" t="s">
        <v>8430</v>
      </c>
      <c r="AP253" t="s">
        <v>8430</v>
      </c>
      <c r="AQ253" t="s">
        <v>8430</v>
      </c>
      <c r="AR253" t="s">
        <v>8430</v>
      </c>
      <c r="AS253" t="s">
        <v>1982</v>
      </c>
      <c r="AT253" t="s">
        <v>1982</v>
      </c>
      <c r="AU253" t="s">
        <v>1982</v>
      </c>
      <c r="AV253" t="s">
        <v>1982</v>
      </c>
      <c r="AW253" t="s">
        <v>1982</v>
      </c>
      <c r="BH253">
        <v>9.7000000000000003E-2</v>
      </c>
      <c r="BI253">
        <v>0.48699999999999999</v>
      </c>
      <c r="BN253">
        <v>1</v>
      </c>
      <c r="BO253" t="s">
        <v>8092</v>
      </c>
      <c r="BP253" t="s">
        <v>1984</v>
      </c>
      <c r="BQ253" s="593" t="s">
        <v>1984</v>
      </c>
      <c r="BR253" t="s">
        <v>1979</v>
      </c>
      <c r="BS253" t="s">
        <v>8093</v>
      </c>
      <c r="BT253">
        <v>0</v>
      </c>
      <c r="BU253" t="s">
        <v>8093</v>
      </c>
      <c r="BV253">
        <v>0</v>
      </c>
      <c r="BW253" t="s">
        <v>1984</v>
      </c>
      <c r="BX253" t="s">
        <v>1979</v>
      </c>
      <c r="BY253">
        <v>0</v>
      </c>
      <c r="BZ253">
        <v>0</v>
      </c>
      <c r="CA253">
        <v>0</v>
      </c>
      <c r="CB253">
        <v>0</v>
      </c>
      <c r="CD253" t="s">
        <v>9552</v>
      </c>
    </row>
    <row r="254" spans="1:82">
      <c r="A254" t="s">
        <v>9528</v>
      </c>
      <c r="B254" t="s">
        <v>9553</v>
      </c>
      <c r="C254" t="s">
        <v>7995</v>
      </c>
      <c r="D254" t="s">
        <v>1383</v>
      </c>
      <c r="E254" t="s">
        <v>8083</v>
      </c>
      <c r="F254" t="s">
        <v>9554</v>
      </c>
      <c r="G254">
        <v>4.0999999999999996</v>
      </c>
      <c r="H254" t="s">
        <v>9555</v>
      </c>
      <c r="I254" t="s">
        <v>9556</v>
      </c>
      <c r="J254" t="s">
        <v>8088</v>
      </c>
      <c r="K254" t="s">
        <v>8089</v>
      </c>
      <c r="N254" t="s">
        <v>2534</v>
      </c>
      <c r="O254" t="s">
        <v>11</v>
      </c>
      <c r="P254" t="s">
        <v>8090</v>
      </c>
      <c r="Q254">
        <v>1</v>
      </c>
      <c r="R254" t="s">
        <v>8091</v>
      </c>
      <c r="S254">
        <v>70.5</v>
      </c>
      <c r="T254">
        <v>70.5</v>
      </c>
      <c r="U254">
        <v>70.5</v>
      </c>
      <c r="V254">
        <v>70.5</v>
      </c>
      <c r="W254">
        <v>70.5</v>
      </c>
      <c r="X254">
        <v>70.5</v>
      </c>
      <c r="AE254" t="s">
        <v>1979</v>
      </c>
      <c r="AH254">
        <v>0</v>
      </c>
      <c r="AI254" t="s">
        <v>1979</v>
      </c>
      <c r="AJ254" t="s">
        <v>1979</v>
      </c>
      <c r="AK254" t="s">
        <v>1979</v>
      </c>
      <c r="AL254" t="s">
        <v>1979</v>
      </c>
      <c r="AM254" t="s">
        <v>1979</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8092</v>
      </c>
      <c r="BP254">
        <v>69.2</v>
      </c>
      <c r="BQ254" s="591">
        <v>69.88</v>
      </c>
      <c r="BR254" t="s">
        <v>1979</v>
      </c>
      <c r="BS254" t="s">
        <v>8093</v>
      </c>
      <c r="BT254">
        <v>0</v>
      </c>
      <c r="BU254" t="s">
        <v>1992</v>
      </c>
      <c r="BV254">
        <v>0</v>
      </c>
      <c r="BW254">
        <v>69.849999999999994</v>
      </c>
      <c r="BX254" t="s">
        <v>1979</v>
      </c>
      <c r="BY254">
        <v>0</v>
      </c>
      <c r="BZ254">
        <v>0</v>
      </c>
      <c r="CA254" t="s">
        <v>1992</v>
      </c>
      <c r="CB254">
        <v>0</v>
      </c>
      <c r="CD254" t="s">
        <v>9557</v>
      </c>
    </row>
    <row r="255" spans="1:82">
      <c r="A255" t="s">
        <v>9528</v>
      </c>
      <c r="B255" t="s">
        <v>9558</v>
      </c>
      <c r="C255" t="s">
        <v>7995</v>
      </c>
      <c r="D255" t="s">
        <v>1383</v>
      </c>
      <c r="E255" t="s">
        <v>8083</v>
      </c>
      <c r="F255" t="s">
        <v>9554</v>
      </c>
      <c r="G255">
        <v>4.2</v>
      </c>
      <c r="H255" t="s">
        <v>9559</v>
      </c>
      <c r="I255" t="s">
        <v>9560</v>
      </c>
      <c r="J255" t="s">
        <v>8088</v>
      </c>
      <c r="K255" t="s">
        <v>8089</v>
      </c>
      <c r="N255" t="s">
        <v>2534</v>
      </c>
      <c r="O255" t="s">
        <v>11</v>
      </c>
      <c r="P255" t="s">
        <v>8090</v>
      </c>
      <c r="Q255">
        <v>1</v>
      </c>
      <c r="R255" t="s">
        <v>8091</v>
      </c>
      <c r="S255">
        <v>13.5</v>
      </c>
      <c r="T255">
        <v>13.5</v>
      </c>
      <c r="U255">
        <v>13.5</v>
      </c>
      <c r="V255">
        <v>13.5</v>
      </c>
      <c r="W255">
        <v>13.5</v>
      </c>
      <c r="X255">
        <v>13.5</v>
      </c>
      <c r="AE255" t="s">
        <v>1979</v>
      </c>
      <c r="AH255">
        <v>0</v>
      </c>
      <c r="AI255" t="s">
        <v>1979</v>
      </c>
      <c r="AJ255" t="s">
        <v>1979</v>
      </c>
      <c r="AK255" t="s">
        <v>1979</v>
      </c>
      <c r="AL255" t="s">
        <v>1979</v>
      </c>
      <c r="AM255" t="s">
        <v>1979</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8092</v>
      </c>
      <c r="BP255">
        <v>13.5</v>
      </c>
      <c r="BQ255" s="591">
        <v>13.24</v>
      </c>
      <c r="BR255" t="s">
        <v>1979</v>
      </c>
      <c r="BS255" t="s">
        <v>8093</v>
      </c>
      <c r="BT255">
        <v>0</v>
      </c>
      <c r="BU255" t="s">
        <v>1992</v>
      </c>
      <c r="BV255">
        <v>0</v>
      </c>
      <c r="BW255">
        <v>14.32</v>
      </c>
      <c r="BX255" t="s">
        <v>1980</v>
      </c>
      <c r="BY255">
        <v>0</v>
      </c>
      <c r="BZ255">
        <v>0</v>
      </c>
      <c r="CA255" t="s">
        <v>1983</v>
      </c>
      <c r="CB255">
        <v>-9.7600000000000006E-2</v>
      </c>
      <c r="CD255" t="s">
        <v>9561</v>
      </c>
    </row>
    <row r="256" spans="1:82">
      <c r="A256" t="s">
        <v>9528</v>
      </c>
      <c r="B256" t="s">
        <v>9562</v>
      </c>
      <c r="C256" t="s">
        <v>7995</v>
      </c>
      <c r="D256" t="s">
        <v>1383</v>
      </c>
      <c r="E256" t="s">
        <v>8083</v>
      </c>
      <c r="F256" t="s">
        <v>9554</v>
      </c>
      <c r="G256">
        <v>4.3</v>
      </c>
      <c r="H256" t="s">
        <v>9563</v>
      </c>
      <c r="I256" t="s">
        <v>9564</v>
      </c>
      <c r="J256" t="s">
        <v>8119</v>
      </c>
      <c r="N256" t="s">
        <v>8100</v>
      </c>
      <c r="O256" t="s">
        <v>11</v>
      </c>
      <c r="P256" t="s">
        <v>8510</v>
      </c>
      <c r="Q256">
        <v>2</v>
      </c>
      <c r="R256" t="s">
        <v>8091</v>
      </c>
      <c r="S256">
        <v>131.44</v>
      </c>
      <c r="T256">
        <v>130.79</v>
      </c>
      <c r="U256">
        <v>130.15</v>
      </c>
      <c r="V256">
        <v>129.52000000000001</v>
      </c>
      <c r="W256">
        <v>128.91</v>
      </c>
      <c r="X256">
        <v>128.31</v>
      </c>
      <c r="AH256">
        <v>0</v>
      </c>
      <c r="BP256">
        <v>129.25</v>
      </c>
      <c r="BQ256" s="595">
        <v>129.59</v>
      </c>
      <c r="BR256" t="s">
        <v>1979</v>
      </c>
      <c r="BS256" t="s">
        <v>8093</v>
      </c>
      <c r="BT256">
        <v>0</v>
      </c>
      <c r="BU256" t="s">
        <v>8093</v>
      </c>
      <c r="BV256">
        <v>0</v>
      </c>
      <c r="BW256">
        <v>129.85</v>
      </c>
      <c r="BX256" t="s">
        <v>1979</v>
      </c>
      <c r="BY256">
        <v>0</v>
      </c>
      <c r="BZ256">
        <v>0</v>
      </c>
      <c r="CA256">
        <v>0</v>
      </c>
      <c r="CB256">
        <v>0</v>
      </c>
      <c r="CD256" t="s">
        <v>9565</v>
      </c>
    </row>
    <row r="257" spans="1:82">
      <c r="A257" t="s">
        <v>9528</v>
      </c>
      <c r="B257" t="s">
        <v>9566</v>
      </c>
      <c r="C257" t="s">
        <v>7995</v>
      </c>
      <c r="D257" t="s">
        <v>1383</v>
      </c>
      <c r="E257" t="s">
        <v>8083</v>
      </c>
      <c r="F257" t="s">
        <v>9554</v>
      </c>
      <c r="G257">
        <v>4.4000000000000004</v>
      </c>
      <c r="H257" t="s">
        <v>9567</v>
      </c>
      <c r="I257" t="s">
        <v>9568</v>
      </c>
      <c r="J257" t="s">
        <v>8119</v>
      </c>
      <c r="N257" t="s">
        <v>8245</v>
      </c>
      <c r="O257" t="s">
        <v>11</v>
      </c>
      <c r="P257" t="s">
        <v>9569</v>
      </c>
      <c r="Q257">
        <v>0</v>
      </c>
      <c r="R257" t="s">
        <v>8129</v>
      </c>
      <c r="S257">
        <v>66</v>
      </c>
      <c r="T257">
        <v>76</v>
      </c>
      <c r="U257">
        <v>91</v>
      </c>
      <c r="V257">
        <v>106</v>
      </c>
      <c r="W257">
        <v>116</v>
      </c>
      <c r="X257">
        <v>116</v>
      </c>
      <c r="AF257" t="s">
        <v>1979</v>
      </c>
      <c r="AH257">
        <v>0</v>
      </c>
      <c r="BP257">
        <v>65.2</v>
      </c>
      <c r="BQ257" s="594">
        <v>76.2</v>
      </c>
      <c r="BR257" t="s">
        <v>1979</v>
      </c>
      <c r="BS257" t="s">
        <v>8093</v>
      </c>
      <c r="BT257">
        <v>0</v>
      </c>
      <c r="BU257" t="s">
        <v>8093</v>
      </c>
      <c r="BV257">
        <v>0</v>
      </c>
      <c r="BW257">
        <v>91.6</v>
      </c>
      <c r="BX257" t="s">
        <v>1979</v>
      </c>
      <c r="BY257">
        <v>0</v>
      </c>
      <c r="BZ257">
        <v>0</v>
      </c>
      <c r="CA257">
        <v>0</v>
      </c>
      <c r="CB257">
        <v>0</v>
      </c>
      <c r="CD257" t="s">
        <v>9570</v>
      </c>
    </row>
    <row r="258" spans="1:82">
      <c r="A258" t="s">
        <v>9528</v>
      </c>
      <c r="B258" t="s">
        <v>9571</v>
      </c>
      <c r="C258" t="s">
        <v>7995</v>
      </c>
      <c r="D258" t="s">
        <v>1383</v>
      </c>
      <c r="E258" t="s">
        <v>8083</v>
      </c>
      <c r="F258" t="s">
        <v>9554</v>
      </c>
      <c r="G258">
        <v>4.5</v>
      </c>
      <c r="H258" t="s">
        <v>9572</v>
      </c>
      <c r="I258" t="s">
        <v>9573</v>
      </c>
      <c r="J258" t="s">
        <v>8119</v>
      </c>
      <c r="N258" t="s">
        <v>8260</v>
      </c>
      <c r="O258" t="s">
        <v>11</v>
      </c>
      <c r="P258" t="s">
        <v>9574</v>
      </c>
      <c r="Q258">
        <v>0</v>
      </c>
      <c r="R258" t="s">
        <v>8129</v>
      </c>
      <c r="S258">
        <v>0</v>
      </c>
      <c r="T258">
        <v>509</v>
      </c>
      <c r="U258">
        <v>1320</v>
      </c>
      <c r="V258">
        <v>2428</v>
      </c>
      <c r="W258">
        <v>3742</v>
      </c>
      <c r="X258">
        <v>5210</v>
      </c>
      <c r="AH258">
        <v>0</v>
      </c>
      <c r="BP258" t="s">
        <v>9575</v>
      </c>
      <c r="BQ258" s="594">
        <v>178</v>
      </c>
      <c r="BR258" t="s">
        <v>1980</v>
      </c>
      <c r="BS258" t="s">
        <v>8093</v>
      </c>
      <c r="BT258">
        <v>0</v>
      </c>
      <c r="BU258" t="s">
        <v>8093</v>
      </c>
      <c r="BV258">
        <v>0</v>
      </c>
      <c r="BW258">
        <v>285</v>
      </c>
      <c r="BX258" t="s">
        <v>1980</v>
      </c>
      <c r="BY258">
        <v>0</v>
      </c>
      <c r="BZ258">
        <v>0</v>
      </c>
      <c r="CA258">
        <v>0</v>
      </c>
      <c r="CB258">
        <v>0</v>
      </c>
      <c r="CD258" t="s">
        <v>9576</v>
      </c>
    </row>
    <row r="259" spans="1:82">
      <c r="A259" t="s">
        <v>9528</v>
      </c>
      <c r="B259" t="s">
        <v>9577</v>
      </c>
      <c r="C259" t="s">
        <v>7995</v>
      </c>
      <c r="D259" t="s">
        <v>1383</v>
      </c>
      <c r="E259" t="s">
        <v>8083</v>
      </c>
      <c r="F259" t="s">
        <v>9578</v>
      </c>
      <c r="G259">
        <v>5.0999999999999996</v>
      </c>
      <c r="H259" t="s">
        <v>9579</v>
      </c>
      <c r="I259" t="s">
        <v>9580</v>
      </c>
      <c r="J259" t="s">
        <v>8119</v>
      </c>
      <c r="N259" t="s">
        <v>8178</v>
      </c>
      <c r="O259" t="s">
        <v>10</v>
      </c>
      <c r="P259" t="s">
        <v>9581</v>
      </c>
      <c r="Q259">
        <v>0</v>
      </c>
      <c r="R259" t="s">
        <v>8129</v>
      </c>
      <c r="S259">
        <v>87</v>
      </c>
      <c r="T259">
        <v>90</v>
      </c>
      <c r="U259">
        <v>90</v>
      </c>
      <c r="V259">
        <v>90</v>
      </c>
      <c r="W259">
        <v>90</v>
      </c>
      <c r="X259">
        <v>90</v>
      </c>
      <c r="AH259">
        <v>0</v>
      </c>
      <c r="BP259" t="s">
        <v>9582</v>
      </c>
      <c r="BQ259" s="594">
        <v>93</v>
      </c>
      <c r="BR259" t="s">
        <v>1979</v>
      </c>
      <c r="BS259" t="s">
        <v>8093</v>
      </c>
      <c r="BT259">
        <v>0</v>
      </c>
      <c r="BU259" t="s">
        <v>8093</v>
      </c>
      <c r="BV259">
        <v>0</v>
      </c>
      <c r="BW259">
        <v>91</v>
      </c>
      <c r="BX259" t="s">
        <v>1979</v>
      </c>
      <c r="BY259">
        <v>0</v>
      </c>
      <c r="BZ259">
        <v>0</v>
      </c>
      <c r="CA259">
        <v>0</v>
      </c>
      <c r="CB259">
        <v>0</v>
      </c>
      <c r="CD259" t="s">
        <v>9583</v>
      </c>
    </row>
    <row r="260" spans="1:82">
      <c r="A260" t="s">
        <v>9528</v>
      </c>
      <c r="B260" t="s">
        <v>9584</v>
      </c>
      <c r="C260" t="s">
        <v>7995</v>
      </c>
      <c r="D260" t="s">
        <v>1383</v>
      </c>
      <c r="E260" t="s">
        <v>8083</v>
      </c>
      <c r="F260" t="s">
        <v>9578</v>
      </c>
      <c r="G260">
        <v>5.2</v>
      </c>
      <c r="H260" t="s">
        <v>9585</v>
      </c>
      <c r="I260" t="s">
        <v>9586</v>
      </c>
      <c r="J260" t="s">
        <v>8119</v>
      </c>
      <c r="N260" t="s">
        <v>8178</v>
      </c>
      <c r="O260" t="s">
        <v>11</v>
      </c>
      <c r="P260" t="s">
        <v>9587</v>
      </c>
      <c r="Q260">
        <v>0</v>
      </c>
      <c r="R260" t="s">
        <v>8129</v>
      </c>
      <c r="S260">
        <v>17000</v>
      </c>
      <c r="T260">
        <v>19600</v>
      </c>
      <c r="U260">
        <v>22200</v>
      </c>
      <c r="V260">
        <v>24800</v>
      </c>
      <c r="W260">
        <v>27400</v>
      </c>
      <c r="X260">
        <v>30000</v>
      </c>
      <c r="AH260">
        <v>0</v>
      </c>
      <c r="BP260">
        <v>17866</v>
      </c>
      <c r="BQ260" s="594">
        <v>19621</v>
      </c>
      <c r="BR260" t="s">
        <v>1979</v>
      </c>
      <c r="BS260" t="s">
        <v>8093</v>
      </c>
      <c r="BT260">
        <v>0</v>
      </c>
      <c r="BU260" t="s">
        <v>8093</v>
      </c>
      <c r="BV260">
        <v>0</v>
      </c>
      <c r="BW260">
        <v>23895</v>
      </c>
      <c r="BX260" t="s">
        <v>1979</v>
      </c>
      <c r="BY260">
        <v>0</v>
      </c>
      <c r="BZ260">
        <v>0</v>
      </c>
      <c r="CA260">
        <v>0</v>
      </c>
      <c r="CB260">
        <v>0</v>
      </c>
      <c r="CD260" t="s">
        <v>9588</v>
      </c>
    </row>
    <row r="261" spans="1:82">
      <c r="A261" t="s">
        <v>9528</v>
      </c>
      <c r="B261" t="s">
        <v>9589</v>
      </c>
      <c r="C261" t="s">
        <v>7995</v>
      </c>
      <c r="D261" t="s">
        <v>8163</v>
      </c>
      <c r="E261" t="s">
        <v>8164</v>
      </c>
      <c r="F261" t="s">
        <v>9590</v>
      </c>
      <c r="G261">
        <v>3.1</v>
      </c>
      <c r="H261" t="s">
        <v>9591</v>
      </c>
      <c r="I261" t="s">
        <v>9592</v>
      </c>
      <c r="J261" t="s">
        <v>8088</v>
      </c>
      <c r="K261" t="s">
        <v>8089</v>
      </c>
      <c r="M261" t="s">
        <v>1980</v>
      </c>
      <c r="N261" t="s">
        <v>8169</v>
      </c>
      <c r="O261" t="s">
        <v>8170</v>
      </c>
      <c r="P261" t="s">
        <v>8171</v>
      </c>
      <c r="Q261">
        <v>1</v>
      </c>
      <c r="R261" t="s">
        <v>8129</v>
      </c>
      <c r="S261">
        <v>88</v>
      </c>
      <c r="T261">
        <v>89</v>
      </c>
      <c r="U261">
        <v>90</v>
      </c>
      <c r="V261">
        <v>90</v>
      </c>
      <c r="W261">
        <v>90</v>
      </c>
      <c r="X261">
        <v>90</v>
      </c>
      <c r="AH261">
        <v>0</v>
      </c>
      <c r="AI261" t="s">
        <v>1979</v>
      </c>
      <c r="AJ261" t="s">
        <v>1979</v>
      </c>
      <c r="AK261" t="s">
        <v>1979</v>
      </c>
      <c r="AL261" t="s">
        <v>1979</v>
      </c>
      <c r="AM261" t="s">
        <v>1979</v>
      </c>
      <c r="AN261" t="s">
        <v>8172</v>
      </c>
      <c r="AO261" t="s">
        <v>8172</v>
      </c>
      <c r="AP261" t="s">
        <v>8172</v>
      </c>
      <c r="AQ261" t="s">
        <v>8172</v>
      </c>
      <c r="AR261" t="s">
        <v>8172</v>
      </c>
      <c r="AS261" t="s">
        <v>8172</v>
      </c>
      <c r="AT261" t="s">
        <v>8172</v>
      </c>
      <c r="AU261" t="s">
        <v>8172</v>
      </c>
      <c r="AV261" t="s">
        <v>8172</v>
      </c>
      <c r="AW261" t="s">
        <v>8172</v>
      </c>
      <c r="AX261" t="s">
        <v>8172</v>
      </c>
      <c r="AY261" t="s">
        <v>8172</v>
      </c>
      <c r="AZ261" t="s">
        <v>8172</v>
      </c>
      <c r="BA261" t="s">
        <v>8172</v>
      </c>
      <c r="BB261" t="s">
        <v>8172</v>
      </c>
      <c r="BC261" t="s">
        <v>8172</v>
      </c>
      <c r="BD261" t="s">
        <v>8172</v>
      </c>
      <c r="BE261" t="s">
        <v>8172</v>
      </c>
      <c r="BF261" t="s">
        <v>8172</v>
      </c>
      <c r="BG261" t="s">
        <v>8172</v>
      </c>
      <c r="BH261" t="s">
        <v>8172</v>
      </c>
      <c r="BL261" t="s">
        <v>8172</v>
      </c>
      <c r="BN261">
        <v>1</v>
      </c>
      <c r="BO261" t="s">
        <v>8092</v>
      </c>
      <c r="BP261">
        <v>85</v>
      </c>
      <c r="BQ261" s="591">
        <v>86.3</v>
      </c>
      <c r="BR261" t="s">
        <v>1980</v>
      </c>
      <c r="BS261" t="s">
        <v>8093</v>
      </c>
      <c r="BT261">
        <v>0</v>
      </c>
      <c r="BU261" t="s">
        <v>8093</v>
      </c>
      <c r="BV261">
        <v>0</v>
      </c>
      <c r="BW261">
        <v>84.4</v>
      </c>
      <c r="BX261" t="s">
        <v>1980</v>
      </c>
      <c r="BY261">
        <v>0</v>
      </c>
      <c r="BZ261">
        <v>0</v>
      </c>
      <c r="CA261">
        <v>0</v>
      </c>
      <c r="CB261">
        <v>0</v>
      </c>
      <c r="CD261" t="s">
        <v>9593</v>
      </c>
    </row>
    <row r="262" spans="1:82">
      <c r="A262" t="s">
        <v>9528</v>
      </c>
      <c r="B262" t="s">
        <v>9594</v>
      </c>
      <c r="C262" t="s">
        <v>7995</v>
      </c>
      <c r="D262" t="s">
        <v>8163</v>
      </c>
      <c r="E262" t="s">
        <v>8164</v>
      </c>
      <c r="F262" t="s">
        <v>9590</v>
      </c>
      <c r="G262">
        <v>3.2</v>
      </c>
      <c r="H262" t="s">
        <v>9595</v>
      </c>
      <c r="I262" t="s">
        <v>9596</v>
      </c>
      <c r="J262" t="s">
        <v>8119</v>
      </c>
      <c r="N262" t="s">
        <v>8274</v>
      </c>
      <c r="O262" t="s">
        <v>10</v>
      </c>
      <c r="P262" t="s">
        <v>8275</v>
      </c>
      <c r="Q262">
        <v>0</v>
      </c>
      <c r="R262" t="s">
        <v>8129</v>
      </c>
      <c r="S262">
        <v>96</v>
      </c>
      <c r="T262">
        <v>98</v>
      </c>
      <c r="U262">
        <v>98</v>
      </c>
      <c r="V262">
        <v>98</v>
      </c>
      <c r="W262">
        <v>98</v>
      </c>
      <c r="X262">
        <v>98</v>
      </c>
      <c r="AH262">
        <v>0</v>
      </c>
      <c r="BP262" t="s">
        <v>9582</v>
      </c>
      <c r="BQ262" s="594">
        <v>98</v>
      </c>
      <c r="BR262" t="s">
        <v>1979</v>
      </c>
      <c r="BS262" t="s">
        <v>8093</v>
      </c>
      <c r="BT262">
        <v>0</v>
      </c>
      <c r="BU262" t="s">
        <v>8093</v>
      </c>
      <c r="BV262">
        <v>0</v>
      </c>
      <c r="BW262">
        <v>99</v>
      </c>
      <c r="BX262" t="s">
        <v>1979</v>
      </c>
      <c r="BY262">
        <v>0</v>
      </c>
      <c r="BZ262">
        <v>0</v>
      </c>
      <c r="CA262">
        <v>0</v>
      </c>
      <c r="CB262">
        <v>0</v>
      </c>
      <c r="CD262" t="s">
        <v>9597</v>
      </c>
    </row>
    <row r="263" spans="1:82">
      <c r="A263" t="s">
        <v>9528</v>
      </c>
      <c r="B263" t="s">
        <v>9598</v>
      </c>
      <c r="C263" t="s">
        <v>7995</v>
      </c>
      <c r="D263" t="s">
        <v>8163</v>
      </c>
      <c r="E263" t="s">
        <v>8164</v>
      </c>
      <c r="F263" t="s">
        <v>9590</v>
      </c>
      <c r="G263">
        <v>3.3</v>
      </c>
      <c r="H263" t="s">
        <v>9599</v>
      </c>
      <c r="I263" t="s">
        <v>9600</v>
      </c>
      <c r="J263" t="s">
        <v>8119</v>
      </c>
      <c r="N263" t="s">
        <v>9160</v>
      </c>
      <c r="O263" t="s">
        <v>11</v>
      </c>
      <c r="P263" t="s">
        <v>9601</v>
      </c>
      <c r="Q263">
        <v>0</v>
      </c>
      <c r="R263" t="s">
        <v>8129</v>
      </c>
      <c r="S263">
        <v>300</v>
      </c>
      <c r="T263">
        <v>400</v>
      </c>
      <c r="U263">
        <v>400</v>
      </c>
      <c r="V263">
        <v>400</v>
      </c>
      <c r="W263">
        <v>400</v>
      </c>
      <c r="X263">
        <v>400</v>
      </c>
      <c r="AH263">
        <v>0</v>
      </c>
      <c r="BP263" t="s">
        <v>9582</v>
      </c>
      <c r="BQ263" s="594">
        <v>256.5</v>
      </c>
      <c r="BR263" t="s">
        <v>1980</v>
      </c>
      <c r="BS263" t="s">
        <v>8093</v>
      </c>
      <c r="BT263">
        <v>0</v>
      </c>
      <c r="BU263" t="s">
        <v>8093</v>
      </c>
      <c r="BV263">
        <v>0</v>
      </c>
      <c r="BW263">
        <v>222</v>
      </c>
      <c r="BX263" t="s">
        <v>1980</v>
      </c>
      <c r="BY263">
        <v>0</v>
      </c>
      <c r="BZ263">
        <v>0</v>
      </c>
      <c r="CA263">
        <v>0</v>
      </c>
      <c r="CB263">
        <v>0</v>
      </c>
      <c r="CD263" t="s">
        <v>9602</v>
      </c>
    </row>
    <row r="264" spans="1:82">
      <c r="A264" t="s">
        <v>7971</v>
      </c>
      <c r="B264" t="s">
        <v>9603</v>
      </c>
      <c r="C264" t="s">
        <v>7958</v>
      </c>
      <c r="D264" t="s">
        <v>1383</v>
      </c>
      <c r="E264" t="s">
        <v>8083</v>
      </c>
      <c r="F264" t="s">
        <v>9604</v>
      </c>
      <c r="G264" t="s">
        <v>8085</v>
      </c>
      <c r="H264" t="s">
        <v>9605</v>
      </c>
      <c r="I264" t="s">
        <v>9606</v>
      </c>
      <c r="J264" t="s">
        <v>8088</v>
      </c>
      <c r="K264" t="s">
        <v>8089</v>
      </c>
      <c r="L264" t="s">
        <v>1979</v>
      </c>
      <c r="N264" t="s">
        <v>8055</v>
      </c>
      <c r="O264" t="s">
        <v>11</v>
      </c>
      <c r="P264" t="s">
        <v>9607</v>
      </c>
      <c r="Q264">
        <v>0</v>
      </c>
      <c r="R264" t="s">
        <v>8091</v>
      </c>
      <c r="S264">
        <v>13000</v>
      </c>
      <c r="T264">
        <v>11900</v>
      </c>
      <c r="U264">
        <v>10995</v>
      </c>
      <c r="V264">
        <v>9992</v>
      </c>
      <c r="W264">
        <v>9992</v>
      </c>
      <c r="X264">
        <v>9992</v>
      </c>
      <c r="Z264" t="s">
        <v>1979</v>
      </c>
      <c r="AE264" t="s">
        <v>1979</v>
      </c>
      <c r="AH264">
        <v>0</v>
      </c>
      <c r="AI264" t="s">
        <v>1979</v>
      </c>
      <c r="AJ264" t="s">
        <v>1979</v>
      </c>
      <c r="AK264" t="s">
        <v>1979</v>
      </c>
      <c r="AL264" t="s">
        <v>1979</v>
      </c>
      <c r="AM264" t="s">
        <v>1979</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8092</v>
      </c>
      <c r="BP264">
        <v>14339</v>
      </c>
      <c r="BQ264" s="594">
        <v>13941</v>
      </c>
      <c r="BR264" t="s">
        <v>1980</v>
      </c>
      <c r="BS264" t="s">
        <v>1983</v>
      </c>
      <c r="BT264">
        <v>-1.8369</v>
      </c>
      <c r="BU264" t="s">
        <v>8093</v>
      </c>
      <c r="BV264">
        <v>0</v>
      </c>
      <c r="BW264">
        <v>14461</v>
      </c>
      <c r="BX264" t="s">
        <v>1980</v>
      </c>
      <c r="BY264" t="s">
        <v>1983</v>
      </c>
      <c r="BZ264">
        <v>-2.3948999999999998</v>
      </c>
      <c r="CA264">
        <v>0</v>
      </c>
      <c r="CB264">
        <v>0</v>
      </c>
      <c r="CD264" t="s">
        <v>9608</v>
      </c>
    </row>
    <row r="265" spans="1:82">
      <c r="A265" t="s">
        <v>7971</v>
      </c>
      <c r="B265" t="s">
        <v>9609</v>
      </c>
      <c r="C265" t="s">
        <v>7958</v>
      </c>
      <c r="D265" t="s">
        <v>1383</v>
      </c>
      <c r="E265" t="s">
        <v>8083</v>
      </c>
      <c r="F265" t="s">
        <v>9604</v>
      </c>
      <c r="G265" t="s">
        <v>8096</v>
      </c>
      <c r="H265" t="s">
        <v>9610</v>
      </c>
      <c r="I265" t="s">
        <v>9611</v>
      </c>
      <c r="J265" t="s">
        <v>8099</v>
      </c>
      <c r="K265" t="s">
        <v>8089</v>
      </c>
      <c r="L265" t="s">
        <v>1979</v>
      </c>
      <c r="N265" t="s">
        <v>8127</v>
      </c>
      <c r="O265" t="s">
        <v>10</v>
      </c>
      <c r="P265" t="s">
        <v>8128</v>
      </c>
      <c r="Q265">
        <v>3</v>
      </c>
      <c r="R265" t="s">
        <v>8129</v>
      </c>
      <c r="S265">
        <v>99.95</v>
      </c>
      <c r="T265">
        <v>99.97</v>
      </c>
      <c r="U265">
        <v>99.97</v>
      </c>
      <c r="V265">
        <v>100</v>
      </c>
      <c r="W265">
        <v>100</v>
      </c>
      <c r="X265">
        <v>100</v>
      </c>
      <c r="Y265" t="s">
        <v>1979</v>
      </c>
      <c r="AE265" t="s">
        <v>1979</v>
      </c>
      <c r="AH265">
        <v>0</v>
      </c>
      <c r="AI265" t="s">
        <v>1979</v>
      </c>
      <c r="AJ265" t="s">
        <v>1979</v>
      </c>
      <c r="AK265" t="s">
        <v>1979</v>
      </c>
      <c r="AL265" t="s">
        <v>1979</v>
      </c>
      <c r="AM265" t="s">
        <v>1979</v>
      </c>
      <c r="AN265">
        <v>99.91</v>
      </c>
      <c r="AO265">
        <v>99.91</v>
      </c>
      <c r="AP265">
        <v>99.91</v>
      </c>
      <c r="AQ265">
        <v>99.91</v>
      </c>
      <c r="AR265">
        <v>99.91</v>
      </c>
      <c r="AS265">
        <v>99.944999999999993</v>
      </c>
      <c r="AT265">
        <v>99.944999999999993</v>
      </c>
      <c r="AU265">
        <v>99.95</v>
      </c>
      <c r="AV265">
        <v>99.95</v>
      </c>
      <c r="AW265">
        <v>99.95</v>
      </c>
      <c r="BH265">
        <v>1.7174</v>
      </c>
      <c r="BN265">
        <v>100</v>
      </c>
      <c r="BO265" t="s">
        <v>8456</v>
      </c>
      <c r="BP265">
        <v>99.94</v>
      </c>
      <c r="BQ265" s="604">
        <v>99.962000000000003</v>
      </c>
      <c r="BR265" t="s">
        <v>1980</v>
      </c>
      <c r="BS265" t="s">
        <v>1985</v>
      </c>
      <c r="BT265">
        <v>0</v>
      </c>
      <c r="BU265" t="s">
        <v>8093</v>
      </c>
      <c r="BV265">
        <v>0</v>
      </c>
      <c r="BW265">
        <v>99.944000000000003</v>
      </c>
      <c r="BX265" t="s">
        <v>1980</v>
      </c>
      <c r="BY265" t="s">
        <v>1983</v>
      </c>
      <c r="BZ265">
        <v>-0.17169999999837984</v>
      </c>
      <c r="CA265">
        <v>0</v>
      </c>
      <c r="CB265">
        <v>0</v>
      </c>
      <c r="CD265" t="s">
        <v>9612</v>
      </c>
    </row>
    <row r="266" spans="1:82">
      <c r="A266" t="s">
        <v>7971</v>
      </c>
      <c r="B266" t="s">
        <v>9613</v>
      </c>
      <c r="C266" t="s">
        <v>7958</v>
      </c>
      <c r="D266" t="s">
        <v>1383</v>
      </c>
      <c r="E266" t="s">
        <v>8083</v>
      </c>
      <c r="F266" t="s">
        <v>9604</v>
      </c>
      <c r="G266" t="s">
        <v>8104</v>
      </c>
      <c r="H266" t="s">
        <v>9614</v>
      </c>
      <c r="I266" t="s">
        <v>9615</v>
      </c>
      <c r="J266" t="s">
        <v>8099</v>
      </c>
      <c r="K266" t="s">
        <v>8428</v>
      </c>
      <c r="M266" t="s">
        <v>1980</v>
      </c>
      <c r="N266" t="s">
        <v>8148</v>
      </c>
      <c r="O266" t="s">
        <v>11</v>
      </c>
      <c r="P266" t="s">
        <v>9616</v>
      </c>
      <c r="Q266">
        <v>0</v>
      </c>
      <c r="R266" t="s">
        <v>8091</v>
      </c>
      <c r="S266" t="s">
        <v>1984</v>
      </c>
      <c r="T266" t="s">
        <v>9617</v>
      </c>
      <c r="U266" t="s">
        <v>9617</v>
      </c>
      <c r="V266" t="s">
        <v>9617</v>
      </c>
      <c r="W266" t="s">
        <v>9618</v>
      </c>
      <c r="X266" t="s">
        <v>9618</v>
      </c>
      <c r="AE266" t="s">
        <v>1979</v>
      </c>
      <c r="AH266">
        <v>0</v>
      </c>
      <c r="AI266" t="s">
        <v>1979</v>
      </c>
      <c r="AJ266" t="s">
        <v>1979</v>
      </c>
      <c r="AK266" t="s">
        <v>1979</v>
      </c>
      <c r="AL266" t="s">
        <v>1979</v>
      </c>
      <c r="AM266" t="s">
        <v>1979</v>
      </c>
      <c r="AN266">
        <v>999999</v>
      </c>
      <c r="AO266">
        <v>999999</v>
      </c>
      <c r="AP266">
        <v>999999</v>
      </c>
      <c r="AQ266">
        <v>999999</v>
      </c>
      <c r="AR266">
        <v>999999</v>
      </c>
      <c r="AS266">
        <v>8</v>
      </c>
      <c r="AT266">
        <v>8</v>
      </c>
      <c r="AU266">
        <v>8</v>
      </c>
      <c r="AV266">
        <v>6</v>
      </c>
      <c r="AW266">
        <v>6</v>
      </c>
      <c r="BH266">
        <v>0.46300000000000002</v>
      </c>
      <c r="BN266">
        <v>1</v>
      </c>
      <c r="BO266" t="s">
        <v>8092</v>
      </c>
      <c r="BP266">
        <v>13</v>
      </c>
      <c r="BQ266" s="593">
        <v>5</v>
      </c>
      <c r="BR266" t="s">
        <v>1979</v>
      </c>
      <c r="BS266" t="s">
        <v>8093</v>
      </c>
      <c r="BT266">
        <v>0</v>
      </c>
      <c r="BU266" t="s">
        <v>8093</v>
      </c>
      <c r="BV266">
        <v>0</v>
      </c>
      <c r="BW266">
        <v>5</v>
      </c>
      <c r="BX266" t="s">
        <v>1979</v>
      </c>
      <c r="BY266">
        <v>0</v>
      </c>
      <c r="BZ266">
        <v>0</v>
      </c>
      <c r="CA266">
        <v>0</v>
      </c>
      <c r="CB266">
        <v>0</v>
      </c>
      <c r="CD266" t="s">
        <v>9619</v>
      </c>
    </row>
    <row r="267" spans="1:82">
      <c r="A267" t="s">
        <v>7971</v>
      </c>
      <c r="B267" t="s">
        <v>9620</v>
      </c>
      <c r="C267" t="s">
        <v>7958</v>
      </c>
      <c r="D267" t="s">
        <v>1383</v>
      </c>
      <c r="E267" t="s">
        <v>8083</v>
      </c>
      <c r="F267" t="s">
        <v>9604</v>
      </c>
      <c r="G267" t="s">
        <v>8110</v>
      </c>
      <c r="H267" t="s">
        <v>9621</v>
      </c>
      <c r="I267" t="s">
        <v>9622</v>
      </c>
      <c r="J267" t="s">
        <v>8088</v>
      </c>
      <c r="K267" t="s">
        <v>8089</v>
      </c>
      <c r="L267" t="s">
        <v>1979</v>
      </c>
      <c r="M267" t="s">
        <v>1980</v>
      </c>
      <c r="N267" t="s">
        <v>9623</v>
      </c>
      <c r="O267" t="s">
        <v>11</v>
      </c>
      <c r="P267" t="s">
        <v>9624</v>
      </c>
      <c r="Q267">
        <v>0</v>
      </c>
      <c r="R267" t="s">
        <v>8129</v>
      </c>
      <c r="W267">
        <v>12</v>
      </c>
      <c r="AF267" t="s">
        <v>1979</v>
      </c>
      <c r="AH267">
        <v>0</v>
      </c>
      <c r="AL267" t="s">
        <v>1979</v>
      </c>
      <c r="AQ267">
        <v>0</v>
      </c>
      <c r="AV267">
        <v>12</v>
      </c>
      <c r="BA267">
        <v>12</v>
      </c>
      <c r="BF267">
        <v>21</v>
      </c>
      <c r="BH267">
        <v>1.03</v>
      </c>
      <c r="BL267">
        <v>1.03</v>
      </c>
      <c r="BN267">
        <v>1</v>
      </c>
      <c r="BO267" t="s">
        <v>8092</v>
      </c>
      <c r="BP267">
        <v>0</v>
      </c>
      <c r="BQ267" s="594">
        <v>0</v>
      </c>
      <c r="BR267" t="s">
        <v>8093</v>
      </c>
      <c r="BS267" t="s">
        <v>8093</v>
      </c>
      <c r="BT267">
        <v>0</v>
      </c>
      <c r="BU267" t="s">
        <v>8093</v>
      </c>
      <c r="BV267">
        <v>0</v>
      </c>
      <c r="BW267">
        <v>0</v>
      </c>
      <c r="BX267" t="s">
        <v>1981</v>
      </c>
      <c r="BY267">
        <v>0</v>
      </c>
      <c r="BZ267">
        <v>0</v>
      </c>
      <c r="CA267">
        <v>0</v>
      </c>
      <c r="CB267">
        <v>0</v>
      </c>
      <c r="CD267" t="s">
        <v>9625</v>
      </c>
    </row>
    <row r="268" spans="1:82">
      <c r="A268" t="s">
        <v>7971</v>
      </c>
      <c r="B268" t="s">
        <v>9626</v>
      </c>
      <c r="C268" t="s">
        <v>7958</v>
      </c>
      <c r="D268" t="s">
        <v>1383</v>
      </c>
      <c r="E268" t="s">
        <v>8083</v>
      </c>
      <c r="F268" t="s">
        <v>9627</v>
      </c>
      <c r="G268" t="s">
        <v>8124</v>
      </c>
      <c r="H268" t="s">
        <v>9628</v>
      </c>
      <c r="I268" t="s">
        <v>9629</v>
      </c>
      <c r="J268" t="s">
        <v>8119</v>
      </c>
      <c r="N268" t="s">
        <v>8113</v>
      </c>
      <c r="O268" t="s">
        <v>11</v>
      </c>
      <c r="P268" t="s">
        <v>8101</v>
      </c>
      <c r="Q268">
        <v>0</v>
      </c>
      <c r="R268" t="s">
        <v>8091</v>
      </c>
      <c r="S268">
        <v>229</v>
      </c>
      <c r="T268">
        <v>225</v>
      </c>
      <c r="U268">
        <v>222</v>
      </c>
      <c r="V268">
        <v>219</v>
      </c>
      <c r="W268">
        <v>216</v>
      </c>
      <c r="X268">
        <v>213</v>
      </c>
      <c r="AH268">
        <v>0</v>
      </c>
      <c r="BP268">
        <v>230</v>
      </c>
      <c r="BQ268" s="594">
        <v>237</v>
      </c>
      <c r="BR268" t="s">
        <v>1980</v>
      </c>
      <c r="BS268" t="s">
        <v>8093</v>
      </c>
      <c r="BT268">
        <v>0</v>
      </c>
      <c r="BU268" t="s">
        <v>8093</v>
      </c>
      <c r="BV268">
        <v>0</v>
      </c>
      <c r="BW268">
        <v>236</v>
      </c>
      <c r="BX268" t="s">
        <v>1980</v>
      </c>
      <c r="BY268">
        <v>0</v>
      </c>
      <c r="BZ268">
        <v>0</v>
      </c>
      <c r="CA268">
        <v>0</v>
      </c>
      <c r="CB268">
        <v>0</v>
      </c>
      <c r="CD268" t="s">
        <v>9630</v>
      </c>
    </row>
    <row r="269" spans="1:82">
      <c r="A269" t="s">
        <v>7971</v>
      </c>
      <c r="B269" t="s">
        <v>9631</v>
      </c>
      <c r="C269" t="s">
        <v>7958</v>
      </c>
      <c r="D269" t="s">
        <v>1383</v>
      </c>
      <c r="E269" t="s">
        <v>8083</v>
      </c>
      <c r="F269" t="s">
        <v>9627</v>
      </c>
      <c r="G269" t="s">
        <v>8132</v>
      </c>
      <c r="H269" t="s">
        <v>9632</v>
      </c>
      <c r="I269" t="s">
        <v>9633</v>
      </c>
      <c r="J269" t="s">
        <v>8088</v>
      </c>
      <c r="K269" t="s">
        <v>8089</v>
      </c>
      <c r="L269" t="s">
        <v>1979</v>
      </c>
      <c r="M269" t="s">
        <v>1980</v>
      </c>
      <c r="N269" t="s">
        <v>2534</v>
      </c>
      <c r="O269" t="s">
        <v>11</v>
      </c>
      <c r="P269" t="s">
        <v>8090</v>
      </c>
      <c r="Q269">
        <v>0</v>
      </c>
      <c r="R269" t="s">
        <v>8091</v>
      </c>
      <c r="S269">
        <v>450</v>
      </c>
      <c r="T269">
        <v>444</v>
      </c>
      <c r="U269">
        <v>439</v>
      </c>
      <c r="V269">
        <v>434</v>
      </c>
      <c r="W269">
        <v>429</v>
      </c>
      <c r="X269">
        <v>424</v>
      </c>
      <c r="AE269" t="s">
        <v>1979</v>
      </c>
      <c r="AH269">
        <v>0</v>
      </c>
      <c r="AI269" t="s">
        <v>1979</v>
      </c>
      <c r="AJ269" t="s">
        <v>1979</v>
      </c>
      <c r="AK269" t="s">
        <v>1979</v>
      </c>
      <c r="AL269" t="s">
        <v>1979</v>
      </c>
      <c r="AM269" t="s">
        <v>1979</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8092</v>
      </c>
      <c r="BP269">
        <v>444</v>
      </c>
      <c r="BQ269" s="594">
        <v>434</v>
      </c>
      <c r="BR269" t="s">
        <v>1979</v>
      </c>
      <c r="BS269" t="s">
        <v>1988</v>
      </c>
      <c r="BT269">
        <v>1.107</v>
      </c>
      <c r="BU269" t="s">
        <v>8093</v>
      </c>
      <c r="BV269">
        <v>0</v>
      </c>
      <c r="BW269">
        <v>432</v>
      </c>
      <c r="BX269" t="s">
        <v>1979</v>
      </c>
      <c r="BY269">
        <v>0</v>
      </c>
      <c r="BZ269">
        <v>0</v>
      </c>
      <c r="CA269">
        <v>0</v>
      </c>
      <c r="CB269">
        <v>0</v>
      </c>
      <c r="CD269" t="s">
        <v>9634</v>
      </c>
    </row>
    <row r="270" spans="1:82">
      <c r="A270" t="s">
        <v>7971</v>
      </c>
      <c r="B270" t="s">
        <v>9635</v>
      </c>
      <c r="C270" t="s">
        <v>7958</v>
      </c>
      <c r="D270" t="s">
        <v>1383</v>
      </c>
      <c r="E270" t="s">
        <v>8083</v>
      </c>
      <c r="F270" t="s">
        <v>9627</v>
      </c>
      <c r="G270" t="s">
        <v>8658</v>
      </c>
      <c r="H270" t="s">
        <v>9636</v>
      </c>
      <c r="I270" t="s">
        <v>9637</v>
      </c>
      <c r="J270" t="s">
        <v>8088</v>
      </c>
      <c r="K270" t="s">
        <v>8089</v>
      </c>
      <c r="L270" t="s">
        <v>1979</v>
      </c>
      <c r="N270" t="s">
        <v>2534</v>
      </c>
      <c r="O270" t="s">
        <v>10</v>
      </c>
      <c r="P270" t="s">
        <v>9638</v>
      </c>
      <c r="Q270">
        <v>0</v>
      </c>
      <c r="R270" t="s">
        <v>8129</v>
      </c>
      <c r="S270">
        <v>50</v>
      </c>
      <c r="T270">
        <v>70</v>
      </c>
      <c r="U270">
        <v>80</v>
      </c>
      <c r="V270">
        <v>90</v>
      </c>
      <c r="W270">
        <v>95</v>
      </c>
      <c r="X270">
        <v>100</v>
      </c>
      <c r="AE270" t="s">
        <v>1979</v>
      </c>
      <c r="AH270">
        <v>0</v>
      </c>
      <c r="AI270" t="s">
        <v>1979</v>
      </c>
      <c r="AJ270" t="s">
        <v>1979</v>
      </c>
      <c r="AK270" t="s">
        <v>1979</v>
      </c>
      <c r="AL270" t="s">
        <v>1979</v>
      </c>
      <c r="AM270" t="s">
        <v>1979</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8092</v>
      </c>
      <c r="BP270">
        <v>43.6</v>
      </c>
      <c r="BQ270" s="594">
        <v>53</v>
      </c>
      <c r="BR270" t="s">
        <v>1980</v>
      </c>
      <c r="BS270" t="s">
        <v>1983</v>
      </c>
      <c r="BT270">
        <v>-0.17264099999999999</v>
      </c>
      <c r="BU270" t="s">
        <v>8093</v>
      </c>
      <c r="BV270">
        <v>0</v>
      </c>
      <c r="BW270">
        <v>33</v>
      </c>
      <c r="BX270" t="s">
        <v>1980</v>
      </c>
      <c r="BY270" t="s">
        <v>1983</v>
      </c>
      <c r="BZ270">
        <v>-0.91253099999999998</v>
      </c>
      <c r="CA270">
        <v>0</v>
      </c>
      <c r="CB270">
        <v>0</v>
      </c>
      <c r="CD270" t="s">
        <v>9639</v>
      </c>
    </row>
    <row r="271" spans="1:82">
      <c r="A271" t="s">
        <v>7971</v>
      </c>
      <c r="B271" t="s">
        <v>9640</v>
      </c>
      <c r="C271" t="s">
        <v>7958</v>
      </c>
      <c r="D271" t="s">
        <v>1383</v>
      </c>
      <c r="E271" t="s">
        <v>8083</v>
      </c>
      <c r="F271" t="s">
        <v>9627</v>
      </c>
      <c r="G271" t="s">
        <v>9641</v>
      </c>
      <c r="H271" t="s">
        <v>9642</v>
      </c>
      <c r="I271" t="s">
        <v>9643</v>
      </c>
      <c r="J271" t="s">
        <v>8088</v>
      </c>
      <c r="K271" t="s">
        <v>8089</v>
      </c>
      <c r="L271" t="s">
        <v>1979</v>
      </c>
      <c r="N271" t="s">
        <v>2556</v>
      </c>
      <c r="O271" t="s">
        <v>8186</v>
      </c>
      <c r="P271" t="s">
        <v>8187</v>
      </c>
      <c r="Q271">
        <v>2</v>
      </c>
      <c r="R271" t="s">
        <v>8091</v>
      </c>
      <c r="S271">
        <v>15</v>
      </c>
      <c r="T271">
        <v>13.6</v>
      </c>
      <c r="U271">
        <v>12.2</v>
      </c>
      <c r="V271">
        <v>10.8</v>
      </c>
      <c r="W271">
        <v>9.4</v>
      </c>
      <c r="X271">
        <v>8</v>
      </c>
      <c r="AA271" t="s">
        <v>1979</v>
      </c>
      <c r="AE271" t="s">
        <v>1979</v>
      </c>
      <c r="AH271">
        <v>0</v>
      </c>
      <c r="AI271" t="s">
        <v>1979</v>
      </c>
      <c r="AJ271" t="s">
        <v>1979</v>
      </c>
      <c r="AK271" t="s">
        <v>1979</v>
      </c>
      <c r="AL271" t="s">
        <v>1979</v>
      </c>
      <c r="AM271" t="s">
        <v>1979</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8092</v>
      </c>
      <c r="BP271">
        <v>9.9</v>
      </c>
      <c r="BQ271" s="595">
        <v>11.17</v>
      </c>
      <c r="BR271" t="s">
        <v>1979</v>
      </c>
      <c r="BT271">
        <v>0</v>
      </c>
      <c r="BU271" t="s">
        <v>8093</v>
      </c>
      <c r="BV271">
        <v>0</v>
      </c>
      <c r="BW271">
        <v>10.130000000000001</v>
      </c>
      <c r="BX271" t="s">
        <v>1979</v>
      </c>
      <c r="BY271" t="s">
        <v>1988</v>
      </c>
      <c r="BZ271">
        <v>2.0569999999999995</v>
      </c>
      <c r="CA271">
        <v>0</v>
      </c>
      <c r="CB271">
        <v>0</v>
      </c>
      <c r="CD271" t="s">
        <v>9644</v>
      </c>
    </row>
    <row r="272" spans="1:82">
      <c r="A272" t="s">
        <v>7971</v>
      </c>
      <c r="B272" t="s">
        <v>9645</v>
      </c>
      <c r="C272" t="s">
        <v>7958</v>
      </c>
      <c r="D272" t="s">
        <v>1383</v>
      </c>
      <c r="E272" t="s">
        <v>8083</v>
      </c>
      <c r="F272" t="s">
        <v>9627</v>
      </c>
      <c r="G272" t="s">
        <v>9646</v>
      </c>
      <c r="H272" t="s">
        <v>9647</v>
      </c>
      <c r="I272" t="s">
        <v>9648</v>
      </c>
      <c r="J272" t="s">
        <v>8088</v>
      </c>
      <c r="K272" t="s">
        <v>8089</v>
      </c>
      <c r="N272" t="s">
        <v>4821</v>
      </c>
      <c r="O272" t="s">
        <v>10</v>
      </c>
      <c r="P272" t="s">
        <v>9649</v>
      </c>
      <c r="Q272">
        <v>1</v>
      </c>
      <c r="R272" t="s">
        <v>8129</v>
      </c>
      <c r="S272">
        <v>77</v>
      </c>
      <c r="X272">
        <v>77.7</v>
      </c>
      <c r="AE272" t="s">
        <v>1979</v>
      </c>
      <c r="AH272">
        <v>0</v>
      </c>
      <c r="AM272" t="s">
        <v>1979</v>
      </c>
      <c r="AR272">
        <v>0</v>
      </c>
      <c r="AW272">
        <v>77.7</v>
      </c>
      <c r="BB272">
        <v>77.7</v>
      </c>
      <c r="BG272">
        <v>100</v>
      </c>
      <c r="BH272">
        <v>1.77</v>
      </c>
      <c r="BL272">
        <v>1.77</v>
      </c>
      <c r="BN272">
        <v>1</v>
      </c>
      <c r="BO272" t="s">
        <v>8092</v>
      </c>
      <c r="BP272">
        <v>77.099999999999994</v>
      </c>
      <c r="BQ272" s="591">
        <v>77</v>
      </c>
      <c r="BR272" t="s">
        <v>8093</v>
      </c>
      <c r="BS272" t="s">
        <v>8093</v>
      </c>
      <c r="BT272">
        <v>0</v>
      </c>
      <c r="BU272" t="s">
        <v>8093</v>
      </c>
      <c r="BV272">
        <v>0</v>
      </c>
      <c r="BW272">
        <v>77</v>
      </c>
      <c r="BX272" t="s">
        <v>1981</v>
      </c>
      <c r="BY272">
        <v>0</v>
      </c>
      <c r="BZ272">
        <v>0</v>
      </c>
      <c r="CA272">
        <v>0</v>
      </c>
      <c r="CB272">
        <v>0</v>
      </c>
      <c r="CD272" t="s">
        <v>9650</v>
      </c>
    </row>
    <row r="273" spans="1:82">
      <c r="A273" t="s">
        <v>7971</v>
      </c>
      <c r="B273" t="s">
        <v>9651</v>
      </c>
      <c r="C273" t="s">
        <v>7958</v>
      </c>
      <c r="D273" t="s">
        <v>1383</v>
      </c>
      <c r="E273" t="s">
        <v>8083</v>
      </c>
      <c r="F273" t="s">
        <v>9627</v>
      </c>
      <c r="G273" t="s">
        <v>9652</v>
      </c>
      <c r="H273" t="s">
        <v>9653</v>
      </c>
      <c r="I273" t="s">
        <v>9654</v>
      </c>
      <c r="J273" t="s">
        <v>8099</v>
      </c>
      <c r="K273" t="s">
        <v>8428</v>
      </c>
      <c r="M273" t="s">
        <v>1980</v>
      </c>
      <c r="N273" t="s">
        <v>8148</v>
      </c>
      <c r="O273" t="s">
        <v>11</v>
      </c>
      <c r="P273" t="s">
        <v>8149</v>
      </c>
      <c r="Q273">
        <v>0</v>
      </c>
      <c r="R273" t="s">
        <v>8091</v>
      </c>
      <c r="S273" t="s">
        <v>1984</v>
      </c>
      <c r="T273" t="s">
        <v>9655</v>
      </c>
      <c r="U273" t="s">
        <v>9655</v>
      </c>
      <c r="V273" t="s">
        <v>9655</v>
      </c>
      <c r="W273" t="s">
        <v>9655</v>
      </c>
      <c r="X273" t="s">
        <v>9655</v>
      </c>
      <c r="AE273" t="s">
        <v>1979</v>
      </c>
      <c r="AH273">
        <v>0</v>
      </c>
      <c r="AI273" t="s">
        <v>1979</v>
      </c>
      <c r="AJ273" t="s">
        <v>1979</v>
      </c>
      <c r="AK273" t="s">
        <v>1979</v>
      </c>
      <c r="AL273" t="s">
        <v>1979</v>
      </c>
      <c r="AM273" t="s">
        <v>1979</v>
      </c>
      <c r="AN273">
        <v>999999</v>
      </c>
      <c r="AO273">
        <v>999999</v>
      </c>
      <c r="AP273">
        <v>999999</v>
      </c>
      <c r="AQ273">
        <v>999999</v>
      </c>
      <c r="AR273">
        <v>999999</v>
      </c>
      <c r="AS273">
        <v>6905</v>
      </c>
      <c r="AT273">
        <v>6905</v>
      </c>
      <c r="AU273">
        <v>6905</v>
      </c>
      <c r="AV273">
        <v>6905</v>
      </c>
      <c r="AW273">
        <v>6905</v>
      </c>
      <c r="BH273">
        <v>2.307E-3</v>
      </c>
      <c r="BN273">
        <v>1</v>
      </c>
      <c r="BO273" t="s">
        <v>8092</v>
      </c>
      <c r="BP273">
        <v>6253</v>
      </c>
      <c r="BQ273" s="594">
        <v>4784</v>
      </c>
      <c r="BR273" t="s">
        <v>1979</v>
      </c>
      <c r="BS273" t="s">
        <v>8093</v>
      </c>
      <c r="BT273">
        <v>0</v>
      </c>
      <c r="BU273" t="s">
        <v>8093</v>
      </c>
      <c r="BV273">
        <v>0</v>
      </c>
      <c r="BW273">
        <v>5173</v>
      </c>
      <c r="BX273" t="s">
        <v>1979</v>
      </c>
      <c r="BY273">
        <v>0</v>
      </c>
      <c r="BZ273">
        <v>0</v>
      </c>
      <c r="CA273">
        <v>0</v>
      </c>
      <c r="CB273">
        <v>0</v>
      </c>
      <c r="CD273" t="s">
        <v>9656</v>
      </c>
    </row>
    <row r="274" spans="1:82">
      <c r="A274" t="s">
        <v>7971</v>
      </c>
      <c r="B274" t="s">
        <v>9657</v>
      </c>
      <c r="C274" t="s">
        <v>7958</v>
      </c>
      <c r="D274" t="s">
        <v>1383</v>
      </c>
      <c r="E274" t="s">
        <v>8083</v>
      </c>
      <c r="F274" t="s">
        <v>9627</v>
      </c>
      <c r="G274" t="s">
        <v>9658</v>
      </c>
      <c r="H274" t="s">
        <v>9659</v>
      </c>
      <c r="I274" t="s">
        <v>9660</v>
      </c>
      <c r="J274" t="s">
        <v>8088</v>
      </c>
      <c r="K274" t="s">
        <v>8089</v>
      </c>
      <c r="L274" t="s">
        <v>1979</v>
      </c>
      <c r="N274" t="s">
        <v>8192</v>
      </c>
      <c r="O274" t="s">
        <v>11</v>
      </c>
      <c r="P274" t="s">
        <v>9661</v>
      </c>
      <c r="Q274">
        <v>0</v>
      </c>
      <c r="R274" t="s">
        <v>8091</v>
      </c>
      <c r="S274">
        <v>300</v>
      </c>
      <c r="T274">
        <v>250</v>
      </c>
      <c r="U274">
        <v>250</v>
      </c>
      <c r="V274">
        <v>250</v>
      </c>
      <c r="W274">
        <v>250</v>
      </c>
      <c r="X274">
        <v>250</v>
      </c>
      <c r="AE274" t="s">
        <v>1979</v>
      </c>
      <c r="AH274">
        <v>0</v>
      </c>
      <c r="AI274" t="s">
        <v>1979</v>
      </c>
      <c r="AJ274" t="s">
        <v>1979</v>
      </c>
      <c r="AK274" t="s">
        <v>1979</v>
      </c>
      <c r="AL274" t="s">
        <v>1979</v>
      </c>
      <c r="AM274" t="s">
        <v>1979</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8092</v>
      </c>
      <c r="BP274">
        <v>230</v>
      </c>
      <c r="BQ274" s="594">
        <v>162</v>
      </c>
      <c r="BR274" t="s">
        <v>1979</v>
      </c>
      <c r="BS274" t="s">
        <v>1988</v>
      </c>
      <c r="BT274">
        <v>6.9519999999999998E-2</v>
      </c>
      <c r="BU274" t="s">
        <v>8093</v>
      </c>
      <c r="BV274">
        <v>0</v>
      </c>
      <c r="BW274">
        <v>187</v>
      </c>
      <c r="BX274" t="s">
        <v>1979</v>
      </c>
      <c r="BY274" t="s">
        <v>1988</v>
      </c>
      <c r="BZ274">
        <v>4.9770000000000002E-2</v>
      </c>
      <c r="CA274">
        <v>0</v>
      </c>
      <c r="CB274">
        <v>0</v>
      </c>
      <c r="CD274" t="s">
        <v>9662</v>
      </c>
    </row>
    <row r="275" spans="1:82">
      <c r="A275" t="s">
        <v>7971</v>
      </c>
      <c r="B275" t="s">
        <v>9663</v>
      </c>
      <c r="C275" t="s">
        <v>7958</v>
      </c>
      <c r="D275" t="s">
        <v>1383</v>
      </c>
      <c r="E275" t="s">
        <v>8083</v>
      </c>
      <c r="F275" t="s">
        <v>9627</v>
      </c>
      <c r="G275" t="s">
        <v>9664</v>
      </c>
      <c r="H275" t="s">
        <v>9665</v>
      </c>
      <c r="I275" t="s">
        <v>9666</v>
      </c>
      <c r="J275" t="s">
        <v>8088</v>
      </c>
      <c r="K275" t="s">
        <v>8089</v>
      </c>
      <c r="L275" t="s">
        <v>1979</v>
      </c>
      <c r="M275" t="s">
        <v>1980</v>
      </c>
      <c r="N275" t="s">
        <v>8214</v>
      </c>
      <c r="O275" t="s">
        <v>11</v>
      </c>
      <c r="P275" t="s">
        <v>9667</v>
      </c>
      <c r="Q275">
        <v>0</v>
      </c>
      <c r="R275" t="s">
        <v>8091</v>
      </c>
      <c r="S275">
        <v>0</v>
      </c>
      <c r="T275">
        <v>0</v>
      </c>
      <c r="U275">
        <v>0</v>
      </c>
      <c r="V275">
        <v>0</v>
      </c>
      <c r="W275">
        <v>0</v>
      </c>
      <c r="X275">
        <v>0</v>
      </c>
      <c r="AH275">
        <v>0</v>
      </c>
      <c r="AI275" t="s">
        <v>1979</v>
      </c>
      <c r="AJ275" t="s">
        <v>1979</v>
      </c>
      <c r="AK275" t="s">
        <v>1979</v>
      </c>
      <c r="AL275" t="s">
        <v>1979</v>
      </c>
      <c r="AM275" t="s">
        <v>1979</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8092</v>
      </c>
      <c r="BP275">
        <v>0</v>
      </c>
      <c r="BQ275" s="594">
        <v>0</v>
      </c>
      <c r="BR275" t="s">
        <v>1979</v>
      </c>
      <c r="BS275" t="s">
        <v>8093</v>
      </c>
      <c r="BT275">
        <v>0</v>
      </c>
      <c r="BU275" t="s">
        <v>8093</v>
      </c>
      <c r="BV275">
        <v>0</v>
      </c>
      <c r="BW275">
        <v>0</v>
      </c>
      <c r="BX275" t="s">
        <v>1979</v>
      </c>
      <c r="BY275">
        <v>0</v>
      </c>
      <c r="BZ275">
        <v>0</v>
      </c>
      <c r="CA275">
        <v>0</v>
      </c>
      <c r="CB275">
        <v>0</v>
      </c>
      <c r="CD275" t="s">
        <v>9668</v>
      </c>
    </row>
    <row r="276" spans="1:82">
      <c r="A276" t="s">
        <v>7971</v>
      </c>
      <c r="B276" t="s">
        <v>9669</v>
      </c>
      <c r="C276" t="s">
        <v>7958</v>
      </c>
      <c r="D276" t="s">
        <v>1383</v>
      </c>
      <c r="E276" t="s">
        <v>8083</v>
      </c>
      <c r="F276" t="s">
        <v>9627</v>
      </c>
      <c r="G276" t="s">
        <v>9670</v>
      </c>
      <c r="H276" t="s">
        <v>9671</v>
      </c>
      <c r="I276" t="s">
        <v>9672</v>
      </c>
      <c r="J276" t="s">
        <v>8099</v>
      </c>
      <c r="K276" t="s">
        <v>8089</v>
      </c>
      <c r="M276" t="s">
        <v>1980</v>
      </c>
      <c r="N276" t="s">
        <v>4821</v>
      </c>
      <c r="O276" t="s">
        <v>6241</v>
      </c>
      <c r="P276" t="s">
        <v>9673</v>
      </c>
      <c r="Q276" t="s">
        <v>8092</v>
      </c>
      <c r="S276" t="s">
        <v>8565</v>
      </c>
      <c r="W276" t="s">
        <v>9674</v>
      </c>
      <c r="X276" t="s">
        <v>9675</v>
      </c>
      <c r="AD276" t="s">
        <v>1979</v>
      </c>
      <c r="AE276" t="s">
        <v>1979</v>
      </c>
      <c r="AH276">
        <v>0</v>
      </c>
      <c r="AM276" t="s">
        <v>1979</v>
      </c>
      <c r="BH276" t="s">
        <v>9321</v>
      </c>
      <c r="BI276" t="s">
        <v>9321</v>
      </c>
      <c r="BJ276" t="s">
        <v>9321</v>
      </c>
      <c r="BK276" t="s">
        <v>9321</v>
      </c>
      <c r="BN276">
        <v>1</v>
      </c>
      <c r="BO276" t="s">
        <v>8092</v>
      </c>
      <c r="BP276" t="s">
        <v>9676</v>
      </c>
      <c r="BQ276" s="593" t="s">
        <v>9676</v>
      </c>
      <c r="BR276" t="s">
        <v>8093</v>
      </c>
      <c r="BS276" t="s">
        <v>8093</v>
      </c>
      <c r="BT276">
        <v>0</v>
      </c>
      <c r="BU276" t="s">
        <v>8093</v>
      </c>
      <c r="BV276">
        <v>0</v>
      </c>
      <c r="BW276" t="s">
        <v>9677</v>
      </c>
      <c r="BX276" t="s">
        <v>1981</v>
      </c>
      <c r="BY276">
        <v>0</v>
      </c>
      <c r="BZ276">
        <v>0</v>
      </c>
      <c r="CA276">
        <v>0</v>
      </c>
      <c r="CB276">
        <v>0</v>
      </c>
      <c r="CD276" t="s">
        <v>9678</v>
      </c>
    </row>
    <row r="277" spans="1:82">
      <c r="A277" t="s">
        <v>7971</v>
      </c>
      <c r="B277" t="s">
        <v>9679</v>
      </c>
      <c r="C277" t="s">
        <v>7958</v>
      </c>
      <c r="D277" t="s">
        <v>1383</v>
      </c>
      <c r="E277" t="s">
        <v>8083</v>
      </c>
      <c r="F277" t="s">
        <v>9627</v>
      </c>
      <c r="G277" t="s">
        <v>9680</v>
      </c>
      <c r="H277" t="s">
        <v>9681</v>
      </c>
      <c r="I277" t="s">
        <v>9682</v>
      </c>
      <c r="J277" t="s">
        <v>8099</v>
      </c>
      <c r="K277" t="s">
        <v>8428</v>
      </c>
      <c r="M277" t="s">
        <v>1980</v>
      </c>
      <c r="N277" t="s">
        <v>4821</v>
      </c>
      <c r="O277" t="s">
        <v>6241</v>
      </c>
      <c r="P277" t="s">
        <v>9673</v>
      </c>
      <c r="Q277" t="s">
        <v>8092</v>
      </c>
      <c r="S277" t="s">
        <v>8565</v>
      </c>
      <c r="V277" t="s">
        <v>9674</v>
      </c>
      <c r="X277" t="s">
        <v>9675</v>
      </c>
      <c r="AD277" t="s">
        <v>1979</v>
      </c>
      <c r="AE277" t="s">
        <v>1979</v>
      </c>
      <c r="AH277">
        <v>0</v>
      </c>
      <c r="AM277" t="s">
        <v>1979</v>
      </c>
      <c r="BH277" t="s">
        <v>9321</v>
      </c>
      <c r="BI277" t="s">
        <v>9321</v>
      </c>
      <c r="BJ277" t="s">
        <v>9321</v>
      </c>
      <c r="BK277" t="s">
        <v>9321</v>
      </c>
      <c r="BN277">
        <v>1</v>
      </c>
      <c r="BO277" t="s">
        <v>8092</v>
      </c>
      <c r="BP277" t="s">
        <v>9676</v>
      </c>
      <c r="BQ277" s="593" t="s">
        <v>9676</v>
      </c>
      <c r="BR277" t="s">
        <v>8093</v>
      </c>
      <c r="BS277" t="s">
        <v>8093</v>
      </c>
      <c r="BT277">
        <v>0</v>
      </c>
      <c r="BU277" t="s">
        <v>8093</v>
      </c>
      <c r="BV277">
        <v>0</v>
      </c>
      <c r="BW277" t="s">
        <v>9677</v>
      </c>
      <c r="BX277" t="s">
        <v>1981</v>
      </c>
      <c r="BY277">
        <v>0</v>
      </c>
      <c r="BZ277">
        <v>0</v>
      </c>
      <c r="CA277">
        <v>0</v>
      </c>
      <c r="CB277">
        <v>0</v>
      </c>
      <c r="CD277" t="s">
        <v>9683</v>
      </c>
    </row>
    <row r="278" spans="1:82">
      <c r="A278" t="s">
        <v>7971</v>
      </c>
      <c r="B278" t="s">
        <v>9684</v>
      </c>
      <c r="C278" t="s">
        <v>7958</v>
      </c>
      <c r="D278" t="s">
        <v>1383</v>
      </c>
      <c r="E278" t="s">
        <v>8083</v>
      </c>
      <c r="F278" t="s">
        <v>9627</v>
      </c>
      <c r="G278" t="s">
        <v>9685</v>
      </c>
      <c r="H278" t="s">
        <v>9686</v>
      </c>
      <c r="I278" t="s">
        <v>9687</v>
      </c>
      <c r="J278" t="s">
        <v>8099</v>
      </c>
      <c r="K278" t="s">
        <v>8089</v>
      </c>
      <c r="M278" t="s">
        <v>1980</v>
      </c>
      <c r="N278" t="s">
        <v>4821</v>
      </c>
      <c r="O278" t="s">
        <v>6241</v>
      </c>
      <c r="P278" t="s">
        <v>9673</v>
      </c>
      <c r="Q278" t="s">
        <v>8092</v>
      </c>
      <c r="S278" t="s">
        <v>8565</v>
      </c>
      <c r="V278" t="s">
        <v>9674</v>
      </c>
      <c r="W278" t="s">
        <v>9688</v>
      </c>
      <c r="X278" t="s">
        <v>9689</v>
      </c>
      <c r="AD278" t="s">
        <v>1979</v>
      </c>
      <c r="AE278" t="s">
        <v>1979</v>
      </c>
      <c r="AH278">
        <v>0</v>
      </c>
      <c r="AL278" t="s">
        <v>1979</v>
      </c>
      <c r="AM278" t="s">
        <v>1979</v>
      </c>
      <c r="BH278">
        <v>2.63</v>
      </c>
      <c r="BI278">
        <v>0.86</v>
      </c>
      <c r="BJ278">
        <v>0.34</v>
      </c>
      <c r="BN278">
        <v>1</v>
      </c>
      <c r="BO278" t="s">
        <v>8092</v>
      </c>
      <c r="BP278" t="s">
        <v>9676</v>
      </c>
      <c r="BQ278" s="593" t="s">
        <v>9676</v>
      </c>
      <c r="BR278" t="s">
        <v>8093</v>
      </c>
      <c r="BS278" t="s">
        <v>8093</v>
      </c>
      <c r="BT278">
        <v>0</v>
      </c>
      <c r="BU278" t="s">
        <v>8093</v>
      </c>
      <c r="BV278">
        <v>0</v>
      </c>
      <c r="BW278" t="s">
        <v>9677</v>
      </c>
      <c r="BX278" t="s">
        <v>1981</v>
      </c>
      <c r="BY278">
        <v>0</v>
      </c>
      <c r="BZ278">
        <v>0</v>
      </c>
      <c r="CA278">
        <v>0</v>
      </c>
      <c r="CB278">
        <v>0</v>
      </c>
      <c r="CD278" t="s">
        <v>9690</v>
      </c>
    </row>
    <row r="279" spans="1:82">
      <c r="A279" t="s">
        <v>7971</v>
      </c>
      <c r="B279" t="s">
        <v>9691</v>
      </c>
      <c r="C279" t="s">
        <v>7958</v>
      </c>
      <c r="D279" t="s">
        <v>1383</v>
      </c>
      <c r="E279" t="s">
        <v>8083</v>
      </c>
      <c r="F279" t="s">
        <v>9627</v>
      </c>
      <c r="G279" t="s">
        <v>9692</v>
      </c>
      <c r="H279" t="s">
        <v>9693</v>
      </c>
      <c r="I279" t="s">
        <v>9694</v>
      </c>
      <c r="J279" t="s">
        <v>8099</v>
      </c>
      <c r="K279" t="s">
        <v>8428</v>
      </c>
      <c r="M279" t="s">
        <v>1980</v>
      </c>
      <c r="N279" t="s">
        <v>4821</v>
      </c>
      <c r="O279" t="s">
        <v>6241</v>
      </c>
      <c r="P279" t="s">
        <v>9673</v>
      </c>
      <c r="Q279" t="s">
        <v>8092</v>
      </c>
      <c r="S279" t="s">
        <v>8565</v>
      </c>
      <c r="V279" t="s">
        <v>9674</v>
      </c>
      <c r="W279" t="s">
        <v>9688</v>
      </c>
      <c r="X279" t="s">
        <v>9689</v>
      </c>
      <c r="AD279" t="s">
        <v>1979</v>
      </c>
      <c r="AE279" t="s">
        <v>1979</v>
      </c>
      <c r="AH279">
        <v>0</v>
      </c>
      <c r="AL279" t="s">
        <v>1979</v>
      </c>
      <c r="AM279" t="s">
        <v>1979</v>
      </c>
      <c r="BH279">
        <v>0.497</v>
      </c>
      <c r="BI279">
        <v>0.16300000000000001</v>
      </c>
      <c r="BJ279">
        <v>6.4000000000000001E-2</v>
      </c>
      <c r="BN279">
        <v>1</v>
      </c>
      <c r="BO279" t="s">
        <v>8092</v>
      </c>
      <c r="BP279" t="s">
        <v>9676</v>
      </c>
      <c r="BQ279" s="593" t="s">
        <v>9676</v>
      </c>
      <c r="BR279" t="s">
        <v>8093</v>
      </c>
      <c r="BS279" t="s">
        <v>8093</v>
      </c>
      <c r="BT279">
        <v>0</v>
      </c>
      <c r="BU279" t="s">
        <v>8093</v>
      </c>
      <c r="BV279">
        <v>0</v>
      </c>
      <c r="BW279" t="s">
        <v>9677</v>
      </c>
      <c r="BX279" t="s">
        <v>1981</v>
      </c>
      <c r="BY279">
        <v>0</v>
      </c>
      <c r="BZ279">
        <v>0</v>
      </c>
      <c r="CA279">
        <v>0</v>
      </c>
      <c r="CB279">
        <v>0</v>
      </c>
      <c r="CD279" t="s">
        <v>9695</v>
      </c>
    </row>
    <row r="280" spans="1:82">
      <c r="A280" t="s">
        <v>7971</v>
      </c>
      <c r="B280" t="s">
        <v>9696</v>
      </c>
      <c r="C280" t="s">
        <v>7958</v>
      </c>
      <c r="D280" t="s">
        <v>1383</v>
      </c>
      <c r="E280" t="s">
        <v>8083</v>
      </c>
      <c r="F280" t="s">
        <v>9627</v>
      </c>
      <c r="G280" t="s">
        <v>9697</v>
      </c>
      <c r="H280" t="s">
        <v>9698</v>
      </c>
      <c r="I280" t="s">
        <v>9699</v>
      </c>
      <c r="J280" t="s">
        <v>8099</v>
      </c>
      <c r="K280" t="s">
        <v>8089</v>
      </c>
      <c r="M280" t="s">
        <v>1980</v>
      </c>
      <c r="N280" t="s">
        <v>4821</v>
      </c>
      <c r="O280" t="s">
        <v>6241</v>
      </c>
      <c r="P280" t="s">
        <v>9474</v>
      </c>
      <c r="Q280" t="s">
        <v>8092</v>
      </c>
      <c r="S280" t="s">
        <v>8565</v>
      </c>
      <c r="U280" t="s">
        <v>103</v>
      </c>
      <c r="AD280" t="s">
        <v>1979</v>
      </c>
      <c r="AE280" t="s">
        <v>1979</v>
      </c>
      <c r="AH280">
        <v>0</v>
      </c>
      <c r="AJ280" t="s">
        <v>1979</v>
      </c>
      <c r="AK280" t="s">
        <v>1979</v>
      </c>
      <c r="AL280" t="s">
        <v>1979</v>
      </c>
      <c r="AM280" t="s">
        <v>1979</v>
      </c>
      <c r="BH280">
        <v>2.0499999999999998</v>
      </c>
      <c r="BN280">
        <v>1</v>
      </c>
      <c r="BO280" t="s">
        <v>8092</v>
      </c>
      <c r="BP280" t="s">
        <v>9676</v>
      </c>
      <c r="BQ280" s="593" t="s">
        <v>9676</v>
      </c>
      <c r="BR280" t="s">
        <v>8093</v>
      </c>
      <c r="BS280" t="s">
        <v>8093</v>
      </c>
      <c r="BT280">
        <v>0</v>
      </c>
      <c r="BU280" t="s">
        <v>8093</v>
      </c>
      <c r="BV280">
        <v>0</v>
      </c>
      <c r="BW280" t="s">
        <v>9700</v>
      </c>
      <c r="BX280" t="s">
        <v>1979</v>
      </c>
      <c r="BY280">
        <v>0</v>
      </c>
      <c r="BZ280">
        <v>0</v>
      </c>
      <c r="CA280">
        <v>0</v>
      </c>
      <c r="CB280">
        <v>0</v>
      </c>
      <c r="CD280" t="s">
        <v>9701</v>
      </c>
    </row>
    <row r="281" spans="1:82">
      <c r="A281" t="s">
        <v>7971</v>
      </c>
      <c r="B281" t="s">
        <v>9702</v>
      </c>
      <c r="C281" t="s">
        <v>7958</v>
      </c>
      <c r="D281" t="s">
        <v>1383</v>
      </c>
      <c r="E281" t="s">
        <v>8083</v>
      </c>
      <c r="F281" t="s">
        <v>9627</v>
      </c>
      <c r="G281" t="s">
        <v>9703</v>
      </c>
      <c r="H281" t="s">
        <v>9704</v>
      </c>
      <c r="I281" t="s">
        <v>9705</v>
      </c>
      <c r="J281" t="s">
        <v>8099</v>
      </c>
      <c r="K281" t="s">
        <v>8428</v>
      </c>
      <c r="M281" t="s">
        <v>1980</v>
      </c>
      <c r="N281" t="s">
        <v>4821</v>
      </c>
      <c r="O281" t="s">
        <v>6241</v>
      </c>
      <c r="P281" t="s">
        <v>9474</v>
      </c>
      <c r="Q281" t="s">
        <v>8092</v>
      </c>
      <c r="S281" t="s">
        <v>8565</v>
      </c>
      <c r="U281" t="s">
        <v>103</v>
      </c>
      <c r="AD281" t="s">
        <v>1979</v>
      </c>
      <c r="AE281" t="s">
        <v>1979</v>
      </c>
      <c r="AH281">
        <v>0</v>
      </c>
      <c r="AJ281" t="s">
        <v>1979</v>
      </c>
      <c r="BH281">
        <v>38.6</v>
      </c>
      <c r="BN281">
        <v>1</v>
      </c>
      <c r="BO281" t="s">
        <v>8092</v>
      </c>
      <c r="BP281" t="s">
        <v>9676</v>
      </c>
      <c r="BQ281" s="593" t="s">
        <v>9676</v>
      </c>
      <c r="BR281" t="s">
        <v>8093</v>
      </c>
      <c r="BS281" t="s">
        <v>8093</v>
      </c>
      <c r="BT281">
        <v>0</v>
      </c>
      <c r="BU281" t="s">
        <v>8093</v>
      </c>
      <c r="BV281">
        <v>0</v>
      </c>
      <c r="BW281" t="s">
        <v>9700</v>
      </c>
      <c r="BX281" t="s">
        <v>1979</v>
      </c>
      <c r="BY281">
        <v>0</v>
      </c>
      <c r="BZ281">
        <v>0</v>
      </c>
      <c r="CA281">
        <v>0</v>
      </c>
      <c r="CB281">
        <v>0</v>
      </c>
      <c r="CD281" t="s">
        <v>9706</v>
      </c>
    </row>
    <row r="282" spans="1:82">
      <c r="A282" t="s">
        <v>7971</v>
      </c>
      <c r="B282" t="s">
        <v>9707</v>
      </c>
      <c r="C282" t="s">
        <v>7958</v>
      </c>
      <c r="D282" t="s">
        <v>1383</v>
      </c>
      <c r="E282" t="s">
        <v>8083</v>
      </c>
      <c r="F282" t="s">
        <v>9708</v>
      </c>
      <c r="G282" t="s">
        <v>8139</v>
      </c>
      <c r="H282" t="s">
        <v>9709</v>
      </c>
      <c r="I282" t="s">
        <v>9710</v>
      </c>
      <c r="J282" t="s">
        <v>8088</v>
      </c>
      <c r="K282" t="s">
        <v>8089</v>
      </c>
      <c r="L282" t="s">
        <v>1979</v>
      </c>
      <c r="N282" t="s">
        <v>8178</v>
      </c>
      <c r="O282" t="s">
        <v>10</v>
      </c>
      <c r="P282" t="s">
        <v>8275</v>
      </c>
      <c r="Q282">
        <v>0</v>
      </c>
      <c r="R282" t="s">
        <v>8129</v>
      </c>
      <c r="S282">
        <v>45</v>
      </c>
      <c r="T282">
        <v>47</v>
      </c>
      <c r="U282">
        <v>47</v>
      </c>
      <c r="V282">
        <v>52</v>
      </c>
      <c r="W282">
        <v>53</v>
      </c>
      <c r="X282">
        <v>55</v>
      </c>
      <c r="AH282">
        <v>0</v>
      </c>
      <c r="AI282" t="s">
        <v>1979</v>
      </c>
      <c r="AJ282" t="s">
        <v>1979</v>
      </c>
      <c r="AK282" t="s">
        <v>1979</v>
      </c>
      <c r="AL282" t="s">
        <v>1979</v>
      </c>
      <c r="AM282" t="s">
        <v>1979</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8092</v>
      </c>
      <c r="BP282">
        <v>51</v>
      </c>
      <c r="BQ282" s="594">
        <v>57.5</v>
      </c>
      <c r="BR282" t="s">
        <v>1979</v>
      </c>
      <c r="BS282" t="s">
        <v>1988</v>
      </c>
      <c r="BT282">
        <v>0.125</v>
      </c>
      <c r="BU282" t="s">
        <v>8093</v>
      </c>
      <c r="BV282">
        <v>0</v>
      </c>
      <c r="BW282">
        <v>58</v>
      </c>
      <c r="BX282" t="s">
        <v>1979</v>
      </c>
      <c r="BY282" t="s">
        <v>1988</v>
      </c>
      <c r="BZ282">
        <v>0.125</v>
      </c>
      <c r="CA282">
        <v>0</v>
      </c>
      <c r="CB282">
        <v>0</v>
      </c>
      <c r="CD282" t="s">
        <v>9711</v>
      </c>
    </row>
    <row r="283" spans="1:82">
      <c r="A283" t="s">
        <v>7971</v>
      </c>
      <c r="B283" t="s">
        <v>9712</v>
      </c>
      <c r="C283" t="s">
        <v>7958</v>
      </c>
      <c r="D283" t="s">
        <v>1383</v>
      </c>
      <c r="E283" t="s">
        <v>8083</v>
      </c>
      <c r="F283" t="s">
        <v>9713</v>
      </c>
      <c r="G283" t="s">
        <v>8219</v>
      </c>
      <c r="H283" t="s">
        <v>9714</v>
      </c>
      <c r="I283" t="s">
        <v>9715</v>
      </c>
      <c r="J283" t="s">
        <v>8088</v>
      </c>
      <c r="K283" t="s">
        <v>8089</v>
      </c>
      <c r="N283" t="s">
        <v>8252</v>
      </c>
      <c r="O283" t="s">
        <v>11</v>
      </c>
      <c r="P283" t="s">
        <v>9716</v>
      </c>
      <c r="Q283">
        <v>0</v>
      </c>
      <c r="R283" t="s">
        <v>8129</v>
      </c>
      <c r="X283">
        <v>31</v>
      </c>
      <c r="AF283" t="s">
        <v>1979</v>
      </c>
      <c r="AH283">
        <v>0</v>
      </c>
      <c r="AM283" t="s">
        <v>1979</v>
      </c>
      <c r="AR283">
        <v>0</v>
      </c>
      <c r="AW283">
        <v>31</v>
      </c>
      <c r="BB283">
        <v>31</v>
      </c>
      <c r="BG283">
        <v>999999</v>
      </c>
      <c r="BH283">
        <v>0.15</v>
      </c>
      <c r="BL283">
        <v>0.15</v>
      </c>
      <c r="BN283">
        <v>1</v>
      </c>
      <c r="BO283" t="s">
        <v>8092</v>
      </c>
      <c r="BP283">
        <v>0</v>
      </c>
      <c r="BQ283" s="594">
        <v>0</v>
      </c>
      <c r="BR283" t="s">
        <v>8093</v>
      </c>
      <c r="BS283" t="s">
        <v>8093</v>
      </c>
      <c r="BT283">
        <v>0</v>
      </c>
      <c r="BU283" t="s">
        <v>8093</v>
      </c>
      <c r="BV283">
        <v>0</v>
      </c>
      <c r="BW283">
        <v>7</v>
      </c>
      <c r="BX283" t="s">
        <v>1981</v>
      </c>
      <c r="BY283">
        <v>0</v>
      </c>
      <c r="BZ283">
        <v>0</v>
      </c>
      <c r="CA283">
        <v>0</v>
      </c>
      <c r="CB283">
        <v>0</v>
      </c>
      <c r="CD283" t="s">
        <v>9717</v>
      </c>
    </row>
    <row r="284" spans="1:82">
      <c r="A284" t="s">
        <v>7971</v>
      </c>
      <c r="B284" t="s">
        <v>9718</v>
      </c>
      <c r="C284" t="s">
        <v>7958</v>
      </c>
      <c r="D284" t="s">
        <v>1383</v>
      </c>
      <c r="E284" t="s">
        <v>8083</v>
      </c>
      <c r="F284" t="s">
        <v>9713</v>
      </c>
      <c r="G284" t="s">
        <v>8225</v>
      </c>
      <c r="H284" t="s">
        <v>9719</v>
      </c>
      <c r="I284" t="s">
        <v>9720</v>
      </c>
      <c r="J284" t="s">
        <v>8119</v>
      </c>
      <c r="N284" t="s">
        <v>8252</v>
      </c>
      <c r="O284" t="s">
        <v>10</v>
      </c>
      <c r="P284" t="s">
        <v>9721</v>
      </c>
      <c r="Q284">
        <v>0</v>
      </c>
      <c r="R284" t="s">
        <v>8129</v>
      </c>
      <c r="S284" t="s">
        <v>1984</v>
      </c>
      <c r="T284">
        <v>100</v>
      </c>
      <c r="U284">
        <v>100</v>
      </c>
      <c r="V284">
        <v>100</v>
      </c>
      <c r="W284">
        <v>100</v>
      </c>
      <c r="X284">
        <v>100</v>
      </c>
      <c r="AF284" t="s">
        <v>1979</v>
      </c>
      <c r="AH284">
        <v>0</v>
      </c>
      <c r="BP284">
        <v>95.740000000000009</v>
      </c>
      <c r="BQ284" s="594">
        <v>97.508496246767137</v>
      </c>
      <c r="BR284" t="s">
        <v>1980</v>
      </c>
      <c r="BS284" t="s">
        <v>8093</v>
      </c>
      <c r="BT284">
        <v>0</v>
      </c>
      <c r="BU284" t="s">
        <v>8093</v>
      </c>
      <c r="BV284">
        <v>0</v>
      </c>
      <c r="BW284">
        <v>97.988160870777804</v>
      </c>
      <c r="BX284" t="s">
        <v>1980</v>
      </c>
      <c r="BY284">
        <v>0</v>
      </c>
      <c r="BZ284">
        <v>0</v>
      </c>
      <c r="CA284">
        <v>0</v>
      </c>
      <c r="CB284">
        <v>0</v>
      </c>
      <c r="CD284" t="s">
        <v>9722</v>
      </c>
    </row>
    <row r="285" spans="1:82">
      <c r="A285" t="s">
        <v>7971</v>
      </c>
      <c r="B285" t="s">
        <v>9723</v>
      </c>
      <c r="C285" t="s">
        <v>7958</v>
      </c>
      <c r="D285" t="s">
        <v>1383</v>
      </c>
      <c r="E285" t="s">
        <v>8083</v>
      </c>
      <c r="F285" t="s">
        <v>9713</v>
      </c>
      <c r="G285" t="s">
        <v>8230</v>
      </c>
      <c r="H285" t="s">
        <v>9724</v>
      </c>
      <c r="I285" t="s">
        <v>9725</v>
      </c>
      <c r="J285" t="s">
        <v>8119</v>
      </c>
      <c r="N285" t="s">
        <v>8245</v>
      </c>
      <c r="O285" t="s">
        <v>11</v>
      </c>
      <c r="P285" t="s">
        <v>9726</v>
      </c>
      <c r="Q285">
        <v>0</v>
      </c>
      <c r="R285" t="s">
        <v>8129</v>
      </c>
      <c r="S285">
        <v>334</v>
      </c>
      <c r="X285">
        <v>409</v>
      </c>
      <c r="AF285" t="s">
        <v>1979</v>
      </c>
      <c r="AH285">
        <v>0</v>
      </c>
      <c r="BP285">
        <v>328</v>
      </c>
      <c r="BQ285" s="594">
        <v>322.89999999999998</v>
      </c>
      <c r="BR285" t="s">
        <v>8093</v>
      </c>
      <c r="BS285" t="s">
        <v>8093</v>
      </c>
      <c r="BT285">
        <v>0</v>
      </c>
      <c r="BU285" t="s">
        <v>8093</v>
      </c>
      <c r="BV285">
        <v>0</v>
      </c>
      <c r="BW285">
        <v>293</v>
      </c>
      <c r="BX285" t="s">
        <v>1981</v>
      </c>
      <c r="BY285">
        <v>0</v>
      </c>
      <c r="BZ285">
        <v>0</v>
      </c>
      <c r="CA285">
        <v>0</v>
      </c>
      <c r="CB285">
        <v>0</v>
      </c>
      <c r="CD285" t="s">
        <v>9727</v>
      </c>
    </row>
    <row r="286" spans="1:82">
      <c r="A286" t="s">
        <v>7971</v>
      </c>
      <c r="B286" t="s">
        <v>9728</v>
      </c>
      <c r="C286" t="s">
        <v>7958</v>
      </c>
      <c r="D286" t="s">
        <v>1383</v>
      </c>
      <c r="E286" t="s">
        <v>8083</v>
      </c>
      <c r="F286" t="s">
        <v>9713</v>
      </c>
      <c r="G286" t="s">
        <v>8236</v>
      </c>
      <c r="H286" t="s">
        <v>9729</v>
      </c>
      <c r="I286" t="s">
        <v>9730</v>
      </c>
      <c r="J286" t="s">
        <v>8119</v>
      </c>
      <c r="N286" t="s">
        <v>8252</v>
      </c>
      <c r="O286" t="s">
        <v>11</v>
      </c>
      <c r="P286" t="s">
        <v>9731</v>
      </c>
      <c r="Q286">
        <v>0</v>
      </c>
      <c r="W286" t="s">
        <v>8572</v>
      </c>
      <c r="AF286" t="s">
        <v>1979</v>
      </c>
      <c r="AH286">
        <v>0</v>
      </c>
      <c r="BP286">
        <v>0</v>
      </c>
      <c r="BQ286" s="593">
        <v>0</v>
      </c>
      <c r="BR286" t="s">
        <v>8093</v>
      </c>
      <c r="BS286" t="s">
        <v>8093</v>
      </c>
      <c r="BT286">
        <v>0</v>
      </c>
      <c r="BU286" t="s">
        <v>8093</v>
      </c>
      <c r="BV286">
        <v>0</v>
      </c>
      <c r="BW286">
        <v>0</v>
      </c>
      <c r="BX286" t="s">
        <v>1981</v>
      </c>
      <c r="BY286">
        <v>0</v>
      </c>
      <c r="BZ286">
        <v>0</v>
      </c>
      <c r="CA286">
        <v>0</v>
      </c>
      <c r="CB286">
        <v>0</v>
      </c>
      <c r="CD286" t="s">
        <v>9732</v>
      </c>
    </row>
    <row r="287" spans="1:82">
      <c r="A287" t="s">
        <v>7971</v>
      </c>
      <c r="B287" t="s">
        <v>9733</v>
      </c>
      <c r="C287" t="s">
        <v>7958</v>
      </c>
      <c r="D287" t="s">
        <v>1383</v>
      </c>
      <c r="E287" t="s">
        <v>8083</v>
      </c>
      <c r="F287" t="s">
        <v>9734</v>
      </c>
      <c r="G287" t="s">
        <v>8242</v>
      </c>
      <c r="H287" t="s">
        <v>9735</v>
      </c>
      <c r="I287" t="s">
        <v>9736</v>
      </c>
      <c r="J287" t="s">
        <v>8088</v>
      </c>
      <c r="K287" t="s">
        <v>8089</v>
      </c>
      <c r="L287" t="s">
        <v>1979</v>
      </c>
      <c r="N287" t="s">
        <v>8260</v>
      </c>
      <c r="O287" t="s">
        <v>11</v>
      </c>
      <c r="P287" t="s">
        <v>8753</v>
      </c>
      <c r="Q287">
        <v>3</v>
      </c>
      <c r="R287" t="s">
        <v>8091</v>
      </c>
      <c r="S287">
        <v>229</v>
      </c>
      <c r="T287">
        <v>228</v>
      </c>
      <c r="U287">
        <v>224</v>
      </c>
      <c r="V287">
        <v>222</v>
      </c>
      <c r="W287">
        <v>220</v>
      </c>
      <c r="X287">
        <v>216</v>
      </c>
      <c r="AH287">
        <v>0</v>
      </c>
      <c r="AI287" t="s">
        <v>1979</v>
      </c>
      <c r="AJ287" t="s">
        <v>1979</v>
      </c>
      <c r="AK287" t="s">
        <v>1979</v>
      </c>
      <c r="AL287" t="s">
        <v>1979</v>
      </c>
      <c r="AM287" t="s">
        <v>1979</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8092</v>
      </c>
      <c r="BP287">
        <v>239.07913858581199</v>
      </c>
      <c r="BQ287" s="604">
        <v>246.63200000000001</v>
      </c>
      <c r="BR287" t="s">
        <v>1980</v>
      </c>
      <c r="BS287" t="s">
        <v>1983</v>
      </c>
      <c r="BT287">
        <v>-0.27258616000000002</v>
      </c>
      <c r="BU287" t="s">
        <v>8093</v>
      </c>
      <c r="BV287">
        <v>0</v>
      </c>
      <c r="BW287">
        <v>250</v>
      </c>
      <c r="BX287" t="s">
        <v>1980</v>
      </c>
      <c r="BY287" t="s">
        <v>1983</v>
      </c>
      <c r="BZ287">
        <v>-0.38038</v>
      </c>
      <c r="CA287">
        <v>0</v>
      </c>
      <c r="CB287">
        <v>0</v>
      </c>
      <c r="CD287" t="s">
        <v>9737</v>
      </c>
    </row>
    <row r="288" spans="1:82">
      <c r="A288" t="s">
        <v>7971</v>
      </c>
      <c r="B288" t="s">
        <v>9738</v>
      </c>
      <c r="C288" t="s">
        <v>7958</v>
      </c>
      <c r="D288" t="s">
        <v>1383</v>
      </c>
      <c r="E288" t="s">
        <v>8083</v>
      </c>
      <c r="F288" t="s">
        <v>9739</v>
      </c>
      <c r="G288" t="s">
        <v>8257</v>
      </c>
      <c r="H288" t="s">
        <v>9740</v>
      </c>
      <c r="I288" t="s">
        <v>9741</v>
      </c>
      <c r="J288" t="s">
        <v>8119</v>
      </c>
      <c r="N288" t="s">
        <v>9160</v>
      </c>
      <c r="O288" t="s">
        <v>11</v>
      </c>
      <c r="P288" t="s">
        <v>9742</v>
      </c>
      <c r="Q288">
        <v>0</v>
      </c>
      <c r="S288">
        <v>75000</v>
      </c>
      <c r="T288">
        <v>155000</v>
      </c>
      <c r="U288">
        <v>160000</v>
      </c>
      <c r="V288">
        <v>140000</v>
      </c>
      <c r="W288">
        <v>120000</v>
      </c>
      <c r="X288">
        <v>125000</v>
      </c>
      <c r="AH288">
        <v>0</v>
      </c>
      <c r="BP288">
        <v>52127</v>
      </c>
      <c r="BQ288" s="594">
        <v>117728</v>
      </c>
      <c r="BR288" t="s">
        <v>1980</v>
      </c>
      <c r="BS288" t="s">
        <v>8093</v>
      </c>
      <c r="BT288">
        <v>0</v>
      </c>
      <c r="BU288" t="s">
        <v>8093</v>
      </c>
      <c r="BV288">
        <v>0</v>
      </c>
      <c r="BW288">
        <v>167024</v>
      </c>
      <c r="BX288" t="s">
        <v>1979</v>
      </c>
      <c r="BY288">
        <v>0</v>
      </c>
      <c r="BZ288">
        <v>0</v>
      </c>
      <c r="CA288">
        <v>0</v>
      </c>
      <c r="CB288">
        <v>0</v>
      </c>
      <c r="CD288" t="s">
        <v>9743</v>
      </c>
    </row>
    <row r="289" spans="1:82">
      <c r="A289" t="s">
        <v>7971</v>
      </c>
      <c r="B289" t="s">
        <v>9744</v>
      </c>
      <c r="C289" t="s">
        <v>7958</v>
      </c>
      <c r="D289" t="s">
        <v>1384</v>
      </c>
      <c r="E289" t="s">
        <v>8297</v>
      </c>
      <c r="F289" t="s">
        <v>9745</v>
      </c>
      <c r="G289" t="s">
        <v>8764</v>
      </c>
      <c r="H289" t="s">
        <v>9746</v>
      </c>
      <c r="I289" t="s">
        <v>9747</v>
      </c>
      <c r="J289" t="s">
        <v>8088</v>
      </c>
      <c r="K289" t="s">
        <v>8089</v>
      </c>
      <c r="L289" t="s">
        <v>1979</v>
      </c>
      <c r="N289" t="s">
        <v>8301</v>
      </c>
      <c r="O289" t="s">
        <v>11</v>
      </c>
      <c r="P289" t="s">
        <v>9417</v>
      </c>
      <c r="Q289">
        <v>0</v>
      </c>
      <c r="R289" t="s">
        <v>8091</v>
      </c>
      <c r="S289">
        <v>1031</v>
      </c>
      <c r="T289">
        <v>1014</v>
      </c>
      <c r="U289">
        <v>989</v>
      </c>
      <c r="V289">
        <v>960</v>
      </c>
      <c r="W289">
        <v>927</v>
      </c>
      <c r="X289">
        <v>892</v>
      </c>
      <c r="AC289" t="s">
        <v>1979</v>
      </c>
      <c r="AE289" t="s">
        <v>1979</v>
      </c>
      <c r="AH289">
        <v>0</v>
      </c>
      <c r="AI289" t="s">
        <v>1979</v>
      </c>
      <c r="AJ289" t="s">
        <v>1979</v>
      </c>
      <c r="AK289" t="s">
        <v>1979</v>
      </c>
      <c r="AL289" t="s">
        <v>1979</v>
      </c>
      <c r="AM289" t="s">
        <v>1979</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8092</v>
      </c>
      <c r="BP289">
        <v>1168</v>
      </c>
      <c r="BQ289" s="594">
        <v>809</v>
      </c>
      <c r="BR289" t="s">
        <v>1979</v>
      </c>
      <c r="BS289" t="s">
        <v>1988</v>
      </c>
      <c r="BT289">
        <v>8.9922000000000004</v>
      </c>
      <c r="BU289" t="s">
        <v>8093</v>
      </c>
      <c r="BV289">
        <v>0</v>
      </c>
      <c r="BW289">
        <v>901</v>
      </c>
      <c r="BX289" t="s">
        <v>1979</v>
      </c>
      <c r="BY289" t="s">
        <v>1988</v>
      </c>
      <c r="BZ289">
        <v>3.5463520000000002</v>
      </c>
      <c r="CA289">
        <v>0</v>
      </c>
      <c r="CB289">
        <v>0</v>
      </c>
      <c r="CD289" t="s">
        <v>9748</v>
      </c>
    </row>
    <row r="290" spans="1:82">
      <c r="A290" t="s">
        <v>7971</v>
      </c>
      <c r="B290" t="s">
        <v>9749</v>
      </c>
      <c r="C290" t="s">
        <v>7958</v>
      </c>
      <c r="D290" t="s">
        <v>1384</v>
      </c>
      <c r="E290" t="s">
        <v>8297</v>
      </c>
      <c r="F290" t="s">
        <v>9745</v>
      </c>
      <c r="G290" t="s">
        <v>8298</v>
      </c>
      <c r="H290" t="s">
        <v>9750</v>
      </c>
      <c r="I290" t="s">
        <v>9751</v>
      </c>
      <c r="J290" t="s">
        <v>8088</v>
      </c>
      <c r="K290" t="s">
        <v>8089</v>
      </c>
      <c r="L290" t="s">
        <v>1979</v>
      </c>
      <c r="N290" t="s">
        <v>8301</v>
      </c>
      <c r="O290" t="s">
        <v>11</v>
      </c>
      <c r="P290" t="s">
        <v>9422</v>
      </c>
      <c r="Q290">
        <v>0</v>
      </c>
      <c r="R290" t="s">
        <v>8091</v>
      </c>
      <c r="S290">
        <v>7714</v>
      </c>
      <c r="T290">
        <v>7639</v>
      </c>
      <c r="U290">
        <v>7548</v>
      </c>
      <c r="V290">
        <v>7447</v>
      </c>
      <c r="W290">
        <v>7336</v>
      </c>
      <c r="X290">
        <v>7220</v>
      </c>
      <c r="AE290" t="s">
        <v>1979</v>
      </c>
      <c r="AH290">
        <v>0</v>
      </c>
      <c r="AI290" t="s">
        <v>1979</v>
      </c>
      <c r="AJ290" t="s">
        <v>1979</v>
      </c>
      <c r="AK290" t="s">
        <v>1979</v>
      </c>
      <c r="AL290" t="s">
        <v>1979</v>
      </c>
      <c r="AM290" t="s">
        <v>1979</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8092</v>
      </c>
      <c r="BP290">
        <v>9896</v>
      </c>
      <c r="BQ290" s="594">
        <v>7163</v>
      </c>
      <c r="BR290" t="s">
        <v>1979</v>
      </c>
      <c r="BS290" t="s">
        <v>1988</v>
      </c>
      <c r="BT290">
        <v>6.1314900000000003</v>
      </c>
      <c r="BU290" t="s">
        <v>8093</v>
      </c>
      <c r="BV290">
        <v>0</v>
      </c>
      <c r="BW290">
        <v>5801</v>
      </c>
      <c r="BX290" t="s">
        <v>1979</v>
      </c>
      <c r="BY290" t="s">
        <v>1988</v>
      </c>
      <c r="BZ290">
        <v>32.225189</v>
      </c>
      <c r="CA290">
        <v>0</v>
      </c>
      <c r="CB290">
        <v>0</v>
      </c>
      <c r="CD290" t="s">
        <v>9752</v>
      </c>
    </row>
    <row r="291" spans="1:82">
      <c r="A291" t="s">
        <v>7971</v>
      </c>
      <c r="B291" t="s">
        <v>9753</v>
      </c>
      <c r="C291" t="s">
        <v>7958</v>
      </c>
      <c r="D291" t="s">
        <v>1384</v>
      </c>
      <c r="E291" t="s">
        <v>8297</v>
      </c>
      <c r="F291" t="s">
        <v>9745</v>
      </c>
      <c r="G291" t="s">
        <v>8305</v>
      </c>
      <c r="H291" t="s">
        <v>9754</v>
      </c>
      <c r="I291" t="s">
        <v>9755</v>
      </c>
      <c r="J291" t="s">
        <v>8088</v>
      </c>
      <c r="K291" t="s">
        <v>8089</v>
      </c>
      <c r="N291" t="s">
        <v>9086</v>
      </c>
      <c r="O291" t="s">
        <v>11</v>
      </c>
      <c r="P291" t="s">
        <v>9756</v>
      </c>
      <c r="Q291">
        <v>0</v>
      </c>
      <c r="R291" t="s">
        <v>8129</v>
      </c>
      <c r="S291">
        <v>7</v>
      </c>
      <c r="X291">
        <v>21</v>
      </c>
      <c r="AH291">
        <v>0</v>
      </c>
      <c r="AM291" t="s">
        <v>1979</v>
      </c>
      <c r="AR291">
        <v>0</v>
      </c>
      <c r="AW291">
        <v>21</v>
      </c>
      <c r="BB291">
        <v>21</v>
      </c>
      <c r="BG291">
        <v>999999</v>
      </c>
      <c r="BH291">
        <v>6.1171999999999997E-2</v>
      </c>
      <c r="BL291">
        <v>6.1171999999999997E-2</v>
      </c>
      <c r="BN291">
        <v>1</v>
      </c>
      <c r="BO291" t="s">
        <v>8092</v>
      </c>
      <c r="BP291">
        <v>0</v>
      </c>
      <c r="BQ291" s="594">
        <v>0</v>
      </c>
      <c r="BR291" t="s">
        <v>8093</v>
      </c>
      <c r="BS291" t="s">
        <v>8093</v>
      </c>
      <c r="BT291">
        <v>0</v>
      </c>
      <c r="BU291" t="s">
        <v>8093</v>
      </c>
      <c r="BV291">
        <v>0</v>
      </c>
      <c r="BW291">
        <v>0</v>
      </c>
      <c r="BX291" t="s">
        <v>1981</v>
      </c>
      <c r="BY291">
        <v>0</v>
      </c>
      <c r="BZ291">
        <v>0</v>
      </c>
      <c r="CA291">
        <v>0</v>
      </c>
      <c r="CB291">
        <v>0</v>
      </c>
      <c r="CD291" t="s">
        <v>9757</v>
      </c>
    </row>
    <row r="292" spans="1:82">
      <c r="A292" t="s">
        <v>7971</v>
      </c>
      <c r="B292" t="s">
        <v>9758</v>
      </c>
      <c r="C292" t="s">
        <v>7958</v>
      </c>
      <c r="D292" t="s">
        <v>1384</v>
      </c>
      <c r="E292" t="s">
        <v>8297</v>
      </c>
      <c r="F292" t="s">
        <v>9745</v>
      </c>
      <c r="G292" t="s">
        <v>8311</v>
      </c>
      <c r="H292" t="s">
        <v>9759</v>
      </c>
      <c r="I292" t="s">
        <v>9760</v>
      </c>
      <c r="J292" t="s">
        <v>8099</v>
      </c>
      <c r="K292" t="s">
        <v>8428</v>
      </c>
      <c r="N292" t="s">
        <v>8364</v>
      </c>
      <c r="O292" t="s">
        <v>11</v>
      </c>
      <c r="P292" t="s">
        <v>9761</v>
      </c>
      <c r="Q292">
        <v>0</v>
      </c>
      <c r="R292" t="s">
        <v>8091</v>
      </c>
      <c r="S292" t="s">
        <v>1982</v>
      </c>
      <c r="T292" t="s">
        <v>9762</v>
      </c>
      <c r="U292" t="s">
        <v>9763</v>
      </c>
      <c r="V292" t="s">
        <v>9764</v>
      </c>
      <c r="W292" t="s">
        <v>9765</v>
      </c>
      <c r="X292" t="s">
        <v>9766</v>
      </c>
      <c r="AE292" t="s">
        <v>1979</v>
      </c>
      <c r="AH292">
        <v>0</v>
      </c>
      <c r="AI292" t="s">
        <v>1979</v>
      </c>
      <c r="AJ292" t="s">
        <v>1979</v>
      </c>
      <c r="AK292" t="s">
        <v>1979</v>
      </c>
      <c r="AL292" t="s">
        <v>1979</v>
      </c>
      <c r="AM292" t="s">
        <v>1979</v>
      </c>
      <c r="AN292">
        <v>999999</v>
      </c>
      <c r="AO292">
        <v>999999</v>
      </c>
      <c r="AP292">
        <v>999999</v>
      </c>
      <c r="AQ292">
        <v>999999</v>
      </c>
      <c r="AR292">
        <v>999999</v>
      </c>
      <c r="AS292">
        <v>50470</v>
      </c>
      <c r="AT292">
        <v>50078</v>
      </c>
      <c r="AU292">
        <v>49685</v>
      </c>
      <c r="AV292">
        <v>49293</v>
      </c>
      <c r="AW292">
        <v>48900</v>
      </c>
      <c r="BH292">
        <v>2.0790000000000001E-3</v>
      </c>
      <c r="BN292">
        <v>1</v>
      </c>
      <c r="BO292" t="s">
        <v>8092</v>
      </c>
      <c r="BP292">
        <v>45920</v>
      </c>
      <c r="BQ292" s="594">
        <v>44107</v>
      </c>
      <c r="BR292" t="s">
        <v>1979</v>
      </c>
      <c r="BS292" t="s">
        <v>8093</v>
      </c>
      <c r="BT292">
        <v>0</v>
      </c>
      <c r="BU292" t="s">
        <v>8093</v>
      </c>
      <c r="BV292">
        <v>0</v>
      </c>
      <c r="BW292">
        <v>45240</v>
      </c>
      <c r="BX292" t="s">
        <v>1979</v>
      </c>
      <c r="BY292">
        <v>0</v>
      </c>
      <c r="BZ292">
        <v>0</v>
      </c>
      <c r="CA292">
        <v>0</v>
      </c>
      <c r="CB292">
        <v>0</v>
      </c>
      <c r="CD292" t="s">
        <v>9767</v>
      </c>
    </row>
    <row r="293" spans="1:82">
      <c r="A293" t="s">
        <v>7971</v>
      </c>
      <c r="B293" t="s">
        <v>9768</v>
      </c>
      <c r="C293" t="s">
        <v>7958</v>
      </c>
      <c r="D293" t="s">
        <v>1384</v>
      </c>
      <c r="E293" t="s">
        <v>8297</v>
      </c>
      <c r="F293" t="s">
        <v>9745</v>
      </c>
      <c r="G293" t="s">
        <v>9769</v>
      </c>
      <c r="H293" t="s">
        <v>9770</v>
      </c>
      <c r="I293" t="s">
        <v>9771</v>
      </c>
      <c r="J293" t="s">
        <v>8119</v>
      </c>
      <c r="N293" t="s">
        <v>8252</v>
      </c>
      <c r="O293" t="s">
        <v>11</v>
      </c>
      <c r="P293" t="s">
        <v>9772</v>
      </c>
      <c r="Q293">
        <v>0</v>
      </c>
      <c r="R293" t="s">
        <v>8129</v>
      </c>
      <c r="S293">
        <v>595</v>
      </c>
      <c r="X293">
        <v>312</v>
      </c>
      <c r="AH293">
        <v>0</v>
      </c>
      <c r="BP293">
        <v>0</v>
      </c>
      <c r="BQ293" s="594">
        <v>35</v>
      </c>
      <c r="BR293" t="s">
        <v>8093</v>
      </c>
      <c r="BS293" t="s">
        <v>8093</v>
      </c>
      <c r="BT293">
        <v>0</v>
      </c>
      <c r="BU293" t="s">
        <v>8093</v>
      </c>
      <c r="BV293">
        <v>0</v>
      </c>
      <c r="BW293">
        <v>14</v>
      </c>
      <c r="BX293" t="s">
        <v>1981</v>
      </c>
      <c r="BY293">
        <v>0</v>
      </c>
      <c r="BZ293">
        <v>0</v>
      </c>
      <c r="CA293">
        <v>0</v>
      </c>
      <c r="CB293">
        <v>0</v>
      </c>
      <c r="CD293" t="s">
        <v>9773</v>
      </c>
    </row>
    <row r="294" spans="1:82">
      <c r="A294" t="s">
        <v>7971</v>
      </c>
      <c r="B294" t="s">
        <v>9774</v>
      </c>
      <c r="C294" t="s">
        <v>7958</v>
      </c>
      <c r="D294" t="s">
        <v>1384</v>
      </c>
      <c r="E294" t="s">
        <v>8297</v>
      </c>
      <c r="F294" t="s">
        <v>9708</v>
      </c>
      <c r="G294" t="s">
        <v>8318</v>
      </c>
      <c r="H294" t="s">
        <v>9775</v>
      </c>
      <c r="I294" t="s">
        <v>9776</v>
      </c>
      <c r="J294" t="s">
        <v>8088</v>
      </c>
      <c r="K294" t="s">
        <v>8089</v>
      </c>
      <c r="L294" t="s">
        <v>1979</v>
      </c>
      <c r="N294" t="s">
        <v>8178</v>
      </c>
      <c r="O294" t="s">
        <v>10</v>
      </c>
      <c r="P294" t="s">
        <v>8275</v>
      </c>
      <c r="Q294">
        <v>0</v>
      </c>
      <c r="R294" t="s">
        <v>8129</v>
      </c>
      <c r="S294">
        <v>45</v>
      </c>
      <c r="T294">
        <v>47</v>
      </c>
      <c r="U294">
        <v>47</v>
      </c>
      <c r="V294">
        <v>52</v>
      </c>
      <c r="W294">
        <v>53</v>
      </c>
      <c r="X294">
        <v>55</v>
      </c>
      <c r="AH294">
        <v>0</v>
      </c>
      <c r="AI294" t="s">
        <v>1979</v>
      </c>
      <c r="AJ294" t="s">
        <v>1979</v>
      </c>
      <c r="AK294" t="s">
        <v>1979</v>
      </c>
      <c r="AL294" t="s">
        <v>1979</v>
      </c>
      <c r="AM294" t="s">
        <v>1979</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8092</v>
      </c>
      <c r="BP294">
        <v>51</v>
      </c>
      <c r="BQ294" s="594">
        <v>57.5</v>
      </c>
      <c r="BR294" t="s">
        <v>1979</v>
      </c>
      <c r="BS294" t="s">
        <v>1988</v>
      </c>
      <c r="BT294">
        <v>0.125</v>
      </c>
      <c r="BU294" t="s">
        <v>8093</v>
      </c>
      <c r="BV294">
        <v>0</v>
      </c>
      <c r="BW294">
        <v>58</v>
      </c>
      <c r="BX294" t="s">
        <v>1979</v>
      </c>
      <c r="BY294" t="s">
        <v>1988</v>
      </c>
      <c r="BZ294">
        <v>0.125</v>
      </c>
      <c r="CA294">
        <v>0</v>
      </c>
      <c r="CB294">
        <v>0</v>
      </c>
      <c r="CD294" t="s">
        <v>9777</v>
      </c>
    </row>
    <row r="295" spans="1:82">
      <c r="A295" t="s">
        <v>7971</v>
      </c>
      <c r="B295" t="s">
        <v>9778</v>
      </c>
      <c r="C295" t="s">
        <v>7958</v>
      </c>
      <c r="D295" t="s">
        <v>1384</v>
      </c>
      <c r="E295" t="s">
        <v>8297</v>
      </c>
      <c r="F295" t="s">
        <v>9713</v>
      </c>
      <c r="G295" t="s">
        <v>8323</v>
      </c>
      <c r="H295" t="s">
        <v>9779</v>
      </c>
      <c r="I295" t="s">
        <v>9780</v>
      </c>
      <c r="J295" t="s">
        <v>8088</v>
      </c>
      <c r="K295" t="s">
        <v>8089</v>
      </c>
      <c r="N295" t="s">
        <v>8252</v>
      </c>
      <c r="O295" t="s">
        <v>11</v>
      </c>
      <c r="P295" t="s">
        <v>9781</v>
      </c>
      <c r="Q295">
        <v>0</v>
      </c>
      <c r="R295" t="s">
        <v>8129</v>
      </c>
      <c r="X295">
        <v>202</v>
      </c>
      <c r="AF295" t="s">
        <v>1979</v>
      </c>
      <c r="AH295">
        <v>0</v>
      </c>
      <c r="AM295" t="s">
        <v>1979</v>
      </c>
      <c r="AR295">
        <v>0</v>
      </c>
      <c r="AW295">
        <v>202</v>
      </c>
      <c r="BB295">
        <v>202</v>
      </c>
      <c r="BG295">
        <v>999999</v>
      </c>
      <c r="BH295">
        <v>0.15</v>
      </c>
      <c r="BL295">
        <v>0.15</v>
      </c>
      <c r="BN295">
        <v>1</v>
      </c>
      <c r="BO295" t="s">
        <v>8092</v>
      </c>
      <c r="BP295">
        <v>0</v>
      </c>
      <c r="BQ295" s="594">
        <v>0</v>
      </c>
      <c r="BR295" t="s">
        <v>8093</v>
      </c>
      <c r="BS295" t="s">
        <v>8093</v>
      </c>
      <c r="BT295">
        <v>0</v>
      </c>
      <c r="BU295" t="s">
        <v>8093</v>
      </c>
      <c r="BV295">
        <v>0</v>
      </c>
      <c r="BW295">
        <v>8</v>
      </c>
      <c r="BX295" t="s">
        <v>1981</v>
      </c>
      <c r="BY295">
        <v>0</v>
      </c>
      <c r="BZ295">
        <v>0</v>
      </c>
      <c r="CA295">
        <v>0</v>
      </c>
      <c r="CB295">
        <v>0</v>
      </c>
      <c r="CD295" t="s">
        <v>9782</v>
      </c>
    </row>
    <row r="296" spans="1:82">
      <c r="A296" t="s">
        <v>7971</v>
      </c>
      <c r="B296" t="s">
        <v>9783</v>
      </c>
      <c r="C296" t="s">
        <v>7958</v>
      </c>
      <c r="D296" t="s">
        <v>1384</v>
      </c>
      <c r="E296" t="s">
        <v>8297</v>
      </c>
      <c r="F296" t="s">
        <v>9713</v>
      </c>
      <c r="G296" t="s">
        <v>8329</v>
      </c>
      <c r="H296" t="s">
        <v>9784</v>
      </c>
      <c r="I296" t="s">
        <v>9785</v>
      </c>
      <c r="J296" t="s">
        <v>8088</v>
      </c>
      <c r="K296" t="s">
        <v>8089</v>
      </c>
      <c r="L296" t="s">
        <v>1979</v>
      </c>
      <c r="N296" t="s">
        <v>8337</v>
      </c>
      <c r="O296" t="s">
        <v>11</v>
      </c>
      <c r="P296" t="s">
        <v>8338</v>
      </c>
      <c r="Q296">
        <v>0</v>
      </c>
      <c r="R296" t="s">
        <v>8091</v>
      </c>
      <c r="S296">
        <v>457</v>
      </c>
      <c r="T296">
        <v>429</v>
      </c>
      <c r="U296">
        <v>402</v>
      </c>
      <c r="V296">
        <v>374</v>
      </c>
      <c r="W296">
        <v>374</v>
      </c>
      <c r="X296">
        <v>374</v>
      </c>
      <c r="AB296" t="s">
        <v>1979</v>
      </c>
      <c r="AE296" t="s">
        <v>1979</v>
      </c>
      <c r="AH296">
        <v>0</v>
      </c>
      <c r="AI296" t="s">
        <v>1979</v>
      </c>
      <c r="AJ296" t="s">
        <v>1979</v>
      </c>
      <c r="AK296" t="s">
        <v>1979</v>
      </c>
      <c r="AL296" t="s">
        <v>1979</v>
      </c>
      <c r="AM296" t="s">
        <v>1979</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8092</v>
      </c>
      <c r="BP296">
        <v>369</v>
      </c>
      <c r="BQ296" s="594">
        <v>293</v>
      </c>
      <c r="BR296" t="s">
        <v>1979</v>
      </c>
      <c r="BS296" t="s">
        <v>1988</v>
      </c>
      <c r="BT296">
        <v>4.3658999999999999</v>
      </c>
      <c r="BU296" t="s">
        <v>8093</v>
      </c>
      <c r="BV296">
        <v>0</v>
      </c>
      <c r="BW296">
        <v>301</v>
      </c>
      <c r="BX296" t="s">
        <v>1979</v>
      </c>
      <c r="BY296" t="s">
        <v>1988</v>
      </c>
      <c r="BZ296">
        <v>3.9347000000000003</v>
      </c>
      <c r="CA296">
        <v>0</v>
      </c>
      <c r="CB296">
        <v>0</v>
      </c>
      <c r="CD296" t="s">
        <v>9786</v>
      </c>
    </row>
    <row r="297" spans="1:82">
      <c r="A297" t="s">
        <v>7971</v>
      </c>
      <c r="B297" t="s">
        <v>9787</v>
      </c>
      <c r="C297" t="s">
        <v>7958</v>
      </c>
      <c r="D297" t="s">
        <v>1384</v>
      </c>
      <c r="E297" t="s">
        <v>8297</v>
      </c>
      <c r="F297" t="s">
        <v>9713</v>
      </c>
      <c r="G297" t="s">
        <v>8334</v>
      </c>
      <c r="H297" t="s">
        <v>9788</v>
      </c>
      <c r="I297" t="s">
        <v>9789</v>
      </c>
      <c r="J297" t="s">
        <v>8099</v>
      </c>
      <c r="K297" t="s">
        <v>8428</v>
      </c>
      <c r="M297" t="s">
        <v>1980</v>
      </c>
      <c r="N297" t="s">
        <v>8252</v>
      </c>
      <c r="O297" t="s">
        <v>10</v>
      </c>
      <c r="P297" t="s">
        <v>9438</v>
      </c>
      <c r="Q297">
        <v>2</v>
      </c>
      <c r="R297" t="s">
        <v>8129</v>
      </c>
      <c r="S297" t="s">
        <v>1984</v>
      </c>
      <c r="T297">
        <v>100</v>
      </c>
      <c r="U297">
        <v>100</v>
      </c>
      <c r="V297">
        <v>100</v>
      </c>
      <c r="W297">
        <v>100</v>
      </c>
      <c r="X297">
        <v>100</v>
      </c>
      <c r="AE297" t="s">
        <v>1979</v>
      </c>
      <c r="AF297" t="s">
        <v>1979</v>
      </c>
      <c r="AH297">
        <v>4</v>
      </c>
      <c r="AI297" t="s">
        <v>1979</v>
      </c>
      <c r="AJ297" t="s">
        <v>1979</v>
      </c>
      <c r="AK297" t="s">
        <v>1979</v>
      </c>
      <c r="AL297" t="s">
        <v>1979</v>
      </c>
      <c r="AM297" t="s">
        <v>1979</v>
      </c>
      <c r="AN297">
        <v>0</v>
      </c>
      <c r="AO297">
        <v>0</v>
      </c>
      <c r="AP297">
        <v>0</v>
      </c>
      <c r="AQ297">
        <v>0</v>
      </c>
      <c r="AR297">
        <v>0</v>
      </c>
      <c r="AS297">
        <v>95.3</v>
      </c>
      <c r="AT297">
        <v>95.3</v>
      </c>
      <c r="AU297">
        <v>95.3</v>
      </c>
      <c r="AV297">
        <v>95.3</v>
      </c>
      <c r="AW297">
        <v>95.3</v>
      </c>
      <c r="BH297">
        <v>1.4</v>
      </c>
      <c r="BN297">
        <v>1</v>
      </c>
      <c r="BO297" t="s">
        <v>8092</v>
      </c>
      <c r="BP297">
        <v>95.740000000000009</v>
      </c>
      <c r="BQ297" s="595">
        <v>97.508496246767137</v>
      </c>
      <c r="BR297" t="s">
        <v>1980</v>
      </c>
      <c r="BS297" t="s">
        <v>8093</v>
      </c>
      <c r="BT297">
        <v>0</v>
      </c>
      <c r="BU297" t="s">
        <v>1985</v>
      </c>
      <c r="BV297">
        <v>0</v>
      </c>
      <c r="BW297">
        <v>97.988160870777804</v>
      </c>
      <c r="BX297" t="s">
        <v>1980</v>
      </c>
      <c r="BY297">
        <v>0</v>
      </c>
      <c r="BZ297">
        <v>0</v>
      </c>
      <c r="CA297" t="s">
        <v>1985</v>
      </c>
      <c r="CB297">
        <v>0</v>
      </c>
      <c r="CD297" t="s">
        <v>9790</v>
      </c>
    </row>
    <row r="298" spans="1:82">
      <c r="A298" t="s">
        <v>7971</v>
      </c>
      <c r="B298" t="s">
        <v>9791</v>
      </c>
      <c r="C298" t="s">
        <v>7958</v>
      </c>
      <c r="D298" t="s">
        <v>1384</v>
      </c>
      <c r="E298" t="s">
        <v>8297</v>
      </c>
      <c r="F298" t="s">
        <v>9713</v>
      </c>
      <c r="G298" t="s">
        <v>8341</v>
      </c>
      <c r="H298" t="s">
        <v>9792</v>
      </c>
      <c r="I298" t="s">
        <v>9793</v>
      </c>
      <c r="J298" t="s">
        <v>8088</v>
      </c>
      <c r="K298" t="s">
        <v>8089</v>
      </c>
      <c r="N298" t="s">
        <v>8245</v>
      </c>
      <c r="O298" t="s">
        <v>11</v>
      </c>
      <c r="P298" t="s">
        <v>9726</v>
      </c>
      <c r="Q298">
        <v>0</v>
      </c>
      <c r="R298" t="s">
        <v>8129</v>
      </c>
      <c r="S298">
        <v>334</v>
      </c>
      <c r="X298">
        <v>409</v>
      </c>
      <c r="AF298" t="s">
        <v>1979</v>
      </c>
      <c r="AH298">
        <v>0</v>
      </c>
      <c r="AM298" t="s">
        <v>1979</v>
      </c>
      <c r="AR298">
        <v>0</v>
      </c>
      <c r="AW298">
        <v>409</v>
      </c>
      <c r="BB298">
        <v>409</v>
      </c>
      <c r="BG298">
        <v>999999</v>
      </c>
      <c r="BH298">
        <v>9.5600000000000004E-4</v>
      </c>
      <c r="BL298">
        <v>9.5600000000000004E-4</v>
      </c>
      <c r="BN298">
        <v>1</v>
      </c>
      <c r="BO298" t="s">
        <v>8092</v>
      </c>
      <c r="BP298">
        <v>328</v>
      </c>
      <c r="BQ298" s="594">
        <v>322.89999999999998</v>
      </c>
      <c r="BR298" t="s">
        <v>8093</v>
      </c>
      <c r="BS298" t="s">
        <v>8093</v>
      </c>
      <c r="BT298">
        <v>0</v>
      </c>
      <c r="BU298" t="s">
        <v>8093</v>
      </c>
      <c r="BV298">
        <v>0</v>
      </c>
      <c r="BW298">
        <v>293</v>
      </c>
      <c r="BX298" t="s">
        <v>1981</v>
      </c>
      <c r="BY298">
        <v>0</v>
      </c>
      <c r="BZ298">
        <v>0</v>
      </c>
      <c r="CA298">
        <v>0</v>
      </c>
      <c r="CB298">
        <v>0</v>
      </c>
      <c r="CD298" t="s">
        <v>9794</v>
      </c>
    </row>
    <row r="299" spans="1:82">
      <c r="A299" t="s">
        <v>7971</v>
      </c>
      <c r="B299" t="s">
        <v>9795</v>
      </c>
      <c r="C299" t="s">
        <v>7958</v>
      </c>
      <c r="D299" t="s">
        <v>1384</v>
      </c>
      <c r="E299" t="s">
        <v>8297</v>
      </c>
      <c r="F299" t="s">
        <v>9713</v>
      </c>
      <c r="G299" t="s">
        <v>9796</v>
      </c>
      <c r="H299" t="s">
        <v>9797</v>
      </c>
      <c r="I299" t="s">
        <v>9798</v>
      </c>
      <c r="J299" t="s">
        <v>9799</v>
      </c>
      <c r="K299" t="s">
        <v>8089</v>
      </c>
      <c r="N299" t="s">
        <v>8314</v>
      </c>
      <c r="O299" t="s">
        <v>11</v>
      </c>
      <c r="P299" t="s">
        <v>9800</v>
      </c>
      <c r="Q299">
        <v>0</v>
      </c>
      <c r="R299" t="s">
        <v>8129</v>
      </c>
      <c r="X299">
        <v>0</v>
      </c>
      <c r="AH299">
        <v>0</v>
      </c>
      <c r="AM299" t="s">
        <v>1979</v>
      </c>
      <c r="BB299">
        <v>0</v>
      </c>
      <c r="BG299">
        <v>999999</v>
      </c>
      <c r="BL299">
        <v>2.8546999999999999E-2</v>
      </c>
      <c r="BN299">
        <v>1</v>
      </c>
      <c r="BO299" t="s">
        <v>8092</v>
      </c>
      <c r="BP299">
        <v>0</v>
      </c>
      <c r="BQ299" s="594">
        <v>0</v>
      </c>
      <c r="BR299" t="s">
        <v>8093</v>
      </c>
      <c r="BS299" t="s">
        <v>8093</v>
      </c>
      <c r="BT299">
        <v>0</v>
      </c>
      <c r="BU299" t="s">
        <v>8093</v>
      </c>
      <c r="BV299">
        <v>0</v>
      </c>
      <c r="BW299">
        <v>0</v>
      </c>
      <c r="BX299" t="s">
        <v>1979</v>
      </c>
      <c r="BY299">
        <v>0</v>
      </c>
      <c r="BZ299">
        <v>0</v>
      </c>
      <c r="CA299">
        <v>0</v>
      </c>
      <c r="CB299">
        <v>0</v>
      </c>
      <c r="CD299" t="s">
        <v>9801</v>
      </c>
    </row>
    <row r="300" spans="1:82">
      <c r="A300" t="s">
        <v>7971</v>
      </c>
      <c r="B300" t="s">
        <v>9802</v>
      </c>
      <c r="C300" t="s">
        <v>7958</v>
      </c>
      <c r="D300" t="s">
        <v>1384</v>
      </c>
      <c r="E300" t="s">
        <v>8297</v>
      </c>
      <c r="F300" t="s">
        <v>9713</v>
      </c>
      <c r="G300" t="s">
        <v>9803</v>
      </c>
      <c r="H300" t="s">
        <v>9804</v>
      </c>
      <c r="I300" t="s">
        <v>9805</v>
      </c>
      <c r="J300" t="s">
        <v>8119</v>
      </c>
      <c r="N300" t="s">
        <v>8337</v>
      </c>
      <c r="O300" t="s">
        <v>11</v>
      </c>
      <c r="P300" t="s">
        <v>9463</v>
      </c>
      <c r="Q300">
        <v>0</v>
      </c>
      <c r="R300" t="s">
        <v>8091</v>
      </c>
      <c r="S300">
        <v>8</v>
      </c>
      <c r="T300">
        <v>8</v>
      </c>
      <c r="U300">
        <v>6</v>
      </c>
      <c r="V300">
        <v>4</v>
      </c>
      <c r="W300">
        <v>2</v>
      </c>
      <c r="X300">
        <v>0</v>
      </c>
      <c r="AE300" t="s">
        <v>1979</v>
      </c>
      <c r="AH300">
        <v>0</v>
      </c>
      <c r="BP300">
        <v>10</v>
      </c>
      <c r="BQ300" s="594">
        <v>2</v>
      </c>
      <c r="BR300" t="s">
        <v>1979</v>
      </c>
      <c r="BS300" t="s">
        <v>8093</v>
      </c>
      <c r="BT300">
        <v>0</v>
      </c>
      <c r="BU300" t="s">
        <v>8093</v>
      </c>
      <c r="BV300">
        <v>0</v>
      </c>
      <c r="BW300">
        <v>7</v>
      </c>
      <c r="BX300" t="s">
        <v>1980</v>
      </c>
      <c r="BY300">
        <v>0</v>
      </c>
      <c r="BZ300">
        <v>0</v>
      </c>
      <c r="CA300">
        <v>0</v>
      </c>
      <c r="CB300">
        <v>0</v>
      </c>
      <c r="CD300" t="s">
        <v>9806</v>
      </c>
    </row>
    <row r="301" spans="1:82" ht="25.5">
      <c r="A301" t="s">
        <v>7971</v>
      </c>
      <c r="B301" t="s">
        <v>9807</v>
      </c>
      <c r="C301" t="s">
        <v>7958</v>
      </c>
      <c r="D301" t="s">
        <v>1384</v>
      </c>
      <c r="E301" t="s">
        <v>8297</v>
      </c>
      <c r="F301" t="s">
        <v>9713</v>
      </c>
      <c r="G301" t="s">
        <v>9808</v>
      </c>
      <c r="H301" t="s">
        <v>9809</v>
      </c>
      <c r="I301" t="s">
        <v>9810</v>
      </c>
      <c r="J301" t="s">
        <v>8088</v>
      </c>
      <c r="K301" t="s">
        <v>8089</v>
      </c>
      <c r="N301" t="s">
        <v>8252</v>
      </c>
      <c r="O301" t="s">
        <v>11</v>
      </c>
      <c r="P301" t="s">
        <v>9811</v>
      </c>
      <c r="Q301">
        <v>0</v>
      </c>
      <c r="R301" t="s">
        <v>8129</v>
      </c>
      <c r="X301">
        <v>3</v>
      </c>
      <c r="AE301" t="s">
        <v>1979</v>
      </c>
      <c r="AF301" t="s">
        <v>1979</v>
      </c>
      <c r="AH301">
        <v>4</v>
      </c>
      <c r="AM301" t="s">
        <v>1979</v>
      </c>
      <c r="AR301">
        <v>0</v>
      </c>
      <c r="AW301">
        <v>3</v>
      </c>
      <c r="BB301">
        <v>3</v>
      </c>
      <c r="BG301">
        <v>999999</v>
      </c>
      <c r="BH301">
        <v>2.4</v>
      </c>
      <c r="BL301">
        <v>2.4</v>
      </c>
      <c r="BN301">
        <v>1</v>
      </c>
      <c r="BO301" t="s">
        <v>8092</v>
      </c>
      <c r="BP301" t="s">
        <v>9812</v>
      </c>
      <c r="BQ301" s="594" t="s">
        <v>9812</v>
      </c>
      <c r="BR301" t="s">
        <v>8093</v>
      </c>
      <c r="BS301" t="s">
        <v>8093</v>
      </c>
      <c r="BT301">
        <v>0</v>
      </c>
      <c r="BU301" t="s">
        <v>8093</v>
      </c>
      <c r="BV301">
        <v>0</v>
      </c>
      <c r="BW301" t="s">
        <v>9813</v>
      </c>
      <c r="BX301" t="s">
        <v>1981</v>
      </c>
      <c r="BY301">
        <v>0</v>
      </c>
      <c r="BZ301">
        <v>0</v>
      </c>
      <c r="CA301">
        <v>0</v>
      </c>
      <c r="CB301">
        <v>0</v>
      </c>
      <c r="CD301" t="s">
        <v>9814</v>
      </c>
    </row>
    <row r="302" spans="1:82">
      <c r="A302" t="s">
        <v>7971</v>
      </c>
      <c r="B302" t="s">
        <v>9815</v>
      </c>
      <c r="C302" t="s">
        <v>7958</v>
      </c>
      <c r="D302" t="s">
        <v>1384</v>
      </c>
      <c r="E302" t="s">
        <v>8297</v>
      </c>
      <c r="F302" t="s">
        <v>9713</v>
      </c>
      <c r="G302" t="s">
        <v>9816</v>
      </c>
      <c r="H302" t="s">
        <v>9817</v>
      </c>
      <c r="I302" t="s">
        <v>9818</v>
      </c>
      <c r="J302" t="s">
        <v>8119</v>
      </c>
      <c r="N302" t="s">
        <v>8337</v>
      </c>
      <c r="O302" t="s">
        <v>11</v>
      </c>
      <c r="P302" t="s">
        <v>9819</v>
      </c>
      <c r="Q302">
        <v>0</v>
      </c>
      <c r="R302" t="s">
        <v>8091</v>
      </c>
      <c r="S302">
        <v>246</v>
      </c>
      <c r="T302">
        <v>225</v>
      </c>
      <c r="U302">
        <v>203</v>
      </c>
      <c r="V302">
        <v>182</v>
      </c>
      <c r="W302">
        <v>182</v>
      </c>
      <c r="X302">
        <v>182</v>
      </c>
      <c r="AE302" t="s">
        <v>1979</v>
      </c>
      <c r="AH302">
        <v>0</v>
      </c>
      <c r="BP302">
        <v>200</v>
      </c>
      <c r="BQ302" s="594">
        <v>186</v>
      </c>
      <c r="BR302" t="s">
        <v>1979</v>
      </c>
      <c r="BS302" t="s">
        <v>8093</v>
      </c>
      <c r="BT302">
        <v>0</v>
      </c>
      <c r="BU302" t="s">
        <v>8093</v>
      </c>
      <c r="BV302">
        <v>0</v>
      </c>
      <c r="BW302">
        <v>239</v>
      </c>
      <c r="BX302" t="s">
        <v>1980</v>
      </c>
      <c r="BY302">
        <v>0</v>
      </c>
      <c r="BZ302">
        <v>0</v>
      </c>
      <c r="CA302">
        <v>0</v>
      </c>
      <c r="CB302">
        <v>0</v>
      </c>
      <c r="CD302" t="s">
        <v>9820</v>
      </c>
    </row>
    <row r="303" spans="1:82">
      <c r="A303" t="s">
        <v>7971</v>
      </c>
      <c r="B303" t="s">
        <v>9821</v>
      </c>
      <c r="C303" t="s">
        <v>7958</v>
      </c>
      <c r="D303" t="s">
        <v>1384</v>
      </c>
      <c r="E303" t="s">
        <v>8297</v>
      </c>
      <c r="F303" t="s">
        <v>9734</v>
      </c>
      <c r="G303" t="s">
        <v>8346</v>
      </c>
      <c r="H303" t="s">
        <v>9822</v>
      </c>
      <c r="I303" t="s">
        <v>9823</v>
      </c>
      <c r="J303" t="s">
        <v>8088</v>
      </c>
      <c r="K303" t="s">
        <v>8089</v>
      </c>
      <c r="L303" t="s">
        <v>1979</v>
      </c>
      <c r="N303" t="s">
        <v>8260</v>
      </c>
      <c r="O303" t="s">
        <v>11</v>
      </c>
      <c r="P303" t="s">
        <v>8753</v>
      </c>
      <c r="Q303">
        <v>3</v>
      </c>
      <c r="R303" t="s">
        <v>8091</v>
      </c>
      <c r="T303">
        <v>217</v>
      </c>
      <c r="U303">
        <v>215</v>
      </c>
      <c r="V303">
        <v>209</v>
      </c>
      <c r="W303">
        <v>208</v>
      </c>
      <c r="X303">
        <v>212</v>
      </c>
      <c r="AH303">
        <v>0</v>
      </c>
      <c r="AI303" t="s">
        <v>1979</v>
      </c>
      <c r="AJ303" t="s">
        <v>1979</v>
      </c>
      <c r="AK303" t="s">
        <v>1979</v>
      </c>
      <c r="AL303" t="s">
        <v>1979</v>
      </c>
      <c r="AM303" t="s">
        <v>1979</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8092</v>
      </c>
      <c r="BP303">
        <v>227</v>
      </c>
      <c r="BQ303" s="604">
        <v>204</v>
      </c>
      <c r="BR303" t="s">
        <v>1979</v>
      </c>
      <c r="BS303" t="s">
        <v>1988</v>
      </c>
      <c r="BT303">
        <v>0.15267868000000001</v>
      </c>
      <c r="BU303" t="s">
        <v>8093</v>
      </c>
      <c r="BV303">
        <v>0</v>
      </c>
      <c r="BW303">
        <v>207</v>
      </c>
      <c r="BX303" t="s">
        <v>1979</v>
      </c>
      <c r="BY303" t="s">
        <v>1988</v>
      </c>
      <c r="BZ303">
        <v>0.16250999999999999</v>
      </c>
      <c r="CA303">
        <v>0</v>
      </c>
      <c r="CB303">
        <v>0</v>
      </c>
      <c r="CD303" t="s">
        <v>9824</v>
      </c>
    </row>
    <row r="304" spans="1:82">
      <c r="A304" t="s">
        <v>7971</v>
      </c>
      <c r="B304" t="s">
        <v>9825</v>
      </c>
      <c r="C304" t="s">
        <v>7958</v>
      </c>
      <c r="D304" t="s">
        <v>1384</v>
      </c>
      <c r="E304" t="s">
        <v>8297</v>
      </c>
      <c r="F304" t="s">
        <v>9739</v>
      </c>
      <c r="G304" t="s">
        <v>8356</v>
      </c>
      <c r="H304" t="s">
        <v>9826</v>
      </c>
      <c r="I304" t="s">
        <v>9827</v>
      </c>
      <c r="J304" t="s">
        <v>8119</v>
      </c>
      <c r="N304" t="s">
        <v>9160</v>
      </c>
      <c r="O304" t="s">
        <v>11</v>
      </c>
      <c r="P304" t="s">
        <v>9742</v>
      </c>
      <c r="Q304">
        <v>0</v>
      </c>
      <c r="S304">
        <v>75000</v>
      </c>
      <c r="T304">
        <v>155000</v>
      </c>
      <c r="U304">
        <v>160000</v>
      </c>
      <c r="V304">
        <v>140000</v>
      </c>
      <c r="W304">
        <v>120000</v>
      </c>
      <c r="X304">
        <v>125000</v>
      </c>
      <c r="AH304">
        <v>0</v>
      </c>
      <c r="BP304">
        <v>52127</v>
      </c>
      <c r="BQ304" s="594">
        <v>117728</v>
      </c>
      <c r="BR304" t="s">
        <v>1980</v>
      </c>
      <c r="BS304" t="s">
        <v>8093</v>
      </c>
      <c r="BT304">
        <v>0</v>
      </c>
      <c r="BU304" t="s">
        <v>8093</v>
      </c>
      <c r="BV304">
        <v>0</v>
      </c>
      <c r="BW304">
        <v>167024</v>
      </c>
      <c r="BX304" t="s">
        <v>1979</v>
      </c>
      <c r="BY304">
        <v>0</v>
      </c>
      <c r="BZ304">
        <v>0</v>
      </c>
      <c r="CA304">
        <v>0</v>
      </c>
      <c r="CB304">
        <v>0</v>
      </c>
      <c r="CD304" t="s">
        <v>9828</v>
      </c>
    </row>
    <row r="305" spans="1:82">
      <c r="A305" t="s">
        <v>7971</v>
      </c>
      <c r="B305" t="s">
        <v>9829</v>
      </c>
      <c r="C305" t="s">
        <v>7958</v>
      </c>
      <c r="D305" t="s">
        <v>8163</v>
      </c>
      <c r="E305" t="s">
        <v>8164</v>
      </c>
      <c r="F305" t="s">
        <v>9830</v>
      </c>
      <c r="G305" t="s">
        <v>8166</v>
      </c>
      <c r="H305" t="s">
        <v>9831</v>
      </c>
      <c r="I305" t="s">
        <v>9832</v>
      </c>
      <c r="J305" t="s">
        <v>8119</v>
      </c>
      <c r="N305" t="s">
        <v>8274</v>
      </c>
      <c r="O305" t="s">
        <v>6241</v>
      </c>
      <c r="P305" t="s">
        <v>9833</v>
      </c>
      <c r="Q305" t="s">
        <v>8092</v>
      </c>
      <c r="R305" t="s">
        <v>8129</v>
      </c>
      <c r="S305" t="s">
        <v>9834</v>
      </c>
      <c r="T305" t="s">
        <v>9834</v>
      </c>
      <c r="U305" t="s">
        <v>9834</v>
      </c>
      <c r="V305" t="s">
        <v>9009</v>
      </c>
      <c r="W305" t="s">
        <v>9009</v>
      </c>
      <c r="X305" t="s">
        <v>9009</v>
      </c>
      <c r="AH305">
        <v>0</v>
      </c>
      <c r="BP305" t="s">
        <v>9834</v>
      </c>
      <c r="BQ305" s="593" t="s">
        <v>9834</v>
      </c>
      <c r="BR305" t="s">
        <v>1979</v>
      </c>
      <c r="BS305" t="s">
        <v>8093</v>
      </c>
      <c r="BT305">
        <v>0</v>
      </c>
      <c r="BU305" t="s">
        <v>8093</v>
      </c>
      <c r="BV305">
        <v>0</v>
      </c>
      <c r="BW305" t="s">
        <v>9834</v>
      </c>
      <c r="BX305" t="s">
        <v>1979</v>
      </c>
      <c r="BY305">
        <v>0</v>
      </c>
      <c r="BZ305">
        <v>0</v>
      </c>
      <c r="CA305">
        <v>0</v>
      </c>
      <c r="CB305">
        <v>0</v>
      </c>
      <c r="CD305" t="s">
        <v>9835</v>
      </c>
    </row>
    <row r="306" spans="1:82">
      <c r="A306" t="s">
        <v>7971</v>
      </c>
      <c r="B306" t="s">
        <v>9836</v>
      </c>
      <c r="C306" t="s">
        <v>7958</v>
      </c>
      <c r="D306" t="s">
        <v>8163</v>
      </c>
      <c r="E306" t="s">
        <v>8164</v>
      </c>
      <c r="F306" t="s">
        <v>9830</v>
      </c>
      <c r="G306" t="s">
        <v>8175</v>
      </c>
      <c r="H306" t="s">
        <v>9837</v>
      </c>
      <c r="I306" t="s">
        <v>9838</v>
      </c>
      <c r="J306" t="s">
        <v>8088</v>
      </c>
      <c r="K306" t="s">
        <v>8089</v>
      </c>
      <c r="M306" t="s">
        <v>1980</v>
      </c>
      <c r="N306" t="s">
        <v>8169</v>
      </c>
      <c r="O306" t="s">
        <v>6241</v>
      </c>
      <c r="P306" t="s">
        <v>8523</v>
      </c>
      <c r="Q306" t="s">
        <v>8092</v>
      </c>
      <c r="R306" t="s">
        <v>8129</v>
      </c>
      <c r="S306" t="s">
        <v>9834</v>
      </c>
      <c r="T306" t="s">
        <v>9009</v>
      </c>
      <c r="U306" t="s">
        <v>9009</v>
      </c>
      <c r="V306" t="s">
        <v>9009</v>
      </c>
      <c r="W306" t="s">
        <v>9009</v>
      </c>
      <c r="X306" t="s">
        <v>9009</v>
      </c>
      <c r="AH306">
        <v>0</v>
      </c>
      <c r="AI306" t="s">
        <v>1979</v>
      </c>
      <c r="AJ306" t="s">
        <v>1979</v>
      </c>
      <c r="AK306" t="s">
        <v>1979</v>
      </c>
      <c r="AL306" t="s">
        <v>1979</v>
      </c>
      <c r="AM306" t="s">
        <v>1979</v>
      </c>
      <c r="AN306" t="s">
        <v>8172</v>
      </c>
      <c r="AO306" t="s">
        <v>8172</v>
      </c>
      <c r="AP306" t="s">
        <v>8172</v>
      </c>
      <c r="AQ306" t="s">
        <v>8172</v>
      </c>
      <c r="AR306" t="s">
        <v>8172</v>
      </c>
      <c r="AS306" t="s">
        <v>8172</v>
      </c>
      <c r="AT306" t="s">
        <v>8172</v>
      </c>
      <c r="AU306" t="s">
        <v>8172</v>
      </c>
      <c r="AV306" t="s">
        <v>8172</v>
      </c>
      <c r="AW306" t="s">
        <v>8172</v>
      </c>
      <c r="AX306" t="s">
        <v>8172</v>
      </c>
      <c r="AY306" t="s">
        <v>8172</v>
      </c>
      <c r="AZ306" t="s">
        <v>8172</v>
      </c>
      <c r="BA306" t="s">
        <v>8172</v>
      </c>
      <c r="BB306" t="s">
        <v>8172</v>
      </c>
      <c r="BC306" t="s">
        <v>8172</v>
      </c>
      <c r="BD306" t="s">
        <v>8172</v>
      </c>
      <c r="BE306" t="s">
        <v>8172</v>
      </c>
      <c r="BF306" t="s">
        <v>8172</v>
      </c>
      <c r="BG306" t="s">
        <v>8172</v>
      </c>
      <c r="BH306" t="s">
        <v>8172</v>
      </c>
      <c r="BL306" t="s">
        <v>8172</v>
      </c>
      <c r="BN306">
        <v>1</v>
      </c>
      <c r="BO306" t="s">
        <v>8092</v>
      </c>
      <c r="BP306" t="s">
        <v>8982</v>
      </c>
      <c r="BQ306" s="593">
        <v>83.7</v>
      </c>
      <c r="BR306" t="s">
        <v>1980</v>
      </c>
      <c r="BS306" t="s">
        <v>8093</v>
      </c>
      <c r="BT306">
        <v>0</v>
      </c>
      <c r="BU306" t="s">
        <v>8093</v>
      </c>
      <c r="BV306">
        <v>0</v>
      </c>
      <c r="BW306">
        <v>83.61</v>
      </c>
      <c r="BX306" t="s">
        <v>1980</v>
      </c>
      <c r="BY306">
        <v>0</v>
      </c>
      <c r="BZ306">
        <v>0</v>
      </c>
      <c r="CA306">
        <v>0</v>
      </c>
      <c r="CB306">
        <v>0</v>
      </c>
      <c r="CD306" t="s">
        <v>9839</v>
      </c>
    </row>
    <row r="307" spans="1:82">
      <c r="A307" t="s">
        <v>7971</v>
      </c>
      <c r="B307" t="s">
        <v>9840</v>
      </c>
      <c r="C307" t="s">
        <v>7958</v>
      </c>
      <c r="D307" t="s">
        <v>8163</v>
      </c>
      <c r="E307" t="s">
        <v>8164</v>
      </c>
      <c r="F307" t="s">
        <v>9841</v>
      </c>
      <c r="G307" t="s">
        <v>8395</v>
      </c>
      <c r="H307" t="s">
        <v>9842</v>
      </c>
      <c r="I307" t="s">
        <v>9843</v>
      </c>
      <c r="J307" t="s">
        <v>8119</v>
      </c>
      <c r="N307" t="s">
        <v>8178</v>
      </c>
      <c r="O307" t="s">
        <v>11</v>
      </c>
      <c r="P307" t="s">
        <v>9587</v>
      </c>
      <c r="Q307">
        <v>0</v>
      </c>
      <c r="R307" t="s">
        <v>8129</v>
      </c>
      <c r="S307">
        <v>11500</v>
      </c>
      <c r="T307">
        <v>35000</v>
      </c>
      <c r="U307">
        <v>50000</v>
      </c>
      <c r="V307">
        <v>50000</v>
      </c>
      <c r="W307">
        <v>50000</v>
      </c>
      <c r="X307">
        <v>50000</v>
      </c>
      <c r="AH307">
        <v>0</v>
      </c>
      <c r="BP307" t="s">
        <v>8982</v>
      </c>
      <c r="BQ307" s="594">
        <v>24110</v>
      </c>
      <c r="BR307" t="s">
        <v>1980</v>
      </c>
      <c r="BS307" t="s">
        <v>8093</v>
      </c>
      <c r="BT307">
        <v>0</v>
      </c>
      <c r="BU307" t="s">
        <v>8093</v>
      </c>
      <c r="BV307">
        <v>0</v>
      </c>
      <c r="BW307">
        <v>50903</v>
      </c>
      <c r="BX307" t="s">
        <v>1979</v>
      </c>
      <c r="BY307">
        <v>0</v>
      </c>
      <c r="BZ307">
        <v>0</v>
      </c>
      <c r="CA307">
        <v>0</v>
      </c>
      <c r="CB307">
        <v>0</v>
      </c>
      <c r="CD307" t="s">
        <v>9844</v>
      </c>
    </row>
    <row r="308" spans="1:82">
      <c r="A308" t="s">
        <v>7971</v>
      </c>
      <c r="B308" t="s">
        <v>9845</v>
      </c>
      <c r="C308" t="s">
        <v>7958</v>
      </c>
      <c r="D308" t="s">
        <v>8163</v>
      </c>
      <c r="E308" t="s">
        <v>8164</v>
      </c>
      <c r="F308" t="s">
        <v>9841</v>
      </c>
      <c r="G308" t="s">
        <v>8400</v>
      </c>
      <c r="H308" t="s">
        <v>9846</v>
      </c>
      <c r="I308" t="s">
        <v>9847</v>
      </c>
      <c r="J308" t="s">
        <v>8119</v>
      </c>
      <c r="N308" t="s">
        <v>8178</v>
      </c>
      <c r="O308" t="s">
        <v>10</v>
      </c>
      <c r="P308" t="s">
        <v>9848</v>
      </c>
      <c r="Q308">
        <v>2</v>
      </c>
      <c r="R308" t="s">
        <v>8091</v>
      </c>
      <c r="S308">
        <v>2.69</v>
      </c>
      <c r="T308">
        <v>2.7</v>
      </c>
      <c r="U308">
        <v>2.7</v>
      </c>
      <c r="V308">
        <v>2.7</v>
      </c>
      <c r="W308">
        <v>2.7</v>
      </c>
      <c r="X308">
        <v>2.7</v>
      </c>
      <c r="AH308">
        <v>0</v>
      </c>
      <c r="BP308">
        <v>2.2000000000000002</v>
      </c>
      <c r="BQ308" s="595">
        <v>1.8</v>
      </c>
      <c r="BR308" t="s">
        <v>1979</v>
      </c>
      <c r="BS308" t="s">
        <v>8093</v>
      </c>
      <c r="BT308">
        <v>0</v>
      </c>
      <c r="BU308" t="s">
        <v>8093</v>
      </c>
      <c r="BV308">
        <v>0</v>
      </c>
      <c r="BW308">
        <v>1.8</v>
      </c>
      <c r="BX308" t="s">
        <v>1979</v>
      </c>
      <c r="BY308">
        <v>0</v>
      </c>
      <c r="BZ308">
        <v>0</v>
      </c>
      <c r="CA308">
        <v>0</v>
      </c>
      <c r="CB308">
        <v>0</v>
      </c>
      <c r="CD308" t="s">
        <v>9849</v>
      </c>
    </row>
    <row r="309" spans="1:82">
      <c r="A309" t="s">
        <v>7977</v>
      </c>
      <c r="B309" t="s">
        <v>9850</v>
      </c>
      <c r="C309" t="s">
        <v>7958</v>
      </c>
      <c r="D309" t="s">
        <v>1383</v>
      </c>
      <c r="E309" t="s">
        <v>8083</v>
      </c>
      <c r="F309" t="s">
        <v>9851</v>
      </c>
      <c r="G309" t="s">
        <v>8085</v>
      </c>
      <c r="H309" t="s">
        <v>9852</v>
      </c>
      <c r="I309" t="s">
        <v>9853</v>
      </c>
      <c r="J309" t="s">
        <v>8099</v>
      </c>
      <c r="K309" t="s">
        <v>8089</v>
      </c>
      <c r="L309" t="s">
        <v>1979</v>
      </c>
      <c r="N309" t="s">
        <v>8127</v>
      </c>
      <c r="O309" t="s">
        <v>10</v>
      </c>
      <c r="P309" t="s">
        <v>8128</v>
      </c>
      <c r="Q309">
        <v>2</v>
      </c>
      <c r="R309" t="s">
        <v>8129</v>
      </c>
      <c r="S309">
        <v>99.98</v>
      </c>
      <c r="T309">
        <v>99.98</v>
      </c>
      <c r="U309">
        <v>99.98</v>
      </c>
      <c r="V309">
        <v>99.98</v>
      </c>
      <c r="W309">
        <v>99.98</v>
      </c>
      <c r="X309">
        <v>99.98</v>
      </c>
      <c r="Y309" t="s">
        <v>1979</v>
      </c>
      <c r="AE309" t="s">
        <v>1979</v>
      </c>
      <c r="AH309">
        <v>0</v>
      </c>
      <c r="AI309" t="s">
        <v>1979</v>
      </c>
      <c r="AJ309" t="s">
        <v>1979</v>
      </c>
      <c r="AK309" t="s">
        <v>1979</v>
      </c>
      <c r="AL309" t="s">
        <v>1979</v>
      </c>
      <c r="AM309" t="s">
        <v>1979</v>
      </c>
      <c r="AN309">
        <v>90</v>
      </c>
      <c r="AO309">
        <v>90</v>
      </c>
      <c r="AP309">
        <v>90</v>
      </c>
      <c r="AQ309">
        <v>90</v>
      </c>
      <c r="AR309">
        <v>90</v>
      </c>
      <c r="AS309">
        <v>99.9</v>
      </c>
      <c r="AT309">
        <v>99.9</v>
      </c>
      <c r="AU309">
        <v>99.9</v>
      </c>
      <c r="AV309">
        <v>99.9</v>
      </c>
      <c r="AW309">
        <v>99.9</v>
      </c>
      <c r="BH309">
        <v>0.05</v>
      </c>
      <c r="BN309">
        <v>1</v>
      </c>
      <c r="BO309" t="s">
        <v>8092</v>
      </c>
      <c r="BP309">
        <v>99.96</v>
      </c>
      <c r="BQ309" s="595">
        <v>99.97</v>
      </c>
      <c r="BR309" t="s">
        <v>1980</v>
      </c>
      <c r="BS309" t="s">
        <v>1985</v>
      </c>
      <c r="BT309">
        <v>0</v>
      </c>
      <c r="BU309" t="s">
        <v>8093</v>
      </c>
      <c r="BV309">
        <v>0</v>
      </c>
      <c r="BW309">
        <v>99.96</v>
      </c>
      <c r="BX309" t="s">
        <v>1980</v>
      </c>
      <c r="BY309" t="s">
        <v>1985</v>
      </c>
      <c r="BZ309">
        <v>0</v>
      </c>
      <c r="CA309">
        <v>0</v>
      </c>
      <c r="CB309">
        <v>0</v>
      </c>
      <c r="CD309" t="s">
        <v>9854</v>
      </c>
    </row>
    <row r="310" spans="1:82">
      <c r="A310" t="s">
        <v>7977</v>
      </c>
      <c r="B310" t="s">
        <v>9855</v>
      </c>
      <c r="C310" t="s">
        <v>7958</v>
      </c>
      <c r="D310" t="s">
        <v>1383</v>
      </c>
      <c r="E310" t="s">
        <v>8083</v>
      </c>
      <c r="F310" t="s">
        <v>9851</v>
      </c>
      <c r="G310" t="s">
        <v>8096</v>
      </c>
      <c r="H310" t="s">
        <v>9856</v>
      </c>
      <c r="I310" t="s">
        <v>9857</v>
      </c>
      <c r="J310" t="s">
        <v>8088</v>
      </c>
      <c r="K310" t="s">
        <v>8089</v>
      </c>
      <c r="L310" t="s">
        <v>1979</v>
      </c>
      <c r="M310" t="s">
        <v>1980</v>
      </c>
      <c r="N310" t="s">
        <v>8055</v>
      </c>
      <c r="O310" t="s">
        <v>11</v>
      </c>
      <c r="P310" t="s">
        <v>9537</v>
      </c>
      <c r="Q310">
        <v>2</v>
      </c>
      <c r="R310" t="s">
        <v>8091</v>
      </c>
      <c r="S310">
        <v>4.5</v>
      </c>
      <c r="T310">
        <v>4.2</v>
      </c>
      <c r="U310">
        <v>3.9</v>
      </c>
      <c r="V310">
        <v>3.6</v>
      </c>
      <c r="W310">
        <v>3.3</v>
      </c>
      <c r="X310">
        <v>3</v>
      </c>
      <c r="Z310" t="s">
        <v>1979</v>
      </c>
      <c r="AE310" t="s">
        <v>1979</v>
      </c>
      <c r="AH310">
        <v>0</v>
      </c>
      <c r="AI310" t="s">
        <v>1979</v>
      </c>
      <c r="AJ310" t="s">
        <v>1979</v>
      </c>
      <c r="AK310" t="s">
        <v>1979</v>
      </c>
      <c r="AL310" t="s">
        <v>1979</v>
      </c>
      <c r="AM310" t="s">
        <v>1979</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8092</v>
      </c>
      <c r="BP310">
        <v>3.42</v>
      </c>
      <c r="BQ310" s="595">
        <v>2.92</v>
      </c>
      <c r="BR310" t="s">
        <v>1979</v>
      </c>
      <c r="BS310" t="s">
        <v>1992</v>
      </c>
      <c r="BT310">
        <v>0</v>
      </c>
      <c r="BU310" t="s">
        <v>8093</v>
      </c>
      <c r="BV310">
        <v>0</v>
      </c>
      <c r="BW310">
        <v>2.7</v>
      </c>
      <c r="BX310" t="s">
        <v>1979</v>
      </c>
      <c r="BY310" t="s">
        <v>1992</v>
      </c>
      <c r="BZ310">
        <v>0</v>
      </c>
      <c r="CA310">
        <v>0</v>
      </c>
      <c r="CB310">
        <v>0</v>
      </c>
      <c r="CD310" t="s">
        <v>9858</v>
      </c>
    </row>
    <row r="311" spans="1:82">
      <c r="A311" t="s">
        <v>7977</v>
      </c>
      <c r="B311" t="s">
        <v>9859</v>
      </c>
      <c r="C311" t="s">
        <v>7958</v>
      </c>
      <c r="D311" t="s">
        <v>1383</v>
      </c>
      <c r="E311" t="s">
        <v>8083</v>
      </c>
      <c r="F311" t="s">
        <v>9851</v>
      </c>
      <c r="G311" t="s">
        <v>8104</v>
      </c>
      <c r="H311" t="s">
        <v>9860</v>
      </c>
      <c r="I311" t="s">
        <v>9861</v>
      </c>
      <c r="J311" t="s">
        <v>8099</v>
      </c>
      <c r="K311" t="s">
        <v>8428</v>
      </c>
      <c r="M311" t="s">
        <v>1980</v>
      </c>
      <c r="N311" t="s">
        <v>8148</v>
      </c>
      <c r="O311" t="s">
        <v>8282</v>
      </c>
      <c r="P311" t="s">
        <v>8429</v>
      </c>
      <c r="Q311" t="s">
        <v>8092</v>
      </c>
      <c r="S311" t="s">
        <v>1984</v>
      </c>
      <c r="T311" t="s">
        <v>1984</v>
      </c>
      <c r="U311" t="s">
        <v>1984</v>
      </c>
      <c r="V311" t="s">
        <v>1984</v>
      </c>
      <c r="W311" t="s">
        <v>1984</v>
      </c>
      <c r="X311" t="s">
        <v>1984</v>
      </c>
      <c r="AE311" t="s">
        <v>1979</v>
      </c>
      <c r="AH311">
        <v>6</v>
      </c>
      <c r="AI311" t="s">
        <v>1979</v>
      </c>
      <c r="AJ311" t="s">
        <v>1979</v>
      </c>
      <c r="AK311" t="s">
        <v>1979</v>
      </c>
      <c r="AL311" t="s">
        <v>1979</v>
      </c>
      <c r="AM311" t="s">
        <v>1979</v>
      </c>
      <c r="AN311" t="s">
        <v>8430</v>
      </c>
      <c r="AO311" t="s">
        <v>8430</v>
      </c>
      <c r="AP311" t="s">
        <v>8430</v>
      </c>
      <c r="AQ311" t="s">
        <v>8430</v>
      </c>
      <c r="AR311" t="s">
        <v>8430</v>
      </c>
      <c r="AS311" t="s">
        <v>1982</v>
      </c>
      <c r="AT311" t="s">
        <v>1982</v>
      </c>
      <c r="AU311" t="s">
        <v>1982</v>
      </c>
      <c r="AV311" t="s">
        <v>1982</v>
      </c>
      <c r="AW311" t="s">
        <v>1982</v>
      </c>
      <c r="BH311">
        <v>0.45800000000000002</v>
      </c>
      <c r="BN311">
        <v>1</v>
      </c>
      <c r="BO311" t="s">
        <v>8092</v>
      </c>
      <c r="BP311" t="s">
        <v>1984</v>
      </c>
      <c r="BQ311" s="605" t="s">
        <v>1984</v>
      </c>
      <c r="BR311" t="s">
        <v>1979</v>
      </c>
      <c r="BS311" t="s">
        <v>8093</v>
      </c>
      <c r="BT311">
        <v>0</v>
      </c>
      <c r="BU311" t="s">
        <v>8093</v>
      </c>
      <c r="BV311">
        <v>0</v>
      </c>
      <c r="BW311" t="s">
        <v>1984</v>
      </c>
      <c r="BX311" t="s">
        <v>1979</v>
      </c>
      <c r="BY311">
        <v>0</v>
      </c>
      <c r="BZ311">
        <v>0</v>
      </c>
      <c r="CA311">
        <v>0</v>
      </c>
      <c r="CB311">
        <v>0</v>
      </c>
      <c r="CD311" t="s">
        <v>9862</v>
      </c>
    </row>
    <row r="312" spans="1:82">
      <c r="A312" t="s">
        <v>7977</v>
      </c>
      <c r="B312" t="s">
        <v>9863</v>
      </c>
      <c r="C312" t="s">
        <v>7958</v>
      </c>
      <c r="D312" t="s">
        <v>1383</v>
      </c>
      <c r="E312" t="s">
        <v>8083</v>
      </c>
      <c r="F312" t="s">
        <v>9851</v>
      </c>
      <c r="G312" t="s">
        <v>8110</v>
      </c>
      <c r="H312" t="s">
        <v>9864</v>
      </c>
      <c r="I312" t="s">
        <v>9865</v>
      </c>
      <c r="J312" t="s">
        <v>8099</v>
      </c>
      <c r="K312" t="s">
        <v>8428</v>
      </c>
      <c r="M312" t="s">
        <v>1980</v>
      </c>
      <c r="N312" t="s">
        <v>8148</v>
      </c>
      <c r="O312" t="s">
        <v>8282</v>
      </c>
      <c r="P312" t="s">
        <v>8429</v>
      </c>
      <c r="Q312" t="s">
        <v>8092</v>
      </c>
      <c r="S312" t="s">
        <v>1984</v>
      </c>
      <c r="T312" t="s">
        <v>1984</v>
      </c>
      <c r="U312" t="s">
        <v>1984</v>
      </c>
      <c r="V312" t="s">
        <v>1984</v>
      </c>
      <c r="W312" t="s">
        <v>1984</v>
      </c>
      <c r="X312" t="s">
        <v>1984</v>
      </c>
      <c r="AE312" t="s">
        <v>1979</v>
      </c>
      <c r="AH312">
        <v>5</v>
      </c>
      <c r="AI312" t="s">
        <v>1979</v>
      </c>
      <c r="AJ312" t="s">
        <v>1979</v>
      </c>
      <c r="AK312" t="s">
        <v>1979</v>
      </c>
      <c r="AL312" t="s">
        <v>1979</v>
      </c>
      <c r="AM312" t="s">
        <v>1979</v>
      </c>
      <c r="AN312" t="s">
        <v>8430</v>
      </c>
      <c r="AO312" t="s">
        <v>8430</v>
      </c>
      <c r="AP312" t="s">
        <v>8430</v>
      </c>
      <c r="AQ312" t="s">
        <v>8430</v>
      </c>
      <c r="AR312" t="s">
        <v>8430</v>
      </c>
      <c r="AS312" t="s">
        <v>1982</v>
      </c>
      <c r="AT312" t="s">
        <v>1982</v>
      </c>
      <c r="AU312" t="s">
        <v>1982</v>
      </c>
      <c r="AV312" t="s">
        <v>1982</v>
      </c>
      <c r="AW312" t="s">
        <v>1982</v>
      </c>
      <c r="BH312">
        <v>1.2689999999999999</v>
      </c>
      <c r="BN312">
        <v>1</v>
      </c>
      <c r="BO312" t="s">
        <v>8092</v>
      </c>
      <c r="BP312" t="s">
        <v>1984</v>
      </c>
      <c r="BQ312" s="605" t="s">
        <v>1984</v>
      </c>
      <c r="BR312" t="s">
        <v>1979</v>
      </c>
      <c r="BS312" t="s">
        <v>8093</v>
      </c>
      <c r="BT312">
        <v>0</v>
      </c>
      <c r="BU312" t="s">
        <v>8093</v>
      </c>
      <c r="BV312">
        <v>0</v>
      </c>
      <c r="BW312" t="s">
        <v>1984</v>
      </c>
      <c r="BX312" t="s">
        <v>1979</v>
      </c>
      <c r="BY312">
        <v>0</v>
      </c>
      <c r="BZ312">
        <v>0</v>
      </c>
      <c r="CA312">
        <v>0</v>
      </c>
      <c r="CB312">
        <v>0</v>
      </c>
      <c r="CD312" t="s">
        <v>9866</v>
      </c>
    </row>
    <row r="313" spans="1:82">
      <c r="A313" t="s">
        <v>7977</v>
      </c>
      <c r="B313" t="s">
        <v>9867</v>
      </c>
      <c r="C313" t="s">
        <v>7958</v>
      </c>
      <c r="D313" t="s">
        <v>1383</v>
      </c>
      <c r="E313" t="s">
        <v>8083</v>
      </c>
      <c r="F313" t="s">
        <v>9851</v>
      </c>
      <c r="G313" t="s">
        <v>8116</v>
      </c>
      <c r="H313" t="s">
        <v>9868</v>
      </c>
      <c r="I313" t="s">
        <v>9869</v>
      </c>
      <c r="J313" t="s">
        <v>8088</v>
      </c>
      <c r="K313" t="s">
        <v>8428</v>
      </c>
      <c r="M313" t="s">
        <v>1980</v>
      </c>
      <c r="N313" t="s">
        <v>2556</v>
      </c>
      <c r="O313" t="s">
        <v>8186</v>
      </c>
      <c r="P313" t="s">
        <v>8579</v>
      </c>
      <c r="Q313">
        <v>3</v>
      </c>
      <c r="R313" t="s">
        <v>8091</v>
      </c>
      <c r="S313">
        <v>0.27</v>
      </c>
      <c r="T313">
        <v>0.25600000000000001</v>
      </c>
      <c r="U313">
        <v>0.24199999999999999</v>
      </c>
      <c r="V313">
        <v>0.22800000000000001</v>
      </c>
      <c r="W313">
        <v>0.214</v>
      </c>
      <c r="X313">
        <v>0.2</v>
      </c>
      <c r="AA313" t="s">
        <v>1979</v>
      </c>
      <c r="AE313" t="s">
        <v>1979</v>
      </c>
      <c r="AH313">
        <v>0</v>
      </c>
      <c r="AI313" t="s">
        <v>1979</v>
      </c>
      <c r="AJ313" t="s">
        <v>1979</v>
      </c>
      <c r="AK313" t="s">
        <v>1979</v>
      </c>
      <c r="AL313" t="s">
        <v>1979</v>
      </c>
      <c r="AM313" t="s">
        <v>1979</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8092</v>
      </c>
      <c r="BP313">
        <v>0.38100000000000001</v>
      </c>
      <c r="BQ313" s="604">
        <v>0.41899999999999998</v>
      </c>
      <c r="BR313" t="s">
        <v>1980</v>
      </c>
      <c r="BS313" t="s">
        <v>8093</v>
      </c>
      <c r="BT313">
        <v>0</v>
      </c>
      <c r="BU313" t="s">
        <v>1983</v>
      </c>
      <c r="BV313">
        <v>-0.94253299999999995</v>
      </c>
      <c r="BW313">
        <v>0.221</v>
      </c>
      <c r="BX313" t="s">
        <v>1979</v>
      </c>
      <c r="BY313">
        <v>0</v>
      </c>
      <c r="BZ313">
        <v>0</v>
      </c>
      <c r="CA313" t="s">
        <v>1988</v>
      </c>
      <c r="CB313">
        <v>0.1366</v>
      </c>
      <c r="CD313" t="s">
        <v>9870</v>
      </c>
    </row>
    <row r="314" spans="1:82">
      <c r="A314" t="s">
        <v>7977</v>
      </c>
      <c r="B314" t="s">
        <v>9871</v>
      </c>
      <c r="C314" t="s">
        <v>7958</v>
      </c>
      <c r="D314" t="s">
        <v>1383</v>
      </c>
      <c r="E314" t="s">
        <v>8083</v>
      </c>
      <c r="F314" t="s">
        <v>9872</v>
      </c>
      <c r="G314" t="s">
        <v>8124</v>
      </c>
      <c r="H314" t="s">
        <v>9873</v>
      </c>
      <c r="I314" t="s">
        <v>9874</v>
      </c>
      <c r="J314" t="s">
        <v>8088</v>
      </c>
      <c r="K314" t="s">
        <v>8089</v>
      </c>
      <c r="L314" t="s">
        <v>1979</v>
      </c>
      <c r="M314" t="s">
        <v>1980</v>
      </c>
      <c r="N314" t="s">
        <v>8214</v>
      </c>
      <c r="O314" t="s">
        <v>11</v>
      </c>
      <c r="P314" t="s">
        <v>9875</v>
      </c>
      <c r="Q314">
        <v>0</v>
      </c>
      <c r="R314" t="s">
        <v>8091</v>
      </c>
      <c r="S314">
        <v>0</v>
      </c>
      <c r="T314">
        <v>0</v>
      </c>
      <c r="U314">
        <v>0</v>
      </c>
      <c r="V314">
        <v>0</v>
      </c>
      <c r="W314">
        <v>0</v>
      </c>
      <c r="X314">
        <v>0</v>
      </c>
      <c r="AH314">
        <v>0</v>
      </c>
      <c r="AI314" t="s">
        <v>1979</v>
      </c>
      <c r="AJ314" t="s">
        <v>1979</v>
      </c>
      <c r="AK314" t="s">
        <v>1979</v>
      </c>
      <c r="AL314" t="s">
        <v>1979</v>
      </c>
      <c r="AM314" t="s">
        <v>1979</v>
      </c>
      <c r="AR314">
        <v>2</v>
      </c>
      <c r="AW314">
        <v>1</v>
      </c>
      <c r="AX314">
        <v>0</v>
      </c>
      <c r="AY314">
        <v>0</v>
      </c>
      <c r="AZ314">
        <v>0</v>
      </c>
      <c r="BA314">
        <v>0</v>
      </c>
      <c r="BB314">
        <v>0</v>
      </c>
      <c r="BC314">
        <v>0</v>
      </c>
      <c r="BD314">
        <v>0</v>
      </c>
      <c r="BE314">
        <v>0</v>
      </c>
      <c r="BF314">
        <v>0</v>
      </c>
      <c r="BG314">
        <v>0</v>
      </c>
      <c r="BH314">
        <v>3.206</v>
      </c>
      <c r="BL314">
        <v>1.6240000000000001</v>
      </c>
      <c r="BN314">
        <v>1</v>
      </c>
      <c r="BO314" t="s">
        <v>8092</v>
      </c>
      <c r="BP314">
        <v>0</v>
      </c>
      <c r="BQ314" s="594">
        <v>0</v>
      </c>
      <c r="BR314" t="s">
        <v>1979</v>
      </c>
      <c r="BT314">
        <v>0</v>
      </c>
      <c r="BU314" t="s">
        <v>8093</v>
      </c>
      <c r="BV314">
        <v>0</v>
      </c>
      <c r="BW314">
        <v>0</v>
      </c>
      <c r="BX314" t="s">
        <v>1979</v>
      </c>
      <c r="BY314">
        <v>0</v>
      </c>
      <c r="BZ314">
        <v>0</v>
      </c>
      <c r="CB314">
        <v>0</v>
      </c>
      <c r="CD314" t="s">
        <v>9876</v>
      </c>
    </row>
    <row r="315" spans="1:82">
      <c r="A315" t="s">
        <v>7977</v>
      </c>
      <c r="B315" t="s">
        <v>9877</v>
      </c>
      <c r="C315" t="s">
        <v>7958</v>
      </c>
      <c r="D315" t="s">
        <v>1383</v>
      </c>
      <c r="E315" t="s">
        <v>8083</v>
      </c>
      <c r="F315" t="s">
        <v>9872</v>
      </c>
      <c r="G315" t="s">
        <v>8132</v>
      </c>
      <c r="H315" t="s">
        <v>9878</v>
      </c>
      <c r="I315" t="s">
        <v>9879</v>
      </c>
      <c r="J315" t="s">
        <v>8119</v>
      </c>
      <c r="N315" t="s">
        <v>4821</v>
      </c>
      <c r="O315" t="s">
        <v>6241</v>
      </c>
      <c r="P315" t="s">
        <v>9880</v>
      </c>
      <c r="Q315" t="s">
        <v>8092</v>
      </c>
      <c r="S315" t="s">
        <v>9881</v>
      </c>
      <c r="X315" t="s">
        <v>9882</v>
      </c>
      <c r="AE315" t="s">
        <v>1979</v>
      </c>
      <c r="AH315">
        <v>0</v>
      </c>
      <c r="BP315" t="s">
        <v>9881</v>
      </c>
      <c r="BQ315" s="593" t="s">
        <v>9881</v>
      </c>
      <c r="BR315" t="s">
        <v>8093</v>
      </c>
      <c r="BS315" t="s">
        <v>8093</v>
      </c>
      <c r="BT315">
        <v>0</v>
      </c>
      <c r="BU315" t="s">
        <v>8093</v>
      </c>
      <c r="BV315">
        <v>0</v>
      </c>
      <c r="BW315" t="s">
        <v>9881</v>
      </c>
      <c r="BX315" t="s">
        <v>1981</v>
      </c>
      <c r="BY315">
        <v>0</v>
      </c>
      <c r="BZ315">
        <v>0</v>
      </c>
      <c r="CA315">
        <v>0</v>
      </c>
      <c r="CB315">
        <v>0</v>
      </c>
      <c r="CD315" t="s">
        <v>9883</v>
      </c>
    </row>
    <row r="316" spans="1:82">
      <c r="A316" t="s">
        <v>7977</v>
      </c>
      <c r="B316" t="s">
        <v>9884</v>
      </c>
      <c r="C316" t="s">
        <v>7958</v>
      </c>
      <c r="D316" t="s">
        <v>1383</v>
      </c>
      <c r="E316" t="s">
        <v>8083</v>
      </c>
      <c r="F316" t="s">
        <v>9872</v>
      </c>
      <c r="G316" t="s">
        <v>8658</v>
      </c>
      <c r="H316" t="s">
        <v>9885</v>
      </c>
      <c r="I316" t="s">
        <v>9886</v>
      </c>
      <c r="J316" t="s">
        <v>8088</v>
      </c>
      <c r="K316" t="s">
        <v>8089</v>
      </c>
      <c r="L316" t="s">
        <v>1979</v>
      </c>
      <c r="N316" t="s">
        <v>2534</v>
      </c>
      <c r="O316" t="s">
        <v>11</v>
      </c>
      <c r="P316" t="s">
        <v>8090</v>
      </c>
      <c r="Q316">
        <v>0</v>
      </c>
      <c r="R316" t="s">
        <v>8091</v>
      </c>
      <c r="S316">
        <v>84</v>
      </c>
      <c r="T316">
        <v>84</v>
      </c>
      <c r="U316">
        <v>84</v>
      </c>
      <c r="V316">
        <v>84</v>
      </c>
      <c r="W316">
        <v>84</v>
      </c>
      <c r="X316">
        <v>84</v>
      </c>
      <c r="AE316" t="s">
        <v>1979</v>
      </c>
      <c r="AH316">
        <v>0</v>
      </c>
      <c r="AI316" t="s">
        <v>1979</v>
      </c>
      <c r="AJ316" t="s">
        <v>1979</v>
      </c>
      <c r="AK316" t="s">
        <v>1979</v>
      </c>
      <c r="AL316" t="s">
        <v>1979</v>
      </c>
      <c r="AM316" t="s">
        <v>1979</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8092</v>
      </c>
      <c r="BP316">
        <v>84</v>
      </c>
      <c r="BQ316" s="594">
        <v>84</v>
      </c>
      <c r="BR316" t="s">
        <v>1979</v>
      </c>
      <c r="BS316" t="s">
        <v>8093</v>
      </c>
      <c r="BT316">
        <v>0</v>
      </c>
      <c r="BU316" t="s">
        <v>8093</v>
      </c>
      <c r="BV316">
        <v>0</v>
      </c>
      <c r="BW316">
        <v>82</v>
      </c>
      <c r="BX316" t="s">
        <v>1979</v>
      </c>
      <c r="BY316" t="s">
        <v>1988</v>
      </c>
      <c r="BZ316">
        <v>0.80600000000000005</v>
      </c>
      <c r="CA316">
        <v>0</v>
      </c>
      <c r="CB316">
        <v>0</v>
      </c>
      <c r="CD316" t="s">
        <v>9887</v>
      </c>
    </row>
    <row r="317" spans="1:82">
      <c r="A317" t="s">
        <v>7977</v>
      </c>
      <c r="B317" t="s">
        <v>9888</v>
      </c>
      <c r="C317" t="s">
        <v>7958</v>
      </c>
      <c r="D317" t="s">
        <v>1383</v>
      </c>
      <c r="E317" t="s">
        <v>8083</v>
      </c>
      <c r="F317" t="s">
        <v>9872</v>
      </c>
      <c r="G317" t="s">
        <v>9641</v>
      </c>
      <c r="H317" t="s">
        <v>9889</v>
      </c>
      <c r="I317" t="s">
        <v>9890</v>
      </c>
      <c r="J317" t="s">
        <v>8119</v>
      </c>
      <c r="N317" t="s">
        <v>2534</v>
      </c>
      <c r="O317" t="s">
        <v>11</v>
      </c>
      <c r="P317" t="s">
        <v>9891</v>
      </c>
      <c r="Q317">
        <v>0</v>
      </c>
      <c r="R317" t="s">
        <v>8091</v>
      </c>
      <c r="S317" t="s">
        <v>9892</v>
      </c>
      <c r="X317" t="s">
        <v>9893</v>
      </c>
      <c r="AE317" t="s">
        <v>1979</v>
      </c>
      <c r="AH317">
        <v>0</v>
      </c>
      <c r="BP317">
        <v>2.83</v>
      </c>
      <c r="BQ317" s="594">
        <v>2.8</v>
      </c>
      <c r="BR317" t="s">
        <v>8093</v>
      </c>
      <c r="BS317" t="s">
        <v>8093</v>
      </c>
      <c r="BT317">
        <v>0</v>
      </c>
      <c r="BU317" t="s">
        <v>8093</v>
      </c>
      <c r="BV317">
        <v>0</v>
      </c>
      <c r="BW317">
        <v>2.23</v>
      </c>
      <c r="BX317" t="s">
        <v>1981</v>
      </c>
      <c r="BY317">
        <v>0</v>
      </c>
      <c r="BZ317">
        <v>0</v>
      </c>
      <c r="CA317">
        <v>0</v>
      </c>
      <c r="CB317">
        <v>0</v>
      </c>
      <c r="CD317" t="s">
        <v>9894</v>
      </c>
    </row>
    <row r="318" spans="1:82">
      <c r="A318" t="s">
        <v>7977</v>
      </c>
      <c r="B318" t="s">
        <v>9895</v>
      </c>
      <c r="C318" t="s">
        <v>7958</v>
      </c>
      <c r="D318" t="s">
        <v>1383</v>
      </c>
      <c r="E318" t="s">
        <v>8083</v>
      </c>
      <c r="F318" t="s">
        <v>9872</v>
      </c>
      <c r="G318" t="s">
        <v>9646</v>
      </c>
      <c r="H318" t="s">
        <v>9896</v>
      </c>
      <c r="I318" t="s">
        <v>9897</v>
      </c>
      <c r="J318" t="s">
        <v>8119</v>
      </c>
      <c r="N318" t="s">
        <v>8107</v>
      </c>
      <c r="O318" t="s">
        <v>8170</v>
      </c>
      <c r="P318" t="s">
        <v>8222</v>
      </c>
      <c r="Q318">
        <v>0</v>
      </c>
      <c r="R318" t="s">
        <v>8129</v>
      </c>
      <c r="S318">
        <v>100</v>
      </c>
      <c r="X318">
        <v>100</v>
      </c>
      <c r="AH318">
        <v>0</v>
      </c>
      <c r="BP318">
        <v>100</v>
      </c>
      <c r="BQ318" s="594">
        <v>100</v>
      </c>
      <c r="BR318" t="s">
        <v>8093</v>
      </c>
      <c r="BS318" t="s">
        <v>8093</v>
      </c>
      <c r="BT318">
        <v>0</v>
      </c>
      <c r="BU318" t="s">
        <v>8093</v>
      </c>
      <c r="BV318">
        <v>0</v>
      </c>
      <c r="BW318">
        <v>100</v>
      </c>
      <c r="BX318" t="s">
        <v>1981</v>
      </c>
      <c r="BY318">
        <v>0</v>
      </c>
      <c r="BZ318">
        <v>0</v>
      </c>
      <c r="CA318">
        <v>0</v>
      </c>
      <c r="CB318">
        <v>0</v>
      </c>
      <c r="CD318" t="s">
        <v>9898</v>
      </c>
    </row>
    <row r="319" spans="1:82">
      <c r="A319" t="s">
        <v>7977</v>
      </c>
      <c r="B319" t="s">
        <v>9899</v>
      </c>
      <c r="C319" t="s">
        <v>7958</v>
      </c>
      <c r="D319" t="s">
        <v>1383</v>
      </c>
      <c r="E319" t="s">
        <v>8083</v>
      </c>
      <c r="F319" t="s">
        <v>9900</v>
      </c>
      <c r="G319" t="s">
        <v>8139</v>
      </c>
      <c r="H319" t="s">
        <v>9901</v>
      </c>
      <c r="I319" t="s">
        <v>9902</v>
      </c>
      <c r="J319" t="s">
        <v>8088</v>
      </c>
      <c r="K319" t="s">
        <v>8428</v>
      </c>
      <c r="N319" t="s">
        <v>4821</v>
      </c>
      <c r="O319" t="s">
        <v>11</v>
      </c>
      <c r="P319" t="s">
        <v>9903</v>
      </c>
      <c r="Q319">
        <v>0</v>
      </c>
      <c r="R319" t="s">
        <v>8091</v>
      </c>
      <c r="S319">
        <v>0</v>
      </c>
      <c r="X319">
        <v>0</v>
      </c>
      <c r="AE319" t="s">
        <v>1979</v>
      </c>
      <c r="AH319">
        <v>0</v>
      </c>
      <c r="AM319" t="s">
        <v>1979</v>
      </c>
      <c r="AR319">
        <v>193035</v>
      </c>
      <c r="AW319">
        <v>38607</v>
      </c>
      <c r="BB319">
        <v>38607</v>
      </c>
      <c r="BG319">
        <v>0</v>
      </c>
      <c r="BH319">
        <v>6.2400000000000004E-6</v>
      </c>
      <c r="BL319">
        <v>6.2400000000000004E-6</v>
      </c>
      <c r="BN319">
        <v>1</v>
      </c>
      <c r="BO319" t="s">
        <v>8092</v>
      </c>
      <c r="BP319">
        <v>0</v>
      </c>
      <c r="BQ319" s="594">
        <v>0</v>
      </c>
      <c r="BR319" t="s">
        <v>8093</v>
      </c>
      <c r="BS319" t="s">
        <v>8093</v>
      </c>
      <c r="BT319">
        <v>0</v>
      </c>
      <c r="BU319" t="s">
        <v>8093</v>
      </c>
      <c r="BV319">
        <v>0</v>
      </c>
      <c r="BW319">
        <v>0</v>
      </c>
      <c r="BX319" t="s">
        <v>1981</v>
      </c>
      <c r="BY319">
        <v>0</v>
      </c>
      <c r="BZ319">
        <v>0</v>
      </c>
      <c r="CA319">
        <v>0</v>
      </c>
      <c r="CB319">
        <v>0</v>
      </c>
      <c r="CD319" t="s">
        <v>9904</v>
      </c>
    </row>
    <row r="320" spans="1:82">
      <c r="A320" t="s">
        <v>7977</v>
      </c>
      <c r="B320" t="s">
        <v>9905</v>
      </c>
      <c r="C320" t="s">
        <v>7958</v>
      </c>
      <c r="D320" t="s">
        <v>1383</v>
      </c>
      <c r="E320" t="s">
        <v>8083</v>
      </c>
      <c r="F320" t="s">
        <v>9906</v>
      </c>
      <c r="G320" t="s">
        <v>8219</v>
      </c>
      <c r="H320" t="s">
        <v>9907</v>
      </c>
      <c r="I320" t="s">
        <v>9908</v>
      </c>
      <c r="J320" t="s">
        <v>8088</v>
      </c>
      <c r="K320" t="s">
        <v>8089</v>
      </c>
      <c r="L320" t="s">
        <v>1979</v>
      </c>
      <c r="N320" t="s">
        <v>8274</v>
      </c>
      <c r="O320" t="s">
        <v>10</v>
      </c>
      <c r="P320" t="s">
        <v>9490</v>
      </c>
      <c r="Q320">
        <v>1</v>
      </c>
      <c r="R320" t="s">
        <v>8129</v>
      </c>
      <c r="S320">
        <v>90</v>
      </c>
      <c r="T320">
        <v>91</v>
      </c>
      <c r="U320">
        <v>92</v>
      </c>
      <c r="V320">
        <v>93</v>
      </c>
      <c r="W320">
        <v>94</v>
      </c>
      <c r="X320">
        <v>95</v>
      </c>
      <c r="AH320">
        <v>0</v>
      </c>
      <c r="AI320" t="s">
        <v>1979</v>
      </c>
      <c r="AJ320" t="s">
        <v>1979</v>
      </c>
      <c r="AK320" t="s">
        <v>1979</v>
      </c>
      <c r="AL320" t="s">
        <v>1979</v>
      </c>
      <c r="AM320" t="s">
        <v>1979</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8092</v>
      </c>
      <c r="BP320">
        <v>93.5</v>
      </c>
      <c r="BQ320" s="591">
        <v>94.8</v>
      </c>
      <c r="BR320" t="s">
        <v>1979</v>
      </c>
      <c r="BS320" t="s">
        <v>1988</v>
      </c>
      <c r="BT320">
        <v>0.16339999999999999</v>
      </c>
      <c r="BU320" t="s">
        <v>8093</v>
      </c>
      <c r="BV320">
        <v>0</v>
      </c>
      <c r="BW320">
        <v>95.5</v>
      </c>
      <c r="BX320" t="s">
        <v>1979</v>
      </c>
      <c r="BY320" t="s">
        <v>1988</v>
      </c>
      <c r="BZ320">
        <v>0.15049999999999999</v>
      </c>
      <c r="CA320">
        <v>0</v>
      </c>
      <c r="CB320">
        <v>0</v>
      </c>
      <c r="CD320" t="s">
        <v>9909</v>
      </c>
    </row>
    <row r="321" spans="1:82">
      <c r="A321" t="s">
        <v>7977</v>
      </c>
      <c r="B321" t="s">
        <v>9910</v>
      </c>
      <c r="C321" t="s">
        <v>7958</v>
      </c>
      <c r="D321" t="s">
        <v>1383</v>
      </c>
      <c r="E321" t="s">
        <v>8083</v>
      </c>
      <c r="F321" t="s">
        <v>9911</v>
      </c>
      <c r="G321" t="s">
        <v>8242</v>
      </c>
      <c r="H321" t="s">
        <v>9912</v>
      </c>
      <c r="I321" t="s">
        <v>9913</v>
      </c>
      <c r="J321" t="s">
        <v>8119</v>
      </c>
      <c r="N321" t="s">
        <v>8113</v>
      </c>
      <c r="O321" t="s">
        <v>11</v>
      </c>
      <c r="P321" t="s">
        <v>9914</v>
      </c>
      <c r="Q321">
        <v>0</v>
      </c>
      <c r="R321" t="s">
        <v>8091</v>
      </c>
      <c r="S321">
        <v>0</v>
      </c>
      <c r="X321">
        <v>0</v>
      </c>
      <c r="AF321" t="s">
        <v>1979</v>
      </c>
      <c r="AH321">
        <v>0</v>
      </c>
      <c r="BP321">
        <v>0</v>
      </c>
      <c r="BQ321" s="594">
        <v>0</v>
      </c>
      <c r="BR321" t="s">
        <v>8093</v>
      </c>
      <c r="BS321" t="s">
        <v>8093</v>
      </c>
      <c r="BT321">
        <v>0</v>
      </c>
      <c r="BU321" t="s">
        <v>8093</v>
      </c>
      <c r="BV321">
        <v>0</v>
      </c>
      <c r="BW321">
        <v>0</v>
      </c>
      <c r="BX321" t="s">
        <v>1981</v>
      </c>
      <c r="BY321">
        <v>0</v>
      </c>
      <c r="BZ321">
        <v>0</v>
      </c>
      <c r="CA321">
        <v>0</v>
      </c>
      <c r="CB321">
        <v>0</v>
      </c>
      <c r="CD321" t="s">
        <v>9915</v>
      </c>
    </row>
    <row r="322" spans="1:82" ht="25.5">
      <c r="A322" t="s">
        <v>7977</v>
      </c>
      <c r="B322" t="s">
        <v>9916</v>
      </c>
      <c r="C322" t="s">
        <v>7958</v>
      </c>
      <c r="D322" t="s">
        <v>1383</v>
      </c>
      <c r="E322" t="s">
        <v>8083</v>
      </c>
      <c r="F322" t="s">
        <v>9911</v>
      </c>
      <c r="G322" t="s">
        <v>8249</v>
      </c>
      <c r="H322" t="s">
        <v>9917</v>
      </c>
      <c r="I322" t="s">
        <v>9918</v>
      </c>
      <c r="J322" t="s">
        <v>8099</v>
      </c>
      <c r="K322" t="s">
        <v>8428</v>
      </c>
      <c r="M322" t="s">
        <v>1980</v>
      </c>
      <c r="N322" t="s">
        <v>8113</v>
      </c>
      <c r="O322" t="s">
        <v>8282</v>
      </c>
      <c r="P322" t="s">
        <v>9919</v>
      </c>
      <c r="Q322" t="s">
        <v>8092</v>
      </c>
      <c r="S322" t="s">
        <v>9920</v>
      </c>
      <c r="T322" t="s">
        <v>9920</v>
      </c>
      <c r="U322" t="s">
        <v>9920</v>
      </c>
      <c r="V322" t="s">
        <v>9920</v>
      </c>
      <c r="W322" t="s">
        <v>9920</v>
      </c>
      <c r="X322" t="s">
        <v>9920</v>
      </c>
      <c r="AF322" t="s">
        <v>1979</v>
      </c>
      <c r="AH322">
        <v>0</v>
      </c>
      <c r="AM322" t="s">
        <v>1979</v>
      </c>
      <c r="AN322" t="s">
        <v>9921</v>
      </c>
      <c r="AO322" t="s">
        <v>9921</v>
      </c>
      <c r="AP322" t="s">
        <v>9921</v>
      </c>
      <c r="AQ322" t="s">
        <v>9921</v>
      </c>
      <c r="AR322" t="s">
        <v>9921</v>
      </c>
      <c r="AS322" t="s">
        <v>9920</v>
      </c>
      <c r="AT322" t="s">
        <v>9920</v>
      </c>
      <c r="AU322" t="s">
        <v>9920</v>
      </c>
      <c r="AV322" t="s">
        <v>9920</v>
      </c>
      <c r="AW322" t="s">
        <v>9920</v>
      </c>
      <c r="BH322">
        <v>1.054</v>
      </c>
      <c r="BN322">
        <v>1</v>
      </c>
      <c r="BO322" t="s">
        <v>8092</v>
      </c>
      <c r="BP322" t="s">
        <v>9922</v>
      </c>
      <c r="BQ322" s="593" t="s">
        <v>9922</v>
      </c>
      <c r="BR322" t="s">
        <v>1979</v>
      </c>
      <c r="BS322" t="s">
        <v>8093</v>
      </c>
      <c r="BT322">
        <v>0</v>
      </c>
      <c r="BU322" t="s">
        <v>8093</v>
      </c>
      <c r="BV322">
        <v>0</v>
      </c>
      <c r="BW322" t="s">
        <v>9920</v>
      </c>
      <c r="BX322" t="s">
        <v>1979</v>
      </c>
      <c r="BY322">
        <v>0</v>
      </c>
      <c r="BZ322">
        <v>0</v>
      </c>
      <c r="CA322">
        <v>0</v>
      </c>
      <c r="CB322">
        <v>0</v>
      </c>
      <c r="CD322" t="s">
        <v>9923</v>
      </c>
    </row>
    <row r="323" spans="1:82">
      <c r="A323" t="s">
        <v>7977</v>
      </c>
      <c r="B323" t="s">
        <v>9924</v>
      </c>
      <c r="C323" t="s">
        <v>7958</v>
      </c>
      <c r="D323" t="s">
        <v>1383</v>
      </c>
      <c r="E323" t="s">
        <v>8083</v>
      </c>
      <c r="F323" t="s">
        <v>9911</v>
      </c>
      <c r="G323" t="s">
        <v>9925</v>
      </c>
      <c r="H323" t="s">
        <v>9926</v>
      </c>
      <c r="I323" t="s">
        <v>9927</v>
      </c>
      <c r="J323" t="s">
        <v>8119</v>
      </c>
      <c r="N323" t="s">
        <v>9623</v>
      </c>
      <c r="O323" t="s">
        <v>11</v>
      </c>
      <c r="P323" t="s">
        <v>9928</v>
      </c>
      <c r="Q323">
        <v>0</v>
      </c>
      <c r="R323" t="s">
        <v>8129</v>
      </c>
      <c r="S323">
        <v>4942</v>
      </c>
      <c r="X323">
        <v>8154</v>
      </c>
      <c r="AF323" t="s">
        <v>1979</v>
      </c>
      <c r="AH323">
        <v>0</v>
      </c>
      <c r="BP323">
        <v>4942</v>
      </c>
      <c r="BQ323" s="594">
        <v>5673</v>
      </c>
      <c r="BR323" t="s">
        <v>8093</v>
      </c>
      <c r="BS323" t="s">
        <v>8093</v>
      </c>
      <c r="BT323">
        <v>0</v>
      </c>
      <c r="BU323" t="s">
        <v>8093</v>
      </c>
      <c r="BV323">
        <v>0</v>
      </c>
      <c r="BW323">
        <v>7568</v>
      </c>
      <c r="BX323" t="s">
        <v>1981</v>
      </c>
      <c r="BY323">
        <v>0</v>
      </c>
      <c r="BZ323">
        <v>0</v>
      </c>
      <c r="CA323">
        <v>0</v>
      </c>
      <c r="CB323">
        <v>0</v>
      </c>
      <c r="CD323" t="s">
        <v>9929</v>
      </c>
    </row>
    <row r="324" spans="1:82">
      <c r="A324" t="s">
        <v>7977</v>
      </c>
      <c r="B324" t="s">
        <v>9930</v>
      </c>
      <c r="C324" t="s">
        <v>7958</v>
      </c>
      <c r="D324" t="s">
        <v>1383</v>
      </c>
      <c r="E324" t="s">
        <v>8083</v>
      </c>
      <c r="F324" t="s">
        <v>9911</v>
      </c>
      <c r="G324" t="s">
        <v>9931</v>
      </c>
      <c r="H324" t="s">
        <v>9932</v>
      </c>
      <c r="I324" t="s">
        <v>9933</v>
      </c>
      <c r="J324" t="s">
        <v>8119</v>
      </c>
      <c r="N324" t="s">
        <v>9623</v>
      </c>
      <c r="O324" t="s">
        <v>11</v>
      </c>
      <c r="P324" t="s">
        <v>9934</v>
      </c>
      <c r="Q324">
        <v>0</v>
      </c>
      <c r="R324" t="s">
        <v>8129</v>
      </c>
      <c r="S324">
        <v>650</v>
      </c>
      <c r="X324">
        <v>1400</v>
      </c>
      <c r="AF324" t="s">
        <v>1979</v>
      </c>
      <c r="AH324">
        <v>0</v>
      </c>
      <c r="BP324">
        <v>743</v>
      </c>
      <c r="BQ324" s="594">
        <v>849</v>
      </c>
      <c r="BR324" t="s">
        <v>8093</v>
      </c>
      <c r="BS324" t="s">
        <v>8093</v>
      </c>
      <c r="BT324">
        <v>0</v>
      </c>
      <c r="BU324" t="s">
        <v>8093</v>
      </c>
      <c r="BV324">
        <v>0</v>
      </c>
      <c r="BW324">
        <v>1056</v>
      </c>
      <c r="BX324" t="s">
        <v>1981</v>
      </c>
      <c r="BY324">
        <v>0</v>
      </c>
      <c r="BZ324">
        <v>0</v>
      </c>
      <c r="CA324">
        <v>0</v>
      </c>
      <c r="CB324">
        <v>0</v>
      </c>
      <c r="CD324" t="s">
        <v>9935</v>
      </c>
    </row>
    <row r="325" spans="1:82">
      <c r="A325" t="s">
        <v>7977</v>
      </c>
      <c r="B325" t="s">
        <v>9936</v>
      </c>
      <c r="C325" t="s">
        <v>7958</v>
      </c>
      <c r="D325" t="s">
        <v>1383</v>
      </c>
      <c r="E325" t="s">
        <v>8083</v>
      </c>
      <c r="F325" t="s">
        <v>9911</v>
      </c>
      <c r="G325" t="s">
        <v>9937</v>
      </c>
      <c r="H325" t="s">
        <v>9938</v>
      </c>
      <c r="I325" t="s">
        <v>9939</v>
      </c>
      <c r="J325" t="s">
        <v>8099</v>
      </c>
      <c r="K325" t="s">
        <v>8089</v>
      </c>
      <c r="L325" t="s">
        <v>1979</v>
      </c>
      <c r="N325" t="s">
        <v>8337</v>
      </c>
      <c r="O325" t="s">
        <v>11</v>
      </c>
      <c r="P325" t="s">
        <v>9463</v>
      </c>
      <c r="Q325">
        <v>0</v>
      </c>
      <c r="R325" t="s">
        <v>8091</v>
      </c>
      <c r="S325">
        <v>0</v>
      </c>
      <c r="T325">
        <v>0</v>
      </c>
      <c r="U325">
        <v>0</v>
      </c>
      <c r="V325">
        <v>0</v>
      </c>
      <c r="W325">
        <v>0</v>
      </c>
      <c r="X325">
        <v>0</v>
      </c>
      <c r="AE325" t="s">
        <v>1979</v>
      </c>
      <c r="AH325">
        <v>0</v>
      </c>
      <c r="AI325" t="s">
        <v>1979</v>
      </c>
      <c r="AJ325" t="s">
        <v>1979</v>
      </c>
      <c r="AK325" t="s">
        <v>1979</v>
      </c>
      <c r="AL325" t="s">
        <v>1979</v>
      </c>
      <c r="AM325" t="s">
        <v>1979</v>
      </c>
      <c r="AN325">
        <v>2</v>
      </c>
      <c r="AO325">
        <v>2</v>
      </c>
      <c r="AP325">
        <v>2</v>
      </c>
      <c r="AQ325">
        <v>2</v>
      </c>
      <c r="AR325">
        <v>2</v>
      </c>
      <c r="AS325">
        <v>0</v>
      </c>
      <c r="AT325">
        <v>0</v>
      </c>
      <c r="AU325">
        <v>0</v>
      </c>
      <c r="AV325">
        <v>0</v>
      </c>
      <c r="AW325">
        <v>0</v>
      </c>
      <c r="BH325">
        <v>0.35599999999999998</v>
      </c>
      <c r="BN325">
        <v>1</v>
      </c>
      <c r="BO325" t="s">
        <v>8092</v>
      </c>
      <c r="BP325">
        <v>0</v>
      </c>
      <c r="BQ325" s="594">
        <v>0</v>
      </c>
      <c r="BR325" t="s">
        <v>1979</v>
      </c>
      <c r="BS325" t="s">
        <v>8093</v>
      </c>
      <c r="BT325">
        <v>0</v>
      </c>
      <c r="BU325" t="s">
        <v>8093</v>
      </c>
      <c r="BV325">
        <v>0</v>
      </c>
      <c r="BW325">
        <v>0</v>
      </c>
      <c r="BX325" t="s">
        <v>1979</v>
      </c>
      <c r="BY325">
        <v>0</v>
      </c>
      <c r="BZ325">
        <v>0</v>
      </c>
      <c r="CA325">
        <v>0</v>
      </c>
      <c r="CB325">
        <v>0</v>
      </c>
      <c r="CD325" t="s">
        <v>9940</v>
      </c>
    </row>
    <row r="326" spans="1:82">
      <c r="A326" t="s">
        <v>7977</v>
      </c>
      <c r="B326" t="s">
        <v>9941</v>
      </c>
      <c r="C326" t="s">
        <v>7958</v>
      </c>
      <c r="D326" t="s">
        <v>1383</v>
      </c>
      <c r="E326" t="s">
        <v>8083</v>
      </c>
      <c r="F326" t="s">
        <v>9911</v>
      </c>
      <c r="G326" t="s">
        <v>9942</v>
      </c>
      <c r="H326" t="s">
        <v>9943</v>
      </c>
      <c r="I326" t="s">
        <v>9944</v>
      </c>
      <c r="J326" t="s">
        <v>8099</v>
      </c>
      <c r="K326" t="s">
        <v>8089</v>
      </c>
      <c r="L326" t="s">
        <v>1979</v>
      </c>
      <c r="N326" t="s">
        <v>8337</v>
      </c>
      <c r="O326" t="s">
        <v>11</v>
      </c>
      <c r="P326" t="s">
        <v>9945</v>
      </c>
      <c r="Q326">
        <v>0</v>
      </c>
      <c r="R326" t="s">
        <v>8091</v>
      </c>
      <c r="S326">
        <v>2</v>
      </c>
      <c r="T326">
        <v>2</v>
      </c>
      <c r="U326">
        <v>2</v>
      </c>
      <c r="V326">
        <v>2</v>
      </c>
      <c r="W326">
        <v>2</v>
      </c>
      <c r="X326">
        <v>2</v>
      </c>
      <c r="AE326" t="s">
        <v>1979</v>
      </c>
      <c r="AH326">
        <v>0</v>
      </c>
      <c r="AI326" t="s">
        <v>1979</v>
      </c>
      <c r="AJ326" t="s">
        <v>1979</v>
      </c>
      <c r="AK326" t="s">
        <v>1979</v>
      </c>
      <c r="AL326" t="s">
        <v>1979</v>
      </c>
      <c r="AM326" t="s">
        <v>1979</v>
      </c>
      <c r="AN326">
        <v>4</v>
      </c>
      <c r="AO326">
        <v>4</v>
      </c>
      <c r="AP326">
        <v>4</v>
      </c>
      <c r="AQ326">
        <v>4</v>
      </c>
      <c r="AR326">
        <v>4</v>
      </c>
      <c r="AS326">
        <v>2</v>
      </c>
      <c r="AT326">
        <v>2</v>
      </c>
      <c r="AU326">
        <v>2</v>
      </c>
      <c r="AV326">
        <v>2</v>
      </c>
      <c r="AW326">
        <v>2</v>
      </c>
      <c r="BH326">
        <v>1.0999999999999999E-2</v>
      </c>
      <c r="BN326">
        <v>1</v>
      </c>
      <c r="BO326" t="s">
        <v>8092</v>
      </c>
      <c r="BP326">
        <v>3</v>
      </c>
      <c r="BQ326" s="594">
        <v>5</v>
      </c>
      <c r="BR326" t="s">
        <v>1980</v>
      </c>
      <c r="BS326" t="s">
        <v>1983</v>
      </c>
      <c r="BT326">
        <v>-2.1999999999999999E-2</v>
      </c>
      <c r="BU326" t="s">
        <v>8093</v>
      </c>
      <c r="BV326">
        <v>0</v>
      </c>
      <c r="BW326">
        <v>9</v>
      </c>
      <c r="BX326" t="s">
        <v>1980</v>
      </c>
      <c r="BY326" t="s">
        <v>1983</v>
      </c>
      <c r="BZ326">
        <v>-2.1999999999999999E-2</v>
      </c>
      <c r="CA326">
        <v>0</v>
      </c>
      <c r="CB326">
        <v>0</v>
      </c>
      <c r="CD326" t="s">
        <v>9946</v>
      </c>
    </row>
    <row r="327" spans="1:82">
      <c r="A327" t="s">
        <v>7977</v>
      </c>
      <c r="B327" t="s">
        <v>9947</v>
      </c>
      <c r="C327" t="s">
        <v>7958</v>
      </c>
      <c r="D327" t="s">
        <v>1383</v>
      </c>
      <c r="E327" t="s">
        <v>8083</v>
      </c>
      <c r="F327" t="s">
        <v>9911</v>
      </c>
      <c r="G327" t="s">
        <v>9948</v>
      </c>
      <c r="H327" t="s">
        <v>9949</v>
      </c>
      <c r="I327" t="s">
        <v>9950</v>
      </c>
      <c r="J327" t="s">
        <v>8119</v>
      </c>
      <c r="N327" t="s">
        <v>8260</v>
      </c>
      <c r="O327" t="s">
        <v>11</v>
      </c>
      <c r="P327" t="s">
        <v>8753</v>
      </c>
      <c r="Q327">
        <v>1</v>
      </c>
      <c r="R327" t="s">
        <v>8091</v>
      </c>
      <c r="S327">
        <v>49.5</v>
      </c>
      <c r="X327">
        <v>48</v>
      </c>
      <c r="AH327">
        <v>0</v>
      </c>
      <c r="BP327">
        <v>56.7</v>
      </c>
      <c r="BQ327" s="591">
        <v>61.8</v>
      </c>
      <c r="BR327" t="s">
        <v>8093</v>
      </c>
      <c r="BS327" t="s">
        <v>8093</v>
      </c>
      <c r="BT327">
        <v>0</v>
      </c>
      <c r="BU327" t="s">
        <v>8093</v>
      </c>
      <c r="BV327">
        <v>0</v>
      </c>
      <c r="BW327">
        <v>67.2</v>
      </c>
      <c r="BX327" t="s">
        <v>1981</v>
      </c>
      <c r="BY327">
        <v>0</v>
      </c>
      <c r="BZ327">
        <v>0</v>
      </c>
      <c r="CA327">
        <v>0</v>
      </c>
      <c r="CB327">
        <v>0</v>
      </c>
      <c r="CD327" t="s">
        <v>9951</v>
      </c>
    </row>
    <row r="328" spans="1:82">
      <c r="A328" t="s">
        <v>7977</v>
      </c>
      <c r="B328" t="s">
        <v>9952</v>
      </c>
      <c r="C328" t="s">
        <v>7958</v>
      </c>
      <c r="D328" t="s">
        <v>1383</v>
      </c>
      <c r="E328" t="s">
        <v>8083</v>
      </c>
      <c r="F328" t="s">
        <v>9911</v>
      </c>
      <c r="G328" t="s">
        <v>9953</v>
      </c>
      <c r="H328" t="s">
        <v>9954</v>
      </c>
      <c r="I328" t="s">
        <v>9955</v>
      </c>
      <c r="J328" t="s">
        <v>8119</v>
      </c>
      <c r="N328" t="s">
        <v>8260</v>
      </c>
      <c r="O328" t="s">
        <v>10</v>
      </c>
      <c r="P328" t="s">
        <v>9444</v>
      </c>
      <c r="Q328">
        <v>2</v>
      </c>
      <c r="R328" t="s">
        <v>8129</v>
      </c>
      <c r="S328">
        <v>8.36</v>
      </c>
      <c r="X328">
        <v>12.2</v>
      </c>
      <c r="AH328">
        <v>0</v>
      </c>
      <c r="BP328">
        <v>5.75</v>
      </c>
      <c r="BQ328" s="595">
        <v>7.14</v>
      </c>
      <c r="BR328" t="s">
        <v>8093</v>
      </c>
      <c r="BS328" t="s">
        <v>8093</v>
      </c>
      <c r="BT328">
        <v>0</v>
      </c>
      <c r="BU328" t="s">
        <v>8093</v>
      </c>
      <c r="BV328">
        <v>0</v>
      </c>
      <c r="BW328">
        <v>5.61</v>
      </c>
      <c r="BX328" t="s">
        <v>1981</v>
      </c>
      <c r="BY328">
        <v>0</v>
      </c>
      <c r="BZ328">
        <v>0</v>
      </c>
      <c r="CA328">
        <v>0</v>
      </c>
      <c r="CB328">
        <v>0</v>
      </c>
      <c r="CD328" t="s">
        <v>9956</v>
      </c>
    </row>
    <row r="329" spans="1:82">
      <c r="A329" t="s">
        <v>7977</v>
      </c>
      <c r="B329" t="s">
        <v>9957</v>
      </c>
      <c r="C329" t="s">
        <v>7958</v>
      </c>
      <c r="D329" t="s">
        <v>1383</v>
      </c>
      <c r="E329" t="s">
        <v>8083</v>
      </c>
      <c r="F329" t="s">
        <v>9958</v>
      </c>
      <c r="G329" t="s">
        <v>8257</v>
      </c>
      <c r="H329" t="s">
        <v>9959</v>
      </c>
      <c r="I329" t="s">
        <v>9960</v>
      </c>
      <c r="J329" t="s">
        <v>8099</v>
      </c>
      <c r="K329" t="s">
        <v>8428</v>
      </c>
      <c r="N329" t="s">
        <v>8474</v>
      </c>
      <c r="O329" t="s">
        <v>10</v>
      </c>
      <c r="P329" t="s">
        <v>9961</v>
      </c>
      <c r="Q329">
        <v>1</v>
      </c>
      <c r="R329" t="s">
        <v>8129</v>
      </c>
      <c r="S329">
        <v>79</v>
      </c>
      <c r="T329">
        <v>80.400000000000006</v>
      </c>
      <c r="U329">
        <v>81.599999999999994</v>
      </c>
      <c r="V329">
        <v>82.8</v>
      </c>
      <c r="W329">
        <v>83.8</v>
      </c>
      <c r="X329">
        <v>84.7</v>
      </c>
      <c r="AH329">
        <v>0</v>
      </c>
      <c r="AI329" t="s">
        <v>1979</v>
      </c>
      <c r="AJ329" t="s">
        <v>1979</v>
      </c>
      <c r="AK329" t="s">
        <v>1979</v>
      </c>
      <c r="AL329" t="s">
        <v>1979</v>
      </c>
      <c r="AM329" t="s">
        <v>1979</v>
      </c>
      <c r="AN329">
        <v>79</v>
      </c>
      <c r="AO329">
        <v>79</v>
      </c>
      <c r="AP329">
        <v>79</v>
      </c>
      <c r="AQ329">
        <v>79</v>
      </c>
      <c r="AR329">
        <v>79</v>
      </c>
      <c r="AS329">
        <v>79.400000000000006</v>
      </c>
      <c r="AT329">
        <v>80.599999999999994</v>
      </c>
      <c r="AU329">
        <v>81.8</v>
      </c>
      <c r="AV329">
        <v>82.8</v>
      </c>
      <c r="AW329">
        <v>83.7</v>
      </c>
      <c r="BH329">
        <v>0.71199999999999997</v>
      </c>
      <c r="BN329">
        <v>1</v>
      </c>
      <c r="BO329" t="s">
        <v>8092</v>
      </c>
      <c r="BP329">
        <v>78.099999999999994</v>
      </c>
      <c r="BQ329" s="591">
        <v>79.099999999999994</v>
      </c>
      <c r="BR329" t="s">
        <v>1980</v>
      </c>
      <c r="BS329" t="s">
        <v>8093</v>
      </c>
      <c r="BT329">
        <v>0</v>
      </c>
      <c r="BU329" t="s">
        <v>1983</v>
      </c>
      <c r="BV329">
        <v>-0.21360000000000001</v>
      </c>
      <c r="BW329">
        <v>80.8</v>
      </c>
      <c r="BX329" t="s">
        <v>1980</v>
      </c>
      <c r="BY329">
        <v>0</v>
      </c>
      <c r="BZ329">
        <v>0</v>
      </c>
      <c r="CA329" t="s">
        <v>1985</v>
      </c>
      <c r="CB329">
        <v>0</v>
      </c>
      <c r="CD329" t="s">
        <v>9962</v>
      </c>
    </row>
    <row r="330" spans="1:82">
      <c r="A330" t="s">
        <v>7977</v>
      </c>
      <c r="B330" t="s">
        <v>9963</v>
      </c>
      <c r="C330" t="s">
        <v>7958</v>
      </c>
      <c r="D330" t="s">
        <v>1384</v>
      </c>
      <c r="E330" t="s">
        <v>8297</v>
      </c>
      <c r="F330" t="s">
        <v>9964</v>
      </c>
      <c r="G330" t="s">
        <v>8764</v>
      </c>
      <c r="H330" t="s">
        <v>9965</v>
      </c>
      <c r="I330" t="s">
        <v>9966</v>
      </c>
      <c r="J330" t="s">
        <v>8088</v>
      </c>
      <c r="K330" t="s">
        <v>8428</v>
      </c>
      <c r="N330" t="s">
        <v>8301</v>
      </c>
      <c r="O330" t="s">
        <v>11</v>
      </c>
      <c r="P330" t="s">
        <v>9417</v>
      </c>
      <c r="Q330">
        <v>0</v>
      </c>
      <c r="R330" t="s">
        <v>8091</v>
      </c>
      <c r="S330">
        <v>157</v>
      </c>
      <c r="T330">
        <v>153</v>
      </c>
      <c r="U330">
        <v>148</v>
      </c>
      <c r="V330">
        <v>144</v>
      </c>
      <c r="W330">
        <v>139</v>
      </c>
      <c r="X330">
        <v>135</v>
      </c>
      <c r="AC330" t="s">
        <v>1979</v>
      </c>
      <c r="AE330" t="s">
        <v>1979</v>
      </c>
      <c r="AH330">
        <v>0</v>
      </c>
      <c r="AI330" t="s">
        <v>1979</v>
      </c>
      <c r="AJ330" t="s">
        <v>1979</v>
      </c>
      <c r="AK330" t="s">
        <v>1979</v>
      </c>
      <c r="AL330" t="s">
        <v>1979</v>
      </c>
      <c r="AM330" t="s">
        <v>1979</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8092</v>
      </c>
      <c r="BP330">
        <v>182</v>
      </c>
      <c r="BQ330" s="594">
        <v>189</v>
      </c>
      <c r="BR330" t="s">
        <v>1980</v>
      </c>
      <c r="BS330" t="s">
        <v>8093</v>
      </c>
      <c r="BT330">
        <v>0</v>
      </c>
      <c r="BU330" t="s">
        <v>1985</v>
      </c>
      <c r="BV330">
        <v>0</v>
      </c>
      <c r="BW330">
        <v>165</v>
      </c>
      <c r="BX330" t="s">
        <v>1980</v>
      </c>
      <c r="BY330">
        <v>0</v>
      </c>
      <c r="BZ330">
        <v>0</v>
      </c>
      <c r="CA330" t="s">
        <v>1985</v>
      </c>
      <c r="CB330">
        <v>0</v>
      </c>
      <c r="CD330" t="s">
        <v>9967</v>
      </c>
    </row>
    <row r="331" spans="1:82">
      <c r="A331" t="s">
        <v>7977</v>
      </c>
      <c r="B331" t="s">
        <v>9968</v>
      </c>
      <c r="C331" t="s">
        <v>7958</v>
      </c>
      <c r="D331" t="s">
        <v>1384</v>
      </c>
      <c r="E331" t="s">
        <v>8297</v>
      </c>
      <c r="F331" t="s">
        <v>9964</v>
      </c>
      <c r="G331" t="s">
        <v>8298</v>
      </c>
      <c r="H331" t="s">
        <v>9969</v>
      </c>
      <c r="I331" t="s">
        <v>9970</v>
      </c>
      <c r="J331" t="s">
        <v>8088</v>
      </c>
      <c r="K331" t="s">
        <v>8428</v>
      </c>
      <c r="N331" t="s">
        <v>8301</v>
      </c>
      <c r="O331" t="s">
        <v>11</v>
      </c>
      <c r="P331" t="s">
        <v>9422</v>
      </c>
      <c r="Q331">
        <v>0</v>
      </c>
      <c r="R331" t="s">
        <v>8091</v>
      </c>
      <c r="S331">
        <v>3500</v>
      </c>
      <c r="T331">
        <v>3440</v>
      </c>
      <c r="U331">
        <v>3380</v>
      </c>
      <c r="V331">
        <v>3320</v>
      </c>
      <c r="W331">
        <v>3260</v>
      </c>
      <c r="X331">
        <v>3200</v>
      </c>
      <c r="AE331" t="s">
        <v>1979</v>
      </c>
      <c r="AH331">
        <v>0</v>
      </c>
      <c r="AI331" t="s">
        <v>1979</v>
      </c>
      <c r="AJ331" t="s">
        <v>1979</v>
      </c>
      <c r="AK331" t="s">
        <v>1979</v>
      </c>
      <c r="AL331" t="s">
        <v>1979</v>
      </c>
      <c r="AM331" t="s">
        <v>1979</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8092</v>
      </c>
      <c r="BP331">
        <v>3179</v>
      </c>
      <c r="BQ331" s="594">
        <v>3702</v>
      </c>
      <c r="BR331" t="s">
        <v>1980</v>
      </c>
      <c r="BS331" t="s">
        <v>8093</v>
      </c>
      <c r="BT331">
        <v>0</v>
      </c>
      <c r="BU331" t="s">
        <v>1983</v>
      </c>
      <c r="BV331">
        <v>-0.24199999999999999</v>
      </c>
      <c r="BW331">
        <v>3504</v>
      </c>
      <c r="BX331" t="s">
        <v>1980</v>
      </c>
      <c r="BY331">
        <v>0</v>
      </c>
      <c r="BZ331">
        <v>0</v>
      </c>
      <c r="CA331" t="s">
        <v>1983</v>
      </c>
      <c r="CB331">
        <v>-0.28399999999999997</v>
      </c>
      <c r="CD331" t="s">
        <v>9971</v>
      </c>
    </row>
    <row r="332" spans="1:82">
      <c r="A332" t="s">
        <v>7977</v>
      </c>
      <c r="B332" t="s">
        <v>9972</v>
      </c>
      <c r="C332" t="s">
        <v>7958</v>
      </c>
      <c r="D332" t="s">
        <v>1384</v>
      </c>
      <c r="E332" t="s">
        <v>8297</v>
      </c>
      <c r="F332" t="s">
        <v>9964</v>
      </c>
      <c r="G332" t="s">
        <v>8305</v>
      </c>
      <c r="H332" t="s">
        <v>9973</v>
      </c>
      <c r="I332" t="s">
        <v>9974</v>
      </c>
      <c r="J332" t="s">
        <v>8088</v>
      </c>
      <c r="K332" t="s">
        <v>8428</v>
      </c>
      <c r="N332" t="s">
        <v>9432</v>
      </c>
      <c r="O332" t="s">
        <v>11</v>
      </c>
      <c r="P332" t="s">
        <v>9975</v>
      </c>
      <c r="Q332">
        <v>0</v>
      </c>
      <c r="R332" t="s">
        <v>8091</v>
      </c>
      <c r="S332">
        <v>410</v>
      </c>
      <c r="T332">
        <v>388</v>
      </c>
      <c r="U332">
        <v>366</v>
      </c>
      <c r="V332">
        <v>344</v>
      </c>
      <c r="W332">
        <v>322</v>
      </c>
      <c r="X332">
        <v>300</v>
      </c>
      <c r="AE332" t="s">
        <v>1979</v>
      </c>
      <c r="AH332">
        <v>0</v>
      </c>
      <c r="AI332" t="s">
        <v>1979</v>
      </c>
      <c r="AJ332" t="s">
        <v>1979</v>
      </c>
      <c r="AK332" t="s">
        <v>1979</v>
      </c>
      <c r="AL332" t="s">
        <v>1979</v>
      </c>
      <c r="AM332" t="s">
        <v>1979</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8092</v>
      </c>
      <c r="BP332">
        <v>333</v>
      </c>
      <c r="BQ332" s="594">
        <v>230</v>
      </c>
      <c r="BR332" t="s">
        <v>1979</v>
      </c>
      <c r="BS332" t="s">
        <v>8093</v>
      </c>
      <c r="BT332">
        <v>0</v>
      </c>
      <c r="BU332" t="s">
        <v>1988</v>
      </c>
      <c r="BV332">
        <v>0.34760000000000002</v>
      </c>
      <c r="BW332">
        <v>278</v>
      </c>
      <c r="BX332" t="s">
        <v>1979</v>
      </c>
      <c r="BY332">
        <v>0</v>
      </c>
      <c r="BZ332">
        <v>0</v>
      </c>
      <c r="CA332" t="s">
        <v>1988</v>
      </c>
      <c r="CB332">
        <v>0.19359999999999999</v>
      </c>
      <c r="CD332" t="s">
        <v>9976</v>
      </c>
    </row>
    <row r="333" spans="1:82">
      <c r="A333" t="s">
        <v>7977</v>
      </c>
      <c r="B333" t="s">
        <v>9977</v>
      </c>
      <c r="C333" t="s">
        <v>7958</v>
      </c>
      <c r="D333" t="s">
        <v>1384</v>
      </c>
      <c r="E333" t="s">
        <v>8297</v>
      </c>
      <c r="F333" t="s">
        <v>9964</v>
      </c>
      <c r="G333" t="s">
        <v>8311</v>
      </c>
      <c r="H333" t="s">
        <v>9978</v>
      </c>
      <c r="I333" t="s">
        <v>9979</v>
      </c>
      <c r="J333" t="s">
        <v>8099</v>
      </c>
      <c r="K333" t="s">
        <v>8428</v>
      </c>
      <c r="M333" t="s">
        <v>1980</v>
      </c>
      <c r="N333" t="s">
        <v>8364</v>
      </c>
      <c r="O333" t="s">
        <v>8282</v>
      </c>
      <c r="P333" t="s">
        <v>8429</v>
      </c>
      <c r="Q333" t="s">
        <v>8092</v>
      </c>
      <c r="S333" t="s">
        <v>1984</v>
      </c>
      <c r="T333" t="s">
        <v>1984</v>
      </c>
      <c r="U333" t="s">
        <v>1984</v>
      </c>
      <c r="V333" t="s">
        <v>1984</v>
      </c>
      <c r="W333" t="s">
        <v>1984</v>
      </c>
      <c r="X333" t="s">
        <v>1984</v>
      </c>
      <c r="AE333" t="s">
        <v>1979</v>
      </c>
      <c r="AH333">
        <v>6</v>
      </c>
      <c r="AI333" t="s">
        <v>1979</v>
      </c>
      <c r="AJ333" t="s">
        <v>1979</v>
      </c>
      <c r="AK333" t="s">
        <v>1979</v>
      </c>
      <c r="AL333" t="s">
        <v>1979</v>
      </c>
      <c r="AM333" t="s">
        <v>1979</v>
      </c>
      <c r="AN333" t="s">
        <v>8430</v>
      </c>
      <c r="AO333" t="s">
        <v>8430</v>
      </c>
      <c r="AP333" t="s">
        <v>8430</v>
      </c>
      <c r="AQ333" t="s">
        <v>8430</v>
      </c>
      <c r="AR333" t="s">
        <v>8430</v>
      </c>
      <c r="AS333" t="s">
        <v>1982</v>
      </c>
      <c r="AT333" t="s">
        <v>1982</v>
      </c>
      <c r="AU333" t="s">
        <v>1982</v>
      </c>
      <c r="AV333" t="s">
        <v>1982</v>
      </c>
      <c r="AW333" t="s">
        <v>1982</v>
      </c>
      <c r="BH333">
        <v>0.68799999999999994</v>
      </c>
      <c r="BN333">
        <v>1</v>
      </c>
      <c r="BO333" t="s">
        <v>8092</v>
      </c>
      <c r="BP333" t="s">
        <v>1984</v>
      </c>
      <c r="BQ333" s="605" t="s">
        <v>1984</v>
      </c>
      <c r="BR333" t="s">
        <v>1979</v>
      </c>
      <c r="BS333" t="s">
        <v>8093</v>
      </c>
      <c r="BT333">
        <v>0</v>
      </c>
      <c r="BU333" t="s">
        <v>8093</v>
      </c>
      <c r="BV333">
        <v>0</v>
      </c>
      <c r="BW333" t="s">
        <v>1984</v>
      </c>
      <c r="BX333" t="s">
        <v>1979</v>
      </c>
      <c r="BY333">
        <v>0</v>
      </c>
      <c r="BZ333">
        <v>0</v>
      </c>
      <c r="CA333">
        <v>0</v>
      </c>
      <c r="CB333">
        <v>0</v>
      </c>
      <c r="CD333" t="s">
        <v>9980</v>
      </c>
    </row>
    <row r="334" spans="1:82">
      <c r="A334" t="s">
        <v>7977</v>
      </c>
      <c r="B334" t="s">
        <v>9981</v>
      </c>
      <c r="C334" t="s">
        <v>7958</v>
      </c>
      <c r="D334" t="s">
        <v>1384</v>
      </c>
      <c r="E334" t="s">
        <v>8297</v>
      </c>
      <c r="F334" t="s">
        <v>9964</v>
      </c>
      <c r="G334" t="s">
        <v>9769</v>
      </c>
      <c r="H334" t="s">
        <v>9982</v>
      </c>
      <c r="I334" t="s">
        <v>9983</v>
      </c>
      <c r="J334" t="s">
        <v>8099</v>
      </c>
      <c r="K334" t="s">
        <v>8428</v>
      </c>
      <c r="M334" t="s">
        <v>1980</v>
      </c>
      <c r="N334" t="s">
        <v>8364</v>
      </c>
      <c r="O334" t="s">
        <v>8282</v>
      </c>
      <c r="P334" t="s">
        <v>8429</v>
      </c>
      <c r="Q334" t="s">
        <v>8092</v>
      </c>
      <c r="S334" t="s">
        <v>1984</v>
      </c>
      <c r="T334" t="s">
        <v>1984</v>
      </c>
      <c r="U334" t="s">
        <v>1984</v>
      </c>
      <c r="V334" t="s">
        <v>1984</v>
      </c>
      <c r="W334" t="s">
        <v>1984</v>
      </c>
      <c r="X334" t="s">
        <v>1984</v>
      </c>
      <c r="AE334" t="s">
        <v>1979</v>
      </c>
      <c r="AH334">
        <v>3</v>
      </c>
      <c r="AI334" t="s">
        <v>1979</v>
      </c>
      <c r="AJ334" t="s">
        <v>1979</v>
      </c>
      <c r="AK334" t="s">
        <v>1979</v>
      </c>
      <c r="AL334" t="s">
        <v>1979</v>
      </c>
      <c r="AM334" t="s">
        <v>1979</v>
      </c>
      <c r="AN334" t="s">
        <v>8430</v>
      </c>
      <c r="AO334" t="s">
        <v>8430</v>
      </c>
      <c r="AP334" t="s">
        <v>8430</v>
      </c>
      <c r="AQ334" t="s">
        <v>8430</v>
      </c>
      <c r="AR334" t="s">
        <v>8430</v>
      </c>
      <c r="AS334" t="s">
        <v>1982</v>
      </c>
      <c r="AT334" t="s">
        <v>1982</v>
      </c>
      <c r="AU334" t="s">
        <v>1982</v>
      </c>
      <c r="AV334" t="s">
        <v>1982</v>
      </c>
      <c r="AW334" t="s">
        <v>1982</v>
      </c>
      <c r="BH334">
        <v>1.359</v>
      </c>
      <c r="BN334">
        <v>1</v>
      </c>
      <c r="BO334" t="s">
        <v>8092</v>
      </c>
      <c r="BP334" t="s">
        <v>1984</v>
      </c>
      <c r="BQ334" s="605" t="s">
        <v>1984</v>
      </c>
      <c r="BR334" t="s">
        <v>1979</v>
      </c>
      <c r="BS334" t="s">
        <v>8093</v>
      </c>
      <c r="BT334">
        <v>0</v>
      </c>
      <c r="BU334" t="s">
        <v>8093</v>
      </c>
      <c r="BV334">
        <v>0</v>
      </c>
      <c r="BW334" t="s">
        <v>1984</v>
      </c>
      <c r="BX334" t="s">
        <v>1979</v>
      </c>
      <c r="BY334">
        <v>0</v>
      </c>
      <c r="BZ334">
        <v>0</v>
      </c>
      <c r="CA334">
        <v>0</v>
      </c>
      <c r="CB334">
        <v>0</v>
      </c>
      <c r="CD334" t="s">
        <v>9984</v>
      </c>
    </row>
    <row r="335" spans="1:82">
      <c r="A335" t="s">
        <v>7977</v>
      </c>
      <c r="B335" t="s">
        <v>9985</v>
      </c>
      <c r="C335" t="s">
        <v>7958</v>
      </c>
      <c r="D335" t="s">
        <v>1384</v>
      </c>
      <c r="E335" t="s">
        <v>8297</v>
      </c>
      <c r="F335" t="s">
        <v>9964</v>
      </c>
      <c r="G335" t="s">
        <v>9986</v>
      </c>
      <c r="H335" t="s">
        <v>9987</v>
      </c>
      <c r="I335" t="s">
        <v>9988</v>
      </c>
      <c r="J335" t="s">
        <v>8119</v>
      </c>
      <c r="N335" t="s">
        <v>749</v>
      </c>
      <c r="O335" t="s">
        <v>10</v>
      </c>
      <c r="P335" t="s">
        <v>9989</v>
      </c>
      <c r="Q335" t="s">
        <v>8092</v>
      </c>
      <c r="R335" t="s">
        <v>8129</v>
      </c>
      <c r="S335">
        <v>100</v>
      </c>
      <c r="T335">
        <v>100</v>
      </c>
      <c r="U335">
        <v>100</v>
      </c>
      <c r="V335">
        <v>100</v>
      </c>
      <c r="W335">
        <v>100</v>
      </c>
      <c r="X335">
        <v>100</v>
      </c>
      <c r="AH335">
        <v>0</v>
      </c>
      <c r="BP335">
        <v>100</v>
      </c>
      <c r="BQ335" s="594">
        <v>99.94</v>
      </c>
      <c r="BR335" t="s">
        <v>1980</v>
      </c>
      <c r="BS335" t="s">
        <v>8093</v>
      </c>
      <c r="BT335">
        <v>0</v>
      </c>
      <c r="BU335" t="s">
        <v>8093</v>
      </c>
      <c r="BV335">
        <v>0</v>
      </c>
      <c r="BW335">
        <v>100</v>
      </c>
      <c r="BX335" t="s">
        <v>1979</v>
      </c>
      <c r="BY335">
        <v>0</v>
      </c>
      <c r="BZ335">
        <v>0</v>
      </c>
      <c r="CA335">
        <v>0</v>
      </c>
      <c r="CB335">
        <v>0</v>
      </c>
      <c r="CD335" t="s">
        <v>9990</v>
      </c>
    </row>
    <row r="336" spans="1:82">
      <c r="A336" t="s">
        <v>7977</v>
      </c>
      <c r="B336" t="s">
        <v>9991</v>
      </c>
      <c r="C336" t="s">
        <v>7958</v>
      </c>
      <c r="D336" t="s">
        <v>1384</v>
      </c>
      <c r="E336" t="s">
        <v>8297</v>
      </c>
      <c r="F336" t="s">
        <v>9906</v>
      </c>
      <c r="G336" t="s">
        <v>8318</v>
      </c>
      <c r="H336" t="s">
        <v>9992</v>
      </c>
      <c r="I336" t="s">
        <v>9993</v>
      </c>
      <c r="J336" t="s">
        <v>8088</v>
      </c>
      <c r="K336" t="s">
        <v>8089</v>
      </c>
      <c r="L336" t="s">
        <v>1979</v>
      </c>
      <c r="N336" t="s">
        <v>8274</v>
      </c>
      <c r="O336" t="s">
        <v>10</v>
      </c>
      <c r="P336" t="s">
        <v>9490</v>
      </c>
      <c r="Q336">
        <v>1</v>
      </c>
      <c r="R336" t="s">
        <v>8129</v>
      </c>
      <c r="S336">
        <v>90</v>
      </c>
      <c r="T336">
        <v>91</v>
      </c>
      <c r="U336">
        <v>92</v>
      </c>
      <c r="V336">
        <v>93</v>
      </c>
      <c r="W336">
        <v>94</v>
      </c>
      <c r="X336">
        <v>95</v>
      </c>
      <c r="AH336">
        <v>0</v>
      </c>
      <c r="AI336" t="s">
        <v>1979</v>
      </c>
      <c r="AJ336" t="s">
        <v>1979</v>
      </c>
      <c r="AK336" t="s">
        <v>1979</v>
      </c>
      <c r="AL336" t="s">
        <v>1979</v>
      </c>
      <c r="AM336" t="s">
        <v>1979</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8092</v>
      </c>
      <c r="BP336">
        <v>87.1</v>
      </c>
      <c r="BQ336" s="591">
        <v>88.2</v>
      </c>
      <c r="BR336" t="s">
        <v>1980</v>
      </c>
      <c r="BS336" t="s">
        <v>1983</v>
      </c>
      <c r="BT336">
        <v>-0.14280000000000001</v>
      </c>
      <c r="BU336" t="s">
        <v>8093</v>
      </c>
      <c r="BV336">
        <v>0</v>
      </c>
      <c r="BW336">
        <v>89.9</v>
      </c>
      <c r="BX336" t="s">
        <v>1980</v>
      </c>
      <c r="BY336" t="s">
        <v>1983</v>
      </c>
      <c r="BZ336">
        <v>-0.1071</v>
      </c>
      <c r="CA336">
        <v>0</v>
      </c>
      <c r="CB336">
        <v>0</v>
      </c>
      <c r="CD336" t="s">
        <v>9994</v>
      </c>
    </row>
    <row r="337" spans="1:82">
      <c r="A337" t="s">
        <v>7977</v>
      </c>
      <c r="B337" t="s">
        <v>9995</v>
      </c>
      <c r="C337" t="s">
        <v>7958</v>
      </c>
      <c r="D337" t="s">
        <v>1384</v>
      </c>
      <c r="E337" t="s">
        <v>8297</v>
      </c>
      <c r="F337" t="s">
        <v>9911</v>
      </c>
      <c r="G337" t="s">
        <v>8323</v>
      </c>
      <c r="H337" t="s">
        <v>9996</v>
      </c>
      <c r="I337" t="s">
        <v>9997</v>
      </c>
      <c r="J337" t="s">
        <v>8099</v>
      </c>
      <c r="K337" t="s">
        <v>8089</v>
      </c>
      <c r="M337" t="s">
        <v>1980</v>
      </c>
      <c r="N337" t="s">
        <v>8252</v>
      </c>
      <c r="O337" t="s">
        <v>10</v>
      </c>
      <c r="P337" t="s">
        <v>9998</v>
      </c>
      <c r="Q337">
        <v>1</v>
      </c>
      <c r="R337" t="s">
        <v>8129</v>
      </c>
      <c r="S337">
        <v>97.5</v>
      </c>
      <c r="T337">
        <v>98</v>
      </c>
      <c r="V337">
        <v>99</v>
      </c>
      <c r="X337">
        <v>100</v>
      </c>
      <c r="AE337" t="s">
        <v>1979</v>
      </c>
      <c r="AH337">
        <v>0</v>
      </c>
      <c r="AM337" t="s">
        <v>1979</v>
      </c>
      <c r="AR337">
        <v>80</v>
      </c>
      <c r="AW337">
        <v>99</v>
      </c>
      <c r="BH337">
        <v>1.4E-2</v>
      </c>
      <c r="BI337">
        <v>0.29599999999999999</v>
      </c>
      <c r="BN337">
        <v>1</v>
      </c>
      <c r="BO337" t="s">
        <v>8092</v>
      </c>
      <c r="BP337">
        <v>96.1</v>
      </c>
      <c r="BQ337" s="591">
        <v>95.8</v>
      </c>
      <c r="BR337" t="s">
        <v>1980</v>
      </c>
      <c r="BS337" t="s">
        <v>8093</v>
      </c>
      <c r="BT337">
        <v>0</v>
      </c>
      <c r="BU337" t="s">
        <v>8093</v>
      </c>
      <c r="BV337">
        <v>0</v>
      </c>
      <c r="BW337">
        <v>98.4</v>
      </c>
      <c r="BX337" t="s">
        <v>1981</v>
      </c>
      <c r="BY337">
        <v>0</v>
      </c>
      <c r="BZ337">
        <v>0</v>
      </c>
      <c r="CA337">
        <v>0</v>
      </c>
      <c r="CB337">
        <v>0</v>
      </c>
      <c r="CD337" t="s">
        <v>9999</v>
      </c>
    </row>
    <row r="338" spans="1:82">
      <c r="A338" t="s">
        <v>7977</v>
      </c>
      <c r="B338" t="s">
        <v>10000</v>
      </c>
      <c r="C338" t="s">
        <v>7958</v>
      </c>
      <c r="D338" t="s">
        <v>1384</v>
      </c>
      <c r="E338" t="s">
        <v>8297</v>
      </c>
      <c r="F338" t="s">
        <v>9911</v>
      </c>
      <c r="G338" t="s">
        <v>8329</v>
      </c>
      <c r="H338" t="s">
        <v>10001</v>
      </c>
      <c r="I338" t="s">
        <v>10002</v>
      </c>
      <c r="J338" t="s">
        <v>8119</v>
      </c>
      <c r="N338" t="s">
        <v>8252</v>
      </c>
      <c r="O338" t="s">
        <v>10</v>
      </c>
      <c r="P338" t="s">
        <v>10003</v>
      </c>
      <c r="Q338">
        <v>1</v>
      </c>
      <c r="R338" t="s">
        <v>8129</v>
      </c>
      <c r="S338">
        <v>99.9</v>
      </c>
      <c r="X338">
        <v>100</v>
      </c>
      <c r="AE338" t="s">
        <v>1979</v>
      </c>
      <c r="AH338">
        <v>0</v>
      </c>
      <c r="BP338">
        <v>99.2</v>
      </c>
      <c r="BQ338" s="591">
        <v>99.13</v>
      </c>
      <c r="BR338" t="s">
        <v>8093</v>
      </c>
      <c r="BS338" t="s">
        <v>8093</v>
      </c>
      <c r="BT338">
        <v>0</v>
      </c>
      <c r="BU338" t="s">
        <v>8093</v>
      </c>
      <c r="BV338">
        <v>0</v>
      </c>
      <c r="BW338">
        <v>99.9</v>
      </c>
      <c r="BX338" t="s">
        <v>1981</v>
      </c>
      <c r="BY338">
        <v>0</v>
      </c>
      <c r="BZ338">
        <v>0</v>
      </c>
      <c r="CA338">
        <v>0</v>
      </c>
      <c r="CB338">
        <v>0</v>
      </c>
      <c r="CD338" t="s">
        <v>10004</v>
      </c>
    </row>
    <row r="339" spans="1:82">
      <c r="A339" t="s">
        <v>7977</v>
      </c>
      <c r="B339" t="s">
        <v>10005</v>
      </c>
      <c r="C339" t="s">
        <v>7958</v>
      </c>
      <c r="D339" t="s">
        <v>1384</v>
      </c>
      <c r="E339" t="s">
        <v>8297</v>
      </c>
      <c r="F339" t="s">
        <v>9911</v>
      </c>
      <c r="G339" t="s">
        <v>8334</v>
      </c>
      <c r="H339" t="s">
        <v>10006</v>
      </c>
      <c r="I339" t="s">
        <v>10007</v>
      </c>
      <c r="J339" t="s">
        <v>8099</v>
      </c>
      <c r="K339" t="s">
        <v>8089</v>
      </c>
      <c r="L339" t="s">
        <v>1979</v>
      </c>
      <c r="M339" t="s">
        <v>1980</v>
      </c>
      <c r="N339" t="s">
        <v>8252</v>
      </c>
      <c r="O339" t="s">
        <v>10</v>
      </c>
      <c r="P339" t="s">
        <v>10008</v>
      </c>
      <c r="Q339">
        <v>1</v>
      </c>
      <c r="R339" t="s">
        <v>8129</v>
      </c>
      <c r="S339">
        <v>95</v>
      </c>
      <c r="T339">
        <v>100</v>
      </c>
      <c r="U339">
        <v>100</v>
      </c>
      <c r="V339">
        <v>100</v>
      </c>
      <c r="W339">
        <v>100</v>
      </c>
      <c r="X339">
        <v>100</v>
      </c>
      <c r="AE339" t="s">
        <v>1979</v>
      </c>
      <c r="AH339">
        <v>0</v>
      </c>
      <c r="AI339" t="s">
        <v>1979</v>
      </c>
      <c r="AJ339" t="s">
        <v>1979</v>
      </c>
      <c r="AK339" t="s">
        <v>1979</v>
      </c>
      <c r="AL339" t="s">
        <v>1979</v>
      </c>
      <c r="AM339" t="s">
        <v>1979</v>
      </c>
      <c r="AN339" t="s">
        <v>10009</v>
      </c>
      <c r="AO339" t="s">
        <v>10009</v>
      </c>
      <c r="AP339" t="s">
        <v>10009</v>
      </c>
      <c r="AQ339" t="s">
        <v>10009</v>
      </c>
      <c r="AR339" t="s">
        <v>10009</v>
      </c>
      <c r="AS339">
        <v>95</v>
      </c>
      <c r="AT339">
        <v>95</v>
      </c>
      <c r="AU339">
        <v>95</v>
      </c>
      <c r="AV339">
        <v>95</v>
      </c>
      <c r="AW339">
        <v>95</v>
      </c>
      <c r="BH339">
        <v>0.25</v>
      </c>
      <c r="BN339">
        <v>1</v>
      </c>
      <c r="BO339" t="s">
        <v>8092</v>
      </c>
      <c r="BP339">
        <v>91.4</v>
      </c>
      <c r="BQ339" s="591">
        <v>99.09</v>
      </c>
      <c r="BR339" t="s">
        <v>1980</v>
      </c>
      <c r="BS339" t="s">
        <v>1985</v>
      </c>
      <c r="BT339">
        <v>0</v>
      </c>
      <c r="BU339" t="s">
        <v>8093</v>
      </c>
      <c r="BV339">
        <v>0</v>
      </c>
      <c r="BW339">
        <v>99.4</v>
      </c>
      <c r="BX339" t="s">
        <v>1980</v>
      </c>
      <c r="BY339" t="s">
        <v>1985</v>
      </c>
      <c r="BZ339">
        <v>0</v>
      </c>
      <c r="CA339">
        <v>0</v>
      </c>
      <c r="CB339">
        <v>0</v>
      </c>
      <c r="CD339" t="s">
        <v>10010</v>
      </c>
    </row>
    <row r="340" spans="1:82">
      <c r="A340" t="s">
        <v>7977</v>
      </c>
      <c r="B340" t="s">
        <v>10011</v>
      </c>
      <c r="C340" t="s">
        <v>7958</v>
      </c>
      <c r="D340" t="s">
        <v>1384</v>
      </c>
      <c r="E340" t="s">
        <v>8297</v>
      </c>
      <c r="F340" t="s">
        <v>9911</v>
      </c>
      <c r="G340" t="s">
        <v>8341</v>
      </c>
      <c r="H340" t="s">
        <v>10012</v>
      </c>
      <c r="I340" t="s">
        <v>10013</v>
      </c>
      <c r="J340" t="s">
        <v>8099</v>
      </c>
      <c r="K340" t="s">
        <v>8089</v>
      </c>
      <c r="L340" t="s">
        <v>1979</v>
      </c>
      <c r="N340" t="s">
        <v>8337</v>
      </c>
      <c r="O340" t="s">
        <v>11</v>
      </c>
      <c r="P340" t="s">
        <v>9463</v>
      </c>
      <c r="Q340">
        <v>0</v>
      </c>
      <c r="R340" t="s">
        <v>8091</v>
      </c>
      <c r="S340">
        <v>2</v>
      </c>
      <c r="T340">
        <v>0</v>
      </c>
      <c r="U340">
        <v>0</v>
      </c>
      <c r="V340">
        <v>0</v>
      </c>
      <c r="W340">
        <v>0</v>
      </c>
      <c r="X340">
        <v>0</v>
      </c>
      <c r="AE340" t="s">
        <v>1979</v>
      </c>
      <c r="AH340">
        <v>0</v>
      </c>
      <c r="AI340" t="s">
        <v>1979</v>
      </c>
      <c r="AJ340" t="s">
        <v>1979</v>
      </c>
      <c r="AK340" t="s">
        <v>1979</v>
      </c>
      <c r="AL340" t="s">
        <v>1979</v>
      </c>
      <c r="AM340" t="s">
        <v>1979</v>
      </c>
      <c r="AN340">
        <v>8</v>
      </c>
      <c r="AO340">
        <v>8</v>
      </c>
      <c r="AP340">
        <v>8</v>
      </c>
      <c r="AQ340">
        <v>8</v>
      </c>
      <c r="AR340">
        <v>8</v>
      </c>
      <c r="AS340">
        <v>2</v>
      </c>
      <c r="AT340">
        <v>2</v>
      </c>
      <c r="AU340">
        <v>2</v>
      </c>
      <c r="AV340">
        <v>2</v>
      </c>
      <c r="AW340">
        <v>2</v>
      </c>
      <c r="BH340">
        <v>0.34599999999999997</v>
      </c>
      <c r="BN340">
        <v>1</v>
      </c>
      <c r="BO340" t="s">
        <v>8092</v>
      </c>
      <c r="BP340">
        <v>3</v>
      </c>
      <c r="BQ340" s="594">
        <v>7</v>
      </c>
      <c r="BR340" t="s">
        <v>1980</v>
      </c>
      <c r="BS340" t="s">
        <v>1983</v>
      </c>
      <c r="BT340">
        <v>-1.73</v>
      </c>
      <c r="BU340" t="s">
        <v>8093</v>
      </c>
      <c r="BV340">
        <v>0</v>
      </c>
      <c r="BW340">
        <v>4</v>
      </c>
      <c r="BX340" t="s">
        <v>1980</v>
      </c>
      <c r="BY340" t="s">
        <v>1983</v>
      </c>
      <c r="BZ340">
        <v>-0.69199999999999995</v>
      </c>
      <c r="CA340">
        <v>0</v>
      </c>
      <c r="CB340">
        <v>0</v>
      </c>
      <c r="CD340" t="s">
        <v>10014</v>
      </c>
    </row>
    <row r="341" spans="1:82">
      <c r="A341" t="s">
        <v>7977</v>
      </c>
      <c r="B341" t="s">
        <v>10015</v>
      </c>
      <c r="C341" t="s">
        <v>7958</v>
      </c>
      <c r="D341" t="s">
        <v>1384</v>
      </c>
      <c r="E341" t="s">
        <v>8297</v>
      </c>
      <c r="F341" t="s">
        <v>9911</v>
      </c>
      <c r="G341" t="s">
        <v>9796</v>
      </c>
      <c r="H341" t="s">
        <v>10016</v>
      </c>
      <c r="I341" t="s">
        <v>10017</v>
      </c>
      <c r="J341" t="s">
        <v>8099</v>
      </c>
      <c r="K341" t="s">
        <v>8089</v>
      </c>
      <c r="L341" t="s">
        <v>1979</v>
      </c>
      <c r="M341" t="s">
        <v>1980</v>
      </c>
      <c r="N341" t="s">
        <v>8337</v>
      </c>
      <c r="O341" t="s">
        <v>11</v>
      </c>
      <c r="P341" t="s">
        <v>9945</v>
      </c>
      <c r="Q341">
        <v>0</v>
      </c>
      <c r="R341" t="s">
        <v>8091</v>
      </c>
      <c r="S341">
        <v>248</v>
      </c>
      <c r="T341">
        <v>238</v>
      </c>
      <c r="U341">
        <v>228</v>
      </c>
      <c r="V341">
        <v>218</v>
      </c>
      <c r="W341">
        <v>208</v>
      </c>
      <c r="X341">
        <v>198</v>
      </c>
      <c r="AE341" t="s">
        <v>1979</v>
      </c>
      <c r="AH341">
        <v>0</v>
      </c>
      <c r="AI341" t="s">
        <v>1979</v>
      </c>
      <c r="AJ341" t="s">
        <v>1979</v>
      </c>
      <c r="AK341" t="s">
        <v>1979</v>
      </c>
      <c r="AL341" t="s">
        <v>1979</v>
      </c>
      <c r="AM341" t="s">
        <v>1979</v>
      </c>
      <c r="AN341">
        <v>262</v>
      </c>
      <c r="AO341">
        <v>262</v>
      </c>
      <c r="AP341">
        <v>262</v>
      </c>
      <c r="AQ341">
        <v>262</v>
      </c>
      <c r="AR341">
        <v>262</v>
      </c>
      <c r="AS341">
        <v>238</v>
      </c>
      <c r="AT341">
        <v>228</v>
      </c>
      <c r="AU341">
        <v>218</v>
      </c>
      <c r="AV341">
        <v>208</v>
      </c>
      <c r="AW341">
        <v>198</v>
      </c>
      <c r="BH341">
        <v>1.03E-2</v>
      </c>
      <c r="BI341">
        <v>1.9300000000000001E-2</v>
      </c>
      <c r="BN341">
        <v>1</v>
      </c>
      <c r="BO341" t="s">
        <v>8092</v>
      </c>
      <c r="BP341">
        <v>315</v>
      </c>
      <c r="BQ341" s="594">
        <v>222</v>
      </c>
      <c r="BR341" t="s">
        <v>1979</v>
      </c>
      <c r="BS341" t="s">
        <v>8093</v>
      </c>
      <c r="BT341">
        <v>0</v>
      </c>
      <c r="BU341" t="s">
        <v>8093</v>
      </c>
      <c r="BV341">
        <v>0</v>
      </c>
      <c r="BW341">
        <v>252</v>
      </c>
      <c r="BX341" t="s">
        <v>1980</v>
      </c>
      <c r="BY341" t="s">
        <v>1983</v>
      </c>
      <c r="BZ341">
        <v>-0.42720000000000002</v>
      </c>
      <c r="CA341">
        <v>0</v>
      </c>
      <c r="CB341">
        <v>0</v>
      </c>
      <c r="CD341" t="s">
        <v>10018</v>
      </c>
    </row>
    <row r="342" spans="1:82">
      <c r="A342" t="s">
        <v>7977</v>
      </c>
      <c r="B342" t="s">
        <v>10019</v>
      </c>
      <c r="C342" t="s">
        <v>7958</v>
      </c>
      <c r="D342" t="s">
        <v>1384</v>
      </c>
      <c r="E342" t="s">
        <v>8297</v>
      </c>
      <c r="F342" t="s">
        <v>9911</v>
      </c>
      <c r="G342" t="s">
        <v>9803</v>
      </c>
      <c r="H342" t="s">
        <v>10020</v>
      </c>
      <c r="I342" t="s">
        <v>10021</v>
      </c>
      <c r="J342" t="s">
        <v>8119</v>
      </c>
      <c r="N342" t="s">
        <v>8260</v>
      </c>
      <c r="O342" t="s">
        <v>11</v>
      </c>
      <c r="P342" t="s">
        <v>8753</v>
      </c>
      <c r="Q342">
        <v>1</v>
      </c>
      <c r="R342" t="s">
        <v>8091</v>
      </c>
      <c r="S342">
        <v>100.5</v>
      </c>
      <c r="X342">
        <v>102</v>
      </c>
      <c r="AH342">
        <v>0</v>
      </c>
      <c r="BP342">
        <v>93.5</v>
      </c>
      <c r="BQ342" s="591">
        <v>98.6</v>
      </c>
      <c r="BR342" t="s">
        <v>8093</v>
      </c>
      <c r="BS342" t="s">
        <v>8093</v>
      </c>
      <c r="BT342">
        <v>0</v>
      </c>
      <c r="BU342" t="s">
        <v>8093</v>
      </c>
      <c r="BV342">
        <v>0</v>
      </c>
      <c r="BW342">
        <v>85.9</v>
      </c>
      <c r="BX342" t="s">
        <v>1981</v>
      </c>
      <c r="BY342">
        <v>0</v>
      </c>
      <c r="BZ342">
        <v>0</v>
      </c>
      <c r="CA342">
        <v>0</v>
      </c>
      <c r="CB342">
        <v>0</v>
      </c>
      <c r="CD342" t="s">
        <v>10022</v>
      </c>
    </row>
    <row r="343" spans="1:82">
      <c r="A343" t="s">
        <v>7977</v>
      </c>
      <c r="B343" t="s">
        <v>10023</v>
      </c>
      <c r="C343" t="s">
        <v>7958</v>
      </c>
      <c r="D343" t="s">
        <v>1384</v>
      </c>
      <c r="E343" t="s">
        <v>8297</v>
      </c>
      <c r="F343" t="s">
        <v>9911</v>
      </c>
      <c r="G343" t="s">
        <v>9808</v>
      </c>
      <c r="H343" t="s">
        <v>10024</v>
      </c>
      <c r="I343" t="s">
        <v>10025</v>
      </c>
      <c r="J343" t="s">
        <v>8119</v>
      </c>
      <c r="N343" t="s">
        <v>8260</v>
      </c>
      <c r="O343" t="s">
        <v>10</v>
      </c>
      <c r="P343" t="s">
        <v>9444</v>
      </c>
      <c r="Q343">
        <v>2</v>
      </c>
      <c r="R343" t="s">
        <v>8129</v>
      </c>
      <c r="S343">
        <v>2.64</v>
      </c>
      <c r="X343">
        <v>7.8</v>
      </c>
      <c r="AH343">
        <v>0</v>
      </c>
      <c r="BP343">
        <v>1.4</v>
      </c>
      <c r="BQ343" s="595">
        <v>2.4</v>
      </c>
      <c r="BR343" t="s">
        <v>8093</v>
      </c>
      <c r="BS343" t="s">
        <v>8093</v>
      </c>
      <c r="BT343">
        <v>0</v>
      </c>
      <c r="BU343" t="s">
        <v>8093</v>
      </c>
      <c r="BV343">
        <v>0</v>
      </c>
      <c r="BW343">
        <v>2.75</v>
      </c>
      <c r="BX343" t="s">
        <v>1981</v>
      </c>
      <c r="BY343">
        <v>0</v>
      </c>
      <c r="BZ343">
        <v>0</v>
      </c>
      <c r="CA343">
        <v>0</v>
      </c>
      <c r="CB343">
        <v>0</v>
      </c>
      <c r="CD343" t="s">
        <v>10026</v>
      </c>
    </row>
    <row r="344" spans="1:82">
      <c r="A344" t="s">
        <v>7977</v>
      </c>
      <c r="B344" t="s">
        <v>10027</v>
      </c>
      <c r="C344" t="s">
        <v>7958</v>
      </c>
      <c r="D344" t="s">
        <v>1384</v>
      </c>
      <c r="E344" t="s">
        <v>8297</v>
      </c>
      <c r="F344" t="s">
        <v>10028</v>
      </c>
      <c r="G344" t="s">
        <v>8346</v>
      </c>
      <c r="H344" t="s">
        <v>10029</v>
      </c>
      <c r="I344" t="s">
        <v>10030</v>
      </c>
      <c r="J344" t="s">
        <v>8088</v>
      </c>
      <c r="K344" t="s">
        <v>8428</v>
      </c>
      <c r="N344" t="s">
        <v>8252</v>
      </c>
      <c r="O344" t="s">
        <v>11</v>
      </c>
      <c r="P344" t="s">
        <v>10031</v>
      </c>
      <c r="Q344">
        <v>0</v>
      </c>
      <c r="R344" t="s">
        <v>8129</v>
      </c>
      <c r="S344">
        <v>-15</v>
      </c>
      <c r="T344">
        <v>-12</v>
      </c>
      <c r="U344">
        <v>-9</v>
      </c>
      <c r="V344">
        <v>-6</v>
      </c>
      <c r="W344">
        <v>-3</v>
      </c>
      <c r="X344">
        <v>0</v>
      </c>
      <c r="AF344" t="s">
        <v>1979</v>
      </c>
      <c r="AH344">
        <v>0</v>
      </c>
      <c r="AI344" t="s">
        <v>1979</v>
      </c>
      <c r="AJ344" t="s">
        <v>1979</v>
      </c>
      <c r="AK344" t="s">
        <v>1979</v>
      </c>
      <c r="AL344" t="s">
        <v>1979</v>
      </c>
      <c r="AM344" t="s">
        <v>1979</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8092</v>
      </c>
      <c r="BP344">
        <v>-6</v>
      </c>
      <c r="BQ344" s="594">
        <v>0</v>
      </c>
      <c r="BR344" t="s">
        <v>1979</v>
      </c>
      <c r="BS344" t="s">
        <v>8093</v>
      </c>
      <c r="BT344">
        <v>0</v>
      </c>
      <c r="BU344" t="s">
        <v>1988</v>
      </c>
      <c r="BV344">
        <v>2.988</v>
      </c>
      <c r="BW344">
        <v>0</v>
      </c>
      <c r="BX344" t="s">
        <v>1979</v>
      </c>
      <c r="BY344">
        <v>0</v>
      </c>
      <c r="BZ344">
        <v>0</v>
      </c>
      <c r="CA344" t="s">
        <v>1988</v>
      </c>
      <c r="CB344">
        <v>2.2410000000000001</v>
      </c>
      <c r="CD344" t="s">
        <v>10032</v>
      </c>
    </row>
    <row r="345" spans="1:82">
      <c r="A345" t="s">
        <v>7977</v>
      </c>
      <c r="B345" t="s">
        <v>10033</v>
      </c>
      <c r="C345" t="s">
        <v>7958</v>
      </c>
      <c r="D345" t="s">
        <v>1384</v>
      </c>
      <c r="E345" t="s">
        <v>8297</v>
      </c>
      <c r="F345" t="s">
        <v>10028</v>
      </c>
      <c r="G345" t="s">
        <v>8351</v>
      </c>
      <c r="H345" t="s">
        <v>10034</v>
      </c>
      <c r="I345" t="s">
        <v>10035</v>
      </c>
      <c r="J345" t="s">
        <v>8119</v>
      </c>
      <c r="N345" t="s">
        <v>8252</v>
      </c>
      <c r="O345" t="s">
        <v>11</v>
      </c>
      <c r="P345" t="s">
        <v>10036</v>
      </c>
      <c r="Q345">
        <v>0</v>
      </c>
      <c r="R345" t="s">
        <v>8091</v>
      </c>
      <c r="S345" t="s">
        <v>10037</v>
      </c>
      <c r="T345" t="s">
        <v>10038</v>
      </c>
      <c r="U345" t="s">
        <v>10038</v>
      </c>
      <c r="V345" t="s">
        <v>10038</v>
      </c>
      <c r="W345" t="s">
        <v>10038</v>
      </c>
      <c r="X345" t="s">
        <v>10038</v>
      </c>
      <c r="AF345" t="s">
        <v>1979</v>
      </c>
      <c r="AH345">
        <v>0</v>
      </c>
      <c r="BP345" t="s">
        <v>3323</v>
      </c>
      <c r="BQ345" s="606" t="s">
        <v>3323</v>
      </c>
      <c r="BR345" t="s">
        <v>8093</v>
      </c>
      <c r="BS345" t="s">
        <v>8093</v>
      </c>
      <c r="BT345">
        <v>0</v>
      </c>
      <c r="BU345" t="s">
        <v>8093</v>
      </c>
      <c r="BV345">
        <v>0</v>
      </c>
      <c r="BW345" t="s">
        <v>8565</v>
      </c>
      <c r="BX345" t="s">
        <v>1981</v>
      </c>
      <c r="BY345">
        <v>0</v>
      </c>
      <c r="BZ345">
        <v>0</v>
      </c>
      <c r="CA345">
        <v>0</v>
      </c>
      <c r="CB345">
        <v>0</v>
      </c>
      <c r="CD345" t="s">
        <v>10039</v>
      </c>
    </row>
    <row r="346" spans="1:82">
      <c r="A346" t="s">
        <v>7977</v>
      </c>
      <c r="B346" t="s">
        <v>10040</v>
      </c>
      <c r="C346" t="s">
        <v>7958</v>
      </c>
      <c r="D346" t="s">
        <v>1384</v>
      </c>
      <c r="E346" t="s">
        <v>8297</v>
      </c>
      <c r="F346" t="s">
        <v>10028</v>
      </c>
      <c r="G346" t="s">
        <v>8871</v>
      </c>
      <c r="H346" t="s">
        <v>10041</v>
      </c>
      <c r="I346" t="s">
        <v>10042</v>
      </c>
      <c r="J346" t="s">
        <v>8119</v>
      </c>
      <c r="N346" t="s">
        <v>8252</v>
      </c>
      <c r="O346" t="s">
        <v>11</v>
      </c>
      <c r="P346" t="s">
        <v>10043</v>
      </c>
      <c r="Q346">
        <v>0</v>
      </c>
      <c r="R346" t="s">
        <v>8129</v>
      </c>
      <c r="S346">
        <v>0</v>
      </c>
      <c r="X346">
        <v>650</v>
      </c>
      <c r="AF346" t="s">
        <v>1979</v>
      </c>
      <c r="AH346">
        <v>0</v>
      </c>
      <c r="BP346" t="s">
        <v>3323</v>
      </c>
      <c r="BQ346" s="594">
        <v>62</v>
      </c>
      <c r="BR346" t="s">
        <v>8093</v>
      </c>
      <c r="BS346" t="s">
        <v>8093</v>
      </c>
      <c r="BT346">
        <v>0</v>
      </c>
      <c r="BU346" t="s">
        <v>8093</v>
      </c>
      <c r="BV346">
        <v>0</v>
      </c>
      <c r="BW346">
        <v>68</v>
      </c>
      <c r="BX346" t="s">
        <v>1981</v>
      </c>
      <c r="BY346">
        <v>0</v>
      </c>
      <c r="BZ346">
        <v>0</v>
      </c>
      <c r="CA346">
        <v>0</v>
      </c>
      <c r="CB346">
        <v>0</v>
      </c>
      <c r="CD346" t="s">
        <v>10044</v>
      </c>
    </row>
    <row r="347" spans="1:82">
      <c r="A347" t="s">
        <v>7977</v>
      </c>
      <c r="B347" t="s">
        <v>10045</v>
      </c>
      <c r="C347" t="s">
        <v>7958</v>
      </c>
      <c r="D347" t="s">
        <v>8163</v>
      </c>
      <c r="E347" t="s">
        <v>8164</v>
      </c>
      <c r="F347" t="s">
        <v>9906</v>
      </c>
      <c r="G347" t="s">
        <v>8166</v>
      </c>
      <c r="H347" t="s">
        <v>10046</v>
      </c>
      <c r="I347" t="s">
        <v>10047</v>
      </c>
      <c r="J347" t="s">
        <v>8119</v>
      </c>
      <c r="N347" t="s">
        <v>8274</v>
      </c>
      <c r="O347" t="s">
        <v>10</v>
      </c>
      <c r="P347" t="s">
        <v>8275</v>
      </c>
      <c r="Q347">
        <v>1</v>
      </c>
      <c r="R347" t="s">
        <v>8129</v>
      </c>
      <c r="S347">
        <v>86</v>
      </c>
      <c r="X347">
        <v>90</v>
      </c>
      <c r="AH347">
        <v>0</v>
      </c>
      <c r="BP347">
        <v>90</v>
      </c>
      <c r="BQ347" s="591">
        <v>89</v>
      </c>
      <c r="BR347" t="s">
        <v>8093</v>
      </c>
      <c r="BS347" t="s">
        <v>8093</v>
      </c>
      <c r="BT347">
        <v>0</v>
      </c>
      <c r="BU347" t="s">
        <v>8093</v>
      </c>
      <c r="BV347">
        <v>0</v>
      </c>
      <c r="BW347">
        <v>89</v>
      </c>
      <c r="BX347" t="s">
        <v>1981</v>
      </c>
      <c r="BY347">
        <v>0</v>
      </c>
      <c r="BZ347">
        <v>0</v>
      </c>
      <c r="CA347">
        <v>0</v>
      </c>
      <c r="CB347">
        <v>0</v>
      </c>
      <c r="CD347" t="s">
        <v>10048</v>
      </c>
    </row>
    <row r="348" spans="1:82">
      <c r="A348" t="s">
        <v>7977</v>
      </c>
      <c r="B348" t="s">
        <v>10049</v>
      </c>
      <c r="C348" t="s">
        <v>7958</v>
      </c>
      <c r="D348" t="s">
        <v>8163</v>
      </c>
      <c r="E348" t="s">
        <v>8164</v>
      </c>
      <c r="F348" t="s">
        <v>9906</v>
      </c>
      <c r="G348" t="s">
        <v>8175</v>
      </c>
      <c r="H348" t="s">
        <v>10050</v>
      </c>
      <c r="I348" t="s">
        <v>8381</v>
      </c>
      <c r="J348" t="s">
        <v>8088</v>
      </c>
      <c r="K348" t="s">
        <v>8089</v>
      </c>
      <c r="M348" t="s">
        <v>1980</v>
      </c>
      <c r="N348" t="s">
        <v>8169</v>
      </c>
      <c r="O348" t="s">
        <v>8170</v>
      </c>
      <c r="P348" t="s">
        <v>8171</v>
      </c>
      <c r="Q348">
        <v>1</v>
      </c>
      <c r="R348" t="s">
        <v>8129</v>
      </c>
      <c r="S348">
        <v>77</v>
      </c>
      <c r="X348">
        <v>85</v>
      </c>
      <c r="AH348">
        <v>0</v>
      </c>
      <c r="AI348" t="s">
        <v>1979</v>
      </c>
      <c r="AJ348" t="s">
        <v>1979</v>
      </c>
      <c r="AK348" t="s">
        <v>1979</v>
      </c>
      <c r="AL348" t="s">
        <v>1979</v>
      </c>
      <c r="AM348" t="s">
        <v>1979</v>
      </c>
      <c r="AN348" t="s">
        <v>8172</v>
      </c>
      <c r="AO348" t="s">
        <v>8172</v>
      </c>
      <c r="AP348" t="s">
        <v>8172</v>
      </c>
      <c r="AQ348" t="s">
        <v>8172</v>
      </c>
      <c r="AR348" t="s">
        <v>8172</v>
      </c>
      <c r="AS348" t="s">
        <v>8172</v>
      </c>
      <c r="AT348" t="s">
        <v>8172</v>
      </c>
      <c r="AU348" t="s">
        <v>8172</v>
      </c>
      <c r="AV348" t="s">
        <v>8172</v>
      </c>
      <c r="AW348" t="s">
        <v>8172</v>
      </c>
      <c r="AX348" t="s">
        <v>8172</v>
      </c>
      <c r="AY348" t="s">
        <v>8172</v>
      </c>
      <c r="AZ348" t="s">
        <v>8172</v>
      </c>
      <c r="BA348" t="s">
        <v>8172</v>
      </c>
      <c r="BB348" t="s">
        <v>8172</v>
      </c>
      <c r="BC348" t="s">
        <v>8172</v>
      </c>
      <c r="BD348" t="s">
        <v>8172</v>
      </c>
      <c r="BE348" t="s">
        <v>8172</v>
      </c>
      <c r="BF348" t="s">
        <v>8172</v>
      </c>
      <c r="BG348" t="s">
        <v>8172</v>
      </c>
      <c r="BH348" t="s">
        <v>8172</v>
      </c>
      <c r="BL348" t="s">
        <v>8172</v>
      </c>
      <c r="BN348">
        <v>1</v>
      </c>
      <c r="BO348" t="s">
        <v>8092</v>
      </c>
      <c r="BP348">
        <v>74.8</v>
      </c>
      <c r="BQ348" s="591">
        <v>78.599999999999994</v>
      </c>
      <c r="BR348" t="s">
        <v>8093</v>
      </c>
      <c r="BS348" t="s">
        <v>8093</v>
      </c>
      <c r="BT348">
        <v>0</v>
      </c>
      <c r="BU348" t="s">
        <v>8093</v>
      </c>
      <c r="BV348">
        <v>0</v>
      </c>
      <c r="BW348">
        <v>81.599999999999994</v>
      </c>
      <c r="BX348" t="s">
        <v>1981</v>
      </c>
      <c r="BY348">
        <v>0</v>
      </c>
      <c r="BZ348">
        <v>0</v>
      </c>
      <c r="CA348">
        <v>0</v>
      </c>
      <c r="CB348">
        <v>0</v>
      </c>
      <c r="CD348" t="s">
        <v>10051</v>
      </c>
    </row>
    <row r="349" spans="1:82">
      <c r="A349" t="s">
        <v>7977</v>
      </c>
      <c r="B349" t="s">
        <v>10052</v>
      </c>
      <c r="C349" t="s">
        <v>7958</v>
      </c>
      <c r="D349" t="s">
        <v>8163</v>
      </c>
      <c r="E349" t="s">
        <v>8164</v>
      </c>
      <c r="F349" t="s">
        <v>9906</v>
      </c>
      <c r="G349" t="s">
        <v>8384</v>
      </c>
      <c r="H349" t="s">
        <v>10053</v>
      </c>
      <c r="I349" t="s">
        <v>10054</v>
      </c>
      <c r="J349" t="s">
        <v>8119</v>
      </c>
      <c r="N349" t="s">
        <v>8178</v>
      </c>
      <c r="O349" t="s">
        <v>10</v>
      </c>
      <c r="P349" t="s">
        <v>8275</v>
      </c>
      <c r="Q349">
        <v>1</v>
      </c>
      <c r="R349" t="s">
        <v>8129</v>
      </c>
      <c r="S349">
        <v>47</v>
      </c>
      <c r="X349">
        <v>90</v>
      </c>
      <c r="AH349">
        <v>0</v>
      </c>
      <c r="BP349">
        <v>57.8</v>
      </c>
      <c r="BQ349" s="591">
        <v>59</v>
      </c>
      <c r="BR349" t="s">
        <v>8093</v>
      </c>
      <c r="BS349" t="s">
        <v>8093</v>
      </c>
      <c r="BT349">
        <v>0</v>
      </c>
      <c r="BU349" t="s">
        <v>8093</v>
      </c>
      <c r="BV349">
        <v>0</v>
      </c>
      <c r="BW349">
        <v>61</v>
      </c>
      <c r="BX349" t="s">
        <v>1981</v>
      </c>
      <c r="BY349">
        <v>0</v>
      </c>
      <c r="BZ349">
        <v>0</v>
      </c>
      <c r="CA349">
        <v>0</v>
      </c>
      <c r="CB349">
        <v>0</v>
      </c>
      <c r="CD349" t="s">
        <v>10055</v>
      </c>
    </row>
    <row r="350" spans="1:82">
      <c r="A350" t="s">
        <v>7977</v>
      </c>
      <c r="B350" t="s">
        <v>10056</v>
      </c>
      <c r="C350" t="s">
        <v>7958</v>
      </c>
      <c r="D350" t="s">
        <v>8163</v>
      </c>
      <c r="E350" t="s">
        <v>8164</v>
      </c>
      <c r="F350" t="s">
        <v>9958</v>
      </c>
      <c r="G350" t="s">
        <v>8395</v>
      </c>
      <c r="H350" t="s">
        <v>10057</v>
      </c>
      <c r="I350" t="s">
        <v>10058</v>
      </c>
      <c r="J350" t="s">
        <v>8119</v>
      </c>
      <c r="N350" t="s">
        <v>8178</v>
      </c>
      <c r="O350" t="s">
        <v>11</v>
      </c>
      <c r="P350" t="s">
        <v>10059</v>
      </c>
      <c r="Q350">
        <v>0</v>
      </c>
      <c r="R350" t="s">
        <v>8129</v>
      </c>
      <c r="S350">
        <v>21500</v>
      </c>
      <c r="X350">
        <v>23210</v>
      </c>
      <c r="AH350">
        <v>0</v>
      </c>
      <c r="BP350">
        <v>24899</v>
      </c>
      <c r="BQ350" s="594">
        <v>26837</v>
      </c>
      <c r="BR350" t="s">
        <v>8093</v>
      </c>
      <c r="BS350" t="s">
        <v>8093</v>
      </c>
      <c r="BT350">
        <v>0</v>
      </c>
      <c r="BU350" t="s">
        <v>8093</v>
      </c>
      <c r="BV350">
        <v>0</v>
      </c>
      <c r="BW350">
        <v>28409</v>
      </c>
      <c r="BX350" t="s">
        <v>1981</v>
      </c>
      <c r="BY350">
        <v>0</v>
      </c>
      <c r="BZ350">
        <v>0</v>
      </c>
      <c r="CA350">
        <v>0</v>
      </c>
      <c r="CB350">
        <v>0</v>
      </c>
      <c r="CD350" t="s">
        <v>10060</v>
      </c>
    </row>
    <row r="351" spans="1:82">
      <c r="A351" t="s">
        <v>7983</v>
      </c>
      <c r="B351" t="s">
        <v>10061</v>
      </c>
      <c r="C351" t="s">
        <v>7958</v>
      </c>
      <c r="D351" t="s">
        <v>1383</v>
      </c>
      <c r="E351" t="s">
        <v>8083</v>
      </c>
      <c r="F351" t="s">
        <v>10062</v>
      </c>
      <c r="G351" t="s">
        <v>10063</v>
      </c>
      <c r="H351" t="s">
        <v>10064</v>
      </c>
      <c r="I351" t="s">
        <v>10065</v>
      </c>
      <c r="J351" t="s">
        <v>8119</v>
      </c>
      <c r="N351" t="s">
        <v>8274</v>
      </c>
      <c r="O351" t="s">
        <v>10</v>
      </c>
      <c r="P351" t="s">
        <v>10066</v>
      </c>
      <c r="Q351">
        <v>0</v>
      </c>
      <c r="R351" t="s">
        <v>8129</v>
      </c>
      <c r="S351">
        <v>90</v>
      </c>
      <c r="T351">
        <v>95</v>
      </c>
      <c r="U351">
        <v>95</v>
      </c>
      <c r="V351">
        <v>95</v>
      </c>
      <c r="W351">
        <v>95</v>
      </c>
      <c r="X351">
        <v>95</v>
      </c>
      <c r="AH351">
        <v>0</v>
      </c>
      <c r="BP351">
        <v>89.87</v>
      </c>
      <c r="BQ351" s="594">
        <v>91.25</v>
      </c>
      <c r="BR351" t="s">
        <v>1980</v>
      </c>
      <c r="BS351" t="s">
        <v>8093</v>
      </c>
      <c r="BT351">
        <v>0</v>
      </c>
      <c r="BU351" t="s">
        <v>8093</v>
      </c>
      <c r="BV351">
        <v>0</v>
      </c>
      <c r="BW351">
        <v>95.63</v>
      </c>
      <c r="BX351" t="s">
        <v>1979</v>
      </c>
      <c r="BY351">
        <v>0</v>
      </c>
      <c r="BZ351">
        <v>0</v>
      </c>
      <c r="CA351">
        <v>0</v>
      </c>
      <c r="CB351">
        <v>0</v>
      </c>
      <c r="CD351" t="s">
        <v>10067</v>
      </c>
    </row>
    <row r="352" spans="1:82">
      <c r="A352" t="s">
        <v>7983</v>
      </c>
      <c r="B352" t="s">
        <v>10068</v>
      </c>
      <c r="C352" t="s">
        <v>7958</v>
      </c>
      <c r="D352" t="s">
        <v>1383</v>
      </c>
      <c r="E352" t="s">
        <v>8083</v>
      </c>
      <c r="F352" t="s">
        <v>10062</v>
      </c>
      <c r="G352" t="s">
        <v>10069</v>
      </c>
      <c r="H352" t="s">
        <v>10070</v>
      </c>
      <c r="I352" t="s">
        <v>10071</v>
      </c>
      <c r="J352" t="s">
        <v>8119</v>
      </c>
      <c r="N352" t="s">
        <v>8274</v>
      </c>
      <c r="O352" t="s">
        <v>11</v>
      </c>
      <c r="P352" t="s">
        <v>10072</v>
      </c>
      <c r="Q352">
        <v>2</v>
      </c>
      <c r="R352" t="s">
        <v>8091</v>
      </c>
      <c r="S352">
        <v>11.66</v>
      </c>
      <c r="T352">
        <v>10.64</v>
      </c>
      <c r="U352">
        <v>9.61</v>
      </c>
      <c r="V352">
        <v>8.58</v>
      </c>
      <c r="W352">
        <v>7.55</v>
      </c>
      <c r="X352">
        <v>6.53</v>
      </c>
      <c r="AH352">
        <v>0</v>
      </c>
      <c r="BP352">
        <v>11.53</v>
      </c>
      <c r="BQ352" s="595">
        <v>8.84</v>
      </c>
      <c r="BR352" t="s">
        <v>1979</v>
      </c>
      <c r="BS352" t="s">
        <v>8093</v>
      </c>
      <c r="BT352">
        <v>0</v>
      </c>
      <c r="BU352" t="s">
        <v>8093</v>
      </c>
      <c r="BV352">
        <v>0</v>
      </c>
      <c r="BW352">
        <v>9.1249206385227879</v>
      </c>
      <c r="BX352" t="s">
        <v>1979</v>
      </c>
      <c r="BY352">
        <v>0</v>
      </c>
      <c r="BZ352">
        <v>0</v>
      </c>
      <c r="CA352">
        <v>0</v>
      </c>
      <c r="CB352">
        <v>0</v>
      </c>
      <c r="CD352" t="s">
        <v>10073</v>
      </c>
    </row>
    <row r="353" spans="1:82">
      <c r="A353" t="s">
        <v>7983</v>
      </c>
      <c r="B353" t="s">
        <v>10074</v>
      </c>
      <c r="C353" t="s">
        <v>7958</v>
      </c>
      <c r="D353" t="s">
        <v>1383</v>
      </c>
      <c r="E353" t="s">
        <v>8083</v>
      </c>
      <c r="F353" t="s">
        <v>10062</v>
      </c>
      <c r="G353" t="s">
        <v>10075</v>
      </c>
      <c r="H353" t="s">
        <v>10076</v>
      </c>
      <c r="I353" t="s">
        <v>10077</v>
      </c>
      <c r="J353" t="s">
        <v>8119</v>
      </c>
      <c r="N353" t="s">
        <v>8274</v>
      </c>
      <c r="O353" t="s">
        <v>8170</v>
      </c>
      <c r="P353" t="s">
        <v>10078</v>
      </c>
      <c r="Q353">
        <v>2</v>
      </c>
      <c r="R353" t="s">
        <v>8129</v>
      </c>
      <c r="S353">
        <v>4.0999999999999996</v>
      </c>
      <c r="T353">
        <v>4.3499999999999996</v>
      </c>
      <c r="U353">
        <v>4.45</v>
      </c>
      <c r="V353">
        <v>4.5</v>
      </c>
      <c r="W353">
        <v>4.55</v>
      </c>
      <c r="X353">
        <v>4.5999999999999996</v>
      </c>
      <c r="AH353">
        <v>0</v>
      </c>
      <c r="BP353">
        <v>3.97</v>
      </c>
      <c r="BQ353" s="595">
        <v>4.4400000000000004</v>
      </c>
      <c r="BR353" t="s">
        <v>1979</v>
      </c>
      <c r="BS353" t="s">
        <v>8093</v>
      </c>
      <c r="BT353">
        <v>0</v>
      </c>
      <c r="BU353" t="s">
        <v>8093</v>
      </c>
      <c r="BV353">
        <v>0</v>
      </c>
      <c r="BW353">
        <v>4.50023588614562</v>
      </c>
      <c r="BX353" t="s">
        <v>1979</v>
      </c>
      <c r="BY353">
        <v>0</v>
      </c>
      <c r="BZ353">
        <v>0</v>
      </c>
      <c r="CA353">
        <v>0</v>
      </c>
      <c r="CB353">
        <v>0</v>
      </c>
      <c r="CD353" t="s">
        <v>10079</v>
      </c>
    </row>
    <row r="354" spans="1:82" ht="25.5">
      <c r="A354" t="s">
        <v>7983</v>
      </c>
      <c r="B354" t="s">
        <v>10080</v>
      </c>
      <c r="C354" t="s">
        <v>7958</v>
      </c>
      <c r="D354" t="s">
        <v>1383</v>
      </c>
      <c r="E354" t="s">
        <v>8083</v>
      </c>
      <c r="F354" t="s">
        <v>10062</v>
      </c>
      <c r="G354" t="s">
        <v>10081</v>
      </c>
      <c r="H354" t="s">
        <v>10082</v>
      </c>
      <c r="I354" t="s">
        <v>10083</v>
      </c>
      <c r="J354" t="s">
        <v>8099</v>
      </c>
      <c r="K354" t="s">
        <v>8089</v>
      </c>
      <c r="N354" t="s">
        <v>8100</v>
      </c>
      <c r="O354" t="s">
        <v>11</v>
      </c>
      <c r="P354" t="s">
        <v>10084</v>
      </c>
      <c r="Q354">
        <v>2</v>
      </c>
      <c r="R354" t="s">
        <v>8129</v>
      </c>
      <c r="S354">
        <v>4.24</v>
      </c>
      <c r="X354">
        <v>15.45</v>
      </c>
      <c r="AH354">
        <v>0</v>
      </c>
      <c r="AM354" t="s">
        <v>1979</v>
      </c>
      <c r="AR354">
        <v>11.7</v>
      </c>
      <c r="AW354">
        <v>15.45</v>
      </c>
      <c r="BH354">
        <v>0.88500000000000001</v>
      </c>
      <c r="BN354">
        <v>1</v>
      </c>
      <c r="BO354" t="s">
        <v>8092</v>
      </c>
      <c r="BP354" t="s">
        <v>1987</v>
      </c>
      <c r="BQ354" s="595" t="s">
        <v>1987</v>
      </c>
      <c r="BR354" t="s">
        <v>8093</v>
      </c>
      <c r="BS354" t="s">
        <v>8093</v>
      </c>
      <c r="BT354">
        <v>0</v>
      </c>
      <c r="BU354" t="s">
        <v>8093</v>
      </c>
      <c r="BV354">
        <v>0</v>
      </c>
      <c r="BW354" t="s">
        <v>1987</v>
      </c>
      <c r="BX354" t="s">
        <v>1981</v>
      </c>
      <c r="BY354">
        <v>0</v>
      </c>
      <c r="BZ354">
        <v>0</v>
      </c>
      <c r="CA354">
        <v>0</v>
      </c>
      <c r="CB354">
        <v>0</v>
      </c>
      <c r="CD354" t="s">
        <v>10085</v>
      </c>
    </row>
    <row r="355" spans="1:82">
      <c r="A355" t="s">
        <v>7983</v>
      </c>
      <c r="B355" t="s">
        <v>10086</v>
      </c>
      <c r="C355" t="s">
        <v>7958</v>
      </c>
      <c r="D355" t="s">
        <v>1383</v>
      </c>
      <c r="E355" t="s">
        <v>8083</v>
      </c>
      <c r="F355" t="s">
        <v>10062</v>
      </c>
      <c r="G355" t="s">
        <v>10087</v>
      </c>
      <c r="H355" t="s">
        <v>10088</v>
      </c>
      <c r="I355" t="s">
        <v>10089</v>
      </c>
      <c r="J355" t="s">
        <v>8119</v>
      </c>
      <c r="N355" t="s">
        <v>2534</v>
      </c>
      <c r="O355" t="s">
        <v>11</v>
      </c>
      <c r="P355" t="s">
        <v>10090</v>
      </c>
      <c r="Q355">
        <v>0</v>
      </c>
      <c r="R355" t="s">
        <v>8129</v>
      </c>
      <c r="S355" t="s">
        <v>10091</v>
      </c>
      <c r="T355">
        <v>1170</v>
      </c>
      <c r="U355">
        <v>1450</v>
      </c>
      <c r="V355">
        <v>1410</v>
      </c>
      <c r="W355">
        <v>900</v>
      </c>
      <c r="X355">
        <v>890</v>
      </c>
      <c r="AE355" t="s">
        <v>1979</v>
      </c>
      <c r="AH355">
        <v>0</v>
      </c>
      <c r="BP355" t="s">
        <v>1987</v>
      </c>
      <c r="BQ355" s="594">
        <v>1404</v>
      </c>
      <c r="BR355" t="s">
        <v>1979</v>
      </c>
      <c r="BS355" t="s">
        <v>8093</v>
      </c>
      <c r="BT355">
        <v>0</v>
      </c>
      <c r="BU355" t="s">
        <v>8093</v>
      </c>
      <c r="BV355">
        <v>0</v>
      </c>
      <c r="BW355">
        <v>2089</v>
      </c>
      <c r="BX355" t="s">
        <v>1979</v>
      </c>
      <c r="BY355">
        <v>0</v>
      </c>
      <c r="BZ355">
        <v>0</v>
      </c>
      <c r="CA355">
        <v>0</v>
      </c>
      <c r="CB355">
        <v>0</v>
      </c>
      <c r="CD355" t="s">
        <v>10092</v>
      </c>
    </row>
    <row r="356" spans="1:82">
      <c r="A356" t="s">
        <v>7983</v>
      </c>
      <c r="B356" t="s">
        <v>10093</v>
      </c>
      <c r="C356" t="s">
        <v>7958</v>
      </c>
      <c r="D356" t="s">
        <v>1383</v>
      </c>
      <c r="E356" t="s">
        <v>8083</v>
      </c>
      <c r="F356" t="s">
        <v>10094</v>
      </c>
      <c r="G356" t="s">
        <v>10095</v>
      </c>
      <c r="H356" t="s">
        <v>10096</v>
      </c>
      <c r="I356" t="s">
        <v>10097</v>
      </c>
      <c r="J356" t="s">
        <v>8099</v>
      </c>
      <c r="K356" t="s">
        <v>8089</v>
      </c>
      <c r="M356" t="s">
        <v>1980</v>
      </c>
      <c r="N356" t="s">
        <v>8148</v>
      </c>
      <c r="O356" t="s">
        <v>8282</v>
      </c>
      <c r="P356" t="s">
        <v>8429</v>
      </c>
      <c r="Q356" t="s">
        <v>8092</v>
      </c>
      <c r="S356" t="s">
        <v>1984</v>
      </c>
      <c r="T356" t="s">
        <v>1984</v>
      </c>
      <c r="U356" t="s">
        <v>1984</v>
      </c>
      <c r="V356" t="s">
        <v>1984</v>
      </c>
      <c r="W356" t="s">
        <v>1984</v>
      </c>
      <c r="X356" t="s">
        <v>1984</v>
      </c>
      <c r="AE356" t="s">
        <v>1979</v>
      </c>
      <c r="AH356">
        <v>6</v>
      </c>
      <c r="AI356" t="s">
        <v>1979</v>
      </c>
      <c r="AJ356" t="s">
        <v>1979</v>
      </c>
      <c r="AK356" t="s">
        <v>1979</v>
      </c>
      <c r="AL356" t="s">
        <v>1979</v>
      </c>
      <c r="AM356" t="s">
        <v>1979</v>
      </c>
      <c r="AN356" t="s">
        <v>8430</v>
      </c>
      <c r="AO356" t="s">
        <v>8430</v>
      </c>
      <c r="AP356" t="s">
        <v>8430</v>
      </c>
      <c r="AQ356" t="s">
        <v>8430</v>
      </c>
      <c r="AR356" t="s">
        <v>8430</v>
      </c>
      <c r="AS356" t="s">
        <v>1982</v>
      </c>
      <c r="AT356" t="s">
        <v>1982</v>
      </c>
      <c r="AU356" t="s">
        <v>1982</v>
      </c>
      <c r="AV356" t="s">
        <v>1982</v>
      </c>
      <c r="AW356" t="s">
        <v>1982</v>
      </c>
      <c r="BH356">
        <v>4.6749999999999998</v>
      </c>
      <c r="BN356">
        <v>1</v>
      </c>
      <c r="BO356" t="s">
        <v>8092</v>
      </c>
      <c r="BP356" t="s">
        <v>1984</v>
      </c>
      <c r="BQ356" s="593" t="s">
        <v>1982</v>
      </c>
      <c r="BR356" t="s">
        <v>1980</v>
      </c>
      <c r="BS356" t="s">
        <v>8093</v>
      </c>
      <c r="BT356">
        <v>0</v>
      </c>
      <c r="BU356" t="s">
        <v>1983</v>
      </c>
      <c r="BV356">
        <v>-4.6749999999999998</v>
      </c>
      <c r="BW356" t="s">
        <v>1982</v>
      </c>
      <c r="BX356" t="s">
        <v>1980</v>
      </c>
      <c r="BY356">
        <v>0</v>
      </c>
      <c r="BZ356">
        <v>0</v>
      </c>
      <c r="CA356" t="s">
        <v>1983</v>
      </c>
      <c r="CB356">
        <v>-4.6749999999999998</v>
      </c>
      <c r="CD356" t="s">
        <v>10098</v>
      </c>
    </row>
    <row r="357" spans="1:82">
      <c r="A357" t="s">
        <v>7983</v>
      </c>
      <c r="B357" t="s">
        <v>10099</v>
      </c>
      <c r="C357" t="s">
        <v>7958</v>
      </c>
      <c r="D357" t="s">
        <v>1383</v>
      </c>
      <c r="E357" t="s">
        <v>8083</v>
      </c>
      <c r="F357" t="s">
        <v>10094</v>
      </c>
      <c r="G357" t="s">
        <v>10100</v>
      </c>
      <c r="H357" t="s">
        <v>10101</v>
      </c>
      <c r="I357" t="s">
        <v>10102</v>
      </c>
      <c r="J357" t="s">
        <v>8099</v>
      </c>
      <c r="K357" t="s">
        <v>8089</v>
      </c>
      <c r="M357" t="s">
        <v>1980</v>
      </c>
      <c r="N357" t="s">
        <v>8148</v>
      </c>
      <c r="O357" t="s">
        <v>8282</v>
      </c>
      <c r="P357" t="s">
        <v>8429</v>
      </c>
      <c r="Q357" t="s">
        <v>8092</v>
      </c>
      <c r="S357" t="s">
        <v>1984</v>
      </c>
      <c r="T357" t="s">
        <v>1984</v>
      </c>
      <c r="U357" t="s">
        <v>1984</v>
      </c>
      <c r="V357" t="s">
        <v>1984</v>
      </c>
      <c r="W357" t="s">
        <v>1984</v>
      </c>
      <c r="X357" t="s">
        <v>1984</v>
      </c>
      <c r="AE357" t="s">
        <v>1979</v>
      </c>
      <c r="AH357">
        <v>7</v>
      </c>
      <c r="AI357" t="s">
        <v>1979</v>
      </c>
      <c r="AJ357" t="s">
        <v>1979</v>
      </c>
      <c r="AK357" t="s">
        <v>1979</v>
      </c>
      <c r="AL357" t="s">
        <v>1979</v>
      </c>
      <c r="AM357" t="s">
        <v>1979</v>
      </c>
      <c r="AN357" t="s">
        <v>8430</v>
      </c>
      <c r="AO357" t="s">
        <v>8430</v>
      </c>
      <c r="AP357" t="s">
        <v>8430</v>
      </c>
      <c r="AQ357" t="s">
        <v>8430</v>
      </c>
      <c r="AR357" t="s">
        <v>8430</v>
      </c>
      <c r="AS357" t="s">
        <v>1982</v>
      </c>
      <c r="AT357" t="s">
        <v>1982</v>
      </c>
      <c r="AU357" t="s">
        <v>1982</v>
      </c>
      <c r="AV357" t="s">
        <v>1982</v>
      </c>
      <c r="AW357" t="s">
        <v>1982</v>
      </c>
      <c r="BH357">
        <v>4.6749999999999998</v>
      </c>
      <c r="BN357">
        <v>1</v>
      </c>
      <c r="BO357" t="s">
        <v>8092</v>
      </c>
      <c r="BP357" t="s">
        <v>1984</v>
      </c>
      <c r="BQ357" s="593" t="s">
        <v>1984</v>
      </c>
      <c r="BR357" t="s">
        <v>1979</v>
      </c>
      <c r="BS357" t="s">
        <v>8093</v>
      </c>
      <c r="BT357">
        <v>0</v>
      </c>
      <c r="BU357" t="s">
        <v>8093</v>
      </c>
      <c r="BV357">
        <v>0</v>
      </c>
      <c r="BW357" t="s">
        <v>1984</v>
      </c>
      <c r="BX357" t="s">
        <v>1979</v>
      </c>
      <c r="BY357">
        <v>0</v>
      </c>
      <c r="BZ357">
        <v>0</v>
      </c>
      <c r="CA357">
        <v>0</v>
      </c>
      <c r="CB357">
        <v>0</v>
      </c>
      <c r="CD357" t="s">
        <v>10103</v>
      </c>
    </row>
    <row r="358" spans="1:82">
      <c r="A358" t="s">
        <v>7983</v>
      </c>
      <c r="B358" t="s">
        <v>10104</v>
      </c>
      <c r="C358" t="s">
        <v>7958</v>
      </c>
      <c r="D358" t="s">
        <v>1383</v>
      </c>
      <c r="E358" t="s">
        <v>8083</v>
      </c>
      <c r="F358" t="s">
        <v>10094</v>
      </c>
      <c r="G358" t="s">
        <v>10105</v>
      </c>
      <c r="H358" t="s">
        <v>10106</v>
      </c>
      <c r="I358" t="s">
        <v>10107</v>
      </c>
      <c r="J358" t="s">
        <v>8099</v>
      </c>
      <c r="K358" t="s">
        <v>8089</v>
      </c>
      <c r="N358" t="s">
        <v>8127</v>
      </c>
      <c r="O358" t="s">
        <v>10</v>
      </c>
      <c r="P358" t="s">
        <v>8128</v>
      </c>
      <c r="Q358">
        <v>2</v>
      </c>
      <c r="R358" t="s">
        <v>8129</v>
      </c>
      <c r="S358">
        <v>99.94</v>
      </c>
      <c r="T358">
        <v>99.94</v>
      </c>
      <c r="U358">
        <v>99.94</v>
      </c>
      <c r="V358">
        <v>100</v>
      </c>
      <c r="W358">
        <v>100</v>
      </c>
      <c r="X358">
        <v>100</v>
      </c>
      <c r="Y358" t="s">
        <v>1979</v>
      </c>
      <c r="AE358" t="s">
        <v>1979</v>
      </c>
      <c r="AH358">
        <v>0</v>
      </c>
      <c r="AI358" t="s">
        <v>1979</v>
      </c>
      <c r="AJ358" t="s">
        <v>1979</v>
      </c>
      <c r="AK358" t="s">
        <v>1979</v>
      </c>
      <c r="AL358" t="s">
        <v>1979</v>
      </c>
      <c r="AM358" t="s">
        <v>1979</v>
      </c>
      <c r="AN358">
        <v>99.91</v>
      </c>
      <c r="AO358">
        <v>99.91</v>
      </c>
      <c r="AP358">
        <v>99.93</v>
      </c>
      <c r="AQ358">
        <v>99.93</v>
      </c>
      <c r="AR358">
        <v>99.93</v>
      </c>
      <c r="AS358">
        <v>99.93</v>
      </c>
      <c r="AT358">
        <v>99.93</v>
      </c>
      <c r="AU358">
        <v>99.95</v>
      </c>
      <c r="AV358">
        <v>99.95</v>
      </c>
      <c r="AW358">
        <v>99.95</v>
      </c>
      <c r="BH358">
        <v>3.915</v>
      </c>
      <c r="BN358">
        <v>100</v>
      </c>
      <c r="BO358" t="s">
        <v>8456</v>
      </c>
      <c r="BP358">
        <v>99.96</v>
      </c>
      <c r="BQ358" s="595">
        <v>99.956000000000003</v>
      </c>
      <c r="BR358" t="s">
        <v>1979</v>
      </c>
      <c r="BS358" t="s">
        <v>8093</v>
      </c>
      <c r="BT358">
        <v>0</v>
      </c>
      <c r="BU358" t="s">
        <v>8093</v>
      </c>
      <c r="BV358">
        <v>0</v>
      </c>
      <c r="BW358">
        <v>99.96</v>
      </c>
      <c r="BX358" t="s">
        <v>1979</v>
      </c>
      <c r="BY358">
        <v>0</v>
      </c>
      <c r="BZ358">
        <v>0</v>
      </c>
      <c r="CA358">
        <v>0</v>
      </c>
      <c r="CB358">
        <v>0</v>
      </c>
      <c r="CD358" t="s">
        <v>10108</v>
      </c>
    </row>
    <row r="359" spans="1:82">
      <c r="A359" t="s">
        <v>7983</v>
      </c>
      <c r="B359" t="s">
        <v>10109</v>
      </c>
      <c r="C359" t="s">
        <v>7958</v>
      </c>
      <c r="D359" t="s">
        <v>1383</v>
      </c>
      <c r="E359" t="s">
        <v>8083</v>
      </c>
      <c r="F359" t="s">
        <v>10094</v>
      </c>
      <c r="G359" t="s">
        <v>10110</v>
      </c>
      <c r="H359" t="s">
        <v>10111</v>
      </c>
      <c r="I359" t="s">
        <v>10112</v>
      </c>
      <c r="J359" t="s">
        <v>8119</v>
      </c>
      <c r="N359" t="s">
        <v>8192</v>
      </c>
      <c r="O359" t="s">
        <v>11</v>
      </c>
      <c r="P359" t="s">
        <v>10113</v>
      </c>
      <c r="Q359">
        <v>0</v>
      </c>
      <c r="R359" t="s">
        <v>8091</v>
      </c>
      <c r="S359">
        <v>34</v>
      </c>
      <c r="T359">
        <v>34</v>
      </c>
      <c r="U359">
        <v>34</v>
      </c>
      <c r="V359">
        <v>34</v>
      </c>
      <c r="W359">
        <v>34</v>
      </c>
      <c r="X359">
        <v>34</v>
      </c>
      <c r="AE359" t="s">
        <v>1979</v>
      </c>
      <c r="AH359">
        <v>0</v>
      </c>
      <c r="BP359">
        <v>0</v>
      </c>
      <c r="BQ359" s="594">
        <v>0</v>
      </c>
      <c r="BR359" t="s">
        <v>1979</v>
      </c>
      <c r="BS359" t="s">
        <v>8093</v>
      </c>
      <c r="BT359">
        <v>0</v>
      </c>
      <c r="BU359" t="s">
        <v>8093</v>
      </c>
      <c r="BV359">
        <v>0</v>
      </c>
      <c r="BW359">
        <v>5</v>
      </c>
      <c r="BX359" t="s">
        <v>1979</v>
      </c>
      <c r="BY359">
        <v>0</v>
      </c>
      <c r="BZ359">
        <v>0</v>
      </c>
      <c r="CA359">
        <v>0</v>
      </c>
      <c r="CB359">
        <v>0</v>
      </c>
      <c r="CD359" t="s">
        <v>10114</v>
      </c>
    </row>
    <row r="360" spans="1:82">
      <c r="A360" t="s">
        <v>7983</v>
      </c>
      <c r="B360" t="s">
        <v>10115</v>
      </c>
      <c r="C360" t="s">
        <v>7958</v>
      </c>
      <c r="D360" t="s">
        <v>1383</v>
      </c>
      <c r="E360" t="s">
        <v>8083</v>
      </c>
      <c r="F360" t="s">
        <v>10094</v>
      </c>
      <c r="G360" t="s">
        <v>10116</v>
      </c>
      <c r="H360" t="s">
        <v>10117</v>
      </c>
      <c r="I360" t="s">
        <v>10118</v>
      </c>
      <c r="J360" t="s">
        <v>8088</v>
      </c>
      <c r="K360" t="s">
        <v>8089</v>
      </c>
      <c r="N360" t="s">
        <v>2556</v>
      </c>
      <c r="O360" t="s">
        <v>8186</v>
      </c>
      <c r="P360" t="s">
        <v>10119</v>
      </c>
      <c r="Q360">
        <v>2</v>
      </c>
      <c r="R360" t="s">
        <v>8091</v>
      </c>
      <c r="S360">
        <v>0.13</v>
      </c>
      <c r="T360">
        <v>0.13</v>
      </c>
      <c r="U360">
        <v>0.13</v>
      </c>
      <c r="V360">
        <v>0.13</v>
      </c>
      <c r="W360">
        <v>0.13</v>
      </c>
      <c r="X360">
        <v>0.13</v>
      </c>
      <c r="AA360" t="s">
        <v>1979</v>
      </c>
      <c r="AE360" t="s">
        <v>1979</v>
      </c>
      <c r="AH360">
        <v>0</v>
      </c>
      <c r="AI360" t="s">
        <v>1979</v>
      </c>
      <c r="AJ360" t="s">
        <v>1979</v>
      </c>
      <c r="AK360" t="s">
        <v>1979</v>
      </c>
      <c r="AL360" t="s">
        <v>1979</v>
      </c>
      <c r="AM360" t="s">
        <v>1979</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8580</v>
      </c>
      <c r="BP360" t="s">
        <v>1987</v>
      </c>
      <c r="BQ360" s="595">
        <v>0.122</v>
      </c>
      <c r="BR360" t="s">
        <v>1979</v>
      </c>
      <c r="BS360" t="s">
        <v>8093</v>
      </c>
      <c r="BT360">
        <v>0</v>
      </c>
      <c r="BU360" t="s">
        <v>1988</v>
      </c>
      <c r="BV360">
        <v>3.125</v>
      </c>
      <c r="BW360">
        <v>0.12</v>
      </c>
      <c r="BX360" t="s">
        <v>1979</v>
      </c>
      <c r="BY360">
        <v>0</v>
      </c>
      <c r="BZ360">
        <v>0</v>
      </c>
      <c r="CA360" t="s">
        <v>1988</v>
      </c>
      <c r="CB360">
        <v>3.1250000000000027</v>
      </c>
      <c r="CD360" t="s">
        <v>10120</v>
      </c>
    </row>
    <row r="361" spans="1:82">
      <c r="A361" t="s">
        <v>7983</v>
      </c>
      <c r="B361" t="s">
        <v>10121</v>
      </c>
      <c r="C361" t="s">
        <v>7958</v>
      </c>
      <c r="D361" t="s">
        <v>1383</v>
      </c>
      <c r="E361" t="s">
        <v>8083</v>
      </c>
      <c r="F361" t="s">
        <v>10094</v>
      </c>
      <c r="G361" t="s">
        <v>10122</v>
      </c>
      <c r="H361" t="s">
        <v>10123</v>
      </c>
      <c r="I361" t="s">
        <v>10124</v>
      </c>
      <c r="J361" t="s">
        <v>8099</v>
      </c>
      <c r="K361" t="s">
        <v>8089</v>
      </c>
      <c r="N361" t="s">
        <v>8107</v>
      </c>
      <c r="O361" t="s">
        <v>8170</v>
      </c>
      <c r="P361" t="s">
        <v>8222</v>
      </c>
      <c r="Q361">
        <v>0</v>
      </c>
      <c r="R361" t="s">
        <v>8129</v>
      </c>
      <c r="S361">
        <v>100</v>
      </c>
      <c r="T361">
        <v>100</v>
      </c>
      <c r="U361">
        <v>100</v>
      </c>
      <c r="V361">
        <v>100</v>
      </c>
      <c r="W361">
        <v>100</v>
      </c>
      <c r="X361">
        <v>100</v>
      </c>
      <c r="AH361">
        <v>0</v>
      </c>
      <c r="AI361" t="s">
        <v>1979</v>
      </c>
      <c r="AJ361" t="s">
        <v>1979</v>
      </c>
      <c r="AK361" t="s">
        <v>1979</v>
      </c>
      <c r="AL361" t="s">
        <v>1979</v>
      </c>
      <c r="AM361" t="s">
        <v>1979</v>
      </c>
      <c r="AN361">
        <v>97</v>
      </c>
      <c r="AO361">
        <v>97</v>
      </c>
      <c r="AP361">
        <v>97</v>
      </c>
      <c r="AQ361">
        <v>97</v>
      </c>
      <c r="AR361">
        <v>97</v>
      </c>
      <c r="AS361">
        <v>100</v>
      </c>
      <c r="AT361">
        <v>100</v>
      </c>
      <c r="AU361">
        <v>100</v>
      </c>
      <c r="AV361">
        <v>100</v>
      </c>
      <c r="AW361">
        <v>100</v>
      </c>
      <c r="BH361">
        <v>2.2650000000000001</v>
      </c>
      <c r="BN361">
        <v>1</v>
      </c>
      <c r="BO361" t="s">
        <v>8092</v>
      </c>
      <c r="BP361">
        <v>100</v>
      </c>
      <c r="BQ361" s="594">
        <v>100</v>
      </c>
      <c r="BR361" t="s">
        <v>1979</v>
      </c>
      <c r="BS361" t="s">
        <v>8093</v>
      </c>
      <c r="BT361">
        <v>0</v>
      </c>
      <c r="BU361" t="s">
        <v>8093</v>
      </c>
      <c r="BV361">
        <v>0</v>
      </c>
      <c r="BW361">
        <v>99</v>
      </c>
      <c r="BX361" t="s">
        <v>1980</v>
      </c>
      <c r="BY361">
        <v>0</v>
      </c>
      <c r="BZ361">
        <v>0</v>
      </c>
      <c r="CA361" t="s">
        <v>1983</v>
      </c>
      <c r="CB361">
        <v>-2.2650000000000001</v>
      </c>
      <c r="CD361" t="s">
        <v>10125</v>
      </c>
    </row>
    <row r="362" spans="1:82">
      <c r="A362" t="s">
        <v>7983</v>
      </c>
      <c r="B362" t="s">
        <v>10126</v>
      </c>
      <c r="C362" t="s">
        <v>7958</v>
      </c>
      <c r="D362" t="s">
        <v>1383</v>
      </c>
      <c r="E362" t="s">
        <v>8083</v>
      </c>
      <c r="F362" t="s">
        <v>10094</v>
      </c>
      <c r="G362" t="s">
        <v>10127</v>
      </c>
      <c r="H362" t="s">
        <v>10128</v>
      </c>
      <c r="I362" t="s">
        <v>10129</v>
      </c>
      <c r="J362" t="s">
        <v>8099</v>
      </c>
      <c r="K362" t="s">
        <v>8089</v>
      </c>
      <c r="M362" t="s">
        <v>1980</v>
      </c>
      <c r="N362" t="s">
        <v>4837</v>
      </c>
      <c r="O362" t="s">
        <v>10</v>
      </c>
      <c r="P362" t="s">
        <v>10130</v>
      </c>
      <c r="Q362">
        <v>0</v>
      </c>
      <c r="R362" t="s">
        <v>8129</v>
      </c>
      <c r="S362">
        <v>100</v>
      </c>
      <c r="X362">
        <v>100</v>
      </c>
      <c r="AD362" t="s">
        <v>1979</v>
      </c>
      <c r="AE362" t="s">
        <v>1979</v>
      </c>
      <c r="AH362">
        <v>0</v>
      </c>
      <c r="AM362" t="s">
        <v>1979</v>
      </c>
      <c r="AR362">
        <v>0</v>
      </c>
      <c r="AW362">
        <v>100</v>
      </c>
      <c r="BH362">
        <v>0.40939999999999999</v>
      </c>
      <c r="BN362">
        <v>1</v>
      </c>
      <c r="BO362" t="s">
        <v>8092</v>
      </c>
      <c r="BP362" t="s">
        <v>1987</v>
      </c>
      <c r="BQ362" s="594">
        <v>0</v>
      </c>
      <c r="BR362" t="s">
        <v>8093</v>
      </c>
      <c r="BS362" t="s">
        <v>8093</v>
      </c>
      <c r="BT362">
        <v>0</v>
      </c>
      <c r="BU362" t="s">
        <v>8093</v>
      </c>
      <c r="BV362">
        <v>0</v>
      </c>
      <c r="BW362" t="s">
        <v>1987</v>
      </c>
      <c r="BX362" t="s">
        <v>1981</v>
      </c>
      <c r="BY362">
        <v>0</v>
      </c>
      <c r="BZ362">
        <v>0</v>
      </c>
      <c r="CA362">
        <v>0</v>
      </c>
      <c r="CB362">
        <v>0</v>
      </c>
      <c r="CD362" t="s">
        <v>10131</v>
      </c>
    </row>
    <row r="363" spans="1:82" ht="25.5">
      <c r="A363" t="s">
        <v>7983</v>
      </c>
      <c r="B363" t="s">
        <v>10132</v>
      </c>
      <c r="C363" t="s">
        <v>7958</v>
      </c>
      <c r="D363" t="s">
        <v>1383</v>
      </c>
      <c r="E363" t="s">
        <v>8083</v>
      </c>
      <c r="F363" t="s">
        <v>10094</v>
      </c>
      <c r="G363" t="s">
        <v>10133</v>
      </c>
      <c r="H363" t="s">
        <v>10134</v>
      </c>
      <c r="I363" t="s">
        <v>10135</v>
      </c>
      <c r="J363" t="s">
        <v>8088</v>
      </c>
      <c r="K363" t="s">
        <v>8089</v>
      </c>
      <c r="N363" t="s">
        <v>4821</v>
      </c>
      <c r="O363" t="s">
        <v>11</v>
      </c>
      <c r="P363" t="s">
        <v>10136</v>
      </c>
      <c r="Q363">
        <v>0</v>
      </c>
      <c r="R363" t="s">
        <v>8129</v>
      </c>
      <c r="S363" t="s">
        <v>8565</v>
      </c>
      <c r="X363">
        <v>1015</v>
      </c>
      <c r="AE363" t="s">
        <v>1979</v>
      </c>
      <c r="AH363">
        <v>0</v>
      </c>
      <c r="AM363" t="s">
        <v>1979</v>
      </c>
      <c r="AR363">
        <v>812</v>
      </c>
      <c r="AW363">
        <v>1015</v>
      </c>
      <c r="BB363">
        <v>1015</v>
      </c>
      <c r="BG363">
        <v>1218</v>
      </c>
      <c r="BH363">
        <v>5.0000000000000001E-3</v>
      </c>
      <c r="BL363">
        <v>5.0000000000000001E-3</v>
      </c>
      <c r="BN363">
        <v>1</v>
      </c>
      <c r="BO363" t="s">
        <v>8092</v>
      </c>
      <c r="BP363" t="s">
        <v>1987</v>
      </c>
      <c r="BQ363" s="593" t="s">
        <v>1987</v>
      </c>
      <c r="BR363" t="s">
        <v>8093</v>
      </c>
      <c r="BS363" t="s">
        <v>8093</v>
      </c>
      <c r="BT363">
        <v>0</v>
      </c>
      <c r="BU363" t="s">
        <v>8093</v>
      </c>
      <c r="BV363">
        <v>0</v>
      </c>
      <c r="BW363">
        <v>0</v>
      </c>
      <c r="BX363" t="s">
        <v>1981</v>
      </c>
      <c r="BY363">
        <v>0</v>
      </c>
      <c r="BZ363">
        <v>0</v>
      </c>
      <c r="CA363">
        <v>0</v>
      </c>
      <c r="CB363">
        <v>0</v>
      </c>
      <c r="CD363" t="s">
        <v>10137</v>
      </c>
    </row>
    <row r="364" spans="1:82">
      <c r="A364" t="s">
        <v>7983</v>
      </c>
      <c r="B364" t="s">
        <v>10138</v>
      </c>
      <c r="C364" t="s">
        <v>7958</v>
      </c>
      <c r="D364" t="s">
        <v>1383</v>
      </c>
      <c r="E364" t="s">
        <v>8083</v>
      </c>
      <c r="F364" t="s">
        <v>10139</v>
      </c>
      <c r="G364" t="s">
        <v>10140</v>
      </c>
      <c r="H364" t="s">
        <v>10141</v>
      </c>
      <c r="I364" t="s">
        <v>10142</v>
      </c>
      <c r="J364" t="s">
        <v>8119</v>
      </c>
      <c r="N364" t="s">
        <v>8260</v>
      </c>
      <c r="O364" t="s">
        <v>11</v>
      </c>
      <c r="P364" t="s">
        <v>8753</v>
      </c>
      <c r="Q364">
        <v>1</v>
      </c>
      <c r="R364" t="s">
        <v>8091</v>
      </c>
      <c r="S364">
        <v>247.8</v>
      </c>
      <c r="T364">
        <v>227</v>
      </c>
      <c r="U364">
        <v>185</v>
      </c>
      <c r="V364">
        <v>166.1</v>
      </c>
      <c r="W364">
        <v>146.6</v>
      </c>
      <c r="X364">
        <v>136.19999999999999</v>
      </c>
      <c r="AH364">
        <v>0</v>
      </c>
      <c r="BP364" t="s">
        <v>1987</v>
      </c>
      <c r="BQ364" s="591">
        <v>284.78500000000003</v>
      </c>
      <c r="BR364" t="s">
        <v>1980</v>
      </c>
      <c r="BS364" t="s">
        <v>8093</v>
      </c>
      <c r="BT364">
        <v>0</v>
      </c>
      <c r="BU364" t="s">
        <v>8093</v>
      </c>
      <c r="BV364">
        <v>0</v>
      </c>
      <c r="BW364">
        <v>160.69999999999999</v>
      </c>
      <c r="BX364" t="s">
        <v>1979</v>
      </c>
      <c r="BY364">
        <v>0</v>
      </c>
      <c r="BZ364">
        <v>0</v>
      </c>
      <c r="CA364">
        <v>0</v>
      </c>
      <c r="CB364">
        <v>0</v>
      </c>
      <c r="CD364" t="s">
        <v>10143</v>
      </c>
    </row>
    <row r="365" spans="1:82">
      <c r="A365" t="s">
        <v>7983</v>
      </c>
      <c r="B365" t="s">
        <v>10144</v>
      </c>
      <c r="C365" t="s">
        <v>7958</v>
      </c>
      <c r="D365" t="s">
        <v>1383</v>
      </c>
      <c r="E365" t="s">
        <v>8083</v>
      </c>
      <c r="F365" t="s">
        <v>10139</v>
      </c>
      <c r="G365" t="s">
        <v>10145</v>
      </c>
      <c r="H365" t="s">
        <v>10146</v>
      </c>
      <c r="I365" t="s">
        <v>10147</v>
      </c>
      <c r="J365" t="s">
        <v>8088</v>
      </c>
      <c r="K365" t="s">
        <v>8089</v>
      </c>
      <c r="N365" t="s">
        <v>2534</v>
      </c>
      <c r="O365" t="s">
        <v>11</v>
      </c>
      <c r="P365" t="s">
        <v>10148</v>
      </c>
      <c r="Q365">
        <v>0</v>
      </c>
      <c r="R365" t="s">
        <v>8091</v>
      </c>
      <c r="S365">
        <v>665</v>
      </c>
      <c r="T365">
        <v>649</v>
      </c>
      <c r="U365">
        <v>630</v>
      </c>
      <c r="V365">
        <v>620</v>
      </c>
      <c r="W365">
        <v>612</v>
      </c>
      <c r="X365">
        <v>606</v>
      </c>
      <c r="AE365" t="s">
        <v>1979</v>
      </c>
      <c r="AH365">
        <v>0</v>
      </c>
      <c r="AI365" t="s">
        <v>1979</v>
      </c>
      <c r="AJ365" t="s">
        <v>1979</v>
      </c>
      <c r="AK365" t="s">
        <v>1979</v>
      </c>
      <c r="AL365" t="s">
        <v>1979</v>
      </c>
      <c r="AM365" t="s">
        <v>1979</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8092</v>
      </c>
      <c r="BP365">
        <v>653.96</v>
      </c>
      <c r="BQ365" s="594">
        <v>642.46</v>
      </c>
      <c r="BR365" t="s">
        <v>1979</v>
      </c>
      <c r="BS365" t="s">
        <v>8093</v>
      </c>
      <c r="BT365">
        <v>0</v>
      </c>
      <c r="BU365" t="s">
        <v>1992</v>
      </c>
      <c r="BV365">
        <v>0</v>
      </c>
      <c r="BW365">
        <v>677</v>
      </c>
      <c r="BX365" t="s">
        <v>1980</v>
      </c>
      <c r="BY365">
        <v>0</v>
      </c>
      <c r="BZ365">
        <v>0</v>
      </c>
      <c r="CA365" t="s">
        <v>1983</v>
      </c>
      <c r="CB365">
        <v>-8.5500000000000007</v>
      </c>
      <c r="CD365" t="s">
        <v>10149</v>
      </c>
    </row>
    <row r="366" spans="1:82" ht="25.5">
      <c r="A366" t="s">
        <v>7983</v>
      </c>
      <c r="B366" t="s">
        <v>10150</v>
      </c>
      <c r="C366" t="s">
        <v>7958</v>
      </c>
      <c r="D366" t="s">
        <v>1383</v>
      </c>
      <c r="E366" t="s">
        <v>8083</v>
      </c>
      <c r="F366" t="s">
        <v>10139</v>
      </c>
      <c r="G366" t="s">
        <v>10151</v>
      </c>
      <c r="H366" t="s">
        <v>10152</v>
      </c>
      <c r="I366" t="s">
        <v>10153</v>
      </c>
      <c r="J366" t="s">
        <v>8119</v>
      </c>
      <c r="N366" t="s">
        <v>8113</v>
      </c>
      <c r="O366" t="s">
        <v>11</v>
      </c>
      <c r="P366" t="s">
        <v>10154</v>
      </c>
      <c r="Q366">
        <v>2</v>
      </c>
      <c r="S366" t="s">
        <v>8565</v>
      </c>
      <c r="T366" t="s">
        <v>10155</v>
      </c>
      <c r="U366" t="s">
        <v>10155</v>
      </c>
      <c r="V366" t="s">
        <v>10155</v>
      </c>
      <c r="W366" t="s">
        <v>10155</v>
      </c>
      <c r="X366" t="s">
        <v>10155</v>
      </c>
      <c r="AG366" t="s">
        <v>1979</v>
      </c>
      <c r="AH366">
        <v>0</v>
      </c>
      <c r="BP366" t="s">
        <v>1987</v>
      </c>
      <c r="BQ366" s="593" t="s">
        <v>1987</v>
      </c>
      <c r="BR366" t="s">
        <v>8093</v>
      </c>
      <c r="BS366" t="s">
        <v>8093</v>
      </c>
      <c r="BT366">
        <v>0</v>
      </c>
      <c r="BU366" t="s">
        <v>8093</v>
      </c>
      <c r="BV366">
        <v>0</v>
      </c>
      <c r="BW366" t="s">
        <v>10156</v>
      </c>
      <c r="BX366" t="s">
        <v>1979</v>
      </c>
      <c r="BY366">
        <v>0</v>
      </c>
      <c r="BZ366">
        <v>0</v>
      </c>
      <c r="CA366">
        <v>0</v>
      </c>
      <c r="CB366">
        <v>0</v>
      </c>
      <c r="CD366" t="s">
        <v>10157</v>
      </c>
    </row>
    <row r="367" spans="1:82">
      <c r="A367" t="s">
        <v>7983</v>
      </c>
      <c r="B367" t="s">
        <v>10158</v>
      </c>
      <c r="C367" t="s">
        <v>7958</v>
      </c>
      <c r="D367" t="s">
        <v>1383</v>
      </c>
      <c r="E367" t="s">
        <v>8083</v>
      </c>
      <c r="F367" t="s">
        <v>10139</v>
      </c>
      <c r="G367" t="s">
        <v>10159</v>
      </c>
      <c r="H367" t="s">
        <v>10160</v>
      </c>
      <c r="I367" t="s">
        <v>10161</v>
      </c>
      <c r="J367" t="s">
        <v>8119</v>
      </c>
      <c r="N367" t="s">
        <v>9160</v>
      </c>
      <c r="O367" t="s">
        <v>11</v>
      </c>
      <c r="P367" t="s">
        <v>10162</v>
      </c>
      <c r="Q367">
        <v>0</v>
      </c>
      <c r="R367" t="s">
        <v>8129</v>
      </c>
      <c r="S367">
        <v>14000</v>
      </c>
      <c r="T367">
        <v>15000</v>
      </c>
      <c r="U367">
        <v>16000</v>
      </c>
      <c r="V367">
        <v>17000</v>
      </c>
      <c r="W367">
        <v>18000</v>
      </c>
      <c r="X367">
        <v>20000</v>
      </c>
      <c r="AH367">
        <v>0</v>
      </c>
      <c r="BP367" t="s">
        <v>1987</v>
      </c>
      <c r="BQ367" s="594">
        <v>17491</v>
      </c>
      <c r="BR367" t="s">
        <v>1979</v>
      </c>
      <c r="BS367" t="s">
        <v>8093</v>
      </c>
      <c r="BT367">
        <v>0</v>
      </c>
      <c r="BU367" t="s">
        <v>8093</v>
      </c>
      <c r="BV367">
        <v>0</v>
      </c>
      <c r="BW367">
        <v>20898</v>
      </c>
      <c r="BX367" t="s">
        <v>1979</v>
      </c>
      <c r="BY367">
        <v>0</v>
      </c>
      <c r="BZ367">
        <v>0</v>
      </c>
      <c r="CA367">
        <v>0</v>
      </c>
      <c r="CB367">
        <v>0</v>
      </c>
      <c r="CD367" t="s">
        <v>10163</v>
      </c>
    </row>
    <row r="368" spans="1:82">
      <c r="A368" t="s">
        <v>7983</v>
      </c>
      <c r="B368" t="s">
        <v>10164</v>
      </c>
      <c r="C368" t="s">
        <v>7958</v>
      </c>
      <c r="D368" t="s">
        <v>1383</v>
      </c>
      <c r="E368" t="s">
        <v>8083</v>
      </c>
      <c r="F368" t="s">
        <v>10139</v>
      </c>
      <c r="G368" t="s">
        <v>10165</v>
      </c>
      <c r="H368" t="s">
        <v>10166</v>
      </c>
      <c r="I368" t="s">
        <v>10167</v>
      </c>
      <c r="J368" t="s">
        <v>8099</v>
      </c>
      <c r="K368" t="s">
        <v>8428</v>
      </c>
      <c r="M368" t="s">
        <v>1980</v>
      </c>
      <c r="N368" t="s">
        <v>8252</v>
      </c>
      <c r="O368" t="s">
        <v>10</v>
      </c>
      <c r="P368" t="s">
        <v>10168</v>
      </c>
      <c r="Q368">
        <v>0</v>
      </c>
      <c r="R368" t="s">
        <v>8129</v>
      </c>
      <c r="S368" t="s">
        <v>8565</v>
      </c>
      <c r="X368">
        <v>100</v>
      </c>
      <c r="AD368" t="s">
        <v>1979</v>
      </c>
      <c r="AF368" t="s">
        <v>1979</v>
      </c>
      <c r="AH368">
        <v>0</v>
      </c>
      <c r="AM368" t="s">
        <v>1979</v>
      </c>
      <c r="AR368">
        <v>0</v>
      </c>
      <c r="AW368">
        <v>100</v>
      </c>
      <c r="BH368">
        <v>0.40939999999999999</v>
      </c>
      <c r="BN368">
        <v>1</v>
      </c>
      <c r="BO368" t="s">
        <v>8092</v>
      </c>
      <c r="BP368" t="s">
        <v>1987</v>
      </c>
      <c r="BQ368" s="593">
        <v>0</v>
      </c>
      <c r="BR368" t="s">
        <v>8093</v>
      </c>
      <c r="BS368" t="s">
        <v>8093</v>
      </c>
      <c r="BT368">
        <v>0</v>
      </c>
      <c r="BU368" t="s">
        <v>8093</v>
      </c>
      <c r="BV368">
        <v>0</v>
      </c>
      <c r="BW368">
        <v>0</v>
      </c>
      <c r="BX368" t="s">
        <v>1981</v>
      </c>
      <c r="BY368">
        <v>0</v>
      </c>
      <c r="BZ368">
        <v>0</v>
      </c>
      <c r="CA368">
        <v>0</v>
      </c>
      <c r="CB368">
        <v>0</v>
      </c>
      <c r="CD368" t="s">
        <v>10169</v>
      </c>
    </row>
    <row r="369" spans="1:82">
      <c r="A369" t="s">
        <v>7983</v>
      </c>
      <c r="B369" t="s">
        <v>10170</v>
      </c>
      <c r="C369" t="s">
        <v>7958</v>
      </c>
      <c r="D369" t="s">
        <v>1383</v>
      </c>
      <c r="E369" t="s">
        <v>8083</v>
      </c>
      <c r="F369" t="s">
        <v>10171</v>
      </c>
      <c r="G369" t="s">
        <v>10172</v>
      </c>
      <c r="H369" t="s">
        <v>10173</v>
      </c>
      <c r="I369" t="s">
        <v>10174</v>
      </c>
      <c r="J369" t="s">
        <v>8119</v>
      </c>
      <c r="N369" t="s">
        <v>8260</v>
      </c>
      <c r="O369" t="s">
        <v>11</v>
      </c>
      <c r="P369" t="s">
        <v>10175</v>
      </c>
      <c r="Q369">
        <v>0</v>
      </c>
      <c r="R369" t="s">
        <v>8091</v>
      </c>
      <c r="S369">
        <v>505</v>
      </c>
      <c r="T369">
        <v>494</v>
      </c>
      <c r="U369">
        <v>483</v>
      </c>
      <c r="V369">
        <v>472</v>
      </c>
      <c r="W369">
        <v>472</v>
      </c>
      <c r="X369">
        <v>476</v>
      </c>
      <c r="AH369">
        <v>0</v>
      </c>
      <c r="BP369" t="s">
        <v>1987</v>
      </c>
      <c r="BQ369" s="594">
        <v>495.80599999999998</v>
      </c>
      <c r="BR369" t="s">
        <v>1980</v>
      </c>
      <c r="BS369" t="s">
        <v>8093</v>
      </c>
      <c r="BT369">
        <v>0</v>
      </c>
      <c r="BU369" t="s">
        <v>8093</v>
      </c>
      <c r="BV369">
        <v>0</v>
      </c>
      <c r="BW369">
        <v>490.5</v>
      </c>
      <c r="BX369" t="s">
        <v>1980</v>
      </c>
      <c r="BY369">
        <v>0</v>
      </c>
      <c r="BZ369">
        <v>0</v>
      </c>
      <c r="CA369">
        <v>0</v>
      </c>
      <c r="CB369">
        <v>0</v>
      </c>
      <c r="CD369" t="s">
        <v>10176</v>
      </c>
    </row>
    <row r="370" spans="1:82">
      <c r="A370" t="s">
        <v>7983</v>
      </c>
      <c r="B370" t="s">
        <v>10177</v>
      </c>
      <c r="C370" t="s">
        <v>7958</v>
      </c>
      <c r="D370" t="s">
        <v>1384</v>
      </c>
      <c r="E370" t="s">
        <v>8297</v>
      </c>
      <c r="F370" t="s">
        <v>10062</v>
      </c>
      <c r="G370" t="s">
        <v>10178</v>
      </c>
      <c r="H370" t="s">
        <v>10179</v>
      </c>
      <c r="I370" t="s">
        <v>10180</v>
      </c>
      <c r="J370" t="s">
        <v>8119</v>
      </c>
      <c r="N370" t="s">
        <v>8274</v>
      </c>
      <c r="O370" t="s">
        <v>10</v>
      </c>
      <c r="P370" t="s">
        <v>10066</v>
      </c>
      <c r="Q370">
        <v>0</v>
      </c>
      <c r="R370" t="s">
        <v>8129</v>
      </c>
      <c r="S370">
        <v>90</v>
      </c>
      <c r="T370">
        <v>95</v>
      </c>
      <c r="U370">
        <v>95</v>
      </c>
      <c r="V370">
        <v>95</v>
      </c>
      <c r="W370">
        <v>95</v>
      </c>
      <c r="X370">
        <v>95</v>
      </c>
      <c r="AH370">
        <v>0</v>
      </c>
      <c r="BP370">
        <v>86.57</v>
      </c>
      <c r="BQ370" s="594">
        <v>86.72</v>
      </c>
      <c r="BR370" t="s">
        <v>1980</v>
      </c>
      <c r="BS370" t="s">
        <v>8093</v>
      </c>
      <c r="BT370">
        <v>0</v>
      </c>
      <c r="BU370" t="s">
        <v>8093</v>
      </c>
      <c r="BV370">
        <v>0</v>
      </c>
      <c r="BW370">
        <v>93.49</v>
      </c>
      <c r="BX370" t="s">
        <v>1980</v>
      </c>
      <c r="BY370">
        <v>0</v>
      </c>
      <c r="BZ370">
        <v>0</v>
      </c>
      <c r="CA370">
        <v>0</v>
      </c>
      <c r="CB370">
        <v>0</v>
      </c>
      <c r="CD370" t="s">
        <v>10181</v>
      </c>
    </row>
    <row r="371" spans="1:82">
      <c r="A371" t="s">
        <v>7983</v>
      </c>
      <c r="B371" t="s">
        <v>10182</v>
      </c>
      <c r="C371" t="s">
        <v>7958</v>
      </c>
      <c r="D371" t="s">
        <v>1384</v>
      </c>
      <c r="E371" t="s">
        <v>8297</v>
      </c>
      <c r="F371" t="s">
        <v>10062</v>
      </c>
      <c r="G371" t="s">
        <v>10183</v>
      </c>
      <c r="H371" t="s">
        <v>10184</v>
      </c>
      <c r="I371" t="s">
        <v>10185</v>
      </c>
      <c r="J371" t="s">
        <v>8119</v>
      </c>
      <c r="N371" t="s">
        <v>8274</v>
      </c>
      <c r="O371" t="s">
        <v>11</v>
      </c>
      <c r="P371" t="s">
        <v>10072</v>
      </c>
      <c r="Q371">
        <v>2</v>
      </c>
      <c r="R371" t="s">
        <v>8091</v>
      </c>
      <c r="S371">
        <v>8.0500000000000007</v>
      </c>
      <c r="T371">
        <v>7.6</v>
      </c>
      <c r="U371">
        <v>7.15</v>
      </c>
      <c r="V371">
        <v>6.7</v>
      </c>
      <c r="W371">
        <v>6.25</v>
      </c>
      <c r="X371">
        <v>5.8</v>
      </c>
      <c r="AH371">
        <v>0</v>
      </c>
      <c r="BP371">
        <v>8.8000000000000007</v>
      </c>
      <c r="BQ371" s="595">
        <v>6.46</v>
      </c>
      <c r="BR371" t="s">
        <v>1979</v>
      </c>
      <c r="BS371" t="s">
        <v>8093</v>
      </c>
      <c r="BT371">
        <v>0</v>
      </c>
      <c r="BU371" t="s">
        <v>8093</v>
      </c>
      <c r="BV371">
        <v>0</v>
      </c>
      <c r="BW371">
        <v>6.2140513602011351</v>
      </c>
      <c r="BX371" t="s">
        <v>1979</v>
      </c>
      <c r="BY371">
        <v>0</v>
      </c>
      <c r="BZ371">
        <v>0</v>
      </c>
      <c r="CA371">
        <v>0</v>
      </c>
      <c r="CB371">
        <v>0</v>
      </c>
      <c r="CD371" t="s">
        <v>10186</v>
      </c>
    </row>
    <row r="372" spans="1:82">
      <c r="A372" t="s">
        <v>7983</v>
      </c>
      <c r="B372" t="s">
        <v>10187</v>
      </c>
      <c r="C372" t="s">
        <v>7958</v>
      </c>
      <c r="D372" t="s">
        <v>1384</v>
      </c>
      <c r="E372" t="s">
        <v>8297</v>
      </c>
      <c r="F372" t="s">
        <v>10062</v>
      </c>
      <c r="G372" t="s">
        <v>10188</v>
      </c>
      <c r="H372" t="s">
        <v>10189</v>
      </c>
      <c r="I372" t="s">
        <v>10190</v>
      </c>
      <c r="J372" t="s">
        <v>8119</v>
      </c>
      <c r="N372" t="s">
        <v>8274</v>
      </c>
      <c r="O372" t="s">
        <v>8170</v>
      </c>
      <c r="P372" t="s">
        <v>10078</v>
      </c>
      <c r="Q372">
        <v>2</v>
      </c>
      <c r="R372" t="s">
        <v>8129</v>
      </c>
      <c r="S372">
        <v>4.3</v>
      </c>
      <c r="T372">
        <v>4.55</v>
      </c>
      <c r="U372">
        <v>4.5999999999999996</v>
      </c>
      <c r="V372">
        <v>4.6500000000000004</v>
      </c>
      <c r="W372">
        <v>4.6500000000000004</v>
      </c>
      <c r="X372">
        <v>4.7</v>
      </c>
      <c r="AH372">
        <v>0</v>
      </c>
      <c r="BP372">
        <v>4.21</v>
      </c>
      <c r="BQ372" s="595">
        <v>4.5</v>
      </c>
      <c r="BR372" t="s">
        <v>1980</v>
      </c>
      <c r="BS372" t="s">
        <v>8093</v>
      </c>
      <c r="BT372">
        <v>0</v>
      </c>
      <c r="BU372" t="s">
        <v>8093</v>
      </c>
      <c r="BV372">
        <v>0</v>
      </c>
      <c r="BW372">
        <v>4.5690574498919911</v>
      </c>
      <c r="BX372" t="s">
        <v>1980</v>
      </c>
      <c r="BY372">
        <v>0</v>
      </c>
      <c r="BZ372">
        <v>0</v>
      </c>
      <c r="CA372">
        <v>0</v>
      </c>
      <c r="CB372">
        <v>0</v>
      </c>
      <c r="CD372" t="s">
        <v>10191</v>
      </c>
    </row>
    <row r="373" spans="1:82">
      <c r="A373" t="s">
        <v>7983</v>
      </c>
      <c r="B373" t="s">
        <v>10192</v>
      </c>
      <c r="C373" t="s">
        <v>7958</v>
      </c>
      <c r="D373" t="s">
        <v>1384</v>
      </c>
      <c r="E373" t="s">
        <v>8297</v>
      </c>
      <c r="F373" t="s">
        <v>10193</v>
      </c>
      <c r="G373" t="s">
        <v>10194</v>
      </c>
      <c r="H373" t="s">
        <v>10195</v>
      </c>
      <c r="I373" t="s">
        <v>10196</v>
      </c>
      <c r="J373" t="s">
        <v>8099</v>
      </c>
      <c r="K373" t="s">
        <v>8089</v>
      </c>
      <c r="M373" t="s">
        <v>1980</v>
      </c>
      <c r="N373" t="s">
        <v>8364</v>
      </c>
      <c r="O373" t="s">
        <v>8282</v>
      </c>
      <c r="P373" t="s">
        <v>8429</v>
      </c>
      <c r="Q373" t="s">
        <v>8092</v>
      </c>
      <c r="S373" t="s">
        <v>1984</v>
      </c>
      <c r="T373" t="s">
        <v>1984</v>
      </c>
      <c r="U373" t="s">
        <v>1984</v>
      </c>
      <c r="V373" t="s">
        <v>1984</v>
      </c>
      <c r="W373" t="s">
        <v>1984</v>
      </c>
      <c r="X373" t="s">
        <v>1984</v>
      </c>
      <c r="AE373" t="s">
        <v>1979</v>
      </c>
      <c r="AH373">
        <v>3</v>
      </c>
      <c r="AI373" t="s">
        <v>1979</v>
      </c>
      <c r="AJ373" t="s">
        <v>1979</v>
      </c>
      <c r="AK373" t="s">
        <v>1979</v>
      </c>
      <c r="AL373" t="s">
        <v>1979</v>
      </c>
      <c r="AM373" t="s">
        <v>1979</v>
      </c>
      <c r="AN373" t="s">
        <v>8430</v>
      </c>
      <c r="AO373" t="s">
        <v>8430</v>
      </c>
      <c r="AP373" t="s">
        <v>8430</v>
      </c>
      <c r="AQ373" t="s">
        <v>8430</v>
      </c>
      <c r="AR373" t="s">
        <v>8430</v>
      </c>
      <c r="AS373" t="s">
        <v>1982</v>
      </c>
      <c r="AT373" t="s">
        <v>1982</v>
      </c>
      <c r="AU373" t="s">
        <v>1982</v>
      </c>
      <c r="AV373" t="s">
        <v>1982</v>
      </c>
      <c r="AW373" t="s">
        <v>1982</v>
      </c>
      <c r="BH373">
        <v>4.5350000000000001</v>
      </c>
      <c r="BN373">
        <v>1</v>
      </c>
      <c r="BO373" t="s">
        <v>8092</v>
      </c>
      <c r="BP373" t="s">
        <v>1984</v>
      </c>
      <c r="BQ373" s="593" t="s">
        <v>1984</v>
      </c>
      <c r="BR373" t="s">
        <v>1979</v>
      </c>
      <c r="BS373" t="s">
        <v>8093</v>
      </c>
      <c r="BT373">
        <v>0</v>
      </c>
      <c r="BU373" t="s">
        <v>8093</v>
      </c>
      <c r="BV373">
        <v>0</v>
      </c>
      <c r="BW373" t="s">
        <v>1984</v>
      </c>
      <c r="BX373" t="s">
        <v>1979</v>
      </c>
      <c r="BY373">
        <v>0</v>
      </c>
      <c r="BZ373">
        <v>0</v>
      </c>
      <c r="CA373">
        <v>0</v>
      </c>
      <c r="CB373">
        <v>0</v>
      </c>
      <c r="CD373" t="s">
        <v>10197</v>
      </c>
    </row>
    <row r="374" spans="1:82">
      <c r="A374" t="s">
        <v>7983</v>
      </c>
      <c r="B374" t="s">
        <v>10198</v>
      </c>
      <c r="C374" t="s">
        <v>7958</v>
      </c>
      <c r="D374" t="s">
        <v>1384</v>
      </c>
      <c r="E374" t="s">
        <v>8297</v>
      </c>
      <c r="F374" t="s">
        <v>10193</v>
      </c>
      <c r="G374" t="s">
        <v>10199</v>
      </c>
      <c r="H374" t="s">
        <v>10200</v>
      </c>
      <c r="I374" t="s">
        <v>10201</v>
      </c>
      <c r="J374" t="s">
        <v>8099</v>
      </c>
      <c r="K374" t="s">
        <v>8089</v>
      </c>
      <c r="M374" t="s">
        <v>1980</v>
      </c>
      <c r="N374" t="s">
        <v>8364</v>
      </c>
      <c r="O374" t="s">
        <v>8282</v>
      </c>
      <c r="P374" t="s">
        <v>8429</v>
      </c>
      <c r="Q374" t="s">
        <v>8092</v>
      </c>
      <c r="S374" t="s">
        <v>1984</v>
      </c>
      <c r="T374" t="s">
        <v>1984</v>
      </c>
      <c r="U374" t="s">
        <v>1984</v>
      </c>
      <c r="V374" t="s">
        <v>1984</v>
      </c>
      <c r="W374" t="s">
        <v>1984</v>
      </c>
      <c r="X374" t="s">
        <v>1984</v>
      </c>
      <c r="AE374" t="s">
        <v>1979</v>
      </c>
      <c r="AH374">
        <v>4</v>
      </c>
      <c r="AI374" t="s">
        <v>1979</v>
      </c>
      <c r="AJ374" t="s">
        <v>1979</v>
      </c>
      <c r="AK374" t="s">
        <v>1979</v>
      </c>
      <c r="AL374" t="s">
        <v>1979</v>
      </c>
      <c r="AM374" t="s">
        <v>1979</v>
      </c>
      <c r="AN374" t="s">
        <v>8430</v>
      </c>
      <c r="AO374" t="s">
        <v>8430</v>
      </c>
      <c r="AP374" t="s">
        <v>8430</v>
      </c>
      <c r="AQ374" t="s">
        <v>8430</v>
      </c>
      <c r="AR374" t="s">
        <v>8430</v>
      </c>
      <c r="AS374" t="s">
        <v>1982</v>
      </c>
      <c r="AT374" t="s">
        <v>1982</v>
      </c>
      <c r="AU374" t="s">
        <v>1982</v>
      </c>
      <c r="AV374" t="s">
        <v>1982</v>
      </c>
      <c r="AW374" t="s">
        <v>1982</v>
      </c>
      <c r="BH374">
        <v>4.5350000000000001</v>
      </c>
      <c r="BN374">
        <v>1</v>
      </c>
      <c r="BO374" t="s">
        <v>8092</v>
      </c>
      <c r="BP374" t="s">
        <v>8430</v>
      </c>
      <c r="BQ374" s="593" t="s">
        <v>1984</v>
      </c>
      <c r="BR374" t="s">
        <v>1979</v>
      </c>
      <c r="BS374" t="s">
        <v>8093</v>
      </c>
      <c r="BT374">
        <v>0</v>
      </c>
      <c r="BU374" t="s">
        <v>8093</v>
      </c>
      <c r="BV374">
        <v>0</v>
      </c>
      <c r="BW374" t="s">
        <v>1984</v>
      </c>
      <c r="BX374" t="s">
        <v>1979</v>
      </c>
      <c r="BY374">
        <v>0</v>
      </c>
      <c r="BZ374">
        <v>0</v>
      </c>
      <c r="CA374">
        <v>0</v>
      </c>
      <c r="CB374">
        <v>0</v>
      </c>
      <c r="CD374" t="s">
        <v>10202</v>
      </c>
    </row>
    <row r="375" spans="1:82" ht="25.5">
      <c r="A375" t="s">
        <v>7983</v>
      </c>
      <c r="B375" t="s">
        <v>10203</v>
      </c>
      <c r="C375" t="s">
        <v>7958</v>
      </c>
      <c r="D375" t="s">
        <v>1384</v>
      </c>
      <c r="E375" t="s">
        <v>8297</v>
      </c>
      <c r="F375" t="s">
        <v>10193</v>
      </c>
      <c r="G375" t="s">
        <v>10204</v>
      </c>
      <c r="H375" t="s">
        <v>10205</v>
      </c>
      <c r="I375" t="s">
        <v>10206</v>
      </c>
      <c r="J375" t="s">
        <v>8088</v>
      </c>
      <c r="K375" t="s">
        <v>8428</v>
      </c>
      <c r="M375" t="s">
        <v>1980</v>
      </c>
      <c r="N375" t="s">
        <v>8301</v>
      </c>
      <c r="O375" t="s">
        <v>11</v>
      </c>
      <c r="P375" t="s">
        <v>10207</v>
      </c>
      <c r="Q375">
        <v>0</v>
      </c>
      <c r="S375" t="s">
        <v>8565</v>
      </c>
      <c r="X375">
        <v>2127</v>
      </c>
      <c r="AD375" t="s">
        <v>1979</v>
      </c>
      <c r="AE375" t="s">
        <v>1979</v>
      </c>
      <c r="AH375">
        <v>0</v>
      </c>
      <c r="AM375" t="s">
        <v>1979</v>
      </c>
      <c r="AR375">
        <v>1459</v>
      </c>
      <c r="AW375">
        <v>2127</v>
      </c>
      <c r="BB375">
        <v>2127</v>
      </c>
      <c r="BG375">
        <v>2753</v>
      </c>
      <c r="BH375" t="s">
        <v>9321</v>
      </c>
      <c r="BL375" t="s">
        <v>9321</v>
      </c>
      <c r="BN375">
        <v>1</v>
      </c>
      <c r="BO375" t="s">
        <v>8092</v>
      </c>
      <c r="BP375" t="s">
        <v>1987</v>
      </c>
      <c r="BQ375" s="593" t="s">
        <v>1987</v>
      </c>
      <c r="BR375" t="s">
        <v>8093</v>
      </c>
      <c r="BS375" t="s">
        <v>8093</v>
      </c>
      <c r="BT375">
        <v>0</v>
      </c>
      <c r="BU375" t="s">
        <v>8093</v>
      </c>
      <c r="BV375">
        <v>0</v>
      </c>
      <c r="BW375" t="s">
        <v>1987</v>
      </c>
      <c r="BX375" t="s">
        <v>1981</v>
      </c>
      <c r="BY375">
        <v>0</v>
      </c>
      <c r="BZ375">
        <v>0</v>
      </c>
      <c r="CA375">
        <v>0</v>
      </c>
      <c r="CB375">
        <v>0</v>
      </c>
      <c r="CD375" t="s">
        <v>10208</v>
      </c>
    </row>
    <row r="376" spans="1:82">
      <c r="A376" t="s">
        <v>7983</v>
      </c>
      <c r="B376" t="s">
        <v>10209</v>
      </c>
      <c r="C376" t="s">
        <v>7958</v>
      </c>
      <c r="D376" t="s">
        <v>1384</v>
      </c>
      <c r="E376" t="s">
        <v>8297</v>
      </c>
      <c r="F376" t="s">
        <v>10193</v>
      </c>
      <c r="G376" t="s">
        <v>10210</v>
      </c>
      <c r="H376" t="s">
        <v>10211</v>
      </c>
      <c r="I376" t="s">
        <v>10212</v>
      </c>
      <c r="J376" t="s">
        <v>8088</v>
      </c>
      <c r="K376" t="s">
        <v>8089</v>
      </c>
      <c r="N376" t="s">
        <v>8301</v>
      </c>
      <c r="O376" t="s">
        <v>11</v>
      </c>
      <c r="P376" t="s">
        <v>10213</v>
      </c>
      <c r="Q376">
        <v>0</v>
      </c>
      <c r="R376" t="s">
        <v>8091</v>
      </c>
      <c r="S376">
        <v>1209</v>
      </c>
      <c r="T376">
        <v>1168</v>
      </c>
      <c r="U376">
        <v>1126</v>
      </c>
      <c r="V376">
        <v>1085</v>
      </c>
      <c r="W376">
        <v>1085</v>
      </c>
      <c r="X376">
        <v>1085</v>
      </c>
      <c r="AC376" t="s">
        <v>1979</v>
      </c>
      <c r="AE376" t="s">
        <v>1979</v>
      </c>
      <c r="AH376">
        <v>0</v>
      </c>
      <c r="AI376" t="s">
        <v>1979</v>
      </c>
      <c r="AJ376" t="s">
        <v>1979</v>
      </c>
      <c r="AK376" t="s">
        <v>1979</v>
      </c>
      <c r="AL376" t="s">
        <v>1979</v>
      </c>
      <c r="AM376" t="s">
        <v>1979</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8092</v>
      </c>
      <c r="BP376">
        <v>1017</v>
      </c>
      <c r="BQ376" s="594">
        <v>1410</v>
      </c>
      <c r="BR376" t="s">
        <v>1980</v>
      </c>
      <c r="BS376" t="s">
        <v>8093</v>
      </c>
      <c r="BT376">
        <v>0</v>
      </c>
      <c r="BU376" t="s">
        <v>1983</v>
      </c>
      <c r="BV376">
        <v>-11.7</v>
      </c>
      <c r="BW376">
        <v>1214</v>
      </c>
      <c r="BX376" t="s">
        <v>1980</v>
      </c>
      <c r="BY376">
        <v>0</v>
      </c>
      <c r="BZ376">
        <v>0</v>
      </c>
      <c r="CA376" t="s">
        <v>1983</v>
      </c>
      <c r="CB376">
        <v>-0.45</v>
      </c>
      <c r="CD376" t="s">
        <v>10214</v>
      </c>
    </row>
    <row r="377" spans="1:82">
      <c r="A377" t="s">
        <v>7983</v>
      </c>
      <c r="B377" t="s">
        <v>10215</v>
      </c>
      <c r="C377" t="s">
        <v>7958</v>
      </c>
      <c r="D377" t="s">
        <v>1384</v>
      </c>
      <c r="E377" t="s">
        <v>8297</v>
      </c>
      <c r="F377" t="s">
        <v>10193</v>
      </c>
      <c r="G377" t="s">
        <v>10216</v>
      </c>
      <c r="H377" t="s">
        <v>10217</v>
      </c>
      <c r="I377" t="s">
        <v>10218</v>
      </c>
      <c r="J377" t="s">
        <v>8088</v>
      </c>
      <c r="K377" t="s">
        <v>8089</v>
      </c>
      <c r="N377" t="s">
        <v>8314</v>
      </c>
      <c r="O377" t="s">
        <v>11</v>
      </c>
      <c r="P377" t="s">
        <v>10219</v>
      </c>
      <c r="Q377">
        <v>0</v>
      </c>
      <c r="R377" t="s">
        <v>8129</v>
      </c>
      <c r="S377" t="s">
        <v>8565</v>
      </c>
      <c r="X377">
        <v>20</v>
      </c>
      <c r="AE377" t="s">
        <v>1979</v>
      </c>
      <c r="AH377">
        <v>0</v>
      </c>
      <c r="AM377" t="s">
        <v>1979</v>
      </c>
      <c r="AR377">
        <v>10</v>
      </c>
      <c r="AW377">
        <v>20</v>
      </c>
      <c r="BB377">
        <v>20</v>
      </c>
      <c r="BG377">
        <v>50</v>
      </c>
      <c r="BH377">
        <v>0.51500000000000001</v>
      </c>
      <c r="BL377">
        <v>0.47499999999999998</v>
      </c>
      <c r="BN377">
        <v>1</v>
      </c>
      <c r="BO377" t="s">
        <v>8092</v>
      </c>
      <c r="BP377" t="s">
        <v>1987</v>
      </c>
      <c r="BQ377" s="594">
        <v>0</v>
      </c>
      <c r="BR377" t="s">
        <v>8093</v>
      </c>
      <c r="BS377" t="s">
        <v>8093</v>
      </c>
      <c r="BT377">
        <v>0</v>
      </c>
      <c r="BU377" t="s">
        <v>8093</v>
      </c>
      <c r="BV377">
        <v>0</v>
      </c>
      <c r="BW377">
        <v>0</v>
      </c>
      <c r="BX377" t="s">
        <v>1981</v>
      </c>
      <c r="BY377">
        <v>0</v>
      </c>
      <c r="BZ377">
        <v>0</v>
      </c>
      <c r="CA377">
        <v>0</v>
      </c>
      <c r="CB377">
        <v>0</v>
      </c>
      <c r="CD377" t="s">
        <v>10220</v>
      </c>
    </row>
    <row r="378" spans="1:82">
      <c r="A378" t="s">
        <v>7983</v>
      </c>
      <c r="B378" t="s">
        <v>10221</v>
      </c>
      <c r="C378" t="s">
        <v>7958</v>
      </c>
      <c r="D378" t="s">
        <v>1384</v>
      </c>
      <c r="E378" t="s">
        <v>8297</v>
      </c>
      <c r="F378" t="s">
        <v>10193</v>
      </c>
      <c r="G378" t="s">
        <v>10222</v>
      </c>
      <c r="H378" t="s">
        <v>10223</v>
      </c>
      <c r="I378" t="s">
        <v>10224</v>
      </c>
      <c r="J378" t="s">
        <v>8099</v>
      </c>
      <c r="K378" t="s">
        <v>8089</v>
      </c>
      <c r="M378" t="s">
        <v>1980</v>
      </c>
      <c r="N378" t="s">
        <v>4837</v>
      </c>
      <c r="O378" t="s">
        <v>10</v>
      </c>
      <c r="P378" t="s">
        <v>10130</v>
      </c>
      <c r="Q378">
        <v>0</v>
      </c>
      <c r="R378" t="s">
        <v>8129</v>
      </c>
      <c r="S378">
        <v>100</v>
      </c>
      <c r="X378">
        <v>100</v>
      </c>
      <c r="AD378" t="s">
        <v>1979</v>
      </c>
      <c r="AE378" t="s">
        <v>1979</v>
      </c>
      <c r="AH378">
        <v>0</v>
      </c>
      <c r="AM378" t="s">
        <v>1979</v>
      </c>
      <c r="AR378">
        <v>0</v>
      </c>
      <c r="AW378">
        <v>100</v>
      </c>
      <c r="BH378">
        <v>0.40400000000000003</v>
      </c>
      <c r="BN378">
        <v>1</v>
      </c>
      <c r="BO378" t="s">
        <v>8092</v>
      </c>
      <c r="BP378" t="s">
        <v>1987</v>
      </c>
      <c r="BQ378" s="594">
        <v>0</v>
      </c>
      <c r="BR378" t="s">
        <v>8093</v>
      </c>
      <c r="BS378" t="s">
        <v>8093</v>
      </c>
      <c r="BT378">
        <v>0</v>
      </c>
      <c r="BU378" t="s">
        <v>8093</v>
      </c>
      <c r="BV378">
        <v>0</v>
      </c>
      <c r="BW378" t="s">
        <v>1987</v>
      </c>
      <c r="BX378" t="s">
        <v>1981</v>
      </c>
      <c r="BY378">
        <v>0</v>
      </c>
      <c r="BZ378">
        <v>0</v>
      </c>
      <c r="CA378">
        <v>0</v>
      </c>
      <c r="CB378">
        <v>0</v>
      </c>
      <c r="CD378" t="s">
        <v>10225</v>
      </c>
    </row>
    <row r="379" spans="1:82">
      <c r="A379" t="s">
        <v>7983</v>
      </c>
      <c r="B379" t="s">
        <v>10226</v>
      </c>
      <c r="C379" t="s">
        <v>7958</v>
      </c>
      <c r="D379" t="s">
        <v>1384</v>
      </c>
      <c r="E379" t="s">
        <v>8297</v>
      </c>
      <c r="F379" t="s">
        <v>10193</v>
      </c>
      <c r="G379" t="s">
        <v>10227</v>
      </c>
      <c r="H379" t="s">
        <v>10228</v>
      </c>
      <c r="I379" t="s">
        <v>10229</v>
      </c>
      <c r="J379" t="s">
        <v>8099</v>
      </c>
      <c r="K379" t="s">
        <v>8089</v>
      </c>
      <c r="N379" t="s">
        <v>4821</v>
      </c>
      <c r="O379" t="s">
        <v>11</v>
      </c>
      <c r="P379" t="s">
        <v>10230</v>
      </c>
      <c r="Q379">
        <v>0</v>
      </c>
      <c r="R379" t="s">
        <v>8129</v>
      </c>
      <c r="X379">
        <v>1700000</v>
      </c>
      <c r="AE379" t="s">
        <v>1979</v>
      </c>
      <c r="AH379">
        <v>0</v>
      </c>
      <c r="AM379" t="s">
        <v>1979</v>
      </c>
      <c r="AR379">
        <v>1360000</v>
      </c>
      <c r="AW379">
        <v>1700000</v>
      </c>
      <c r="BH379">
        <v>7.1999999999999999E-7</v>
      </c>
      <c r="BN379">
        <v>1</v>
      </c>
      <c r="BO379" t="s">
        <v>8092</v>
      </c>
      <c r="BP379" t="s">
        <v>1987</v>
      </c>
      <c r="BQ379" s="594">
        <v>0</v>
      </c>
      <c r="BR379" t="s">
        <v>8093</v>
      </c>
      <c r="BS379" t="s">
        <v>8093</v>
      </c>
      <c r="BT379">
        <v>0</v>
      </c>
      <c r="BU379" t="s">
        <v>8093</v>
      </c>
      <c r="BV379">
        <v>0</v>
      </c>
      <c r="BW379">
        <v>0</v>
      </c>
      <c r="BX379" t="s">
        <v>1981</v>
      </c>
      <c r="BY379">
        <v>0</v>
      </c>
      <c r="BZ379">
        <v>0</v>
      </c>
      <c r="CA379">
        <v>0</v>
      </c>
      <c r="CB379">
        <v>0</v>
      </c>
      <c r="CD379" t="s">
        <v>10231</v>
      </c>
    </row>
    <row r="380" spans="1:82" ht="25.5">
      <c r="A380" t="s">
        <v>7983</v>
      </c>
      <c r="B380" t="s">
        <v>10232</v>
      </c>
      <c r="C380" t="s">
        <v>7958</v>
      </c>
      <c r="D380" t="s">
        <v>1384</v>
      </c>
      <c r="E380" t="s">
        <v>8297</v>
      </c>
      <c r="F380" t="s">
        <v>10193</v>
      </c>
      <c r="G380" t="s">
        <v>10233</v>
      </c>
      <c r="H380" t="s">
        <v>10234</v>
      </c>
      <c r="I380" t="s">
        <v>10235</v>
      </c>
      <c r="J380" t="s">
        <v>8099</v>
      </c>
      <c r="K380" t="s">
        <v>8089</v>
      </c>
      <c r="M380" t="s">
        <v>1980</v>
      </c>
      <c r="N380" t="s">
        <v>8252</v>
      </c>
      <c r="O380" t="s">
        <v>6241</v>
      </c>
      <c r="P380" t="s">
        <v>9474</v>
      </c>
      <c r="Q380" t="s">
        <v>8092</v>
      </c>
      <c r="T380" t="s">
        <v>8859</v>
      </c>
      <c r="AD380" t="s">
        <v>1979</v>
      </c>
      <c r="AF380" t="s">
        <v>1979</v>
      </c>
      <c r="AH380">
        <v>0</v>
      </c>
      <c r="AI380" t="s">
        <v>1979</v>
      </c>
      <c r="AJ380" t="s">
        <v>1979</v>
      </c>
      <c r="AK380" t="s">
        <v>1979</v>
      </c>
      <c r="AL380" t="s">
        <v>1979</v>
      </c>
      <c r="AM380" t="s">
        <v>1979</v>
      </c>
      <c r="AN380" t="s">
        <v>10236</v>
      </c>
      <c r="AO380" t="s">
        <v>10236</v>
      </c>
      <c r="AP380" t="s">
        <v>10236</v>
      </c>
      <c r="AQ380" t="s">
        <v>10236</v>
      </c>
      <c r="AR380" t="s">
        <v>10236</v>
      </c>
      <c r="AS380" t="s">
        <v>10236</v>
      </c>
      <c r="AT380" t="s">
        <v>10236</v>
      </c>
      <c r="AU380" t="s">
        <v>10236</v>
      </c>
      <c r="AV380" t="s">
        <v>10236</v>
      </c>
      <c r="AW380" t="s">
        <v>10236</v>
      </c>
      <c r="BH380">
        <v>6.7</v>
      </c>
      <c r="BN380">
        <v>1</v>
      </c>
      <c r="BO380" t="s">
        <v>8092</v>
      </c>
      <c r="BP380" t="s">
        <v>1987</v>
      </c>
      <c r="BQ380" s="593" t="s">
        <v>10237</v>
      </c>
      <c r="BR380" t="s">
        <v>1979</v>
      </c>
      <c r="BS380" t="s">
        <v>8093</v>
      </c>
      <c r="BT380">
        <v>0</v>
      </c>
      <c r="BU380" t="s">
        <v>8093</v>
      </c>
      <c r="BV380">
        <v>0</v>
      </c>
      <c r="BW380" t="s">
        <v>10238</v>
      </c>
      <c r="BX380" t="s">
        <v>1981</v>
      </c>
      <c r="BY380">
        <v>0</v>
      </c>
      <c r="BZ380">
        <v>0</v>
      </c>
      <c r="CA380">
        <v>0</v>
      </c>
      <c r="CB380">
        <v>0</v>
      </c>
      <c r="CD380" t="s">
        <v>10239</v>
      </c>
    </row>
    <row r="381" spans="1:82" ht="25.5">
      <c r="A381" t="s">
        <v>7983</v>
      </c>
      <c r="B381" t="s">
        <v>10240</v>
      </c>
      <c r="C381" t="s">
        <v>7958</v>
      </c>
      <c r="D381" t="s">
        <v>1384</v>
      </c>
      <c r="E381" t="s">
        <v>8297</v>
      </c>
      <c r="F381" t="s">
        <v>10193</v>
      </c>
      <c r="G381" t="s">
        <v>10241</v>
      </c>
      <c r="H381" t="s">
        <v>10242</v>
      </c>
      <c r="I381" t="s">
        <v>10243</v>
      </c>
      <c r="J381" t="s">
        <v>8099</v>
      </c>
      <c r="K381" t="s">
        <v>8089</v>
      </c>
      <c r="M381" t="s">
        <v>1980</v>
      </c>
      <c r="N381" t="s">
        <v>8252</v>
      </c>
      <c r="O381" t="s">
        <v>6241</v>
      </c>
      <c r="P381" t="s">
        <v>9474</v>
      </c>
      <c r="Q381" t="s">
        <v>8092</v>
      </c>
      <c r="U381" t="s">
        <v>8859</v>
      </c>
      <c r="AD381" t="s">
        <v>1979</v>
      </c>
      <c r="AF381" t="s">
        <v>1979</v>
      </c>
      <c r="AH381">
        <v>0</v>
      </c>
      <c r="AM381" t="s">
        <v>1979</v>
      </c>
      <c r="AR381" t="s">
        <v>10236</v>
      </c>
      <c r="AW381" t="s">
        <v>10236</v>
      </c>
      <c r="BH381">
        <v>198</v>
      </c>
      <c r="BN381">
        <v>1</v>
      </c>
      <c r="BO381" t="s">
        <v>8092</v>
      </c>
      <c r="BP381" t="s">
        <v>1987</v>
      </c>
      <c r="BQ381" s="594" t="s">
        <v>1987</v>
      </c>
      <c r="BR381" t="s">
        <v>8093</v>
      </c>
      <c r="BS381" t="s">
        <v>8093</v>
      </c>
      <c r="BT381">
        <v>0</v>
      </c>
      <c r="BU381" t="s">
        <v>8093</v>
      </c>
      <c r="BV381">
        <v>0</v>
      </c>
      <c r="BW381" t="s">
        <v>10244</v>
      </c>
      <c r="BX381" t="s">
        <v>1979</v>
      </c>
      <c r="BY381">
        <v>0</v>
      </c>
      <c r="BZ381">
        <v>0</v>
      </c>
      <c r="CA381">
        <v>0</v>
      </c>
      <c r="CB381">
        <v>0</v>
      </c>
      <c r="CD381" t="s">
        <v>10245</v>
      </c>
    </row>
    <row r="382" spans="1:82">
      <c r="A382" t="s">
        <v>7983</v>
      </c>
      <c r="B382" t="s">
        <v>10246</v>
      </c>
      <c r="C382" t="s">
        <v>7958</v>
      </c>
      <c r="D382" t="s">
        <v>1384</v>
      </c>
      <c r="E382" t="s">
        <v>8297</v>
      </c>
      <c r="F382" t="s">
        <v>10139</v>
      </c>
      <c r="G382" t="s">
        <v>10247</v>
      </c>
      <c r="H382" t="s">
        <v>10248</v>
      </c>
      <c r="I382" t="s">
        <v>10249</v>
      </c>
      <c r="J382" t="s">
        <v>8119</v>
      </c>
      <c r="N382" t="s">
        <v>8260</v>
      </c>
      <c r="O382" t="s">
        <v>11</v>
      </c>
      <c r="P382" t="s">
        <v>8753</v>
      </c>
      <c r="Q382">
        <v>1</v>
      </c>
      <c r="R382" t="s">
        <v>8091</v>
      </c>
      <c r="S382">
        <v>394.6</v>
      </c>
      <c r="T382">
        <v>368.1</v>
      </c>
      <c r="U382">
        <v>322.5</v>
      </c>
      <c r="V382">
        <v>290.5</v>
      </c>
      <c r="W382">
        <v>269.60000000000002</v>
      </c>
      <c r="X382">
        <v>260.60000000000002</v>
      </c>
      <c r="AH382">
        <v>0</v>
      </c>
      <c r="BP382" t="s">
        <v>1987</v>
      </c>
      <c r="BQ382" s="591">
        <v>468.53500000000003</v>
      </c>
      <c r="BR382" t="s">
        <v>1980</v>
      </c>
      <c r="BS382" t="s">
        <v>8093</v>
      </c>
      <c r="BT382">
        <v>0</v>
      </c>
      <c r="BU382" t="s">
        <v>8093</v>
      </c>
      <c r="BV382">
        <v>0</v>
      </c>
      <c r="BW382">
        <v>346.7</v>
      </c>
      <c r="BX382" t="s">
        <v>1979</v>
      </c>
      <c r="BY382">
        <v>0</v>
      </c>
      <c r="BZ382">
        <v>0</v>
      </c>
      <c r="CA382">
        <v>0</v>
      </c>
      <c r="CB382">
        <v>0</v>
      </c>
      <c r="CD382" t="s">
        <v>10250</v>
      </c>
    </row>
    <row r="383" spans="1:82">
      <c r="A383" t="s">
        <v>7983</v>
      </c>
      <c r="B383" t="s">
        <v>10251</v>
      </c>
      <c r="C383" t="s">
        <v>7958</v>
      </c>
      <c r="D383" t="s">
        <v>1384</v>
      </c>
      <c r="E383" t="s">
        <v>8297</v>
      </c>
      <c r="F383" t="s">
        <v>10139</v>
      </c>
      <c r="G383" t="s">
        <v>10252</v>
      </c>
      <c r="H383" t="s">
        <v>10253</v>
      </c>
      <c r="I383" t="s">
        <v>10254</v>
      </c>
      <c r="J383" t="s">
        <v>8088</v>
      </c>
      <c r="K383" t="s">
        <v>8089</v>
      </c>
      <c r="M383" t="s">
        <v>1980</v>
      </c>
      <c r="N383" t="s">
        <v>8337</v>
      </c>
      <c r="O383" t="s">
        <v>11</v>
      </c>
      <c r="P383" t="s">
        <v>9172</v>
      </c>
      <c r="Q383">
        <v>0</v>
      </c>
      <c r="R383" t="s">
        <v>8091</v>
      </c>
      <c r="S383">
        <v>340</v>
      </c>
      <c r="T383">
        <v>340</v>
      </c>
      <c r="U383">
        <v>340</v>
      </c>
      <c r="V383">
        <v>340</v>
      </c>
      <c r="W383">
        <v>340</v>
      </c>
      <c r="X383">
        <v>340</v>
      </c>
      <c r="AB383" t="s">
        <v>1979</v>
      </c>
      <c r="AE383" t="s">
        <v>1979</v>
      </c>
      <c r="AH383">
        <v>0</v>
      </c>
      <c r="AI383" t="s">
        <v>1979</v>
      </c>
      <c r="AJ383" t="s">
        <v>1979</v>
      </c>
      <c r="AK383" t="s">
        <v>1979</v>
      </c>
      <c r="AL383" t="s">
        <v>1979</v>
      </c>
      <c r="AM383" t="s">
        <v>1979</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8092</v>
      </c>
      <c r="BP383">
        <v>467</v>
      </c>
      <c r="BQ383" s="594">
        <v>232</v>
      </c>
      <c r="BR383" t="s">
        <v>1979</v>
      </c>
      <c r="BS383" t="s">
        <v>8093</v>
      </c>
      <c r="BT383">
        <v>0</v>
      </c>
      <c r="BU383" t="s">
        <v>8093</v>
      </c>
      <c r="BV383">
        <v>0</v>
      </c>
      <c r="BW383">
        <v>315</v>
      </c>
      <c r="BX383" t="s">
        <v>1979</v>
      </c>
      <c r="BY383">
        <v>0</v>
      </c>
      <c r="BZ383">
        <v>0</v>
      </c>
      <c r="CA383">
        <v>0</v>
      </c>
      <c r="CB383">
        <v>0</v>
      </c>
      <c r="CD383" t="s">
        <v>10255</v>
      </c>
    </row>
    <row r="384" spans="1:82">
      <c r="A384" t="s">
        <v>7983</v>
      </c>
      <c r="B384" t="s">
        <v>10256</v>
      </c>
      <c r="C384" t="s">
        <v>7958</v>
      </c>
      <c r="D384" t="s">
        <v>1384</v>
      </c>
      <c r="E384" t="s">
        <v>8297</v>
      </c>
      <c r="F384" t="s">
        <v>10139</v>
      </c>
      <c r="G384" t="s">
        <v>10257</v>
      </c>
      <c r="H384" t="s">
        <v>10258</v>
      </c>
      <c r="I384" t="s">
        <v>10259</v>
      </c>
      <c r="J384" t="s">
        <v>8099</v>
      </c>
      <c r="K384" t="s">
        <v>8089</v>
      </c>
      <c r="N384" t="s">
        <v>8252</v>
      </c>
      <c r="O384" t="s">
        <v>10</v>
      </c>
      <c r="P384" t="s">
        <v>10260</v>
      </c>
      <c r="Q384">
        <v>2</v>
      </c>
      <c r="R384" t="s">
        <v>8129</v>
      </c>
      <c r="S384">
        <v>98.88</v>
      </c>
      <c r="T384">
        <v>100</v>
      </c>
      <c r="U384">
        <v>100</v>
      </c>
      <c r="V384">
        <v>100</v>
      </c>
      <c r="W384">
        <v>100</v>
      </c>
      <c r="X384">
        <v>100</v>
      </c>
      <c r="AE384" t="s">
        <v>1979</v>
      </c>
      <c r="AH384">
        <v>0</v>
      </c>
      <c r="AI384" t="s">
        <v>1979</v>
      </c>
      <c r="AJ384" t="s">
        <v>1979</v>
      </c>
      <c r="AK384" t="s">
        <v>1979</v>
      </c>
      <c r="AL384" t="s">
        <v>1979</v>
      </c>
      <c r="AM384" t="s">
        <v>1979</v>
      </c>
      <c r="AN384">
        <v>96.61</v>
      </c>
      <c r="AO384">
        <v>96.61</v>
      </c>
      <c r="AP384">
        <v>96.61</v>
      </c>
      <c r="AQ384">
        <v>96.61</v>
      </c>
      <c r="AR384">
        <v>96.61</v>
      </c>
      <c r="AS384">
        <v>98.88</v>
      </c>
      <c r="AT384">
        <v>98.88</v>
      </c>
      <c r="AU384">
        <v>98.88</v>
      </c>
      <c r="AV384">
        <v>98.88</v>
      </c>
      <c r="AW384">
        <v>98.88</v>
      </c>
      <c r="BH384">
        <v>3.8450000000000002</v>
      </c>
      <c r="BN384">
        <v>1</v>
      </c>
      <c r="BO384" t="s">
        <v>8092</v>
      </c>
      <c r="BP384">
        <v>98.850574712643677</v>
      </c>
      <c r="BQ384" s="595">
        <v>99.132947976878611</v>
      </c>
      <c r="BR384" t="s">
        <v>1980</v>
      </c>
      <c r="BS384" t="s">
        <v>8093</v>
      </c>
      <c r="BT384">
        <v>0</v>
      </c>
      <c r="BU384" t="s">
        <v>1985</v>
      </c>
      <c r="BV384">
        <v>0</v>
      </c>
      <c r="BW384">
        <v>98.28</v>
      </c>
      <c r="BX384" t="s">
        <v>1980</v>
      </c>
      <c r="BY384">
        <v>0</v>
      </c>
      <c r="BZ384">
        <v>0</v>
      </c>
      <c r="CA384" t="s">
        <v>1983</v>
      </c>
      <c r="CB384">
        <v>-2.3069999999999999</v>
      </c>
      <c r="CD384" t="s">
        <v>10261</v>
      </c>
    </row>
    <row r="385" spans="1:82">
      <c r="A385" t="s">
        <v>7983</v>
      </c>
      <c r="B385" t="s">
        <v>10262</v>
      </c>
      <c r="C385" t="s">
        <v>7958</v>
      </c>
      <c r="D385" t="s">
        <v>1384</v>
      </c>
      <c r="E385" t="s">
        <v>8297</v>
      </c>
      <c r="F385" t="s">
        <v>10139</v>
      </c>
      <c r="G385" t="s">
        <v>10263</v>
      </c>
      <c r="H385" t="s">
        <v>10264</v>
      </c>
      <c r="I385" t="s">
        <v>10265</v>
      </c>
      <c r="J385" t="s">
        <v>8119</v>
      </c>
      <c r="N385" t="s">
        <v>9623</v>
      </c>
      <c r="O385" t="s">
        <v>11</v>
      </c>
      <c r="P385" t="s">
        <v>10266</v>
      </c>
      <c r="Q385">
        <v>0</v>
      </c>
      <c r="R385" t="s">
        <v>8129</v>
      </c>
      <c r="S385" t="s">
        <v>8565</v>
      </c>
      <c r="X385">
        <v>13</v>
      </c>
      <c r="AH385">
        <v>0</v>
      </c>
      <c r="BP385" t="s">
        <v>1987</v>
      </c>
      <c r="BQ385" s="594">
        <v>0</v>
      </c>
      <c r="BR385" t="s">
        <v>8093</v>
      </c>
      <c r="BS385" t="s">
        <v>8093</v>
      </c>
      <c r="BT385">
        <v>0</v>
      </c>
      <c r="BU385" t="s">
        <v>8093</v>
      </c>
      <c r="BV385">
        <v>0</v>
      </c>
      <c r="BW385">
        <v>0</v>
      </c>
      <c r="BX385" t="s">
        <v>1981</v>
      </c>
      <c r="BY385">
        <v>0</v>
      </c>
      <c r="BZ385">
        <v>0</v>
      </c>
      <c r="CA385">
        <v>0</v>
      </c>
      <c r="CB385">
        <v>0</v>
      </c>
      <c r="CD385" t="s">
        <v>10267</v>
      </c>
    </row>
    <row r="386" spans="1:82">
      <c r="A386" t="s">
        <v>7983</v>
      </c>
      <c r="B386" t="s">
        <v>10268</v>
      </c>
      <c r="C386" t="s">
        <v>7958</v>
      </c>
      <c r="D386" t="s">
        <v>1384</v>
      </c>
      <c r="E386" t="s">
        <v>8297</v>
      </c>
      <c r="F386" t="s">
        <v>10139</v>
      </c>
      <c r="G386" t="s">
        <v>10269</v>
      </c>
      <c r="H386" t="s">
        <v>10270</v>
      </c>
      <c r="I386" t="s">
        <v>10271</v>
      </c>
      <c r="J386" t="s">
        <v>8119</v>
      </c>
      <c r="N386" t="s">
        <v>749</v>
      </c>
      <c r="O386" t="s">
        <v>10</v>
      </c>
      <c r="P386" t="s">
        <v>9989</v>
      </c>
      <c r="Q386">
        <v>0</v>
      </c>
      <c r="R386" t="s">
        <v>8129</v>
      </c>
      <c r="S386">
        <v>100</v>
      </c>
      <c r="T386">
        <v>100</v>
      </c>
      <c r="U386">
        <v>100</v>
      </c>
      <c r="V386">
        <v>100</v>
      </c>
      <c r="W386">
        <v>100</v>
      </c>
      <c r="X386">
        <v>100</v>
      </c>
      <c r="AE386" t="s">
        <v>1979</v>
      </c>
      <c r="AH386">
        <v>0</v>
      </c>
      <c r="BP386">
        <v>100</v>
      </c>
      <c r="BQ386" s="594">
        <v>100</v>
      </c>
      <c r="BR386" t="s">
        <v>1979</v>
      </c>
      <c r="BS386" t="s">
        <v>8093</v>
      </c>
      <c r="BT386">
        <v>0</v>
      </c>
      <c r="BU386" t="s">
        <v>8093</v>
      </c>
      <c r="BV386">
        <v>0</v>
      </c>
      <c r="BW386">
        <v>100</v>
      </c>
      <c r="BX386" t="s">
        <v>1979</v>
      </c>
      <c r="BY386">
        <v>0</v>
      </c>
      <c r="BZ386">
        <v>0</v>
      </c>
      <c r="CA386">
        <v>0</v>
      </c>
      <c r="CB386">
        <v>0</v>
      </c>
      <c r="CD386" t="s">
        <v>10272</v>
      </c>
    </row>
    <row r="387" spans="1:82">
      <c r="A387" t="s">
        <v>7983</v>
      </c>
      <c r="B387" t="s">
        <v>10273</v>
      </c>
      <c r="C387" t="s">
        <v>7958</v>
      </c>
      <c r="D387" t="s">
        <v>1384</v>
      </c>
      <c r="E387" t="s">
        <v>8297</v>
      </c>
      <c r="F387" t="s">
        <v>10139</v>
      </c>
      <c r="G387" t="s">
        <v>10274</v>
      </c>
      <c r="H387" t="s">
        <v>10275</v>
      </c>
      <c r="I387" t="s">
        <v>10276</v>
      </c>
      <c r="J387" t="s">
        <v>8119</v>
      </c>
      <c r="N387" t="s">
        <v>9160</v>
      </c>
      <c r="O387" t="s">
        <v>11</v>
      </c>
      <c r="P387" t="s">
        <v>10162</v>
      </c>
      <c r="Q387">
        <v>0</v>
      </c>
      <c r="R387" t="s">
        <v>8129</v>
      </c>
      <c r="S387">
        <v>14000</v>
      </c>
      <c r="T387">
        <v>15000</v>
      </c>
      <c r="U387">
        <v>16000</v>
      </c>
      <c r="V387">
        <v>17000</v>
      </c>
      <c r="W387">
        <v>18000</v>
      </c>
      <c r="X387">
        <v>20000</v>
      </c>
      <c r="AH387">
        <v>0</v>
      </c>
      <c r="BP387" t="s">
        <v>1987</v>
      </c>
      <c r="BQ387" s="594">
        <v>17491</v>
      </c>
      <c r="BR387" t="s">
        <v>1979</v>
      </c>
      <c r="BS387" t="s">
        <v>8093</v>
      </c>
      <c r="BT387">
        <v>0</v>
      </c>
      <c r="BU387" t="s">
        <v>8093</v>
      </c>
      <c r="BV387">
        <v>0</v>
      </c>
      <c r="BW387">
        <v>20898</v>
      </c>
      <c r="BX387" t="s">
        <v>1979</v>
      </c>
      <c r="BY387">
        <v>0</v>
      </c>
      <c r="BZ387">
        <v>0</v>
      </c>
      <c r="CA387">
        <v>0</v>
      </c>
      <c r="CB387">
        <v>0</v>
      </c>
      <c r="CD387" t="s">
        <v>10277</v>
      </c>
    </row>
    <row r="388" spans="1:82">
      <c r="A388" t="s">
        <v>7983</v>
      </c>
      <c r="B388" t="s">
        <v>10278</v>
      </c>
      <c r="C388" t="s">
        <v>7958</v>
      </c>
      <c r="D388" t="s">
        <v>1384</v>
      </c>
      <c r="E388" t="s">
        <v>8297</v>
      </c>
      <c r="F388" t="s">
        <v>10139</v>
      </c>
      <c r="G388" t="s">
        <v>10279</v>
      </c>
      <c r="H388" t="s">
        <v>10280</v>
      </c>
      <c r="I388" t="s">
        <v>10281</v>
      </c>
      <c r="J388" t="s">
        <v>8088</v>
      </c>
      <c r="K388" t="s">
        <v>8089</v>
      </c>
      <c r="M388" t="s">
        <v>1980</v>
      </c>
      <c r="N388" t="s">
        <v>9432</v>
      </c>
      <c r="O388" t="s">
        <v>11</v>
      </c>
      <c r="P388" t="s">
        <v>10282</v>
      </c>
      <c r="Q388">
        <v>0</v>
      </c>
      <c r="R388" t="s">
        <v>8129</v>
      </c>
      <c r="S388">
        <v>14311</v>
      </c>
      <c r="T388">
        <v>0</v>
      </c>
      <c r="U388">
        <v>793</v>
      </c>
      <c r="V388">
        <v>1771</v>
      </c>
      <c r="W388">
        <v>6593</v>
      </c>
      <c r="X388">
        <v>6593</v>
      </c>
      <c r="AH388">
        <v>0</v>
      </c>
      <c r="AI388" t="s">
        <v>1979</v>
      </c>
      <c r="AJ388" t="s">
        <v>1979</v>
      </c>
      <c r="AK388" t="s">
        <v>1979</v>
      </c>
      <c r="AL388" t="s">
        <v>1979</v>
      </c>
      <c r="AM388" t="s">
        <v>1979</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8092</v>
      </c>
      <c r="BP388" t="s">
        <v>1987</v>
      </c>
      <c r="BQ388" s="594">
        <v>0</v>
      </c>
      <c r="BR388" t="s">
        <v>1979</v>
      </c>
      <c r="BS388" t="s">
        <v>8093</v>
      </c>
      <c r="BT388">
        <v>0</v>
      </c>
      <c r="BU388" t="s">
        <v>8093</v>
      </c>
      <c r="BV388">
        <v>0</v>
      </c>
      <c r="BW388">
        <v>1305</v>
      </c>
      <c r="BX388" t="s">
        <v>1979</v>
      </c>
      <c r="BY388">
        <v>0</v>
      </c>
      <c r="BZ388">
        <v>0</v>
      </c>
      <c r="CA388" t="s">
        <v>1988</v>
      </c>
      <c r="CB388">
        <v>0.11260000000000001</v>
      </c>
      <c r="CD388" t="s">
        <v>10283</v>
      </c>
    </row>
    <row r="389" spans="1:82">
      <c r="A389" t="s">
        <v>7983</v>
      </c>
      <c r="B389" t="s">
        <v>10284</v>
      </c>
      <c r="C389" t="s">
        <v>7958</v>
      </c>
      <c r="D389" t="s">
        <v>1384</v>
      </c>
      <c r="E389" t="s">
        <v>8297</v>
      </c>
      <c r="F389" t="s">
        <v>10139</v>
      </c>
      <c r="G389" t="s">
        <v>10285</v>
      </c>
      <c r="H389" t="s">
        <v>10286</v>
      </c>
      <c r="I389" t="s">
        <v>10287</v>
      </c>
      <c r="J389" t="s">
        <v>8099</v>
      </c>
      <c r="K389" t="s">
        <v>8428</v>
      </c>
      <c r="M389" t="s">
        <v>1980</v>
      </c>
      <c r="N389" t="s">
        <v>8252</v>
      </c>
      <c r="O389" t="s">
        <v>10</v>
      </c>
      <c r="P389" t="s">
        <v>10168</v>
      </c>
      <c r="Q389">
        <v>0</v>
      </c>
      <c r="R389" t="s">
        <v>8129</v>
      </c>
      <c r="S389" t="s">
        <v>8565</v>
      </c>
      <c r="X389">
        <v>100</v>
      </c>
      <c r="AD389" t="s">
        <v>1979</v>
      </c>
      <c r="AF389" t="s">
        <v>1979</v>
      </c>
      <c r="AH389">
        <v>0</v>
      </c>
      <c r="AM389" t="s">
        <v>1979</v>
      </c>
      <c r="AR389" t="s">
        <v>10288</v>
      </c>
      <c r="AW389">
        <v>100</v>
      </c>
      <c r="BH389">
        <v>0.40400000000000003</v>
      </c>
      <c r="BN389">
        <v>1</v>
      </c>
      <c r="BO389" t="s">
        <v>8092</v>
      </c>
      <c r="BP389" t="s">
        <v>1987</v>
      </c>
      <c r="BQ389" s="594">
        <v>0</v>
      </c>
      <c r="BR389" t="s">
        <v>8093</v>
      </c>
      <c r="BS389" t="s">
        <v>8093</v>
      </c>
      <c r="BT389">
        <v>0</v>
      </c>
      <c r="BU389" t="s">
        <v>8093</v>
      </c>
      <c r="BV389">
        <v>0</v>
      </c>
      <c r="BW389">
        <v>0</v>
      </c>
      <c r="BX389" t="s">
        <v>1981</v>
      </c>
      <c r="BY389">
        <v>0</v>
      </c>
      <c r="BZ389">
        <v>0</v>
      </c>
      <c r="CA389">
        <v>0</v>
      </c>
      <c r="CB389">
        <v>0</v>
      </c>
      <c r="CD389" t="s">
        <v>10289</v>
      </c>
    </row>
    <row r="390" spans="1:82">
      <c r="A390" t="s">
        <v>7983</v>
      </c>
      <c r="B390" t="s">
        <v>10290</v>
      </c>
      <c r="C390" t="s">
        <v>7958</v>
      </c>
      <c r="D390" t="s">
        <v>1384</v>
      </c>
      <c r="E390" t="s">
        <v>8297</v>
      </c>
      <c r="F390" t="s">
        <v>10139</v>
      </c>
      <c r="G390" t="s">
        <v>10291</v>
      </c>
      <c r="H390" t="s">
        <v>10292</v>
      </c>
      <c r="I390" t="s">
        <v>10293</v>
      </c>
      <c r="J390" t="s">
        <v>8088</v>
      </c>
      <c r="K390" t="s">
        <v>8428</v>
      </c>
      <c r="M390" t="s">
        <v>1980</v>
      </c>
      <c r="N390" t="s">
        <v>8252</v>
      </c>
      <c r="O390" t="s">
        <v>11</v>
      </c>
      <c r="P390" t="s">
        <v>10294</v>
      </c>
      <c r="Q390">
        <v>1</v>
      </c>
      <c r="R390" t="s">
        <v>8129</v>
      </c>
      <c r="S390" t="s">
        <v>8565</v>
      </c>
      <c r="X390">
        <v>151.80000000000001</v>
      </c>
      <c r="AD390" t="s">
        <v>1979</v>
      </c>
      <c r="AF390" t="s">
        <v>1979</v>
      </c>
      <c r="AH390">
        <v>0</v>
      </c>
      <c r="AM390" t="s">
        <v>1979</v>
      </c>
      <c r="AR390">
        <v>0</v>
      </c>
      <c r="AW390">
        <v>151.80000000000001</v>
      </c>
      <c r="BB390">
        <v>151.80000000000001</v>
      </c>
      <c r="BG390">
        <v>199</v>
      </c>
      <c r="BH390" t="s">
        <v>9321</v>
      </c>
      <c r="BL390" t="s">
        <v>9321</v>
      </c>
      <c r="BN390">
        <v>1</v>
      </c>
      <c r="BO390" t="s">
        <v>8092</v>
      </c>
      <c r="BP390" t="s">
        <v>1987</v>
      </c>
      <c r="BQ390" s="591">
        <v>0</v>
      </c>
      <c r="BR390" t="s">
        <v>8093</v>
      </c>
      <c r="BS390" t="s">
        <v>8093</v>
      </c>
      <c r="BT390">
        <v>0</v>
      </c>
      <c r="BU390" t="s">
        <v>8093</v>
      </c>
      <c r="BV390">
        <v>0</v>
      </c>
      <c r="BW390">
        <v>0</v>
      </c>
      <c r="BX390" t="s">
        <v>1981</v>
      </c>
      <c r="BY390">
        <v>0</v>
      </c>
      <c r="BZ390">
        <v>0</v>
      </c>
      <c r="CA390">
        <v>0</v>
      </c>
      <c r="CB390">
        <v>0</v>
      </c>
      <c r="CD390" t="s">
        <v>10295</v>
      </c>
    </row>
    <row r="391" spans="1:82">
      <c r="A391" t="s">
        <v>7983</v>
      </c>
      <c r="B391" t="s">
        <v>10296</v>
      </c>
      <c r="C391" t="s">
        <v>7958</v>
      </c>
      <c r="D391" t="s">
        <v>1384</v>
      </c>
      <c r="E391" t="s">
        <v>8297</v>
      </c>
      <c r="F391" t="s">
        <v>10171</v>
      </c>
      <c r="G391" t="s">
        <v>10297</v>
      </c>
      <c r="H391" t="s">
        <v>10298</v>
      </c>
      <c r="I391" t="s">
        <v>10299</v>
      </c>
      <c r="J391" t="s">
        <v>8119</v>
      </c>
      <c r="N391" t="s">
        <v>8260</v>
      </c>
      <c r="O391" t="s">
        <v>11</v>
      </c>
      <c r="P391" t="s">
        <v>10175</v>
      </c>
      <c r="Q391">
        <v>0</v>
      </c>
      <c r="R391" t="s">
        <v>8091</v>
      </c>
      <c r="S391">
        <v>457</v>
      </c>
      <c r="T391">
        <v>428</v>
      </c>
      <c r="U391">
        <v>392</v>
      </c>
      <c r="V391">
        <v>329</v>
      </c>
      <c r="W391">
        <v>303</v>
      </c>
      <c r="X391">
        <v>295</v>
      </c>
      <c r="AH391">
        <v>0</v>
      </c>
      <c r="BP391" t="s">
        <v>1987</v>
      </c>
      <c r="BQ391" s="594">
        <v>532.63699999999994</v>
      </c>
      <c r="BR391" t="s">
        <v>1980</v>
      </c>
      <c r="BS391" t="s">
        <v>8093</v>
      </c>
      <c r="BT391">
        <v>0</v>
      </c>
      <c r="BU391" t="s">
        <v>8093</v>
      </c>
      <c r="BV391">
        <v>0</v>
      </c>
      <c r="BW391">
        <v>476.5</v>
      </c>
      <c r="BX391" t="s">
        <v>1980</v>
      </c>
      <c r="BY391">
        <v>0</v>
      </c>
      <c r="BZ391">
        <v>0</v>
      </c>
      <c r="CA391">
        <v>0</v>
      </c>
      <c r="CB391">
        <v>0</v>
      </c>
      <c r="CD391" t="s">
        <v>10300</v>
      </c>
    </row>
    <row r="392" spans="1:82">
      <c r="A392" t="s">
        <v>7983</v>
      </c>
      <c r="B392" t="s">
        <v>10301</v>
      </c>
      <c r="C392" t="s">
        <v>7958</v>
      </c>
      <c r="D392" t="s">
        <v>10302</v>
      </c>
      <c r="E392" t="s">
        <v>751</v>
      </c>
      <c r="F392" t="s">
        <v>10303</v>
      </c>
      <c r="G392" t="s">
        <v>10304</v>
      </c>
      <c r="H392" t="s">
        <v>10305</v>
      </c>
      <c r="I392" t="s">
        <v>10306</v>
      </c>
      <c r="J392" t="s">
        <v>8119</v>
      </c>
      <c r="N392" t="s">
        <v>8252</v>
      </c>
      <c r="O392" t="s">
        <v>6241</v>
      </c>
      <c r="P392" t="s">
        <v>10307</v>
      </c>
      <c r="Q392" t="s">
        <v>8092</v>
      </c>
      <c r="T392" t="s">
        <v>10308</v>
      </c>
      <c r="AD392" t="s">
        <v>1979</v>
      </c>
      <c r="AF392" t="s">
        <v>1979</v>
      </c>
      <c r="AH392">
        <v>0</v>
      </c>
      <c r="BP392" t="s">
        <v>1987</v>
      </c>
      <c r="BQ392" s="593" t="s">
        <v>8564</v>
      </c>
      <c r="BR392" t="s">
        <v>1979</v>
      </c>
      <c r="BS392" t="s">
        <v>8093</v>
      </c>
      <c r="BT392">
        <v>0</v>
      </c>
      <c r="BU392" t="s">
        <v>8093</v>
      </c>
      <c r="BV392">
        <v>0</v>
      </c>
      <c r="BW392" t="s">
        <v>10309</v>
      </c>
      <c r="BX392" t="s">
        <v>1981</v>
      </c>
      <c r="BY392">
        <v>0</v>
      </c>
      <c r="BZ392">
        <v>0</v>
      </c>
      <c r="CA392">
        <v>0</v>
      </c>
      <c r="CB392">
        <v>0</v>
      </c>
      <c r="CD392" t="s">
        <v>10310</v>
      </c>
    </row>
    <row r="393" spans="1:82">
      <c r="A393" t="s">
        <v>7983</v>
      </c>
      <c r="B393" t="s">
        <v>10311</v>
      </c>
      <c r="C393" t="s">
        <v>7958</v>
      </c>
      <c r="D393" t="s">
        <v>10302</v>
      </c>
      <c r="E393" t="s">
        <v>751</v>
      </c>
      <c r="F393" t="s">
        <v>10303</v>
      </c>
      <c r="G393" t="s">
        <v>10312</v>
      </c>
      <c r="H393" t="s">
        <v>10313</v>
      </c>
      <c r="I393" t="s">
        <v>10314</v>
      </c>
      <c r="J393" t="s">
        <v>8119</v>
      </c>
      <c r="N393" t="s">
        <v>8252</v>
      </c>
      <c r="O393" t="s">
        <v>6241</v>
      </c>
      <c r="P393" t="s">
        <v>10315</v>
      </c>
      <c r="Q393" t="s">
        <v>8092</v>
      </c>
      <c r="T393" t="s">
        <v>10316</v>
      </c>
      <c r="U393" t="s">
        <v>10316</v>
      </c>
      <c r="V393" t="s">
        <v>10316</v>
      </c>
      <c r="W393" t="s">
        <v>10316</v>
      </c>
      <c r="X393" t="s">
        <v>10316</v>
      </c>
      <c r="AD393" t="s">
        <v>1979</v>
      </c>
      <c r="AF393" t="s">
        <v>1979</v>
      </c>
      <c r="AH393">
        <v>0</v>
      </c>
      <c r="BP393" t="s">
        <v>1987</v>
      </c>
      <c r="BQ393" s="593">
        <v>13</v>
      </c>
      <c r="BR393" t="s">
        <v>1979</v>
      </c>
      <c r="BS393" t="s">
        <v>8093</v>
      </c>
      <c r="BT393">
        <v>0</v>
      </c>
      <c r="BU393" t="s">
        <v>8093</v>
      </c>
      <c r="BV393">
        <v>0</v>
      </c>
      <c r="BW393" t="s">
        <v>10317</v>
      </c>
      <c r="BX393" t="s">
        <v>1979</v>
      </c>
      <c r="BY393">
        <v>0</v>
      </c>
      <c r="BZ393">
        <v>0</v>
      </c>
      <c r="CA393">
        <v>0</v>
      </c>
      <c r="CB393">
        <v>0</v>
      </c>
      <c r="CD393" t="s">
        <v>10318</v>
      </c>
    </row>
    <row r="394" spans="1:82">
      <c r="A394" t="s">
        <v>7983</v>
      </c>
      <c r="B394" t="s">
        <v>10319</v>
      </c>
      <c r="C394" t="s">
        <v>7958</v>
      </c>
      <c r="D394" t="s">
        <v>10302</v>
      </c>
      <c r="E394" t="s">
        <v>751</v>
      </c>
      <c r="F394" t="s">
        <v>10303</v>
      </c>
      <c r="G394" t="s">
        <v>10320</v>
      </c>
      <c r="H394" t="s">
        <v>10321</v>
      </c>
      <c r="I394" t="s">
        <v>10322</v>
      </c>
      <c r="J394" t="s">
        <v>8099</v>
      </c>
      <c r="K394" t="s">
        <v>8428</v>
      </c>
      <c r="M394" t="s">
        <v>1980</v>
      </c>
      <c r="N394" t="s">
        <v>8252</v>
      </c>
      <c r="O394" t="s">
        <v>11</v>
      </c>
      <c r="P394" t="s">
        <v>10323</v>
      </c>
      <c r="Q394">
        <v>0</v>
      </c>
      <c r="R394" t="s">
        <v>8129</v>
      </c>
      <c r="S394">
        <v>0</v>
      </c>
      <c r="T394">
        <v>8</v>
      </c>
      <c r="U394">
        <v>10</v>
      </c>
      <c r="V394">
        <v>20</v>
      </c>
      <c r="W394">
        <v>21</v>
      </c>
      <c r="X394">
        <v>23</v>
      </c>
      <c r="AD394" t="s">
        <v>1979</v>
      </c>
      <c r="AF394" t="s">
        <v>1979</v>
      </c>
      <c r="AH394">
        <v>0</v>
      </c>
      <c r="AI394" t="s">
        <v>1979</v>
      </c>
      <c r="AJ394" t="s">
        <v>1979</v>
      </c>
      <c r="AK394" t="s">
        <v>1979</v>
      </c>
      <c r="AL394" t="s">
        <v>1979</v>
      </c>
      <c r="AM394" t="s">
        <v>1979</v>
      </c>
      <c r="AN394">
        <v>0</v>
      </c>
      <c r="AO394">
        <v>0</v>
      </c>
      <c r="AP394">
        <v>0</v>
      </c>
      <c r="AQ394">
        <v>0</v>
      </c>
      <c r="AR394">
        <v>0</v>
      </c>
      <c r="AS394">
        <v>8</v>
      </c>
      <c r="AT394">
        <v>10</v>
      </c>
      <c r="AU394">
        <v>20</v>
      </c>
      <c r="AV394">
        <v>21</v>
      </c>
      <c r="AW394">
        <v>23</v>
      </c>
      <c r="BH394">
        <v>3.4</v>
      </c>
      <c r="BN394">
        <v>1</v>
      </c>
      <c r="BO394" t="s">
        <v>8092</v>
      </c>
      <c r="BP394">
        <v>0</v>
      </c>
      <c r="BQ394" s="594">
        <v>9</v>
      </c>
      <c r="BR394" t="s">
        <v>1979</v>
      </c>
      <c r="BS394" t="s">
        <v>8093</v>
      </c>
      <c r="BT394">
        <v>0</v>
      </c>
      <c r="BU394" t="s">
        <v>8093</v>
      </c>
      <c r="BV394">
        <v>0</v>
      </c>
      <c r="BW394">
        <v>19</v>
      </c>
      <c r="BX394" t="s">
        <v>1979</v>
      </c>
      <c r="BY394">
        <v>0</v>
      </c>
      <c r="BZ394">
        <v>0</v>
      </c>
      <c r="CA394">
        <v>0</v>
      </c>
      <c r="CB394">
        <v>0</v>
      </c>
      <c r="CD394" t="s">
        <v>10324</v>
      </c>
    </row>
    <row r="395" spans="1:82" ht="25.5">
      <c r="A395" t="s">
        <v>7983</v>
      </c>
      <c r="B395" t="s">
        <v>10325</v>
      </c>
      <c r="C395" t="s">
        <v>7958</v>
      </c>
      <c r="D395" t="s">
        <v>10302</v>
      </c>
      <c r="E395" t="s">
        <v>751</v>
      </c>
      <c r="F395" t="s">
        <v>10303</v>
      </c>
      <c r="G395" t="s">
        <v>10326</v>
      </c>
      <c r="H395" t="s">
        <v>10327</v>
      </c>
      <c r="I395" t="s">
        <v>10328</v>
      </c>
      <c r="J395" t="s">
        <v>8119</v>
      </c>
      <c r="N395" t="s">
        <v>8252</v>
      </c>
      <c r="O395" t="s">
        <v>6241</v>
      </c>
      <c r="P395" t="s">
        <v>10329</v>
      </c>
      <c r="Q395" t="s">
        <v>8092</v>
      </c>
      <c r="S395" t="s">
        <v>8565</v>
      </c>
      <c r="T395" t="s">
        <v>10330</v>
      </c>
      <c r="U395" t="s">
        <v>10330</v>
      </c>
      <c r="V395" t="s">
        <v>10330</v>
      </c>
      <c r="W395" t="s">
        <v>10330</v>
      </c>
      <c r="X395" t="s">
        <v>10330</v>
      </c>
      <c r="AD395" t="s">
        <v>1979</v>
      </c>
      <c r="AF395" t="s">
        <v>1979</v>
      </c>
      <c r="AH395">
        <v>0</v>
      </c>
      <c r="BP395" t="s">
        <v>1987</v>
      </c>
      <c r="BQ395" s="593" t="s">
        <v>1987</v>
      </c>
      <c r="BR395" t="s">
        <v>8093</v>
      </c>
      <c r="BS395" t="s">
        <v>8093</v>
      </c>
      <c r="BT395">
        <v>0</v>
      </c>
      <c r="BU395" t="s">
        <v>8093</v>
      </c>
      <c r="BV395">
        <v>0</v>
      </c>
      <c r="BW395" t="s">
        <v>10331</v>
      </c>
      <c r="BX395" t="s">
        <v>1979</v>
      </c>
      <c r="BY395">
        <v>0</v>
      </c>
      <c r="BZ395">
        <v>0</v>
      </c>
      <c r="CA395">
        <v>0</v>
      </c>
      <c r="CB395">
        <v>0</v>
      </c>
      <c r="CD395" t="s">
        <v>10332</v>
      </c>
    </row>
    <row r="396" spans="1:82" ht="242.25">
      <c r="A396" t="s">
        <v>7983</v>
      </c>
      <c r="B396" t="s">
        <v>10333</v>
      </c>
      <c r="C396" t="s">
        <v>7958</v>
      </c>
      <c r="D396" t="s">
        <v>10302</v>
      </c>
      <c r="E396" t="s">
        <v>751</v>
      </c>
      <c r="F396" t="s">
        <v>10303</v>
      </c>
      <c r="G396" t="s">
        <v>10334</v>
      </c>
      <c r="H396" t="s">
        <v>10335</v>
      </c>
      <c r="I396" t="s">
        <v>10336</v>
      </c>
      <c r="J396" t="s">
        <v>8119</v>
      </c>
      <c r="N396" t="s">
        <v>8252</v>
      </c>
      <c r="O396" t="s">
        <v>6241</v>
      </c>
      <c r="P396" t="s">
        <v>10337</v>
      </c>
      <c r="Q396" t="s">
        <v>8092</v>
      </c>
      <c r="T396" t="s">
        <v>8497</v>
      </c>
      <c r="U396" t="s">
        <v>8497</v>
      </c>
      <c r="V396" t="s">
        <v>8497</v>
      </c>
      <c r="W396" t="s">
        <v>8497</v>
      </c>
      <c r="X396" t="s">
        <v>8497</v>
      </c>
      <c r="AD396" t="s">
        <v>1979</v>
      </c>
      <c r="AF396" t="s">
        <v>1979</v>
      </c>
      <c r="AH396">
        <v>0</v>
      </c>
      <c r="BP396" t="s">
        <v>10338</v>
      </c>
      <c r="BQ396" s="593" t="s">
        <v>10339</v>
      </c>
      <c r="BR396" t="s">
        <v>8093</v>
      </c>
      <c r="BS396" t="s">
        <v>8093</v>
      </c>
      <c r="BT396">
        <v>0</v>
      </c>
      <c r="BU396" t="s">
        <v>8093</v>
      </c>
      <c r="BV396">
        <v>0</v>
      </c>
      <c r="BW396" t="s">
        <v>10340</v>
      </c>
      <c r="BX396" t="s">
        <v>1980</v>
      </c>
      <c r="BY396">
        <v>0</v>
      </c>
      <c r="BZ396">
        <v>0</v>
      </c>
      <c r="CA396">
        <v>0</v>
      </c>
      <c r="CB396">
        <v>0</v>
      </c>
      <c r="CD396" t="s">
        <v>10341</v>
      </c>
    </row>
    <row r="397" spans="1:82">
      <c r="A397" t="s">
        <v>7983</v>
      </c>
      <c r="B397" t="s">
        <v>10342</v>
      </c>
      <c r="C397" t="s">
        <v>7958</v>
      </c>
      <c r="D397" t="s">
        <v>8163</v>
      </c>
      <c r="E397" t="s">
        <v>8164</v>
      </c>
      <c r="F397" t="s">
        <v>10343</v>
      </c>
      <c r="G397" t="s">
        <v>10344</v>
      </c>
      <c r="H397" t="s">
        <v>10345</v>
      </c>
      <c r="I397" t="s">
        <v>10346</v>
      </c>
      <c r="J397" t="s">
        <v>8119</v>
      </c>
      <c r="N397" t="s">
        <v>8274</v>
      </c>
      <c r="O397" t="s">
        <v>11</v>
      </c>
      <c r="P397" t="s">
        <v>10072</v>
      </c>
      <c r="Q397">
        <v>0</v>
      </c>
      <c r="R397" t="s">
        <v>8091</v>
      </c>
      <c r="S397">
        <v>16</v>
      </c>
      <c r="T397">
        <v>16</v>
      </c>
      <c r="U397">
        <v>17</v>
      </c>
      <c r="V397">
        <v>18</v>
      </c>
      <c r="W397">
        <v>17</v>
      </c>
      <c r="X397">
        <v>15</v>
      </c>
      <c r="AH397">
        <v>0</v>
      </c>
      <c r="BP397">
        <v>15.95</v>
      </c>
      <c r="BQ397" s="594">
        <v>13.79</v>
      </c>
      <c r="BR397" t="s">
        <v>1979</v>
      </c>
      <c r="BS397" t="s">
        <v>8093</v>
      </c>
      <c r="BT397">
        <v>0</v>
      </c>
      <c r="BU397" t="s">
        <v>8093</v>
      </c>
      <c r="BV397">
        <v>0</v>
      </c>
      <c r="BW397">
        <v>18.677578018266502</v>
      </c>
      <c r="BX397" t="s">
        <v>1980</v>
      </c>
      <c r="BY397">
        <v>0</v>
      </c>
      <c r="BZ397">
        <v>0</v>
      </c>
      <c r="CA397">
        <v>0</v>
      </c>
      <c r="CB397">
        <v>0</v>
      </c>
      <c r="CD397" t="s">
        <v>10347</v>
      </c>
    </row>
    <row r="398" spans="1:82">
      <c r="A398" t="s">
        <v>7983</v>
      </c>
      <c r="B398" t="s">
        <v>10348</v>
      </c>
      <c r="C398" t="s">
        <v>7958</v>
      </c>
      <c r="D398" t="s">
        <v>8163</v>
      </c>
      <c r="E398" t="s">
        <v>8164</v>
      </c>
      <c r="F398" t="s">
        <v>10343</v>
      </c>
      <c r="G398" t="s">
        <v>10349</v>
      </c>
      <c r="H398" t="s">
        <v>10350</v>
      </c>
      <c r="I398" t="s">
        <v>10351</v>
      </c>
      <c r="J398" t="s">
        <v>8119</v>
      </c>
      <c r="N398" t="s">
        <v>8274</v>
      </c>
      <c r="O398" t="s">
        <v>10</v>
      </c>
      <c r="P398" t="s">
        <v>10066</v>
      </c>
      <c r="Q398">
        <v>0</v>
      </c>
      <c r="R398" t="s">
        <v>8129</v>
      </c>
      <c r="S398">
        <v>90</v>
      </c>
      <c r="T398">
        <v>95</v>
      </c>
      <c r="U398">
        <v>95</v>
      </c>
      <c r="V398">
        <v>95</v>
      </c>
      <c r="W398">
        <v>95</v>
      </c>
      <c r="X398">
        <v>95</v>
      </c>
      <c r="AH398">
        <v>0</v>
      </c>
      <c r="BP398">
        <v>91.82</v>
      </c>
      <c r="BQ398" s="594">
        <v>92.36</v>
      </c>
      <c r="BR398" t="s">
        <v>1980</v>
      </c>
      <c r="BS398" t="s">
        <v>8093</v>
      </c>
      <c r="BT398">
        <v>0</v>
      </c>
      <c r="BU398" t="s">
        <v>8093</v>
      </c>
      <c r="BV398">
        <v>0</v>
      </c>
      <c r="BW398">
        <v>94.37</v>
      </c>
      <c r="BX398" t="s">
        <v>1980</v>
      </c>
      <c r="BY398">
        <v>0</v>
      </c>
      <c r="BZ398">
        <v>0</v>
      </c>
      <c r="CA398">
        <v>0</v>
      </c>
      <c r="CB398">
        <v>0</v>
      </c>
      <c r="CD398" t="s">
        <v>10352</v>
      </c>
    </row>
    <row r="399" spans="1:82">
      <c r="A399" t="s">
        <v>7983</v>
      </c>
      <c r="B399" t="s">
        <v>10353</v>
      </c>
      <c r="C399" t="s">
        <v>7958</v>
      </c>
      <c r="D399" t="s">
        <v>8163</v>
      </c>
      <c r="E399" t="s">
        <v>8164</v>
      </c>
      <c r="F399" t="s">
        <v>10343</v>
      </c>
      <c r="G399" t="s">
        <v>10354</v>
      </c>
      <c r="H399" t="s">
        <v>10355</v>
      </c>
      <c r="I399" t="s">
        <v>10356</v>
      </c>
      <c r="J399" t="s">
        <v>8119</v>
      </c>
      <c r="N399" t="s">
        <v>8274</v>
      </c>
      <c r="O399" t="s">
        <v>8170</v>
      </c>
      <c r="P399" t="s">
        <v>10078</v>
      </c>
      <c r="Q399">
        <v>2</v>
      </c>
      <c r="R399" t="s">
        <v>8129</v>
      </c>
      <c r="S399">
        <v>4.4000000000000004</v>
      </c>
      <c r="T399">
        <v>4.45</v>
      </c>
      <c r="U399">
        <v>4.55</v>
      </c>
      <c r="V399">
        <v>4.45</v>
      </c>
      <c r="W399">
        <v>4.5999999999999996</v>
      </c>
      <c r="X399">
        <v>4.6500000000000004</v>
      </c>
      <c r="AH399">
        <v>0</v>
      </c>
      <c r="BP399">
        <v>4.4800000000000004</v>
      </c>
      <c r="BQ399" s="595">
        <v>4.6100000000000003</v>
      </c>
      <c r="BR399" t="s">
        <v>1979</v>
      </c>
      <c r="BS399" t="s">
        <v>8093</v>
      </c>
      <c r="BT399">
        <v>0</v>
      </c>
      <c r="BU399" t="s">
        <v>8093</v>
      </c>
      <c r="BV399">
        <v>0</v>
      </c>
      <c r="BW399">
        <v>4.627722114500691</v>
      </c>
      <c r="BX399" t="s">
        <v>1979</v>
      </c>
      <c r="BY399">
        <v>0</v>
      </c>
      <c r="BZ399">
        <v>0</v>
      </c>
      <c r="CA399">
        <v>0</v>
      </c>
      <c r="CB399">
        <v>0</v>
      </c>
      <c r="CD399" t="s">
        <v>10357</v>
      </c>
    </row>
    <row r="400" spans="1:82">
      <c r="A400" t="s">
        <v>7983</v>
      </c>
      <c r="B400" t="s">
        <v>10358</v>
      </c>
      <c r="C400" t="s">
        <v>7958</v>
      </c>
      <c r="D400" t="s">
        <v>8163</v>
      </c>
      <c r="E400" t="s">
        <v>8164</v>
      </c>
      <c r="F400" t="s">
        <v>10343</v>
      </c>
      <c r="G400" t="s">
        <v>10359</v>
      </c>
      <c r="H400" t="s">
        <v>10360</v>
      </c>
      <c r="I400" t="s">
        <v>10361</v>
      </c>
      <c r="J400" t="s">
        <v>8119</v>
      </c>
      <c r="N400" t="s">
        <v>8274</v>
      </c>
      <c r="O400" t="s">
        <v>8170</v>
      </c>
      <c r="P400" t="s">
        <v>10078</v>
      </c>
      <c r="Q400">
        <v>2</v>
      </c>
      <c r="R400" t="s">
        <v>8129</v>
      </c>
      <c r="S400">
        <v>4.4000000000000004</v>
      </c>
      <c r="T400">
        <v>4.45</v>
      </c>
      <c r="U400">
        <v>4.5199999999999996</v>
      </c>
      <c r="V400">
        <v>4.57</v>
      </c>
      <c r="W400">
        <v>4.5999999999999996</v>
      </c>
      <c r="X400">
        <v>4.6500000000000004</v>
      </c>
      <c r="AH400">
        <v>0</v>
      </c>
      <c r="BP400" t="s">
        <v>1987</v>
      </c>
      <c r="BQ400" s="595">
        <v>4.2699999999999996</v>
      </c>
      <c r="BR400" t="s">
        <v>1980</v>
      </c>
      <c r="BS400" t="s">
        <v>8093</v>
      </c>
      <c r="BT400">
        <v>0</v>
      </c>
      <c r="BU400" t="s">
        <v>8093</v>
      </c>
      <c r="BV400">
        <v>0</v>
      </c>
      <c r="BW400">
        <v>4.455274610082272</v>
      </c>
      <c r="BX400" t="s">
        <v>1980</v>
      </c>
      <c r="BY400">
        <v>0</v>
      </c>
      <c r="BZ400">
        <v>0</v>
      </c>
      <c r="CA400">
        <v>0</v>
      </c>
      <c r="CB400">
        <v>0</v>
      </c>
      <c r="CD400" t="s">
        <v>10362</v>
      </c>
    </row>
    <row r="401" spans="1:82">
      <c r="A401" t="s">
        <v>7983</v>
      </c>
      <c r="B401" t="s">
        <v>10363</v>
      </c>
      <c r="C401" t="s">
        <v>7958</v>
      </c>
      <c r="D401" t="s">
        <v>8163</v>
      </c>
      <c r="E401" t="s">
        <v>8164</v>
      </c>
      <c r="F401" t="s">
        <v>10343</v>
      </c>
      <c r="G401" t="s">
        <v>10364</v>
      </c>
      <c r="H401" t="s">
        <v>10365</v>
      </c>
      <c r="I401" t="s">
        <v>10366</v>
      </c>
      <c r="J401" t="s">
        <v>8119</v>
      </c>
      <c r="N401" t="s">
        <v>8178</v>
      </c>
      <c r="O401" t="s">
        <v>10</v>
      </c>
      <c r="P401" t="s">
        <v>10367</v>
      </c>
      <c r="Q401">
        <v>0</v>
      </c>
      <c r="R401" t="s">
        <v>8129</v>
      </c>
      <c r="S401">
        <v>85</v>
      </c>
      <c r="T401">
        <v>96</v>
      </c>
      <c r="U401">
        <v>96</v>
      </c>
      <c r="V401">
        <v>96</v>
      </c>
      <c r="W401">
        <v>96</v>
      </c>
      <c r="X401">
        <v>96</v>
      </c>
      <c r="AH401">
        <v>0</v>
      </c>
      <c r="BP401" t="s">
        <v>1987</v>
      </c>
      <c r="BQ401" s="594">
        <v>90.5</v>
      </c>
      <c r="BR401" t="s">
        <v>1980</v>
      </c>
      <c r="BS401" t="s">
        <v>8093</v>
      </c>
      <c r="BT401">
        <v>0</v>
      </c>
      <c r="BU401" t="s">
        <v>8093</v>
      </c>
      <c r="BV401">
        <v>0</v>
      </c>
      <c r="BW401">
        <v>96.8</v>
      </c>
      <c r="BX401" t="s">
        <v>1979</v>
      </c>
      <c r="BY401">
        <v>0</v>
      </c>
      <c r="BZ401">
        <v>0</v>
      </c>
      <c r="CA401">
        <v>0</v>
      </c>
      <c r="CB401">
        <v>0</v>
      </c>
      <c r="CD401" t="s">
        <v>10368</v>
      </c>
    </row>
    <row r="402" spans="1:82">
      <c r="A402" t="s">
        <v>7983</v>
      </c>
      <c r="B402" t="s">
        <v>10369</v>
      </c>
      <c r="C402" t="s">
        <v>7958</v>
      </c>
      <c r="D402" t="s">
        <v>8163</v>
      </c>
      <c r="E402" t="s">
        <v>8164</v>
      </c>
      <c r="F402" t="s">
        <v>10343</v>
      </c>
      <c r="G402" t="s">
        <v>10370</v>
      </c>
      <c r="H402" t="s">
        <v>10371</v>
      </c>
      <c r="I402" t="s">
        <v>10372</v>
      </c>
      <c r="J402" t="s">
        <v>8088</v>
      </c>
      <c r="K402" t="s">
        <v>8089</v>
      </c>
      <c r="M402" t="s">
        <v>1980</v>
      </c>
      <c r="N402" t="s">
        <v>8169</v>
      </c>
      <c r="O402" t="s">
        <v>8170</v>
      </c>
      <c r="P402" t="s">
        <v>8171</v>
      </c>
      <c r="Q402">
        <v>1</v>
      </c>
      <c r="R402" t="s">
        <v>8129</v>
      </c>
      <c r="S402" t="s">
        <v>8120</v>
      </c>
      <c r="T402" t="s">
        <v>8120</v>
      </c>
      <c r="U402" t="s">
        <v>8120</v>
      </c>
      <c r="V402" t="s">
        <v>8120</v>
      </c>
      <c r="W402" t="s">
        <v>8120</v>
      </c>
      <c r="X402" t="s">
        <v>8120</v>
      </c>
      <c r="AH402">
        <v>0</v>
      </c>
      <c r="AI402" t="s">
        <v>1979</v>
      </c>
      <c r="AJ402" t="s">
        <v>1979</v>
      </c>
      <c r="AK402" t="s">
        <v>1979</v>
      </c>
      <c r="AL402" t="s">
        <v>1979</v>
      </c>
      <c r="AM402" t="s">
        <v>1979</v>
      </c>
      <c r="AN402" t="s">
        <v>8172</v>
      </c>
      <c r="AO402" t="s">
        <v>8172</v>
      </c>
      <c r="AP402" t="s">
        <v>8172</v>
      </c>
      <c r="AQ402" t="s">
        <v>8172</v>
      </c>
      <c r="AR402" t="s">
        <v>8172</v>
      </c>
      <c r="AS402" t="s">
        <v>8172</v>
      </c>
      <c r="AT402" t="s">
        <v>8172</v>
      </c>
      <c r="AU402" t="s">
        <v>8172</v>
      </c>
      <c r="AV402" t="s">
        <v>8172</v>
      </c>
      <c r="AW402" t="s">
        <v>8172</v>
      </c>
      <c r="AX402" t="s">
        <v>8172</v>
      </c>
      <c r="AY402" t="s">
        <v>8172</v>
      </c>
      <c r="AZ402" t="s">
        <v>8172</v>
      </c>
      <c r="BA402" t="s">
        <v>8172</v>
      </c>
      <c r="BB402" t="s">
        <v>8172</v>
      </c>
      <c r="BC402" t="s">
        <v>8172</v>
      </c>
      <c r="BD402" t="s">
        <v>8172</v>
      </c>
      <c r="BE402" t="s">
        <v>8172</v>
      </c>
      <c r="BF402" t="s">
        <v>8172</v>
      </c>
      <c r="BG402" t="s">
        <v>8172</v>
      </c>
      <c r="BH402" t="s">
        <v>8172</v>
      </c>
      <c r="BL402" t="s">
        <v>8172</v>
      </c>
      <c r="BN402">
        <v>1</v>
      </c>
      <c r="BO402" t="s">
        <v>8092</v>
      </c>
      <c r="BP402">
        <v>72.599999999999994</v>
      </c>
      <c r="BQ402" s="593">
        <v>76.739999999999995</v>
      </c>
      <c r="BR402" t="s">
        <v>8093</v>
      </c>
      <c r="BS402" t="s">
        <v>8093</v>
      </c>
      <c r="BT402">
        <v>0</v>
      </c>
      <c r="BU402" t="s">
        <v>8093</v>
      </c>
      <c r="BV402">
        <v>0</v>
      </c>
      <c r="BW402">
        <v>77.264009835474994</v>
      </c>
      <c r="BX402" t="s">
        <v>1981</v>
      </c>
      <c r="BY402">
        <v>0</v>
      </c>
      <c r="BZ402">
        <v>0</v>
      </c>
      <c r="CA402">
        <v>0</v>
      </c>
      <c r="CB402">
        <v>0</v>
      </c>
      <c r="CD402" t="s">
        <v>10373</v>
      </c>
    </row>
    <row r="403" spans="1:82">
      <c r="A403" t="s">
        <v>7983</v>
      </c>
      <c r="B403" t="s">
        <v>10374</v>
      </c>
      <c r="C403" t="s">
        <v>7958</v>
      </c>
      <c r="D403" t="s">
        <v>8163</v>
      </c>
      <c r="E403" t="s">
        <v>8164</v>
      </c>
      <c r="F403" t="s">
        <v>10375</v>
      </c>
      <c r="G403" t="s">
        <v>10376</v>
      </c>
      <c r="H403" t="s">
        <v>10377</v>
      </c>
      <c r="I403" t="s">
        <v>10378</v>
      </c>
      <c r="J403" t="s">
        <v>8099</v>
      </c>
      <c r="K403" t="s">
        <v>8089</v>
      </c>
      <c r="M403" t="s">
        <v>1980</v>
      </c>
      <c r="N403" t="s">
        <v>8178</v>
      </c>
      <c r="O403" t="s">
        <v>6241</v>
      </c>
      <c r="P403" t="s">
        <v>10379</v>
      </c>
      <c r="Q403" t="s">
        <v>8092</v>
      </c>
      <c r="S403" t="s">
        <v>10380</v>
      </c>
      <c r="T403" t="s">
        <v>10380</v>
      </c>
      <c r="U403" t="s">
        <v>10380</v>
      </c>
      <c r="V403" t="s">
        <v>8989</v>
      </c>
      <c r="W403" t="s">
        <v>8989</v>
      </c>
      <c r="X403" t="s">
        <v>8989</v>
      </c>
      <c r="AD403" t="s">
        <v>1979</v>
      </c>
      <c r="AH403">
        <v>0</v>
      </c>
      <c r="AL403" t="s">
        <v>1979</v>
      </c>
      <c r="AM403" t="s">
        <v>1979</v>
      </c>
      <c r="AR403" t="s">
        <v>10236</v>
      </c>
      <c r="AV403" t="s">
        <v>10381</v>
      </c>
      <c r="AW403" t="s">
        <v>10381</v>
      </c>
      <c r="BH403">
        <v>6.5</v>
      </c>
      <c r="BI403">
        <v>20.5</v>
      </c>
      <c r="BN403">
        <v>1</v>
      </c>
      <c r="BO403" t="s">
        <v>8092</v>
      </c>
      <c r="BP403" t="s">
        <v>1987</v>
      </c>
      <c r="BQ403" s="607" t="s">
        <v>10380</v>
      </c>
      <c r="BR403" t="s">
        <v>1979</v>
      </c>
      <c r="BS403" t="s">
        <v>8093</v>
      </c>
      <c r="BT403">
        <v>0</v>
      </c>
      <c r="BU403" t="s">
        <v>8093</v>
      </c>
      <c r="BV403">
        <v>0</v>
      </c>
      <c r="BW403" t="s">
        <v>10382</v>
      </c>
      <c r="BX403" t="s">
        <v>1979</v>
      </c>
      <c r="BY403">
        <v>0</v>
      </c>
      <c r="BZ403">
        <v>0</v>
      </c>
      <c r="CA403">
        <v>0</v>
      </c>
      <c r="CB403">
        <v>0</v>
      </c>
      <c r="CD403" t="s">
        <v>10383</v>
      </c>
    </row>
    <row r="404" spans="1:82">
      <c r="A404" t="s">
        <v>7983</v>
      </c>
      <c r="B404" t="s">
        <v>10384</v>
      </c>
      <c r="C404" t="s">
        <v>7958</v>
      </c>
      <c r="D404" t="s">
        <v>8163</v>
      </c>
      <c r="E404" t="s">
        <v>8164</v>
      </c>
      <c r="F404" t="s">
        <v>10385</v>
      </c>
      <c r="G404" t="s">
        <v>10386</v>
      </c>
      <c r="H404" t="s">
        <v>10387</v>
      </c>
      <c r="I404" t="s">
        <v>10388</v>
      </c>
      <c r="J404" t="s">
        <v>8119</v>
      </c>
      <c r="N404" t="s">
        <v>8178</v>
      </c>
      <c r="O404" t="s">
        <v>10</v>
      </c>
      <c r="P404" t="s">
        <v>10389</v>
      </c>
      <c r="Q404">
        <v>0</v>
      </c>
      <c r="R404" t="s">
        <v>8129</v>
      </c>
      <c r="S404">
        <v>52</v>
      </c>
      <c r="T404">
        <v>53</v>
      </c>
      <c r="U404">
        <v>54</v>
      </c>
      <c r="V404">
        <v>54</v>
      </c>
      <c r="W404">
        <v>57</v>
      </c>
      <c r="X404">
        <v>60</v>
      </c>
      <c r="AH404">
        <v>0</v>
      </c>
      <c r="BP404" t="s">
        <v>1987</v>
      </c>
      <c r="BQ404" s="594">
        <v>54.19</v>
      </c>
      <c r="BR404" t="s">
        <v>1979</v>
      </c>
      <c r="BS404" t="s">
        <v>8093</v>
      </c>
      <c r="BT404">
        <v>0</v>
      </c>
      <c r="BU404" t="s">
        <v>8093</v>
      </c>
      <c r="BV404">
        <v>0</v>
      </c>
      <c r="BW404">
        <v>54.66</v>
      </c>
      <c r="BX404" t="s">
        <v>1979</v>
      </c>
      <c r="BY404">
        <v>0</v>
      </c>
      <c r="BZ404">
        <v>0</v>
      </c>
      <c r="CA404">
        <v>0</v>
      </c>
      <c r="CB404">
        <v>0</v>
      </c>
      <c r="CD404" t="s">
        <v>10390</v>
      </c>
    </row>
    <row r="405" spans="1:82">
      <c r="A405" t="s">
        <v>7983</v>
      </c>
      <c r="B405" t="s">
        <v>10391</v>
      </c>
      <c r="C405" t="s">
        <v>7958</v>
      </c>
      <c r="D405" t="s">
        <v>8163</v>
      </c>
      <c r="E405" t="s">
        <v>8164</v>
      </c>
      <c r="F405" t="s">
        <v>10385</v>
      </c>
      <c r="G405" t="s">
        <v>10392</v>
      </c>
      <c r="H405" t="s">
        <v>10393</v>
      </c>
      <c r="I405" t="s">
        <v>10394</v>
      </c>
      <c r="J405" t="s">
        <v>8119</v>
      </c>
      <c r="N405" t="s">
        <v>8178</v>
      </c>
      <c r="O405" t="s">
        <v>10</v>
      </c>
      <c r="P405" t="s">
        <v>10395</v>
      </c>
      <c r="Q405">
        <v>1</v>
      </c>
      <c r="R405" t="s">
        <v>8129</v>
      </c>
      <c r="S405">
        <v>88.6</v>
      </c>
      <c r="T405">
        <v>89</v>
      </c>
      <c r="U405">
        <v>89.4</v>
      </c>
      <c r="V405">
        <v>89.7</v>
      </c>
      <c r="W405">
        <v>89.6</v>
      </c>
      <c r="X405">
        <v>90.4</v>
      </c>
      <c r="AH405">
        <v>0</v>
      </c>
      <c r="BP405">
        <v>87.9</v>
      </c>
      <c r="BQ405" s="591">
        <v>88.2</v>
      </c>
      <c r="BR405" t="s">
        <v>1980</v>
      </c>
      <c r="BS405" t="s">
        <v>8093</v>
      </c>
      <c r="BT405">
        <v>0</v>
      </c>
      <c r="BU405" t="s">
        <v>8093</v>
      </c>
      <c r="BV405">
        <v>0</v>
      </c>
      <c r="BW405">
        <v>87.86</v>
      </c>
      <c r="BX405" t="s">
        <v>1980</v>
      </c>
      <c r="BY405">
        <v>0</v>
      </c>
      <c r="BZ405">
        <v>0</v>
      </c>
      <c r="CA405">
        <v>0</v>
      </c>
      <c r="CB405">
        <v>0</v>
      </c>
      <c r="CD405" t="s">
        <v>10396</v>
      </c>
    </row>
    <row r="406" spans="1:82">
      <c r="A406" t="s">
        <v>10397</v>
      </c>
      <c r="B406" t="s">
        <v>10398</v>
      </c>
      <c r="C406" t="s">
        <v>7958</v>
      </c>
      <c r="D406" t="s">
        <v>1383</v>
      </c>
      <c r="E406" t="s">
        <v>8083</v>
      </c>
      <c r="F406" t="s">
        <v>10399</v>
      </c>
      <c r="G406" t="s">
        <v>6966</v>
      </c>
      <c r="H406" t="s">
        <v>10400</v>
      </c>
      <c r="I406" t="s">
        <v>10401</v>
      </c>
      <c r="J406" t="s">
        <v>8119</v>
      </c>
      <c r="N406" t="s">
        <v>8127</v>
      </c>
      <c r="O406" t="s">
        <v>8170</v>
      </c>
      <c r="P406" t="s">
        <v>10402</v>
      </c>
      <c r="Q406">
        <v>1</v>
      </c>
      <c r="R406" t="s">
        <v>8091</v>
      </c>
      <c r="S406">
        <v>3.9</v>
      </c>
      <c r="T406">
        <v>3.9</v>
      </c>
      <c r="U406">
        <v>3.9</v>
      </c>
      <c r="V406">
        <v>3.9</v>
      </c>
      <c r="W406">
        <v>3.9</v>
      </c>
      <c r="X406">
        <v>3.9</v>
      </c>
      <c r="AE406" t="s">
        <v>1979</v>
      </c>
      <c r="AH406">
        <v>0</v>
      </c>
      <c r="BP406">
        <v>4.3</v>
      </c>
      <c r="BQ406" s="591">
        <v>4.3</v>
      </c>
      <c r="BR406" t="s">
        <v>1979</v>
      </c>
      <c r="BS406" t="s">
        <v>8093</v>
      </c>
      <c r="BT406">
        <v>0</v>
      </c>
      <c r="BU406" t="s">
        <v>8093</v>
      </c>
      <c r="BV406">
        <v>0</v>
      </c>
      <c r="BW406">
        <v>4.3</v>
      </c>
      <c r="BX406" t="s">
        <v>1979</v>
      </c>
      <c r="BY406">
        <v>0</v>
      </c>
      <c r="BZ406">
        <v>0</v>
      </c>
      <c r="CA406">
        <v>0</v>
      </c>
      <c r="CB406">
        <v>0</v>
      </c>
      <c r="CD406" t="s">
        <v>10403</v>
      </c>
    </row>
    <row r="407" spans="1:82">
      <c r="A407" t="s">
        <v>10397</v>
      </c>
      <c r="B407" t="s">
        <v>10404</v>
      </c>
      <c r="C407" t="s">
        <v>7958</v>
      </c>
      <c r="D407" t="s">
        <v>1383</v>
      </c>
      <c r="E407" t="s">
        <v>8083</v>
      </c>
      <c r="F407" t="s">
        <v>10399</v>
      </c>
      <c r="G407" t="s">
        <v>6967</v>
      </c>
      <c r="H407" t="s">
        <v>10405</v>
      </c>
      <c r="I407" t="s">
        <v>10406</v>
      </c>
      <c r="J407" t="s">
        <v>8099</v>
      </c>
      <c r="K407" t="s">
        <v>10407</v>
      </c>
      <c r="N407" t="s">
        <v>8127</v>
      </c>
      <c r="O407" t="s">
        <v>11</v>
      </c>
      <c r="P407" t="s">
        <v>10408</v>
      </c>
      <c r="Q407">
        <v>0</v>
      </c>
      <c r="R407" t="s">
        <v>8091</v>
      </c>
      <c r="S407">
        <v>13</v>
      </c>
      <c r="T407">
        <v>12</v>
      </c>
      <c r="U407">
        <v>11</v>
      </c>
      <c r="V407">
        <v>10</v>
      </c>
      <c r="W407">
        <v>9</v>
      </c>
      <c r="X407">
        <v>7</v>
      </c>
      <c r="AE407" t="s">
        <v>1979</v>
      </c>
      <c r="AH407">
        <v>0</v>
      </c>
      <c r="AI407" t="s">
        <v>1979</v>
      </c>
      <c r="AJ407" t="s">
        <v>1979</v>
      </c>
      <c r="AK407" t="s">
        <v>1979</v>
      </c>
      <c r="AL407" t="s">
        <v>1979</v>
      </c>
      <c r="AM407" t="s">
        <v>1979</v>
      </c>
      <c r="AN407">
        <v>15</v>
      </c>
      <c r="AO407">
        <v>15</v>
      </c>
      <c r="AP407">
        <v>15</v>
      </c>
      <c r="AQ407">
        <v>15</v>
      </c>
      <c r="AR407">
        <v>15</v>
      </c>
      <c r="AS407">
        <v>12</v>
      </c>
      <c r="AT407">
        <v>11</v>
      </c>
      <c r="AU407">
        <v>10</v>
      </c>
      <c r="AV407">
        <v>9</v>
      </c>
      <c r="AW407">
        <v>7</v>
      </c>
      <c r="BH407">
        <v>0.14899999999999999</v>
      </c>
      <c r="BN407">
        <v>1</v>
      </c>
      <c r="BO407" t="s">
        <v>8092</v>
      </c>
      <c r="BP407">
        <v>27</v>
      </c>
      <c r="BQ407" s="594">
        <v>35</v>
      </c>
      <c r="BR407" t="s">
        <v>1980</v>
      </c>
      <c r="BS407" t="s">
        <v>8093</v>
      </c>
      <c r="BT407">
        <v>0</v>
      </c>
      <c r="BU407" t="s">
        <v>1983</v>
      </c>
      <c r="BV407">
        <v>-0.44700000000000001</v>
      </c>
      <c r="BW407">
        <v>22</v>
      </c>
      <c r="BX407" t="s">
        <v>1980</v>
      </c>
      <c r="BY407">
        <v>0</v>
      </c>
      <c r="BZ407">
        <v>0</v>
      </c>
      <c r="CA407" t="s">
        <v>1983</v>
      </c>
      <c r="CB407">
        <v>-0.59599999999999997</v>
      </c>
      <c r="CD407" t="s">
        <v>10409</v>
      </c>
    </row>
    <row r="408" spans="1:82">
      <c r="A408" t="s">
        <v>10397</v>
      </c>
      <c r="B408" t="s">
        <v>10410</v>
      </c>
      <c r="C408" t="s">
        <v>7958</v>
      </c>
      <c r="D408" t="s">
        <v>1383</v>
      </c>
      <c r="E408" t="s">
        <v>8083</v>
      </c>
      <c r="F408" t="s">
        <v>10399</v>
      </c>
      <c r="G408" t="s">
        <v>7851</v>
      </c>
      <c r="H408" t="s">
        <v>10411</v>
      </c>
      <c r="I408" t="s">
        <v>10412</v>
      </c>
      <c r="J408" t="s">
        <v>8088</v>
      </c>
      <c r="K408" t="s">
        <v>10407</v>
      </c>
      <c r="M408" t="s">
        <v>1980</v>
      </c>
      <c r="N408" t="s">
        <v>8127</v>
      </c>
      <c r="O408" t="s">
        <v>8170</v>
      </c>
      <c r="P408" t="s">
        <v>10413</v>
      </c>
      <c r="Q408">
        <v>3</v>
      </c>
      <c r="R408" t="s">
        <v>8129</v>
      </c>
      <c r="S408">
        <v>107.2</v>
      </c>
      <c r="T408">
        <v>119.3</v>
      </c>
      <c r="U408">
        <v>130.30000000000001</v>
      </c>
      <c r="V408">
        <v>145.9</v>
      </c>
      <c r="W408">
        <v>145.9</v>
      </c>
      <c r="X408">
        <v>145.9</v>
      </c>
      <c r="Y408" t="s">
        <v>1979</v>
      </c>
      <c r="Z408" t="s">
        <v>1979</v>
      </c>
      <c r="AE408" t="s">
        <v>1979</v>
      </c>
      <c r="AH408">
        <v>6</v>
      </c>
      <c r="AI408" t="s">
        <v>1979</v>
      </c>
      <c r="AJ408" t="s">
        <v>1979</v>
      </c>
      <c r="AK408" t="s">
        <v>1979</v>
      </c>
      <c r="AL408" t="s">
        <v>1979</v>
      </c>
      <c r="AM408" t="s">
        <v>1979</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8092</v>
      </c>
      <c r="BP408">
        <v>108.36412797124429</v>
      </c>
      <c r="BQ408" s="604">
        <v>120.4653572103465</v>
      </c>
      <c r="BR408" t="s">
        <v>1979</v>
      </c>
      <c r="BS408" t="s">
        <v>8093</v>
      </c>
      <c r="BT408">
        <v>0</v>
      </c>
      <c r="BU408" t="s">
        <v>1988</v>
      </c>
      <c r="BV408">
        <v>0.22684099999999999</v>
      </c>
      <c r="BW408">
        <v>116.923</v>
      </c>
      <c r="BX408" t="s">
        <v>1980</v>
      </c>
      <c r="BY408">
        <v>0</v>
      </c>
      <c r="BZ408">
        <v>0</v>
      </c>
      <c r="CA408" t="s">
        <v>1983</v>
      </c>
      <c r="CB408">
        <v>-3.6190000000000024</v>
      </c>
      <c r="CD408" t="s">
        <v>10414</v>
      </c>
    </row>
    <row r="409" spans="1:82">
      <c r="A409" t="s">
        <v>10397</v>
      </c>
      <c r="B409" t="s">
        <v>10415</v>
      </c>
      <c r="C409" t="s">
        <v>7958</v>
      </c>
      <c r="D409" t="s">
        <v>1383</v>
      </c>
      <c r="E409" t="s">
        <v>8083</v>
      </c>
      <c r="F409" t="s">
        <v>10416</v>
      </c>
      <c r="G409" t="s">
        <v>6968</v>
      </c>
      <c r="H409" t="s">
        <v>10417</v>
      </c>
      <c r="I409" t="s">
        <v>10418</v>
      </c>
      <c r="J409" t="s">
        <v>8088</v>
      </c>
      <c r="K409" t="s">
        <v>10407</v>
      </c>
      <c r="M409" t="s">
        <v>1980</v>
      </c>
      <c r="N409" t="s">
        <v>2556</v>
      </c>
      <c r="O409" t="s">
        <v>8186</v>
      </c>
      <c r="P409" t="s">
        <v>10419</v>
      </c>
      <c r="Q409" t="s">
        <v>8677</v>
      </c>
      <c r="R409" t="s">
        <v>8091</v>
      </c>
      <c r="S409">
        <v>0.75</v>
      </c>
      <c r="T409">
        <v>0.66666666666666663</v>
      </c>
      <c r="U409">
        <v>0.58333333333333337</v>
      </c>
      <c r="V409">
        <v>0.5</v>
      </c>
      <c r="W409">
        <v>0.5</v>
      </c>
      <c r="X409">
        <v>0.5</v>
      </c>
      <c r="AA409" t="s">
        <v>1979</v>
      </c>
      <c r="AE409" t="s">
        <v>1979</v>
      </c>
      <c r="AH409">
        <v>0</v>
      </c>
      <c r="AI409" t="s">
        <v>1979</v>
      </c>
      <c r="AJ409" t="s">
        <v>1979</v>
      </c>
      <c r="AK409" t="s">
        <v>1979</v>
      </c>
      <c r="AL409" t="s">
        <v>1979</v>
      </c>
      <c r="AM409" t="s">
        <v>1979</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8092</v>
      </c>
      <c r="BP409" t="s">
        <v>10420</v>
      </c>
      <c r="BQ409" s="603" t="s">
        <v>10421</v>
      </c>
      <c r="BR409" t="s">
        <v>1980</v>
      </c>
      <c r="BS409" t="s">
        <v>8093</v>
      </c>
      <c r="BT409">
        <v>0</v>
      </c>
      <c r="BU409" t="s">
        <v>1985</v>
      </c>
      <c r="BV409">
        <v>0</v>
      </c>
      <c r="BW409" s="1586" t="s">
        <v>10422</v>
      </c>
      <c r="BX409" t="s">
        <v>1979</v>
      </c>
      <c r="BY409">
        <v>0</v>
      </c>
      <c r="BZ409">
        <v>0</v>
      </c>
      <c r="CA409" t="s">
        <v>1992</v>
      </c>
      <c r="CB409">
        <v>0</v>
      </c>
      <c r="CD409" t="s">
        <v>10423</v>
      </c>
    </row>
    <row r="410" spans="1:82">
      <c r="A410" t="s">
        <v>10397</v>
      </c>
      <c r="B410" t="s">
        <v>10424</v>
      </c>
      <c r="C410" t="s">
        <v>7958</v>
      </c>
      <c r="D410" t="s">
        <v>1383</v>
      </c>
      <c r="E410" t="s">
        <v>8083</v>
      </c>
      <c r="F410" t="s">
        <v>10416</v>
      </c>
      <c r="G410" t="s">
        <v>6969</v>
      </c>
      <c r="H410" t="s">
        <v>10425</v>
      </c>
      <c r="I410" t="s">
        <v>10426</v>
      </c>
      <c r="J410" t="s">
        <v>8088</v>
      </c>
      <c r="K410" t="s">
        <v>10407</v>
      </c>
      <c r="N410" t="s">
        <v>8148</v>
      </c>
      <c r="O410" t="s">
        <v>8170</v>
      </c>
      <c r="P410" t="s">
        <v>10427</v>
      </c>
      <c r="Q410">
        <v>3</v>
      </c>
      <c r="R410" t="s">
        <v>8129</v>
      </c>
      <c r="S410">
        <v>100</v>
      </c>
      <c r="T410">
        <v>100</v>
      </c>
      <c r="U410">
        <v>100</v>
      </c>
      <c r="V410">
        <v>100</v>
      </c>
      <c r="W410">
        <v>100</v>
      </c>
      <c r="X410">
        <v>100</v>
      </c>
      <c r="AE410" t="s">
        <v>1979</v>
      </c>
      <c r="AH410">
        <v>4</v>
      </c>
      <c r="AI410" t="s">
        <v>1979</v>
      </c>
      <c r="AJ410" t="s">
        <v>1979</v>
      </c>
      <c r="AK410" t="s">
        <v>1979</v>
      </c>
      <c r="AL410" t="s">
        <v>1979</v>
      </c>
      <c r="AM410" t="s">
        <v>1979</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8092</v>
      </c>
      <c r="BP410">
        <v>100.32067918166143</v>
      </c>
      <c r="BQ410" s="604">
        <v>16.447259218333841</v>
      </c>
      <c r="BR410" t="s">
        <v>1980</v>
      </c>
      <c r="BS410" t="s">
        <v>8093</v>
      </c>
      <c r="BT410">
        <v>0</v>
      </c>
      <c r="BU410" t="s">
        <v>1983</v>
      </c>
      <c r="BV410">
        <v>-7.9740000000000002</v>
      </c>
      <c r="BW410">
        <v>77.84</v>
      </c>
      <c r="BX410" t="s">
        <v>1980</v>
      </c>
      <c r="BY410">
        <v>0</v>
      </c>
      <c r="BZ410">
        <v>0</v>
      </c>
      <c r="CA410" t="s">
        <v>1983</v>
      </c>
      <c r="CB410">
        <v>-7.9740000000000002</v>
      </c>
      <c r="CD410" t="s">
        <v>10428</v>
      </c>
    </row>
    <row r="411" spans="1:82">
      <c r="A411" t="s">
        <v>10397</v>
      </c>
      <c r="B411" t="s">
        <v>10429</v>
      </c>
      <c r="C411" t="s">
        <v>7958</v>
      </c>
      <c r="D411" t="s">
        <v>1383</v>
      </c>
      <c r="E411" t="s">
        <v>8083</v>
      </c>
      <c r="F411" t="s">
        <v>10416</v>
      </c>
      <c r="G411" t="s">
        <v>7868</v>
      </c>
      <c r="H411" t="s">
        <v>10430</v>
      </c>
      <c r="I411" t="s">
        <v>10431</v>
      </c>
      <c r="J411" t="s">
        <v>8099</v>
      </c>
      <c r="K411" t="s">
        <v>10407</v>
      </c>
      <c r="N411" t="s">
        <v>8107</v>
      </c>
      <c r="O411" t="s">
        <v>8170</v>
      </c>
      <c r="P411" t="s">
        <v>8222</v>
      </c>
      <c r="Q411">
        <v>3</v>
      </c>
      <c r="R411" t="s">
        <v>8129</v>
      </c>
      <c r="S411">
        <v>100</v>
      </c>
      <c r="T411">
        <v>100</v>
      </c>
      <c r="U411">
        <v>100</v>
      </c>
      <c r="V411">
        <v>100</v>
      </c>
      <c r="W411">
        <v>100</v>
      </c>
      <c r="X411">
        <v>100</v>
      </c>
      <c r="AH411">
        <v>0</v>
      </c>
      <c r="AI411" t="s">
        <v>1979</v>
      </c>
      <c r="AJ411" t="s">
        <v>1979</v>
      </c>
      <c r="AK411" t="s">
        <v>1979</v>
      </c>
      <c r="AL411" t="s">
        <v>1979</v>
      </c>
      <c r="AM411" t="s">
        <v>1979</v>
      </c>
      <c r="AN411">
        <v>96</v>
      </c>
      <c r="AO411">
        <v>96</v>
      </c>
      <c r="AP411">
        <v>96</v>
      </c>
      <c r="AQ411">
        <v>96</v>
      </c>
      <c r="AR411">
        <v>96</v>
      </c>
      <c r="AS411">
        <v>100</v>
      </c>
      <c r="AT411">
        <v>100</v>
      </c>
      <c r="AU411">
        <v>100</v>
      </c>
      <c r="AV411">
        <v>100</v>
      </c>
      <c r="AW411">
        <v>100</v>
      </c>
      <c r="BH411">
        <v>3.33</v>
      </c>
      <c r="BN411">
        <v>1</v>
      </c>
      <c r="BO411" t="s">
        <v>8092</v>
      </c>
      <c r="BP411">
        <v>100</v>
      </c>
      <c r="BQ411" s="604">
        <v>100</v>
      </c>
      <c r="BR411" t="s">
        <v>1979</v>
      </c>
      <c r="BS411" t="s">
        <v>8093</v>
      </c>
      <c r="BT411">
        <v>0</v>
      </c>
      <c r="BU411" t="s">
        <v>8093</v>
      </c>
      <c r="BV411">
        <v>0</v>
      </c>
      <c r="BW411">
        <v>100</v>
      </c>
      <c r="BX411" t="s">
        <v>1979</v>
      </c>
      <c r="BY411">
        <v>0</v>
      </c>
      <c r="BZ411">
        <v>0</v>
      </c>
      <c r="CA411">
        <v>0</v>
      </c>
      <c r="CB411">
        <v>0</v>
      </c>
      <c r="CD411" t="s">
        <v>10432</v>
      </c>
    </row>
    <row r="412" spans="1:82">
      <c r="A412" t="s">
        <v>10397</v>
      </c>
      <c r="B412" t="s">
        <v>10433</v>
      </c>
      <c r="C412" t="s">
        <v>7958</v>
      </c>
      <c r="D412" t="s">
        <v>1383</v>
      </c>
      <c r="E412" t="s">
        <v>8083</v>
      </c>
      <c r="F412" t="s">
        <v>10416</v>
      </c>
      <c r="G412" t="s">
        <v>8592</v>
      </c>
      <c r="H412" t="s">
        <v>10434</v>
      </c>
      <c r="I412" t="s">
        <v>10435</v>
      </c>
      <c r="J412" t="s">
        <v>8088</v>
      </c>
      <c r="K412" t="s">
        <v>10407</v>
      </c>
      <c r="N412" t="s">
        <v>2534</v>
      </c>
      <c r="O412" t="s">
        <v>11</v>
      </c>
      <c r="P412" t="s">
        <v>10436</v>
      </c>
      <c r="Q412">
        <v>2</v>
      </c>
      <c r="R412" t="s">
        <v>8129</v>
      </c>
      <c r="S412">
        <v>0</v>
      </c>
      <c r="T412">
        <v>0</v>
      </c>
      <c r="U412">
        <v>0</v>
      </c>
      <c r="V412">
        <v>0</v>
      </c>
      <c r="W412">
        <v>0</v>
      </c>
      <c r="X412">
        <v>0</v>
      </c>
      <c r="AE412" t="s">
        <v>1979</v>
      </c>
      <c r="AH412">
        <v>0</v>
      </c>
      <c r="AI412" t="s">
        <v>1979</v>
      </c>
      <c r="AJ412" t="s">
        <v>1979</v>
      </c>
      <c r="AK412" t="s">
        <v>1979</v>
      </c>
      <c r="AL412" t="s">
        <v>1979</v>
      </c>
      <c r="AM412" t="s">
        <v>1979</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8092</v>
      </c>
      <c r="BP412">
        <v>9.1</v>
      </c>
      <c r="BQ412" s="595">
        <v>10.8</v>
      </c>
      <c r="BR412" t="s">
        <v>1979</v>
      </c>
      <c r="BS412" t="s">
        <v>8093</v>
      </c>
      <c r="BT412">
        <v>0</v>
      </c>
      <c r="BU412" t="s">
        <v>1992</v>
      </c>
      <c r="BV412">
        <v>0</v>
      </c>
      <c r="BW412">
        <v>23.42980249</v>
      </c>
      <c r="BX412" t="s">
        <v>1979</v>
      </c>
      <c r="BY412">
        <v>0</v>
      </c>
      <c r="BZ412">
        <v>0</v>
      </c>
      <c r="CA412" t="s">
        <v>1988</v>
      </c>
      <c r="CB412">
        <v>9.147892262520001</v>
      </c>
      <c r="CD412" t="s">
        <v>10437</v>
      </c>
    </row>
    <row r="413" spans="1:82">
      <c r="A413" t="s">
        <v>10397</v>
      </c>
      <c r="B413" t="s">
        <v>10438</v>
      </c>
      <c r="C413" t="s">
        <v>7958</v>
      </c>
      <c r="D413" t="s">
        <v>1383</v>
      </c>
      <c r="E413" t="s">
        <v>8083</v>
      </c>
      <c r="F413" t="s">
        <v>10416</v>
      </c>
      <c r="G413" t="s">
        <v>9051</v>
      </c>
      <c r="H413" t="s">
        <v>10439</v>
      </c>
      <c r="I413" t="s">
        <v>10440</v>
      </c>
      <c r="J413" t="s">
        <v>8099</v>
      </c>
      <c r="K413" t="s">
        <v>10407</v>
      </c>
      <c r="N413" t="s">
        <v>4821</v>
      </c>
      <c r="O413" t="s">
        <v>11</v>
      </c>
      <c r="P413" t="s">
        <v>10441</v>
      </c>
      <c r="Q413">
        <v>2</v>
      </c>
      <c r="R413" t="s">
        <v>8129</v>
      </c>
      <c r="S413">
        <v>152.51</v>
      </c>
      <c r="T413">
        <v>161.19999999999999</v>
      </c>
      <c r="U413">
        <v>163.21</v>
      </c>
      <c r="V413">
        <v>164.44</v>
      </c>
      <c r="W413">
        <v>164.87</v>
      </c>
      <c r="X413">
        <v>165.27</v>
      </c>
      <c r="AE413" t="s">
        <v>1979</v>
      </c>
      <c r="AH413">
        <v>0</v>
      </c>
      <c r="AI413" t="s">
        <v>1979</v>
      </c>
      <c r="AJ413" t="s">
        <v>1979</v>
      </c>
      <c r="AK413" t="s">
        <v>1979</v>
      </c>
      <c r="AL413" t="s">
        <v>1979</v>
      </c>
      <c r="AM413" t="s">
        <v>1979</v>
      </c>
      <c r="AN413">
        <v>152.51</v>
      </c>
      <c r="AO413">
        <v>152.51</v>
      </c>
      <c r="AP413">
        <v>152.51</v>
      </c>
      <c r="AQ413">
        <v>152.51</v>
      </c>
      <c r="AR413">
        <v>152.51</v>
      </c>
      <c r="AS413">
        <v>161.19999999999999</v>
      </c>
      <c r="AT413">
        <v>163.21</v>
      </c>
      <c r="AU413">
        <v>164.44</v>
      </c>
      <c r="AV413">
        <v>164.87</v>
      </c>
      <c r="AW413">
        <v>165.27</v>
      </c>
      <c r="BH413">
        <v>0.25</v>
      </c>
      <c r="BN413">
        <v>1</v>
      </c>
      <c r="BO413" t="s">
        <v>8092</v>
      </c>
      <c r="BP413">
        <v>152.51</v>
      </c>
      <c r="BQ413" s="595">
        <v>161.61000000000001</v>
      </c>
      <c r="BR413" t="s">
        <v>1979</v>
      </c>
      <c r="BS413" t="s">
        <v>8093</v>
      </c>
      <c r="BT413">
        <v>0</v>
      </c>
      <c r="BU413" t="s">
        <v>8093</v>
      </c>
      <c r="BV413">
        <v>0</v>
      </c>
      <c r="BW413">
        <v>164.25</v>
      </c>
      <c r="BX413" t="s">
        <v>1979</v>
      </c>
      <c r="BY413">
        <v>0</v>
      </c>
      <c r="BZ413">
        <v>0</v>
      </c>
      <c r="CA413">
        <v>0</v>
      </c>
      <c r="CB413">
        <v>0</v>
      </c>
      <c r="CD413" t="s">
        <v>10442</v>
      </c>
    </row>
    <row r="414" spans="1:82">
      <c r="A414" t="s">
        <v>10397</v>
      </c>
      <c r="B414" t="s">
        <v>10443</v>
      </c>
      <c r="C414" t="s">
        <v>7958</v>
      </c>
      <c r="D414" t="s">
        <v>1383</v>
      </c>
      <c r="E414" t="s">
        <v>8083</v>
      </c>
      <c r="F414" t="s">
        <v>10416</v>
      </c>
      <c r="G414" t="s">
        <v>9057</v>
      </c>
      <c r="H414" t="s">
        <v>10444</v>
      </c>
      <c r="I414" t="s">
        <v>10445</v>
      </c>
      <c r="J414" t="s">
        <v>8088</v>
      </c>
      <c r="K414" t="s">
        <v>10407</v>
      </c>
      <c r="M414" t="s">
        <v>1980</v>
      </c>
      <c r="N414" t="s">
        <v>8113</v>
      </c>
      <c r="O414" t="s">
        <v>10</v>
      </c>
      <c r="P414" t="s">
        <v>10446</v>
      </c>
      <c r="Q414">
        <v>0</v>
      </c>
      <c r="R414" t="s">
        <v>8129</v>
      </c>
      <c r="S414">
        <v>0</v>
      </c>
      <c r="T414">
        <v>2</v>
      </c>
      <c r="U414">
        <v>5</v>
      </c>
      <c r="V414">
        <v>21</v>
      </c>
      <c r="W414">
        <v>53</v>
      </c>
      <c r="X414">
        <v>82</v>
      </c>
      <c r="AD414" t="s">
        <v>1979</v>
      </c>
      <c r="AF414" t="s">
        <v>1979</v>
      </c>
      <c r="AG414" t="s">
        <v>1979</v>
      </c>
      <c r="AH414">
        <v>0</v>
      </c>
      <c r="AM414" t="s">
        <v>1979</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8092</v>
      </c>
      <c r="BP414">
        <v>0</v>
      </c>
      <c r="BQ414" s="594">
        <v>2</v>
      </c>
      <c r="BR414" t="s">
        <v>1979</v>
      </c>
      <c r="BS414" t="s">
        <v>8093</v>
      </c>
      <c r="BT414">
        <v>0</v>
      </c>
      <c r="BU414" t="s">
        <v>8093</v>
      </c>
      <c r="BV414">
        <v>0</v>
      </c>
      <c r="BW414">
        <v>5</v>
      </c>
      <c r="BX414" t="s">
        <v>1979</v>
      </c>
      <c r="BY414">
        <v>0</v>
      </c>
      <c r="BZ414">
        <v>0</v>
      </c>
      <c r="CA414">
        <v>0</v>
      </c>
      <c r="CB414">
        <v>0</v>
      </c>
      <c r="CD414" t="s">
        <v>10447</v>
      </c>
    </row>
    <row r="415" spans="1:82">
      <c r="A415" t="s">
        <v>10397</v>
      </c>
      <c r="B415" t="s">
        <v>10448</v>
      </c>
      <c r="C415" t="s">
        <v>7958</v>
      </c>
      <c r="D415" t="s">
        <v>1383</v>
      </c>
      <c r="E415" t="s">
        <v>8083</v>
      </c>
      <c r="F415" t="s">
        <v>10449</v>
      </c>
      <c r="G415" t="s">
        <v>7872</v>
      </c>
      <c r="H415" t="s">
        <v>10450</v>
      </c>
      <c r="I415" t="s">
        <v>10451</v>
      </c>
      <c r="J415" t="s">
        <v>8088</v>
      </c>
      <c r="K415" t="s">
        <v>10407</v>
      </c>
      <c r="N415" t="s">
        <v>8252</v>
      </c>
      <c r="O415" t="s">
        <v>11</v>
      </c>
      <c r="P415" t="s">
        <v>10452</v>
      </c>
      <c r="Q415">
        <v>1</v>
      </c>
      <c r="R415" t="s">
        <v>8129</v>
      </c>
      <c r="S415">
        <v>50.4</v>
      </c>
      <c r="T415">
        <v>0</v>
      </c>
      <c r="U415">
        <v>6.6</v>
      </c>
      <c r="V415">
        <v>6.6</v>
      </c>
      <c r="W415">
        <v>6.6</v>
      </c>
      <c r="X415">
        <v>159.5</v>
      </c>
      <c r="AF415" t="s">
        <v>1979</v>
      </c>
      <c r="AG415" t="s">
        <v>1979</v>
      </c>
      <c r="AH415">
        <v>0</v>
      </c>
      <c r="AI415" t="s">
        <v>1979</v>
      </c>
      <c r="AJ415" t="s">
        <v>1979</v>
      </c>
      <c r="AK415" t="s">
        <v>1979</v>
      </c>
      <c r="AL415" t="s">
        <v>1979</v>
      </c>
      <c r="AM415" t="s">
        <v>1979</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8092</v>
      </c>
      <c r="BP415">
        <v>0</v>
      </c>
      <c r="BQ415" s="591">
        <v>36.840000000000003</v>
      </c>
      <c r="BR415" t="s">
        <v>1979</v>
      </c>
      <c r="BS415" t="s">
        <v>8093</v>
      </c>
      <c r="BT415">
        <v>0</v>
      </c>
      <c r="BU415" t="s">
        <v>1988</v>
      </c>
      <c r="BV415">
        <v>5.6000000000000001E-2</v>
      </c>
      <c r="BW415">
        <v>82.55</v>
      </c>
      <c r="BX415" t="s">
        <v>1979</v>
      </c>
      <c r="BY415">
        <v>0</v>
      </c>
      <c r="BZ415">
        <v>0</v>
      </c>
      <c r="CA415" t="s">
        <v>1988</v>
      </c>
      <c r="CB415">
        <v>0.18479999999999999</v>
      </c>
      <c r="CD415" t="s">
        <v>10453</v>
      </c>
    </row>
    <row r="416" spans="1:82">
      <c r="A416" t="s">
        <v>10397</v>
      </c>
      <c r="B416" t="s">
        <v>10454</v>
      </c>
      <c r="C416" t="s">
        <v>7958</v>
      </c>
      <c r="D416" t="s">
        <v>1383</v>
      </c>
      <c r="E416" t="s">
        <v>8083</v>
      </c>
      <c r="F416" t="s">
        <v>10455</v>
      </c>
      <c r="G416" t="s">
        <v>7879</v>
      </c>
      <c r="H416" t="s">
        <v>10456</v>
      </c>
      <c r="I416" t="s">
        <v>10457</v>
      </c>
      <c r="J416" t="s">
        <v>8119</v>
      </c>
      <c r="N416" t="s">
        <v>8274</v>
      </c>
      <c r="O416" t="s">
        <v>10</v>
      </c>
      <c r="P416" t="s">
        <v>10458</v>
      </c>
      <c r="Q416">
        <v>0</v>
      </c>
      <c r="R416" t="s">
        <v>8129</v>
      </c>
      <c r="S416">
        <v>90</v>
      </c>
      <c r="T416">
        <v>91</v>
      </c>
      <c r="U416">
        <v>92</v>
      </c>
      <c r="V416">
        <v>93</v>
      </c>
      <c r="W416">
        <v>94</v>
      </c>
      <c r="X416">
        <v>95</v>
      </c>
      <c r="AH416">
        <v>0</v>
      </c>
      <c r="BP416">
        <v>93.46</v>
      </c>
      <c r="BQ416" s="595">
        <v>95.19</v>
      </c>
      <c r="BR416" t="s">
        <v>1979</v>
      </c>
      <c r="BS416" t="s">
        <v>8093</v>
      </c>
      <c r="BT416">
        <v>0</v>
      </c>
      <c r="BU416" t="s">
        <v>8093</v>
      </c>
      <c r="BV416">
        <v>0</v>
      </c>
      <c r="BW416">
        <v>97.52</v>
      </c>
      <c r="BX416" t="s">
        <v>1979</v>
      </c>
      <c r="BY416">
        <v>0</v>
      </c>
      <c r="BZ416">
        <v>0</v>
      </c>
      <c r="CA416">
        <v>0</v>
      </c>
      <c r="CB416">
        <v>0</v>
      </c>
      <c r="CD416" t="s">
        <v>10459</v>
      </c>
    </row>
    <row r="417" spans="1:82">
      <c r="A417" t="s">
        <v>10397</v>
      </c>
      <c r="B417" t="s">
        <v>10460</v>
      </c>
      <c r="C417" t="s">
        <v>7958</v>
      </c>
      <c r="D417" t="s">
        <v>1383</v>
      </c>
      <c r="E417" t="s">
        <v>8083</v>
      </c>
      <c r="F417" t="s">
        <v>10461</v>
      </c>
      <c r="G417" t="s">
        <v>7895</v>
      </c>
      <c r="H417" t="s">
        <v>10462</v>
      </c>
      <c r="I417" t="s">
        <v>10463</v>
      </c>
      <c r="J417" t="s">
        <v>8119</v>
      </c>
      <c r="N417" t="s">
        <v>8474</v>
      </c>
      <c r="O417" t="s">
        <v>11</v>
      </c>
      <c r="P417" t="s">
        <v>10464</v>
      </c>
      <c r="Q417">
        <v>0</v>
      </c>
      <c r="S417">
        <v>53544</v>
      </c>
      <c r="T417">
        <v>61644</v>
      </c>
      <c r="U417">
        <v>59325</v>
      </c>
      <c r="V417">
        <v>57393</v>
      </c>
      <c r="W417">
        <v>47421</v>
      </c>
      <c r="X417">
        <v>46054</v>
      </c>
      <c r="AH417">
        <v>0</v>
      </c>
      <c r="BP417">
        <v>40102</v>
      </c>
      <c r="BQ417" s="594">
        <v>27197</v>
      </c>
      <c r="BR417" t="s">
        <v>1980</v>
      </c>
      <c r="BS417" t="s">
        <v>8093</v>
      </c>
      <c r="BT417">
        <v>0</v>
      </c>
      <c r="BU417" t="s">
        <v>8093</v>
      </c>
      <c r="BV417">
        <v>0</v>
      </c>
      <c r="BW417">
        <v>32447</v>
      </c>
      <c r="BX417" t="s">
        <v>1980</v>
      </c>
      <c r="BY417">
        <v>0</v>
      </c>
      <c r="BZ417">
        <v>0</v>
      </c>
      <c r="CA417">
        <v>0</v>
      </c>
      <c r="CB417">
        <v>0</v>
      </c>
      <c r="CD417" t="s">
        <v>10465</v>
      </c>
    </row>
    <row r="418" spans="1:82">
      <c r="A418" t="s">
        <v>10397</v>
      </c>
      <c r="B418" t="s">
        <v>10466</v>
      </c>
      <c r="C418" t="s">
        <v>7958</v>
      </c>
      <c r="D418" t="s">
        <v>1384</v>
      </c>
      <c r="E418" t="s">
        <v>8297</v>
      </c>
      <c r="F418" t="s">
        <v>10467</v>
      </c>
      <c r="G418" t="s">
        <v>8764</v>
      </c>
      <c r="H418" t="s">
        <v>10468</v>
      </c>
      <c r="I418" t="s">
        <v>10469</v>
      </c>
      <c r="J418" t="s">
        <v>8088</v>
      </c>
      <c r="K418" t="s">
        <v>10407</v>
      </c>
      <c r="N418" t="s">
        <v>8301</v>
      </c>
      <c r="O418" t="s">
        <v>8170</v>
      </c>
      <c r="P418" t="s">
        <v>10470</v>
      </c>
      <c r="Q418">
        <v>2</v>
      </c>
      <c r="R418" t="s">
        <v>8091</v>
      </c>
      <c r="S418">
        <v>105.8</v>
      </c>
      <c r="T418">
        <v>100</v>
      </c>
      <c r="U418">
        <v>100</v>
      </c>
      <c r="V418">
        <v>100</v>
      </c>
      <c r="W418">
        <v>100</v>
      </c>
      <c r="X418">
        <v>100</v>
      </c>
      <c r="AE418" t="s">
        <v>1979</v>
      </c>
      <c r="AH418">
        <v>5</v>
      </c>
      <c r="AI418" t="s">
        <v>1979</v>
      </c>
      <c r="AJ418" t="s">
        <v>1979</v>
      </c>
      <c r="AK418" t="s">
        <v>1979</v>
      </c>
      <c r="AL418" t="s">
        <v>1979</v>
      </c>
      <c r="AM418" t="s">
        <v>1979</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8092</v>
      </c>
      <c r="BP418">
        <v>95.2</v>
      </c>
      <c r="BQ418" s="595">
        <v>91.69</v>
      </c>
      <c r="BR418" t="s">
        <v>1979</v>
      </c>
      <c r="BS418" t="s">
        <v>8093</v>
      </c>
      <c r="BT418">
        <v>0</v>
      </c>
      <c r="BU418" t="s">
        <v>1988</v>
      </c>
      <c r="BV418">
        <v>7.3761000000000001</v>
      </c>
      <c r="BW418">
        <v>91.9</v>
      </c>
      <c r="BX418" t="s">
        <v>1979</v>
      </c>
      <c r="BY418">
        <v>0</v>
      </c>
      <c r="BZ418">
        <v>0</v>
      </c>
      <c r="CA418" t="s">
        <v>1988</v>
      </c>
      <c r="CB418">
        <v>7.35</v>
      </c>
      <c r="CD418" t="s">
        <v>10471</v>
      </c>
    </row>
    <row r="419" spans="1:82">
      <c r="A419" t="s">
        <v>10397</v>
      </c>
      <c r="B419" t="s">
        <v>10472</v>
      </c>
      <c r="C419" t="s">
        <v>7958</v>
      </c>
      <c r="D419" t="s">
        <v>1384</v>
      </c>
      <c r="E419" t="s">
        <v>8297</v>
      </c>
      <c r="F419" t="s">
        <v>10467</v>
      </c>
      <c r="G419" t="s">
        <v>8298</v>
      </c>
      <c r="H419" t="s">
        <v>10473</v>
      </c>
      <c r="I419" t="s">
        <v>10474</v>
      </c>
      <c r="J419" t="s">
        <v>8099</v>
      </c>
      <c r="K419" t="s">
        <v>10407</v>
      </c>
      <c r="N419" t="s">
        <v>8364</v>
      </c>
      <c r="O419" t="s">
        <v>8170</v>
      </c>
      <c r="P419" t="s">
        <v>10475</v>
      </c>
      <c r="Q419">
        <v>2</v>
      </c>
      <c r="R419" t="s">
        <v>8091</v>
      </c>
      <c r="S419">
        <v>108.4</v>
      </c>
      <c r="T419">
        <v>106.2</v>
      </c>
      <c r="U419">
        <v>103.2</v>
      </c>
      <c r="V419">
        <v>99.4</v>
      </c>
      <c r="W419">
        <v>95.6</v>
      </c>
      <c r="X419">
        <v>93.4</v>
      </c>
      <c r="AE419" t="s">
        <v>1979</v>
      </c>
      <c r="AH419">
        <v>4</v>
      </c>
      <c r="AI419" t="s">
        <v>1979</v>
      </c>
      <c r="AJ419" t="s">
        <v>1979</v>
      </c>
      <c r="AK419" t="s">
        <v>1979</v>
      </c>
      <c r="AL419" t="s">
        <v>1979</v>
      </c>
      <c r="AM419" t="s">
        <v>1979</v>
      </c>
      <c r="AN419">
        <v>115.4</v>
      </c>
      <c r="AO419">
        <v>112.4</v>
      </c>
      <c r="AP419">
        <v>108.6</v>
      </c>
      <c r="AQ419">
        <v>104.8</v>
      </c>
      <c r="AR419">
        <v>102.6</v>
      </c>
      <c r="AS419">
        <v>108.9</v>
      </c>
      <c r="AT419">
        <v>105.8</v>
      </c>
      <c r="AU419">
        <v>101.9</v>
      </c>
      <c r="AV419">
        <v>98</v>
      </c>
      <c r="AW419">
        <v>95.7</v>
      </c>
      <c r="BH419">
        <v>2.298</v>
      </c>
      <c r="BN419">
        <v>1</v>
      </c>
      <c r="BO419" t="s">
        <v>8092</v>
      </c>
      <c r="BP419">
        <v>94.3</v>
      </c>
      <c r="BQ419" s="595">
        <v>90.95</v>
      </c>
      <c r="BR419" t="s">
        <v>1979</v>
      </c>
      <c r="BS419" t="s">
        <v>8093</v>
      </c>
      <c r="BT419">
        <v>0</v>
      </c>
      <c r="BU419" t="s">
        <v>8093</v>
      </c>
      <c r="BV419">
        <v>0</v>
      </c>
      <c r="BW419">
        <v>89.47</v>
      </c>
      <c r="BX419" t="s">
        <v>1979</v>
      </c>
      <c r="BY419">
        <v>0</v>
      </c>
      <c r="BZ419">
        <v>0</v>
      </c>
      <c r="CA419">
        <v>0</v>
      </c>
      <c r="CB419">
        <v>0</v>
      </c>
      <c r="CD419" t="s">
        <v>10476</v>
      </c>
    </row>
    <row r="420" spans="1:82">
      <c r="A420" t="s">
        <v>10397</v>
      </c>
      <c r="B420" t="s">
        <v>10477</v>
      </c>
      <c r="C420" t="s">
        <v>7958</v>
      </c>
      <c r="D420" t="s">
        <v>1384</v>
      </c>
      <c r="E420" t="s">
        <v>8297</v>
      </c>
      <c r="F420" t="s">
        <v>10478</v>
      </c>
      <c r="G420" t="s">
        <v>8318</v>
      </c>
      <c r="H420" t="s">
        <v>10479</v>
      </c>
      <c r="I420" t="s">
        <v>10480</v>
      </c>
      <c r="J420" t="s">
        <v>8119</v>
      </c>
      <c r="N420" t="s">
        <v>8301</v>
      </c>
      <c r="O420" t="s">
        <v>11</v>
      </c>
      <c r="P420" t="s">
        <v>10481</v>
      </c>
      <c r="Q420">
        <v>0</v>
      </c>
      <c r="R420" t="s">
        <v>8091</v>
      </c>
      <c r="S420">
        <v>16568</v>
      </c>
      <c r="T420">
        <v>16511</v>
      </c>
      <c r="U420">
        <v>16436</v>
      </c>
      <c r="V420">
        <v>16341</v>
      </c>
      <c r="W420">
        <v>16247</v>
      </c>
      <c r="X420">
        <v>16190</v>
      </c>
      <c r="AE420" t="s">
        <v>1979</v>
      </c>
      <c r="AH420">
        <v>0</v>
      </c>
      <c r="BP420" t="s">
        <v>8093</v>
      </c>
      <c r="BQ420" s="594">
        <v>16472</v>
      </c>
      <c r="BR420" t="s">
        <v>1979</v>
      </c>
      <c r="BS420" t="s">
        <v>8093</v>
      </c>
      <c r="BT420">
        <v>0</v>
      </c>
      <c r="BU420" t="s">
        <v>8093</v>
      </c>
      <c r="BV420">
        <v>0</v>
      </c>
      <c r="BW420">
        <v>16418</v>
      </c>
      <c r="BX420" t="s">
        <v>1979</v>
      </c>
      <c r="BY420">
        <v>0</v>
      </c>
      <c r="BZ420">
        <v>0</v>
      </c>
      <c r="CA420">
        <v>0</v>
      </c>
      <c r="CB420">
        <v>0</v>
      </c>
      <c r="CD420" t="s">
        <v>10482</v>
      </c>
    </row>
    <row r="421" spans="1:82">
      <c r="A421" t="s">
        <v>10397</v>
      </c>
      <c r="B421" t="s">
        <v>10483</v>
      </c>
      <c r="C421" t="s">
        <v>7958</v>
      </c>
      <c r="D421" t="s">
        <v>1384</v>
      </c>
      <c r="E421" t="s">
        <v>8297</v>
      </c>
      <c r="F421" t="s">
        <v>10478</v>
      </c>
      <c r="G421" t="s">
        <v>8779</v>
      </c>
      <c r="H421" t="s">
        <v>10484</v>
      </c>
      <c r="I421" t="s">
        <v>10485</v>
      </c>
      <c r="J421" t="s">
        <v>8088</v>
      </c>
      <c r="K421" t="s">
        <v>10407</v>
      </c>
      <c r="N421" t="s">
        <v>8301</v>
      </c>
      <c r="O421" t="s">
        <v>8170</v>
      </c>
      <c r="P421" t="s">
        <v>10486</v>
      </c>
      <c r="Q421">
        <v>1</v>
      </c>
      <c r="R421" t="s">
        <v>8091</v>
      </c>
      <c r="S421">
        <v>101.6</v>
      </c>
      <c r="T421">
        <v>93.1</v>
      </c>
      <c r="U421">
        <v>83.9</v>
      </c>
      <c r="V421">
        <v>73.900000000000006</v>
      </c>
      <c r="W421">
        <v>70.3</v>
      </c>
      <c r="X421">
        <v>68.099999999999994</v>
      </c>
      <c r="AC421" t="s">
        <v>1979</v>
      </c>
      <c r="AE421" t="s">
        <v>1979</v>
      </c>
      <c r="AH421">
        <v>5</v>
      </c>
      <c r="AI421" t="s">
        <v>1979</v>
      </c>
      <c r="AJ421" t="s">
        <v>1979</v>
      </c>
      <c r="AK421" t="s">
        <v>1979</v>
      </c>
      <c r="AL421" t="s">
        <v>1979</v>
      </c>
      <c r="AM421" t="s">
        <v>1979</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8092</v>
      </c>
      <c r="BP421">
        <v>82.5</v>
      </c>
      <c r="BQ421" s="591">
        <v>100.8</v>
      </c>
      <c r="BR421" t="s">
        <v>1980</v>
      </c>
      <c r="BS421" t="s">
        <v>8093</v>
      </c>
      <c r="BT421">
        <v>0</v>
      </c>
      <c r="BU421" t="s">
        <v>1985</v>
      </c>
      <c r="BV421">
        <v>0</v>
      </c>
      <c r="BW421">
        <v>94.4</v>
      </c>
      <c r="BX421" t="s">
        <v>1980</v>
      </c>
      <c r="BY421">
        <v>0</v>
      </c>
      <c r="BZ421">
        <v>0</v>
      </c>
      <c r="CA421" t="s">
        <v>1983</v>
      </c>
      <c r="CB421">
        <v>-1.484</v>
      </c>
      <c r="CD421" t="s">
        <v>10487</v>
      </c>
    </row>
    <row r="422" spans="1:82">
      <c r="A422" t="s">
        <v>10397</v>
      </c>
      <c r="B422" t="s">
        <v>10488</v>
      </c>
      <c r="C422" t="s">
        <v>7958</v>
      </c>
      <c r="D422" t="s">
        <v>1384</v>
      </c>
      <c r="E422" t="s">
        <v>8297</v>
      </c>
      <c r="F422" t="s">
        <v>10489</v>
      </c>
      <c r="G422" t="s">
        <v>8323</v>
      </c>
      <c r="H422" t="s">
        <v>10490</v>
      </c>
      <c r="I422" t="s">
        <v>10491</v>
      </c>
      <c r="J422" t="s">
        <v>8099</v>
      </c>
      <c r="K422" t="s">
        <v>10407</v>
      </c>
      <c r="M422" t="s">
        <v>1980</v>
      </c>
      <c r="N422" t="s">
        <v>8252</v>
      </c>
      <c r="O422" t="s">
        <v>11</v>
      </c>
      <c r="P422" t="s">
        <v>10492</v>
      </c>
      <c r="Q422">
        <v>2</v>
      </c>
      <c r="R422" t="s">
        <v>8129</v>
      </c>
      <c r="S422">
        <v>0</v>
      </c>
      <c r="T422">
        <v>0.36</v>
      </c>
      <c r="U422">
        <v>0.66</v>
      </c>
      <c r="V422">
        <v>1.49</v>
      </c>
      <c r="W422">
        <v>3.78</v>
      </c>
      <c r="X422">
        <v>6.56</v>
      </c>
      <c r="AD422" t="s">
        <v>1979</v>
      </c>
      <c r="AF422" t="s">
        <v>1979</v>
      </c>
      <c r="AH422">
        <v>0</v>
      </c>
      <c r="AI422" t="s">
        <v>1979</v>
      </c>
      <c r="AJ422" t="s">
        <v>1979</v>
      </c>
      <c r="AK422" t="s">
        <v>1979</v>
      </c>
      <c r="AL422" t="s">
        <v>1979</v>
      </c>
      <c r="AM422" t="s">
        <v>1979</v>
      </c>
      <c r="AN422">
        <v>0</v>
      </c>
      <c r="AO422">
        <v>0</v>
      </c>
      <c r="AP422">
        <v>0</v>
      </c>
      <c r="AQ422">
        <v>0</v>
      </c>
      <c r="AR422">
        <v>0</v>
      </c>
      <c r="AS422">
        <v>0.36</v>
      </c>
      <c r="AT422">
        <v>0.66</v>
      </c>
      <c r="AU422">
        <v>1.49</v>
      </c>
      <c r="AV422">
        <v>3.78</v>
      </c>
      <c r="AW422">
        <v>6.56</v>
      </c>
      <c r="BH422">
        <v>10</v>
      </c>
      <c r="BN422">
        <v>1</v>
      </c>
      <c r="BO422" t="s">
        <v>8092</v>
      </c>
      <c r="BP422">
        <v>0</v>
      </c>
      <c r="BQ422" s="595">
        <v>0.47</v>
      </c>
      <c r="BR422" t="s">
        <v>1979</v>
      </c>
      <c r="BS422" t="s">
        <v>8093</v>
      </c>
      <c r="BT422">
        <v>0</v>
      </c>
      <c r="BU422" t="s">
        <v>8093</v>
      </c>
      <c r="BV422">
        <v>0</v>
      </c>
      <c r="BW422">
        <v>0.66</v>
      </c>
      <c r="BX422" t="s">
        <v>1979</v>
      </c>
      <c r="BY422">
        <v>0</v>
      </c>
      <c r="BZ422">
        <v>0</v>
      </c>
      <c r="CA422">
        <v>0</v>
      </c>
      <c r="CB422">
        <v>0</v>
      </c>
      <c r="CD422" t="s">
        <v>10493</v>
      </c>
    </row>
    <row r="423" spans="1:82">
      <c r="A423" t="s">
        <v>10397</v>
      </c>
      <c r="B423" t="s">
        <v>10494</v>
      </c>
      <c r="C423" t="s">
        <v>7958</v>
      </c>
      <c r="D423" t="s">
        <v>1384</v>
      </c>
      <c r="E423" t="s">
        <v>8297</v>
      </c>
      <c r="F423" t="s">
        <v>10449</v>
      </c>
      <c r="G423" t="s">
        <v>8346</v>
      </c>
      <c r="H423" t="s">
        <v>10495</v>
      </c>
      <c r="I423" t="s">
        <v>10496</v>
      </c>
      <c r="J423" t="s">
        <v>8099</v>
      </c>
      <c r="K423" t="s">
        <v>10407</v>
      </c>
      <c r="M423" t="s">
        <v>1980</v>
      </c>
      <c r="N423" t="s">
        <v>8252</v>
      </c>
      <c r="O423" t="s">
        <v>11</v>
      </c>
      <c r="P423" t="s">
        <v>10497</v>
      </c>
      <c r="Q423">
        <v>1</v>
      </c>
      <c r="R423" t="s">
        <v>8129</v>
      </c>
      <c r="S423">
        <v>0</v>
      </c>
      <c r="T423">
        <v>1.8</v>
      </c>
      <c r="U423">
        <v>1.8</v>
      </c>
      <c r="V423">
        <v>190.1</v>
      </c>
      <c r="W423">
        <v>316.7</v>
      </c>
      <c r="X423">
        <v>346.6</v>
      </c>
      <c r="AD423" t="s">
        <v>1979</v>
      </c>
      <c r="AF423" t="s">
        <v>1979</v>
      </c>
      <c r="AH423">
        <v>0</v>
      </c>
      <c r="AI423" t="s">
        <v>1979</v>
      </c>
      <c r="AJ423" t="s">
        <v>1979</v>
      </c>
      <c r="AK423" t="s">
        <v>1979</v>
      </c>
      <c r="AL423" t="s">
        <v>1979</v>
      </c>
      <c r="AM423" t="s">
        <v>1979</v>
      </c>
      <c r="AN423">
        <v>0</v>
      </c>
      <c r="AO423">
        <v>0</v>
      </c>
      <c r="AP423">
        <v>0</v>
      </c>
      <c r="AQ423">
        <v>0</v>
      </c>
      <c r="AR423">
        <v>0</v>
      </c>
      <c r="AS423">
        <v>1.8</v>
      </c>
      <c r="AT423">
        <v>1.8</v>
      </c>
      <c r="AU423">
        <v>190.1</v>
      </c>
      <c r="AV423">
        <v>316.7</v>
      </c>
      <c r="AW423">
        <v>346.6</v>
      </c>
      <c r="BH423">
        <v>5.8000000000000003E-2</v>
      </c>
      <c r="BN423">
        <v>1</v>
      </c>
      <c r="BO423" t="s">
        <v>8092</v>
      </c>
      <c r="BP423">
        <v>0</v>
      </c>
      <c r="BQ423" s="591">
        <v>48</v>
      </c>
      <c r="BR423" t="s">
        <v>1979</v>
      </c>
      <c r="BS423" t="s">
        <v>8093</v>
      </c>
      <c r="BT423">
        <v>0</v>
      </c>
      <c r="BU423" t="s">
        <v>8093</v>
      </c>
      <c r="BV423">
        <v>0</v>
      </c>
      <c r="BW423">
        <v>48.02</v>
      </c>
      <c r="BX423" t="s">
        <v>1979</v>
      </c>
      <c r="BY423">
        <v>0</v>
      </c>
      <c r="BZ423">
        <v>0</v>
      </c>
      <c r="CA423">
        <v>0</v>
      </c>
      <c r="CB423">
        <v>0</v>
      </c>
      <c r="CD423" t="s">
        <v>10498</v>
      </c>
    </row>
    <row r="424" spans="1:82">
      <c r="A424" t="s">
        <v>10397</v>
      </c>
      <c r="B424" t="s">
        <v>10499</v>
      </c>
      <c r="C424" t="s">
        <v>7958</v>
      </c>
      <c r="D424" t="s">
        <v>1384</v>
      </c>
      <c r="E424" t="s">
        <v>8297</v>
      </c>
      <c r="F424" t="s">
        <v>10449</v>
      </c>
      <c r="G424" t="s">
        <v>8351</v>
      </c>
      <c r="H424" t="s">
        <v>10500</v>
      </c>
      <c r="I424" t="s">
        <v>10501</v>
      </c>
      <c r="J424" t="s">
        <v>8099</v>
      </c>
      <c r="K424" t="s">
        <v>10407</v>
      </c>
      <c r="N424" t="s">
        <v>8252</v>
      </c>
      <c r="O424" t="s">
        <v>8170</v>
      </c>
      <c r="P424" t="s">
        <v>10502</v>
      </c>
      <c r="Q424">
        <v>4</v>
      </c>
      <c r="R424" t="s">
        <v>8091</v>
      </c>
      <c r="S424">
        <v>113.97</v>
      </c>
      <c r="T424">
        <v>83</v>
      </c>
      <c r="U424">
        <v>83</v>
      </c>
      <c r="V424">
        <v>83</v>
      </c>
      <c r="W424">
        <v>54.32</v>
      </c>
      <c r="X424">
        <v>46.13</v>
      </c>
      <c r="AD424" t="s">
        <v>1979</v>
      </c>
      <c r="AE424" t="s">
        <v>1979</v>
      </c>
      <c r="AF424" t="s">
        <v>1979</v>
      </c>
      <c r="AH424">
        <v>10</v>
      </c>
      <c r="AI424" t="s">
        <v>1979</v>
      </c>
      <c r="AJ424" t="s">
        <v>1979</v>
      </c>
      <c r="AK424" t="s">
        <v>1979</v>
      </c>
      <c r="AL424" t="s">
        <v>1979</v>
      </c>
      <c r="AM424" t="s">
        <v>1979</v>
      </c>
      <c r="AN424">
        <v>155.4</v>
      </c>
      <c r="AO424">
        <v>155.4</v>
      </c>
      <c r="AP424">
        <v>155.4</v>
      </c>
      <c r="AQ424">
        <v>126.72</v>
      </c>
      <c r="AR424">
        <v>118.53</v>
      </c>
      <c r="AS424">
        <v>113.3</v>
      </c>
      <c r="AT424">
        <v>113.3</v>
      </c>
      <c r="AU424">
        <v>113.3</v>
      </c>
      <c r="AV424">
        <v>84.62</v>
      </c>
      <c r="AW424">
        <v>76.430000000000007</v>
      </c>
      <c r="BH424">
        <v>0.57199999999999995</v>
      </c>
      <c r="BN424">
        <v>1</v>
      </c>
      <c r="BO424" t="s">
        <v>8092</v>
      </c>
      <c r="BP424">
        <v>94.99</v>
      </c>
      <c r="BQ424" s="604">
        <v>91.484700000000004</v>
      </c>
      <c r="BR424" t="s">
        <v>1980</v>
      </c>
      <c r="BS424" t="s">
        <v>8093</v>
      </c>
      <c r="BT424">
        <v>0</v>
      </c>
      <c r="BU424" t="s">
        <v>1985</v>
      </c>
      <c r="BV424">
        <v>0</v>
      </c>
      <c r="BW424">
        <v>58.708199999999998</v>
      </c>
      <c r="BX424" t="s">
        <v>1979</v>
      </c>
      <c r="BY424">
        <v>0</v>
      </c>
      <c r="BZ424">
        <v>0</v>
      </c>
      <c r="CA424">
        <v>0</v>
      </c>
      <c r="CB424">
        <v>0</v>
      </c>
      <c r="CD424" t="s">
        <v>10503</v>
      </c>
    </row>
    <row r="425" spans="1:82">
      <c r="A425" t="s">
        <v>10397</v>
      </c>
      <c r="B425" t="s">
        <v>10504</v>
      </c>
      <c r="C425" t="s">
        <v>7958</v>
      </c>
      <c r="D425" t="s">
        <v>1384</v>
      </c>
      <c r="E425" t="s">
        <v>8297</v>
      </c>
      <c r="F425" t="s">
        <v>10449</v>
      </c>
      <c r="G425" t="s">
        <v>8871</v>
      </c>
      <c r="H425" t="s">
        <v>10505</v>
      </c>
      <c r="I425" t="s">
        <v>10506</v>
      </c>
      <c r="J425" t="s">
        <v>8088</v>
      </c>
      <c r="K425" t="s">
        <v>10407</v>
      </c>
      <c r="M425" t="s">
        <v>1980</v>
      </c>
      <c r="N425" t="s">
        <v>8252</v>
      </c>
      <c r="O425" t="s">
        <v>11</v>
      </c>
      <c r="P425" t="s">
        <v>10452</v>
      </c>
      <c r="Q425">
        <v>2</v>
      </c>
      <c r="R425" t="s">
        <v>8129</v>
      </c>
      <c r="S425">
        <v>0</v>
      </c>
      <c r="T425">
        <v>0.75</v>
      </c>
      <c r="U425">
        <v>15.41</v>
      </c>
      <c r="V425">
        <v>98.14</v>
      </c>
      <c r="W425">
        <v>145.38999999999999</v>
      </c>
      <c r="X425">
        <v>355.22</v>
      </c>
      <c r="AD425" t="s">
        <v>1979</v>
      </c>
      <c r="AF425" t="s">
        <v>1979</v>
      </c>
      <c r="AH425">
        <v>0</v>
      </c>
      <c r="AI425" t="s">
        <v>1979</v>
      </c>
      <c r="AJ425" t="s">
        <v>1979</v>
      </c>
      <c r="AK425" t="s">
        <v>1979</v>
      </c>
      <c r="AL425" t="s">
        <v>1979</v>
      </c>
      <c r="AM425" t="s">
        <v>1979</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8092</v>
      </c>
      <c r="BP425">
        <v>0</v>
      </c>
      <c r="BQ425" s="595">
        <v>0.75</v>
      </c>
      <c r="BR425" t="s">
        <v>1979</v>
      </c>
      <c r="BS425" t="s">
        <v>8093</v>
      </c>
      <c r="BT425">
        <v>0</v>
      </c>
      <c r="BU425" t="s">
        <v>8093</v>
      </c>
      <c r="BV425">
        <v>0</v>
      </c>
      <c r="BW425">
        <v>45.62</v>
      </c>
      <c r="BX425" t="s">
        <v>1979</v>
      </c>
      <c r="BY425">
        <v>0</v>
      </c>
      <c r="BZ425">
        <v>0</v>
      </c>
      <c r="CA425" t="s">
        <v>1988</v>
      </c>
      <c r="CB425">
        <v>0.43099999999999999</v>
      </c>
      <c r="CD425" t="s">
        <v>10507</v>
      </c>
    </row>
    <row r="426" spans="1:82">
      <c r="A426" t="s">
        <v>10397</v>
      </c>
      <c r="B426" t="s">
        <v>10508</v>
      </c>
      <c r="C426" t="s">
        <v>7958</v>
      </c>
      <c r="D426" t="s">
        <v>1384</v>
      </c>
      <c r="E426" t="s">
        <v>8297</v>
      </c>
      <c r="F426" t="s">
        <v>10449</v>
      </c>
      <c r="G426" t="s">
        <v>10509</v>
      </c>
      <c r="H426" t="s">
        <v>10510</v>
      </c>
      <c r="I426" t="s">
        <v>10511</v>
      </c>
      <c r="J426" t="s">
        <v>8099</v>
      </c>
      <c r="K426" t="s">
        <v>10407</v>
      </c>
      <c r="N426" t="s">
        <v>8337</v>
      </c>
      <c r="O426" t="s">
        <v>11</v>
      </c>
      <c r="P426" t="s">
        <v>9463</v>
      </c>
      <c r="Q426">
        <v>0</v>
      </c>
      <c r="R426" t="s">
        <v>8091</v>
      </c>
      <c r="S426">
        <v>4</v>
      </c>
      <c r="T426">
        <v>4</v>
      </c>
      <c r="U426">
        <v>4</v>
      </c>
      <c r="V426">
        <v>3</v>
      </c>
      <c r="W426">
        <v>3</v>
      </c>
      <c r="X426">
        <v>0</v>
      </c>
      <c r="AE426" t="s">
        <v>1979</v>
      </c>
      <c r="AH426">
        <v>0</v>
      </c>
      <c r="AI426" t="s">
        <v>1979</v>
      </c>
      <c r="AJ426" t="s">
        <v>1979</v>
      </c>
      <c r="AK426" t="s">
        <v>1979</v>
      </c>
      <c r="AL426" t="s">
        <v>1979</v>
      </c>
      <c r="AM426" t="s">
        <v>1979</v>
      </c>
      <c r="AN426">
        <v>7</v>
      </c>
      <c r="AO426">
        <v>7</v>
      </c>
      <c r="AP426">
        <v>6</v>
      </c>
      <c r="AQ426">
        <v>6</v>
      </c>
      <c r="AR426">
        <v>5</v>
      </c>
      <c r="AS426">
        <v>6</v>
      </c>
      <c r="AT426">
        <v>6</v>
      </c>
      <c r="AU426">
        <v>5</v>
      </c>
      <c r="AV426">
        <v>5</v>
      </c>
      <c r="AW426">
        <v>4</v>
      </c>
      <c r="BH426">
        <v>0.42</v>
      </c>
      <c r="BN426">
        <v>1</v>
      </c>
      <c r="BO426" t="s">
        <v>8092</v>
      </c>
      <c r="BP426">
        <v>2</v>
      </c>
      <c r="BQ426" s="594">
        <v>4</v>
      </c>
      <c r="BR426" t="s">
        <v>1979</v>
      </c>
      <c r="BS426" t="s">
        <v>8093</v>
      </c>
      <c r="BT426">
        <v>0</v>
      </c>
      <c r="BU426" t="s">
        <v>8093</v>
      </c>
      <c r="BV426">
        <v>0</v>
      </c>
      <c r="BW426">
        <v>2</v>
      </c>
      <c r="BX426" t="s">
        <v>1979</v>
      </c>
      <c r="BY426">
        <v>0</v>
      </c>
      <c r="BZ426">
        <v>0</v>
      </c>
      <c r="CA426">
        <v>0</v>
      </c>
      <c r="CB426">
        <v>0</v>
      </c>
      <c r="CD426" t="s">
        <v>10512</v>
      </c>
    </row>
    <row r="427" spans="1:82">
      <c r="A427" t="s">
        <v>10397</v>
      </c>
      <c r="B427" t="s">
        <v>10513</v>
      </c>
      <c r="C427" t="s">
        <v>7958</v>
      </c>
      <c r="D427" t="s">
        <v>1384</v>
      </c>
      <c r="E427" t="s">
        <v>8297</v>
      </c>
      <c r="F427" t="s">
        <v>10449</v>
      </c>
      <c r="G427" t="s">
        <v>10514</v>
      </c>
      <c r="H427" t="s">
        <v>10515</v>
      </c>
      <c r="I427" t="s">
        <v>10516</v>
      </c>
      <c r="J427" t="s">
        <v>8088</v>
      </c>
      <c r="K427" t="s">
        <v>10407</v>
      </c>
      <c r="N427" t="s">
        <v>8337</v>
      </c>
      <c r="O427" t="s">
        <v>11</v>
      </c>
      <c r="P427" t="s">
        <v>8338</v>
      </c>
      <c r="Q427">
        <v>0</v>
      </c>
      <c r="R427" t="s">
        <v>8091</v>
      </c>
      <c r="S427">
        <v>207</v>
      </c>
      <c r="T427">
        <v>204</v>
      </c>
      <c r="U427">
        <v>201</v>
      </c>
      <c r="V427">
        <v>198</v>
      </c>
      <c r="W427">
        <v>195</v>
      </c>
      <c r="X427">
        <v>191</v>
      </c>
      <c r="AB427" t="s">
        <v>1979</v>
      </c>
      <c r="AE427" t="s">
        <v>1979</v>
      </c>
      <c r="AH427">
        <v>0</v>
      </c>
      <c r="AI427" t="s">
        <v>1979</v>
      </c>
      <c r="AJ427" t="s">
        <v>1979</v>
      </c>
      <c r="AK427" t="s">
        <v>1979</v>
      </c>
      <c r="AL427" t="s">
        <v>1979</v>
      </c>
      <c r="AM427" t="s">
        <v>1979</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8092</v>
      </c>
      <c r="BP427">
        <v>212</v>
      </c>
      <c r="BQ427" s="594">
        <v>136</v>
      </c>
      <c r="BR427" t="s">
        <v>1979</v>
      </c>
      <c r="BS427" t="s">
        <v>8093</v>
      </c>
      <c r="BT427">
        <v>0</v>
      </c>
      <c r="BU427" t="s">
        <v>1988</v>
      </c>
      <c r="BV427">
        <v>3.278</v>
      </c>
      <c r="BW427">
        <v>150</v>
      </c>
      <c r="BX427" t="s">
        <v>1979</v>
      </c>
      <c r="BY427">
        <v>0</v>
      </c>
      <c r="BZ427">
        <v>0</v>
      </c>
      <c r="CA427" t="s">
        <v>1988</v>
      </c>
      <c r="CB427">
        <v>3.278</v>
      </c>
      <c r="CD427" t="s">
        <v>10517</v>
      </c>
    </row>
    <row r="428" spans="1:82">
      <c r="A428" t="s">
        <v>10397</v>
      </c>
      <c r="B428" t="s">
        <v>10518</v>
      </c>
      <c r="C428" t="s">
        <v>7958</v>
      </c>
      <c r="D428" t="s">
        <v>1384</v>
      </c>
      <c r="E428" t="s">
        <v>8297</v>
      </c>
      <c r="F428" t="s">
        <v>10449</v>
      </c>
      <c r="G428" t="s">
        <v>10519</v>
      </c>
      <c r="H428" t="s">
        <v>10520</v>
      </c>
      <c r="I428" t="s">
        <v>10521</v>
      </c>
      <c r="J428" t="s">
        <v>8099</v>
      </c>
      <c r="K428" t="s">
        <v>10407</v>
      </c>
      <c r="N428" t="s">
        <v>749</v>
      </c>
      <c r="O428" t="s">
        <v>10</v>
      </c>
      <c r="P428" t="s">
        <v>9989</v>
      </c>
      <c r="Q428">
        <v>2</v>
      </c>
      <c r="R428" t="s">
        <v>8129</v>
      </c>
      <c r="S428">
        <v>100</v>
      </c>
      <c r="T428">
        <v>100</v>
      </c>
      <c r="U428">
        <v>100</v>
      </c>
      <c r="V428">
        <v>100</v>
      </c>
      <c r="W428">
        <v>100</v>
      </c>
      <c r="X428">
        <v>100</v>
      </c>
      <c r="AH428">
        <v>0</v>
      </c>
      <c r="AI428" t="s">
        <v>1979</v>
      </c>
      <c r="AJ428" t="s">
        <v>1979</v>
      </c>
      <c r="AK428" t="s">
        <v>1979</v>
      </c>
      <c r="AL428" t="s">
        <v>1979</v>
      </c>
      <c r="AM428" t="s">
        <v>1979</v>
      </c>
      <c r="AN428">
        <v>96.72</v>
      </c>
      <c r="AO428">
        <v>96.72</v>
      </c>
      <c r="AP428">
        <v>96.72</v>
      </c>
      <c r="AQ428">
        <v>96.72</v>
      </c>
      <c r="AR428">
        <v>96.72</v>
      </c>
      <c r="AS428">
        <v>99.85</v>
      </c>
      <c r="AT428">
        <v>99.85</v>
      </c>
      <c r="AU428">
        <v>99.85</v>
      </c>
      <c r="AV428">
        <v>99.85</v>
      </c>
      <c r="AW428">
        <v>99.85</v>
      </c>
      <c r="BH428">
        <v>5.1079999999999997</v>
      </c>
      <c r="BN428">
        <v>1</v>
      </c>
      <c r="BO428" t="s">
        <v>8092</v>
      </c>
      <c r="BP428">
        <v>100</v>
      </c>
      <c r="BQ428" s="595">
        <v>100</v>
      </c>
      <c r="BR428" t="s">
        <v>1979</v>
      </c>
      <c r="BS428" t="s">
        <v>8093</v>
      </c>
      <c r="BT428">
        <v>0</v>
      </c>
      <c r="BU428" t="s">
        <v>8093</v>
      </c>
      <c r="BV428">
        <v>0</v>
      </c>
      <c r="BW428">
        <v>100</v>
      </c>
      <c r="BX428" t="s">
        <v>1979</v>
      </c>
      <c r="BY428">
        <v>0</v>
      </c>
      <c r="BZ428">
        <v>0</v>
      </c>
      <c r="CA428">
        <v>0</v>
      </c>
      <c r="CB428">
        <v>0</v>
      </c>
      <c r="CD428" t="s">
        <v>10522</v>
      </c>
    </row>
    <row r="429" spans="1:82">
      <c r="A429" t="s">
        <v>10397</v>
      </c>
      <c r="B429" t="s">
        <v>10523</v>
      </c>
      <c r="C429" t="s">
        <v>7958</v>
      </c>
      <c r="D429" t="s">
        <v>8163</v>
      </c>
      <c r="E429" t="s">
        <v>8164</v>
      </c>
      <c r="F429" t="s">
        <v>10524</v>
      </c>
      <c r="G429" t="s">
        <v>10525</v>
      </c>
      <c r="H429" t="s">
        <v>10526</v>
      </c>
      <c r="I429" t="s">
        <v>10527</v>
      </c>
      <c r="J429" t="s">
        <v>8088</v>
      </c>
      <c r="K429" t="s">
        <v>8089</v>
      </c>
      <c r="M429" t="s">
        <v>1980</v>
      </c>
      <c r="N429" t="s">
        <v>8169</v>
      </c>
      <c r="O429" t="s">
        <v>6241</v>
      </c>
      <c r="P429" t="s">
        <v>8523</v>
      </c>
      <c r="Q429" t="s">
        <v>8092</v>
      </c>
      <c r="R429" t="s">
        <v>8129</v>
      </c>
      <c r="S429" t="s">
        <v>10528</v>
      </c>
      <c r="T429" t="s">
        <v>9009</v>
      </c>
      <c r="U429" t="s">
        <v>9009</v>
      </c>
      <c r="V429" t="s">
        <v>9009</v>
      </c>
      <c r="W429" t="s">
        <v>9009</v>
      </c>
      <c r="X429" t="s">
        <v>9009</v>
      </c>
      <c r="AH429">
        <v>0</v>
      </c>
      <c r="AI429" t="s">
        <v>1979</v>
      </c>
      <c r="AJ429" t="s">
        <v>1979</v>
      </c>
      <c r="AK429" t="s">
        <v>1979</v>
      </c>
      <c r="AL429" t="s">
        <v>1979</v>
      </c>
      <c r="AM429" t="s">
        <v>1979</v>
      </c>
      <c r="AN429" t="s">
        <v>8172</v>
      </c>
      <c r="AO429" t="s">
        <v>8172</v>
      </c>
      <c r="AP429" t="s">
        <v>8172</v>
      </c>
      <c r="AQ429" t="s">
        <v>8172</v>
      </c>
      <c r="AR429" t="s">
        <v>8172</v>
      </c>
      <c r="AS429" t="s">
        <v>8172</v>
      </c>
      <c r="AT429" t="s">
        <v>8172</v>
      </c>
      <c r="AU429" t="s">
        <v>8172</v>
      </c>
      <c r="AV429" t="s">
        <v>8172</v>
      </c>
      <c r="AW429" t="s">
        <v>8172</v>
      </c>
      <c r="AX429" t="s">
        <v>8172</v>
      </c>
      <c r="AY429" t="s">
        <v>8172</v>
      </c>
      <c r="AZ429" t="s">
        <v>8172</v>
      </c>
      <c r="BA429" t="s">
        <v>8172</v>
      </c>
      <c r="BB429" t="s">
        <v>8172</v>
      </c>
      <c r="BC429" t="s">
        <v>8172</v>
      </c>
      <c r="BD429" t="s">
        <v>8172</v>
      </c>
      <c r="BE429" t="s">
        <v>8172</v>
      </c>
      <c r="BF429" t="s">
        <v>8172</v>
      </c>
      <c r="BG429" t="s">
        <v>8172</v>
      </c>
      <c r="BH429" t="s">
        <v>8172</v>
      </c>
      <c r="BL429" t="s">
        <v>8172</v>
      </c>
      <c r="BN429">
        <v>1</v>
      </c>
      <c r="BO429" t="s">
        <v>8092</v>
      </c>
      <c r="BP429">
        <v>81</v>
      </c>
      <c r="BQ429" s="595">
        <v>81.55</v>
      </c>
      <c r="BR429" t="s">
        <v>1980</v>
      </c>
      <c r="BS429" t="s">
        <v>8093</v>
      </c>
      <c r="BT429">
        <v>0</v>
      </c>
      <c r="BU429" t="s">
        <v>8093</v>
      </c>
      <c r="BV429">
        <v>0</v>
      </c>
      <c r="BW429">
        <v>85.44</v>
      </c>
      <c r="BX429" t="s">
        <v>1980</v>
      </c>
      <c r="BY429">
        <v>0</v>
      </c>
      <c r="BZ429">
        <v>0</v>
      </c>
      <c r="CA429">
        <v>0</v>
      </c>
      <c r="CB429">
        <v>0</v>
      </c>
      <c r="CD429" t="s">
        <v>10529</v>
      </c>
    </row>
    <row r="430" spans="1:82">
      <c r="A430" t="s">
        <v>10397</v>
      </c>
      <c r="B430" t="s">
        <v>10530</v>
      </c>
      <c r="C430" t="s">
        <v>7958</v>
      </c>
      <c r="D430" t="s">
        <v>8163</v>
      </c>
      <c r="E430" t="s">
        <v>8164</v>
      </c>
      <c r="F430" t="s">
        <v>10524</v>
      </c>
      <c r="G430" t="s">
        <v>8175</v>
      </c>
      <c r="H430" t="s">
        <v>10531</v>
      </c>
      <c r="I430" t="s">
        <v>10532</v>
      </c>
      <c r="J430" t="s">
        <v>8099</v>
      </c>
      <c r="K430" t="s">
        <v>8089</v>
      </c>
      <c r="M430" t="s">
        <v>1980</v>
      </c>
      <c r="N430" t="s">
        <v>8274</v>
      </c>
      <c r="O430" t="s">
        <v>8</v>
      </c>
      <c r="P430" t="s">
        <v>8939</v>
      </c>
      <c r="Q430">
        <v>3</v>
      </c>
      <c r="R430" t="s">
        <v>8129</v>
      </c>
      <c r="S430">
        <v>0</v>
      </c>
      <c r="T430">
        <v>1.0529999999999999</v>
      </c>
      <c r="U430">
        <v>3.37</v>
      </c>
      <c r="V430">
        <v>6.3959999999999999</v>
      </c>
      <c r="W430">
        <v>10.86</v>
      </c>
      <c r="X430">
        <v>17.768999999999998</v>
      </c>
      <c r="AD430" t="s">
        <v>1979</v>
      </c>
      <c r="AH430">
        <v>0</v>
      </c>
      <c r="AL430" t="s">
        <v>1979</v>
      </c>
      <c r="AM430" t="s">
        <v>1979</v>
      </c>
      <c r="AR430">
        <v>0</v>
      </c>
      <c r="AW430">
        <v>17.768999999999998</v>
      </c>
      <c r="BH430" t="s">
        <v>9321</v>
      </c>
      <c r="BI430">
        <v>8.8800000000000008</v>
      </c>
      <c r="BN430">
        <v>1</v>
      </c>
      <c r="BO430" t="s">
        <v>8092</v>
      </c>
      <c r="BP430">
        <v>0</v>
      </c>
      <c r="BQ430" s="604">
        <v>1E-3</v>
      </c>
      <c r="BR430" t="s">
        <v>1980</v>
      </c>
      <c r="BS430" t="s">
        <v>8093</v>
      </c>
      <c r="BT430">
        <v>0</v>
      </c>
      <c r="BU430" t="s">
        <v>8093</v>
      </c>
      <c r="BV430">
        <v>0</v>
      </c>
      <c r="BW430">
        <v>0.36328700000000003</v>
      </c>
      <c r="BX430" t="s">
        <v>1980</v>
      </c>
      <c r="BY430">
        <v>0</v>
      </c>
      <c r="BZ430">
        <v>0</v>
      </c>
      <c r="CA430">
        <v>0</v>
      </c>
      <c r="CB430">
        <v>0</v>
      </c>
      <c r="CD430" t="s">
        <v>10533</v>
      </c>
    </row>
    <row r="431" spans="1:82">
      <c r="A431" t="s">
        <v>10397</v>
      </c>
      <c r="B431" t="s">
        <v>10534</v>
      </c>
      <c r="C431" t="s">
        <v>7958</v>
      </c>
      <c r="D431" t="s">
        <v>8163</v>
      </c>
      <c r="E431" t="s">
        <v>8164</v>
      </c>
      <c r="F431" t="s">
        <v>10461</v>
      </c>
      <c r="G431" t="s">
        <v>6968</v>
      </c>
      <c r="H431" t="s">
        <v>10535</v>
      </c>
      <c r="I431" t="s">
        <v>10536</v>
      </c>
      <c r="J431" t="s">
        <v>8119</v>
      </c>
      <c r="N431" t="s">
        <v>8178</v>
      </c>
      <c r="O431" t="s">
        <v>10</v>
      </c>
      <c r="P431" t="s">
        <v>8275</v>
      </c>
      <c r="Q431">
        <v>0</v>
      </c>
      <c r="R431" t="s">
        <v>8129</v>
      </c>
      <c r="S431">
        <v>48</v>
      </c>
      <c r="T431">
        <v>49</v>
      </c>
      <c r="U431">
        <v>50</v>
      </c>
      <c r="V431">
        <v>51</v>
      </c>
      <c r="W431">
        <v>52</v>
      </c>
      <c r="X431">
        <v>53</v>
      </c>
      <c r="AH431">
        <v>0</v>
      </c>
      <c r="BP431">
        <v>51</v>
      </c>
      <c r="BQ431" s="594">
        <v>50</v>
      </c>
      <c r="BR431" t="s">
        <v>1979</v>
      </c>
      <c r="BS431" t="s">
        <v>8093</v>
      </c>
      <c r="BT431">
        <v>0</v>
      </c>
      <c r="BU431" t="s">
        <v>8093</v>
      </c>
      <c r="BV431">
        <v>0</v>
      </c>
      <c r="BW431">
        <v>52</v>
      </c>
      <c r="BX431" t="s">
        <v>1979</v>
      </c>
      <c r="BY431">
        <v>0</v>
      </c>
      <c r="BZ431">
        <v>0</v>
      </c>
      <c r="CA431">
        <v>0</v>
      </c>
      <c r="CB431">
        <v>0</v>
      </c>
      <c r="CD431" t="s">
        <v>10537</v>
      </c>
    </row>
    <row r="432" spans="1:82">
      <c r="A432" t="s">
        <v>10397</v>
      </c>
      <c r="B432" t="s">
        <v>10538</v>
      </c>
      <c r="C432" t="s">
        <v>7958</v>
      </c>
      <c r="D432" t="s">
        <v>8163</v>
      </c>
      <c r="E432" t="s">
        <v>8164</v>
      </c>
      <c r="F432" t="s">
        <v>10461</v>
      </c>
      <c r="G432" t="s">
        <v>6969</v>
      </c>
      <c r="H432" t="s">
        <v>10539</v>
      </c>
      <c r="I432" t="s">
        <v>10540</v>
      </c>
      <c r="J432" t="s">
        <v>8119</v>
      </c>
      <c r="N432" t="s">
        <v>8100</v>
      </c>
      <c r="O432" t="s">
        <v>11</v>
      </c>
      <c r="P432" t="s">
        <v>8233</v>
      </c>
      <c r="Q432">
        <v>0</v>
      </c>
      <c r="R432" t="s">
        <v>8091</v>
      </c>
      <c r="S432">
        <v>297</v>
      </c>
      <c r="T432">
        <v>294</v>
      </c>
      <c r="U432">
        <v>292</v>
      </c>
      <c r="V432">
        <v>289</v>
      </c>
      <c r="W432">
        <v>286</v>
      </c>
      <c r="X432">
        <v>284</v>
      </c>
      <c r="AH432">
        <v>0</v>
      </c>
      <c r="BP432">
        <v>304.10000000000002</v>
      </c>
      <c r="BQ432" s="594">
        <v>303</v>
      </c>
      <c r="BR432" t="s">
        <v>1980</v>
      </c>
      <c r="BS432" t="s">
        <v>8093</v>
      </c>
      <c r="BT432">
        <v>0</v>
      </c>
      <c r="BU432" t="s">
        <v>8093</v>
      </c>
      <c r="BV432">
        <v>0</v>
      </c>
      <c r="BW432">
        <v>305</v>
      </c>
      <c r="BX432" t="s">
        <v>1980</v>
      </c>
      <c r="BY432">
        <v>0</v>
      </c>
      <c r="BZ432">
        <v>0</v>
      </c>
      <c r="CA432">
        <v>0</v>
      </c>
      <c r="CB432">
        <v>0</v>
      </c>
      <c r="CD432" t="s">
        <v>10541</v>
      </c>
    </row>
    <row r="433" spans="1:82">
      <c r="A433" t="s">
        <v>7965</v>
      </c>
      <c r="B433" t="s">
        <v>10542</v>
      </c>
      <c r="C433" t="s">
        <v>7958</v>
      </c>
      <c r="D433" t="s">
        <v>1383</v>
      </c>
      <c r="E433" t="s">
        <v>8083</v>
      </c>
      <c r="F433" t="s">
        <v>8453</v>
      </c>
      <c r="G433" t="s">
        <v>6966</v>
      </c>
      <c r="H433" t="s">
        <v>10543</v>
      </c>
      <c r="I433" t="s">
        <v>10544</v>
      </c>
      <c r="J433" t="s">
        <v>8099</v>
      </c>
      <c r="K433" t="s">
        <v>8089</v>
      </c>
      <c r="N433" t="s">
        <v>8127</v>
      </c>
      <c r="O433" t="s">
        <v>10</v>
      </c>
      <c r="P433" t="s">
        <v>8128</v>
      </c>
      <c r="Q433">
        <v>2</v>
      </c>
      <c r="R433" t="s">
        <v>8129</v>
      </c>
      <c r="S433">
        <v>99.98</v>
      </c>
      <c r="T433">
        <v>99.98</v>
      </c>
      <c r="U433">
        <v>99.98</v>
      </c>
      <c r="V433">
        <v>100</v>
      </c>
      <c r="W433">
        <v>100</v>
      </c>
      <c r="X433">
        <v>100</v>
      </c>
      <c r="Y433" t="s">
        <v>1979</v>
      </c>
      <c r="AE433" t="s">
        <v>1979</v>
      </c>
      <c r="AH433">
        <v>0</v>
      </c>
      <c r="AI433" t="s">
        <v>1979</v>
      </c>
      <c r="AJ433" t="s">
        <v>1979</v>
      </c>
      <c r="AK433" t="s">
        <v>1979</v>
      </c>
      <c r="AL433" t="s">
        <v>1979</v>
      </c>
      <c r="AM433" t="s">
        <v>1979</v>
      </c>
      <c r="AN433">
        <v>99.91</v>
      </c>
      <c r="AO433">
        <v>99.91</v>
      </c>
      <c r="AP433">
        <v>99.91</v>
      </c>
      <c r="AQ433">
        <v>99.91</v>
      </c>
      <c r="AR433">
        <v>99.91</v>
      </c>
      <c r="AS433">
        <v>99.95</v>
      </c>
      <c r="AT433">
        <v>99.95</v>
      </c>
      <c r="AU433">
        <v>99.95</v>
      </c>
      <c r="AV433">
        <v>99.95</v>
      </c>
      <c r="AW433">
        <v>99.95</v>
      </c>
      <c r="BH433">
        <v>2.5</v>
      </c>
      <c r="BN433">
        <v>100</v>
      </c>
      <c r="BO433" t="s">
        <v>8456</v>
      </c>
      <c r="BP433">
        <v>99.94</v>
      </c>
      <c r="BQ433" s="595">
        <v>99.96</v>
      </c>
      <c r="BR433" t="s">
        <v>1980</v>
      </c>
      <c r="BS433" t="s">
        <v>8093</v>
      </c>
      <c r="BT433">
        <v>0</v>
      </c>
      <c r="BU433" t="s">
        <v>1985</v>
      </c>
      <c r="BV433">
        <v>0</v>
      </c>
      <c r="BW433">
        <v>99.97</v>
      </c>
      <c r="BX433" t="s">
        <v>1980</v>
      </c>
      <c r="BY433">
        <v>0</v>
      </c>
      <c r="BZ433">
        <v>0</v>
      </c>
      <c r="CA433" t="s">
        <v>1985</v>
      </c>
      <c r="CB433">
        <v>0</v>
      </c>
      <c r="CD433" t="s">
        <v>10545</v>
      </c>
    </row>
    <row r="434" spans="1:82">
      <c r="A434" t="s">
        <v>7965</v>
      </c>
      <c r="B434" t="s">
        <v>10546</v>
      </c>
      <c r="C434" t="s">
        <v>7958</v>
      </c>
      <c r="D434" t="s">
        <v>1383</v>
      </c>
      <c r="E434" t="s">
        <v>8083</v>
      </c>
      <c r="F434" t="s">
        <v>8453</v>
      </c>
      <c r="G434" t="s">
        <v>6967</v>
      </c>
      <c r="H434" t="s">
        <v>10547</v>
      </c>
      <c r="I434" t="s">
        <v>10548</v>
      </c>
      <c r="J434" t="s">
        <v>8088</v>
      </c>
      <c r="K434" t="s">
        <v>8089</v>
      </c>
      <c r="N434" t="s">
        <v>8055</v>
      </c>
      <c r="O434" t="s">
        <v>11</v>
      </c>
      <c r="P434" t="s">
        <v>9537</v>
      </c>
      <c r="Q434">
        <v>2</v>
      </c>
      <c r="R434" t="s">
        <v>8091</v>
      </c>
      <c r="S434">
        <v>3.2</v>
      </c>
      <c r="T434">
        <v>2.54</v>
      </c>
      <c r="U434">
        <v>1.89</v>
      </c>
      <c r="V434">
        <v>1.23</v>
      </c>
      <c r="W434">
        <v>1.23</v>
      </c>
      <c r="X434">
        <v>1.23</v>
      </c>
      <c r="Z434" t="s">
        <v>1979</v>
      </c>
      <c r="AE434" t="s">
        <v>1979</v>
      </c>
      <c r="AH434">
        <v>0</v>
      </c>
      <c r="AI434" t="s">
        <v>1979</v>
      </c>
      <c r="AJ434" t="s">
        <v>1979</v>
      </c>
      <c r="AK434" t="s">
        <v>1979</v>
      </c>
      <c r="AL434" t="s">
        <v>1979</v>
      </c>
      <c r="AM434" t="s">
        <v>1979</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8092</v>
      </c>
      <c r="BP434">
        <v>3.53</v>
      </c>
      <c r="BQ434" s="595">
        <v>3.08</v>
      </c>
      <c r="BR434" t="s">
        <v>1980</v>
      </c>
      <c r="BS434" t="s">
        <v>8093</v>
      </c>
      <c r="BT434">
        <v>0</v>
      </c>
      <c r="BU434" t="s">
        <v>1985</v>
      </c>
      <c r="BV434">
        <v>0</v>
      </c>
      <c r="BW434">
        <v>3.2</v>
      </c>
      <c r="BX434" t="s">
        <v>1980</v>
      </c>
      <c r="BY434">
        <v>0</v>
      </c>
      <c r="BZ434">
        <v>0</v>
      </c>
      <c r="CA434" t="s">
        <v>1985</v>
      </c>
      <c r="CB434">
        <v>0</v>
      </c>
      <c r="CD434" t="s">
        <v>10549</v>
      </c>
    </row>
    <row r="435" spans="1:82">
      <c r="A435" t="s">
        <v>7965</v>
      </c>
      <c r="B435" t="s">
        <v>10550</v>
      </c>
      <c r="C435" t="s">
        <v>7958</v>
      </c>
      <c r="D435" t="s">
        <v>1383</v>
      </c>
      <c r="E435" t="s">
        <v>8083</v>
      </c>
      <c r="F435" t="s">
        <v>8453</v>
      </c>
      <c r="G435" t="s">
        <v>7851</v>
      </c>
      <c r="H435" t="s">
        <v>10551</v>
      </c>
      <c r="I435" t="s">
        <v>10552</v>
      </c>
      <c r="J435" t="s">
        <v>8088</v>
      </c>
      <c r="K435" t="s">
        <v>8089</v>
      </c>
      <c r="N435" t="s">
        <v>2556</v>
      </c>
      <c r="O435" t="s">
        <v>8186</v>
      </c>
      <c r="P435" t="s">
        <v>10553</v>
      </c>
      <c r="Q435">
        <v>1</v>
      </c>
      <c r="R435" t="s">
        <v>8091</v>
      </c>
      <c r="S435">
        <v>48</v>
      </c>
      <c r="T435">
        <v>36</v>
      </c>
      <c r="U435">
        <v>24</v>
      </c>
      <c r="V435">
        <v>12</v>
      </c>
      <c r="W435">
        <v>12</v>
      </c>
      <c r="X435">
        <v>12</v>
      </c>
      <c r="AA435" t="s">
        <v>1979</v>
      </c>
      <c r="AE435" t="s">
        <v>1979</v>
      </c>
      <c r="AH435">
        <v>0</v>
      </c>
      <c r="AI435" t="s">
        <v>1979</v>
      </c>
      <c r="AJ435" t="s">
        <v>1979</v>
      </c>
      <c r="AK435" t="s">
        <v>1979</v>
      </c>
      <c r="AL435" t="s">
        <v>1979</v>
      </c>
      <c r="AM435" t="s">
        <v>1979</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8092</v>
      </c>
      <c r="BP435">
        <v>23</v>
      </c>
      <c r="BQ435" s="591">
        <v>21.7</v>
      </c>
      <c r="BR435" t="s">
        <v>1979</v>
      </c>
      <c r="BS435" t="s">
        <v>8093</v>
      </c>
      <c r="BT435">
        <v>0</v>
      </c>
      <c r="BU435" t="s">
        <v>1992</v>
      </c>
      <c r="BV435">
        <v>0</v>
      </c>
      <c r="BW435">
        <v>12.15</v>
      </c>
      <c r="BX435" t="s">
        <v>1979</v>
      </c>
      <c r="BY435">
        <v>0</v>
      </c>
      <c r="BZ435">
        <v>0</v>
      </c>
      <c r="CA435" t="s">
        <v>1992</v>
      </c>
      <c r="CB435">
        <v>0</v>
      </c>
      <c r="CD435" t="s">
        <v>10554</v>
      </c>
    </row>
    <row r="436" spans="1:82">
      <c r="A436" t="s">
        <v>7965</v>
      </c>
      <c r="B436" t="s">
        <v>10555</v>
      </c>
      <c r="C436" t="s">
        <v>7958</v>
      </c>
      <c r="D436" t="s">
        <v>1383</v>
      </c>
      <c r="E436" t="s">
        <v>8083</v>
      </c>
      <c r="F436" t="s">
        <v>10556</v>
      </c>
      <c r="G436" t="s">
        <v>6968</v>
      </c>
      <c r="H436" t="s">
        <v>10557</v>
      </c>
      <c r="I436" t="s">
        <v>10558</v>
      </c>
      <c r="J436" t="s">
        <v>8119</v>
      </c>
      <c r="N436" t="s">
        <v>8113</v>
      </c>
      <c r="O436" t="s">
        <v>10</v>
      </c>
      <c r="P436" t="s">
        <v>10559</v>
      </c>
      <c r="Q436">
        <v>0</v>
      </c>
      <c r="R436" t="s">
        <v>8129</v>
      </c>
      <c r="S436">
        <v>100</v>
      </c>
      <c r="T436">
        <v>100</v>
      </c>
      <c r="U436">
        <v>100</v>
      </c>
      <c r="V436">
        <v>100</v>
      </c>
      <c r="W436">
        <v>100</v>
      </c>
      <c r="X436">
        <v>100</v>
      </c>
      <c r="AH436">
        <v>0</v>
      </c>
      <c r="BP436">
        <v>100</v>
      </c>
      <c r="BQ436" s="594">
        <v>100</v>
      </c>
      <c r="BR436" t="s">
        <v>1979</v>
      </c>
      <c r="BS436" t="s">
        <v>8093</v>
      </c>
      <c r="BT436">
        <v>0</v>
      </c>
      <c r="BU436" t="s">
        <v>8093</v>
      </c>
      <c r="BV436">
        <v>0</v>
      </c>
      <c r="BW436">
        <v>100</v>
      </c>
      <c r="BX436" t="s">
        <v>1979</v>
      </c>
      <c r="BY436">
        <v>0</v>
      </c>
      <c r="BZ436">
        <v>0</v>
      </c>
      <c r="CA436">
        <v>0</v>
      </c>
      <c r="CB436">
        <v>0</v>
      </c>
      <c r="CD436" t="s">
        <v>10560</v>
      </c>
    </row>
    <row r="437" spans="1:82">
      <c r="A437" t="s">
        <v>7965</v>
      </c>
      <c r="B437" t="s">
        <v>10561</v>
      </c>
      <c r="C437" t="s">
        <v>7958</v>
      </c>
      <c r="D437" t="s">
        <v>1383</v>
      </c>
      <c r="E437" t="s">
        <v>8083</v>
      </c>
      <c r="F437" t="s">
        <v>10562</v>
      </c>
      <c r="G437" t="s">
        <v>7875</v>
      </c>
      <c r="H437" t="s">
        <v>10563</v>
      </c>
      <c r="I437" t="s">
        <v>10564</v>
      </c>
      <c r="J437" t="s">
        <v>8119</v>
      </c>
      <c r="N437" t="s">
        <v>8260</v>
      </c>
      <c r="O437" t="s">
        <v>11</v>
      </c>
      <c r="P437" t="s">
        <v>10175</v>
      </c>
      <c r="Q437">
        <v>2</v>
      </c>
      <c r="R437" t="s">
        <v>8129</v>
      </c>
      <c r="S437">
        <v>7.11</v>
      </c>
      <c r="T437">
        <v>7.11</v>
      </c>
      <c r="U437">
        <v>9.7799999999999994</v>
      </c>
      <c r="V437">
        <v>12.45</v>
      </c>
      <c r="W437">
        <v>15.11</v>
      </c>
      <c r="X437">
        <v>17.78</v>
      </c>
      <c r="AH437">
        <v>0</v>
      </c>
      <c r="BP437">
        <v>14.02</v>
      </c>
      <c r="BQ437" s="595">
        <v>50.21</v>
      </c>
      <c r="BR437" t="s">
        <v>1979</v>
      </c>
      <c r="BS437" t="s">
        <v>8093</v>
      </c>
      <c r="BT437">
        <v>0</v>
      </c>
      <c r="BU437" t="s">
        <v>8093</v>
      </c>
      <c r="BV437">
        <v>0</v>
      </c>
      <c r="BW437">
        <v>37.49</v>
      </c>
      <c r="BX437" t="s">
        <v>1979</v>
      </c>
      <c r="BY437">
        <v>0</v>
      </c>
      <c r="BZ437">
        <v>0</v>
      </c>
      <c r="CA437">
        <v>0</v>
      </c>
      <c r="CB437">
        <v>0</v>
      </c>
      <c r="CD437" t="s">
        <v>10565</v>
      </c>
    </row>
    <row r="438" spans="1:82">
      <c r="A438" t="s">
        <v>7965</v>
      </c>
      <c r="B438" t="s">
        <v>10566</v>
      </c>
      <c r="C438" t="s">
        <v>7958</v>
      </c>
      <c r="D438" t="s">
        <v>1383</v>
      </c>
      <c r="E438" t="s">
        <v>8083</v>
      </c>
      <c r="F438" t="s">
        <v>10567</v>
      </c>
      <c r="G438" t="s">
        <v>7879</v>
      </c>
      <c r="H438" t="s">
        <v>10568</v>
      </c>
      <c r="I438" t="s">
        <v>10569</v>
      </c>
      <c r="J438" t="s">
        <v>8088</v>
      </c>
      <c r="K438" t="s">
        <v>8089</v>
      </c>
      <c r="M438" t="s">
        <v>1980</v>
      </c>
      <c r="N438" t="s">
        <v>8169</v>
      </c>
      <c r="O438" t="s">
        <v>6241</v>
      </c>
      <c r="P438" t="s">
        <v>8523</v>
      </c>
      <c r="Q438" t="s">
        <v>8092</v>
      </c>
      <c r="R438" t="s">
        <v>8129</v>
      </c>
      <c r="S438" t="s">
        <v>10528</v>
      </c>
      <c r="T438" t="s">
        <v>9009</v>
      </c>
      <c r="U438" t="s">
        <v>9009</v>
      </c>
      <c r="V438" t="s">
        <v>9009</v>
      </c>
      <c r="W438" t="s">
        <v>9009</v>
      </c>
      <c r="X438" t="s">
        <v>9009</v>
      </c>
      <c r="AH438">
        <v>0</v>
      </c>
      <c r="AI438" t="s">
        <v>1979</v>
      </c>
      <c r="AJ438" t="s">
        <v>1979</v>
      </c>
      <c r="AK438" t="s">
        <v>1979</v>
      </c>
      <c r="AL438" t="s">
        <v>1979</v>
      </c>
      <c r="AM438" t="s">
        <v>1979</v>
      </c>
      <c r="AN438" t="s">
        <v>8172</v>
      </c>
      <c r="AO438" t="s">
        <v>8172</v>
      </c>
      <c r="AP438" t="s">
        <v>8172</v>
      </c>
      <c r="AQ438" t="s">
        <v>8172</v>
      </c>
      <c r="AR438" t="s">
        <v>8172</v>
      </c>
      <c r="AS438" t="s">
        <v>8172</v>
      </c>
      <c r="AT438" t="s">
        <v>8172</v>
      </c>
      <c r="AU438" t="s">
        <v>8172</v>
      </c>
      <c r="AV438" t="s">
        <v>8172</v>
      </c>
      <c r="AW438" t="s">
        <v>8172</v>
      </c>
      <c r="AX438" t="s">
        <v>8172</v>
      </c>
      <c r="AY438" t="s">
        <v>8172</v>
      </c>
      <c r="AZ438" t="s">
        <v>8172</v>
      </c>
      <c r="BA438" t="s">
        <v>8172</v>
      </c>
      <c r="BB438" t="s">
        <v>8172</v>
      </c>
      <c r="BC438" t="s">
        <v>8172</v>
      </c>
      <c r="BD438" t="s">
        <v>8172</v>
      </c>
      <c r="BE438" t="s">
        <v>8172</v>
      </c>
      <c r="BF438" t="s">
        <v>8172</v>
      </c>
      <c r="BG438" t="s">
        <v>8172</v>
      </c>
      <c r="BH438" t="s">
        <v>8172</v>
      </c>
      <c r="BL438" t="s">
        <v>8172</v>
      </c>
      <c r="BN438">
        <v>1</v>
      </c>
      <c r="BO438" t="s">
        <v>8092</v>
      </c>
      <c r="BQ438" s="593">
        <v>83</v>
      </c>
      <c r="BR438" t="s">
        <v>1980</v>
      </c>
      <c r="BS438" t="s">
        <v>8093</v>
      </c>
      <c r="BT438">
        <v>0</v>
      </c>
      <c r="BU438" t="s">
        <v>8093</v>
      </c>
      <c r="BV438">
        <v>0</v>
      </c>
      <c r="BW438">
        <v>82.86</v>
      </c>
      <c r="BX438" t="s">
        <v>1980</v>
      </c>
      <c r="BY438">
        <v>0</v>
      </c>
      <c r="BZ438">
        <v>0</v>
      </c>
      <c r="CA438">
        <v>0</v>
      </c>
      <c r="CB438">
        <v>0</v>
      </c>
      <c r="CD438" t="s">
        <v>10570</v>
      </c>
    </row>
    <row r="439" spans="1:82">
      <c r="A439" t="s">
        <v>7965</v>
      </c>
      <c r="B439" t="s">
        <v>10571</v>
      </c>
      <c r="C439" t="s">
        <v>7958</v>
      </c>
      <c r="D439" t="s">
        <v>1383</v>
      </c>
      <c r="E439" t="s">
        <v>8083</v>
      </c>
      <c r="F439" t="s">
        <v>10567</v>
      </c>
      <c r="G439" t="s">
        <v>7882</v>
      </c>
      <c r="H439" t="s">
        <v>10572</v>
      </c>
      <c r="I439" t="s">
        <v>10573</v>
      </c>
      <c r="J439" t="s">
        <v>8119</v>
      </c>
      <c r="N439" t="s">
        <v>8274</v>
      </c>
      <c r="O439" t="s">
        <v>11</v>
      </c>
      <c r="P439" t="s">
        <v>10574</v>
      </c>
      <c r="Q439">
        <v>0</v>
      </c>
      <c r="R439" t="s">
        <v>8091</v>
      </c>
      <c r="S439">
        <v>850</v>
      </c>
      <c r="T439">
        <v>850</v>
      </c>
      <c r="U439">
        <v>750</v>
      </c>
      <c r="V439">
        <v>650</v>
      </c>
      <c r="W439">
        <v>550</v>
      </c>
      <c r="X439">
        <v>425</v>
      </c>
      <c r="AH439">
        <v>0</v>
      </c>
      <c r="BP439">
        <v>702</v>
      </c>
      <c r="BQ439" s="594">
        <v>648</v>
      </c>
      <c r="BR439" t="s">
        <v>1979</v>
      </c>
      <c r="BS439" t="s">
        <v>8093</v>
      </c>
      <c r="BT439">
        <v>0</v>
      </c>
      <c r="BU439" t="s">
        <v>8093</v>
      </c>
      <c r="BV439">
        <v>0</v>
      </c>
      <c r="BW439">
        <v>575</v>
      </c>
      <c r="BX439" t="s">
        <v>1979</v>
      </c>
      <c r="BY439">
        <v>0</v>
      </c>
      <c r="BZ439">
        <v>0</v>
      </c>
      <c r="CA439">
        <v>0</v>
      </c>
      <c r="CB439">
        <v>0</v>
      </c>
      <c r="CD439" t="s">
        <v>10575</v>
      </c>
    </row>
    <row r="440" spans="1:82">
      <c r="A440" t="s">
        <v>7965</v>
      </c>
      <c r="B440" t="s">
        <v>10576</v>
      </c>
      <c r="C440" t="s">
        <v>7958</v>
      </c>
      <c r="D440" t="s">
        <v>1383</v>
      </c>
      <c r="E440" t="s">
        <v>8083</v>
      </c>
      <c r="F440" t="s">
        <v>10567</v>
      </c>
      <c r="G440" t="s">
        <v>7891</v>
      </c>
      <c r="H440" t="s">
        <v>10577</v>
      </c>
      <c r="I440" t="s">
        <v>10578</v>
      </c>
      <c r="J440" t="s">
        <v>8119</v>
      </c>
      <c r="N440" t="s">
        <v>8274</v>
      </c>
      <c r="O440" t="s">
        <v>10</v>
      </c>
      <c r="P440" t="s">
        <v>8275</v>
      </c>
      <c r="Q440">
        <v>0</v>
      </c>
      <c r="R440" t="s">
        <v>8129</v>
      </c>
      <c r="S440">
        <v>63</v>
      </c>
      <c r="T440">
        <v>63</v>
      </c>
      <c r="U440">
        <v>66</v>
      </c>
      <c r="V440">
        <v>68</v>
      </c>
      <c r="W440">
        <v>71</v>
      </c>
      <c r="X440">
        <v>75</v>
      </c>
      <c r="AH440">
        <v>0</v>
      </c>
      <c r="BP440">
        <v>79</v>
      </c>
      <c r="BQ440" s="594">
        <v>82</v>
      </c>
      <c r="BR440" t="s">
        <v>1979</v>
      </c>
      <c r="BS440" t="s">
        <v>8093</v>
      </c>
      <c r="BT440">
        <v>0</v>
      </c>
      <c r="BU440" t="s">
        <v>8093</v>
      </c>
      <c r="BV440">
        <v>0</v>
      </c>
      <c r="BW440">
        <v>85</v>
      </c>
      <c r="BX440" t="s">
        <v>1979</v>
      </c>
      <c r="BY440">
        <v>0</v>
      </c>
      <c r="BZ440">
        <v>0</v>
      </c>
      <c r="CA440">
        <v>0</v>
      </c>
      <c r="CB440">
        <v>0</v>
      </c>
      <c r="CD440" t="s">
        <v>10579</v>
      </c>
    </row>
    <row r="441" spans="1:82">
      <c r="A441" t="s">
        <v>7965</v>
      </c>
      <c r="B441" t="s">
        <v>10580</v>
      </c>
      <c r="C441" t="s">
        <v>7958</v>
      </c>
      <c r="D441" t="s">
        <v>1383</v>
      </c>
      <c r="E441" t="s">
        <v>8083</v>
      </c>
      <c r="F441" t="s">
        <v>10581</v>
      </c>
      <c r="G441" t="s">
        <v>7895</v>
      </c>
      <c r="H441" t="s">
        <v>10582</v>
      </c>
      <c r="I441" t="s">
        <v>10583</v>
      </c>
      <c r="J441" t="s">
        <v>8119</v>
      </c>
      <c r="N441" t="s">
        <v>8178</v>
      </c>
      <c r="O441" t="s">
        <v>10</v>
      </c>
      <c r="P441" t="s">
        <v>10584</v>
      </c>
      <c r="Q441">
        <v>0</v>
      </c>
      <c r="R441" t="s">
        <v>8091</v>
      </c>
      <c r="S441" t="s">
        <v>10585</v>
      </c>
      <c r="T441" t="s">
        <v>10586</v>
      </c>
      <c r="U441" t="s">
        <v>10586</v>
      </c>
      <c r="V441" t="s">
        <v>10586</v>
      </c>
      <c r="W441" t="s">
        <v>10586</v>
      </c>
      <c r="X441" t="s">
        <v>10586</v>
      </c>
      <c r="AH441">
        <v>0</v>
      </c>
      <c r="BP441">
        <v>-3</v>
      </c>
      <c r="BQ441" s="593">
        <v>-1</v>
      </c>
      <c r="BR441" t="s">
        <v>1979</v>
      </c>
      <c r="BS441" t="s">
        <v>8093</v>
      </c>
      <c r="BT441">
        <v>0</v>
      </c>
      <c r="BU441" t="s">
        <v>8093</v>
      </c>
      <c r="BV441">
        <v>0</v>
      </c>
      <c r="BW441">
        <v>-1</v>
      </c>
      <c r="BX441" t="s">
        <v>1979</v>
      </c>
      <c r="BY441">
        <v>0</v>
      </c>
      <c r="BZ441">
        <v>0</v>
      </c>
      <c r="CA441">
        <v>0</v>
      </c>
      <c r="CB441">
        <v>0</v>
      </c>
      <c r="CD441" t="s">
        <v>10587</v>
      </c>
    </row>
    <row r="442" spans="1:82">
      <c r="A442" t="s">
        <v>7965</v>
      </c>
      <c r="B442" t="s">
        <v>10588</v>
      </c>
      <c r="C442" t="s">
        <v>7958</v>
      </c>
      <c r="D442" t="s">
        <v>1383</v>
      </c>
      <c r="E442" t="s">
        <v>8083</v>
      </c>
      <c r="F442" t="s">
        <v>10589</v>
      </c>
      <c r="G442" t="s">
        <v>7911</v>
      </c>
      <c r="H442" t="s">
        <v>10590</v>
      </c>
      <c r="I442" t="s">
        <v>10591</v>
      </c>
      <c r="J442" t="s">
        <v>8099</v>
      </c>
      <c r="K442" t="s">
        <v>8089</v>
      </c>
      <c r="M442" t="s">
        <v>1980</v>
      </c>
      <c r="N442" t="s">
        <v>8148</v>
      </c>
      <c r="O442" t="s">
        <v>8282</v>
      </c>
      <c r="P442" t="s">
        <v>8429</v>
      </c>
      <c r="Q442" t="s">
        <v>8092</v>
      </c>
      <c r="S442" t="s">
        <v>1984</v>
      </c>
      <c r="T442" t="s">
        <v>1984</v>
      </c>
      <c r="U442" t="s">
        <v>1984</v>
      </c>
      <c r="V442" t="s">
        <v>1984</v>
      </c>
      <c r="W442" t="s">
        <v>1984</v>
      </c>
      <c r="X442" t="s">
        <v>1984</v>
      </c>
      <c r="AE442" t="s">
        <v>1979</v>
      </c>
      <c r="AH442">
        <v>11</v>
      </c>
      <c r="AI442" t="s">
        <v>1979</v>
      </c>
      <c r="AJ442" t="s">
        <v>1979</v>
      </c>
      <c r="AK442" t="s">
        <v>1979</v>
      </c>
      <c r="AL442" t="s">
        <v>1979</v>
      </c>
      <c r="AM442" t="s">
        <v>1979</v>
      </c>
      <c r="AN442" t="s">
        <v>8430</v>
      </c>
      <c r="AO442" t="s">
        <v>8430</v>
      </c>
      <c r="AP442" t="s">
        <v>8430</v>
      </c>
      <c r="AQ442" t="s">
        <v>8430</v>
      </c>
      <c r="AR442" t="s">
        <v>8430</v>
      </c>
      <c r="AS442" t="s">
        <v>1982</v>
      </c>
      <c r="AT442" t="s">
        <v>1982</v>
      </c>
      <c r="AU442" t="s">
        <v>1982</v>
      </c>
      <c r="AV442" t="s">
        <v>1982</v>
      </c>
      <c r="AW442" t="s">
        <v>1982</v>
      </c>
      <c r="BH442">
        <v>20</v>
      </c>
      <c r="BN442">
        <v>1</v>
      </c>
      <c r="BO442" t="s">
        <v>8092</v>
      </c>
      <c r="BP442" t="s">
        <v>1984</v>
      </c>
      <c r="BQ442" s="593" t="s">
        <v>1984</v>
      </c>
      <c r="BR442" t="s">
        <v>1979</v>
      </c>
      <c r="BS442" t="s">
        <v>8093</v>
      </c>
      <c r="BT442">
        <v>0</v>
      </c>
      <c r="BU442" t="s">
        <v>8093</v>
      </c>
      <c r="BV442">
        <v>0</v>
      </c>
      <c r="BW442" t="s">
        <v>1984</v>
      </c>
      <c r="BX442" t="s">
        <v>1979</v>
      </c>
      <c r="BY442">
        <v>0</v>
      </c>
      <c r="BZ442">
        <v>0</v>
      </c>
      <c r="CA442">
        <v>0</v>
      </c>
      <c r="CB442">
        <v>0</v>
      </c>
      <c r="CD442" t="s">
        <v>10592</v>
      </c>
    </row>
    <row r="443" spans="1:82">
      <c r="A443" t="s">
        <v>7965</v>
      </c>
      <c r="B443" t="s">
        <v>10593</v>
      </c>
      <c r="C443" t="s">
        <v>7958</v>
      </c>
      <c r="D443" t="s">
        <v>1383</v>
      </c>
      <c r="E443" t="s">
        <v>8083</v>
      </c>
      <c r="F443" t="s">
        <v>10589</v>
      </c>
      <c r="G443" t="s">
        <v>7914</v>
      </c>
      <c r="H443" t="s">
        <v>10594</v>
      </c>
      <c r="I443" t="s">
        <v>10595</v>
      </c>
      <c r="J443" t="s">
        <v>8088</v>
      </c>
      <c r="K443" t="s">
        <v>8089</v>
      </c>
      <c r="N443" t="s">
        <v>2534</v>
      </c>
      <c r="O443" t="s">
        <v>11</v>
      </c>
      <c r="P443" t="s">
        <v>8090</v>
      </c>
      <c r="Q443">
        <v>0</v>
      </c>
      <c r="R443" t="s">
        <v>8091</v>
      </c>
      <c r="S443">
        <v>184</v>
      </c>
      <c r="T443">
        <v>181</v>
      </c>
      <c r="U443">
        <v>177</v>
      </c>
      <c r="V443">
        <v>173</v>
      </c>
      <c r="W443">
        <v>171</v>
      </c>
      <c r="X443">
        <v>169</v>
      </c>
      <c r="AE443" t="s">
        <v>1979</v>
      </c>
      <c r="AH443">
        <v>0</v>
      </c>
      <c r="AI443" t="s">
        <v>1979</v>
      </c>
      <c r="AJ443" t="s">
        <v>1979</v>
      </c>
      <c r="AK443" t="s">
        <v>1979</v>
      </c>
      <c r="AL443" t="s">
        <v>1979</v>
      </c>
      <c r="AM443" t="s">
        <v>1979</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8092</v>
      </c>
      <c r="BP443">
        <v>180</v>
      </c>
      <c r="BQ443" s="594">
        <v>180</v>
      </c>
      <c r="BR443" t="s">
        <v>1979</v>
      </c>
      <c r="BS443" t="s">
        <v>8093</v>
      </c>
      <c r="BT443">
        <v>0</v>
      </c>
      <c r="BU443" t="s">
        <v>1992</v>
      </c>
      <c r="BV443">
        <v>0</v>
      </c>
      <c r="BW443">
        <v>175</v>
      </c>
      <c r="BX443" t="s">
        <v>1979</v>
      </c>
      <c r="BY443">
        <v>0</v>
      </c>
      <c r="BZ443">
        <v>0</v>
      </c>
      <c r="CA443" t="s">
        <v>1992</v>
      </c>
      <c r="CB443">
        <v>0</v>
      </c>
      <c r="CD443" t="s">
        <v>10596</v>
      </c>
    </row>
    <row r="444" spans="1:82">
      <c r="A444" t="s">
        <v>7965</v>
      </c>
      <c r="B444" t="s">
        <v>10597</v>
      </c>
      <c r="C444" t="s">
        <v>7958</v>
      </c>
      <c r="D444" t="s">
        <v>1383</v>
      </c>
      <c r="E444" t="s">
        <v>8083</v>
      </c>
      <c r="F444" t="s">
        <v>10589</v>
      </c>
      <c r="G444" t="s">
        <v>7917</v>
      </c>
      <c r="H444" t="s">
        <v>10598</v>
      </c>
      <c r="I444" t="s">
        <v>10599</v>
      </c>
      <c r="J444" t="s">
        <v>8099</v>
      </c>
      <c r="K444" t="s">
        <v>8089</v>
      </c>
      <c r="N444" t="s">
        <v>4821</v>
      </c>
      <c r="O444" t="s">
        <v>10</v>
      </c>
      <c r="P444" t="s">
        <v>10600</v>
      </c>
      <c r="Q444">
        <v>0</v>
      </c>
      <c r="R444" t="s">
        <v>8129</v>
      </c>
      <c r="S444">
        <v>80</v>
      </c>
      <c r="T444">
        <v>80</v>
      </c>
      <c r="U444">
        <v>81</v>
      </c>
      <c r="V444">
        <v>83</v>
      </c>
      <c r="W444">
        <v>85</v>
      </c>
      <c r="X444">
        <v>87</v>
      </c>
      <c r="AE444" t="s">
        <v>1979</v>
      </c>
      <c r="AH444">
        <v>0</v>
      </c>
      <c r="AM444" t="s">
        <v>1979</v>
      </c>
      <c r="AR444">
        <v>80</v>
      </c>
      <c r="AW444">
        <v>85</v>
      </c>
      <c r="BH444">
        <v>3.1</v>
      </c>
      <c r="BN444">
        <v>1</v>
      </c>
      <c r="BO444" t="s">
        <v>8092</v>
      </c>
      <c r="BP444">
        <v>84</v>
      </c>
      <c r="BQ444" s="594">
        <v>87</v>
      </c>
      <c r="BR444" t="s">
        <v>1979</v>
      </c>
      <c r="BS444" t="s">
        <v>8093</v>
      </c>
      <c r="BT444">
        <v>0</v>
      </c>
      <c r="BU444" t="s">
        <v>8093</v>
      </c>
      <c r="BV444">
        <v>0</v>
      </c>
      <c r="BW444">
        <v>89.5</v>
      </c>
      <c r="BX444" t="s">
        <v>1979</v>
      </c>
      <c r="BY444">
        <v>0</v>
      </c>
      <c r="BZ444">
        <v>0</v>
      </c>
      <c r="CA444">
        <v>0</v>
      </c>
      <c r="CB444">
        <v>0</v>
      </c>
      <c r="CD444" t="s">
        <v>10601</v>
      </c>
    </row>
    <row r="445" spans="1:82">
      <c r="A445" t="s">
        <v>7965</v>
      </c>
      <c r="B445" t="s">
        <v>10602</v>
      </c>
      <c r="C445" t="s">
        <v>7958</v>
      </c>
      <c r="D445" t="s">
        <v>1384</v>
      </c>
      <c r="E445" t="s">
        <v>8297</v>
      </c>
      <c r="F445" t="s">
        <v>10556</v>
      </c>
      <c r="G445" t="s">
        <v>6969</v>
      </c>
      <c r="H445" t="s">
        <v>10603</v>
      </c>
      <c r="I445" t="s">
        <v>10604</v>
      </c>
      <c r="J445" t="s">
        <v>8119</v>
      </c>
      <c r="N445" t="s">
        <v>8252</v>
      </c>
      <c r="O445" t="s">
        <v>10</v>
      </c>
      <c r="P445" t="s">
        <v>10605</v>
      </c>
      <c r="Q445">
        <v>1</v>
      </c>
      <c r="R445" t="s">
        <v>8129</v>
      </c>
      <c r="S445">
        <v>97.1</v>
      </c>
      <c r="T445">
        <v>100</v>
      </c>
      <c r="U445">
        <v>100</v>
      </c>
      <c r="V445">
        <v>100</v>
      </c>
      <c r="W445">
        <v>100</v>
      </c>
      <c r="X445">
        <v>100</v>
      </c>
      <c r="AH445">
        <v>0</v>
      </c>
      <c r="BP445">
        <v>99.1</v>
      </c>
      <c r="BQ445" s="591">
        <v>98.6</v>
      </c>
      <c r="BR445" t="s">
        <v>1980</v>
      </c>
      <c r="BS445" t="s">
        <v>8093</v>
      </c>
      <c r="BT445">
        <v>0</v>
      </c>
      <c r="BU445" t="s">
        <v>8093</v>
      </c>
      <c r="BV445">
        <v>0</v>
      </c>
      <c r="BW445">
        <v>99.47</v>
      </c>
      <c r="BX445" t="s">
        <v>1980</v>
      </c>
      <c r="BY445">
        <v>0</v>
      </c>
      <c r="BZ445">
        <v>0</v>
      </c>
      <c r="CA445">
        <v>0</v>
      </c>
      <c r="CB445">
        <v>0</v>
      </c>
      <c r="CD445" t="s">
        <v>10606</v>
      </c>
    </row>
    <row r="446" spans="1:82">
      <c r="A446" t="s">
        <v>7965</v>
      </c>
      <c r="B446" t="s">
        <v>10607</v>
      </c>
      <c r="C446" t="s">
        <v>7958</v>
      </c>
      <c r="D446" t="s">
        <v>1384</v>
      </c>
      <c r="E446" t="s">
        <v>8297</v>
      </c>
      <c r="F446" t="s">
        <v>10556</v>
      </c>
      <c r="G446" t="s">
        <v>7868</v>
      </c>
      <c r="H446" t="s">
        <v>10608</v>
      </c>
      <c r="I446" t="s">
        <v>10609</v>
      </c>
      <c r="J446" t="s">
        <v>8088</v>
      </c>
      <c r="K446" t="s">
        <v>8089</v>
      </c>
      <c r="N446" t="s">
        <v>8337</v>
      </c>
      <c r="O446" t="s">
        <v>11</v>
      </c>
      <c r="P446" t="s">
        <v>8338</v>
      </c>
      <c r="Q446">
        <v>0</v>
      </c>
      <c r="R446" t="s">
        <v>8091</v>
      </c>
      <c r="S446">
        <v>224</v>
      </c>
      <c r="T446">
        <v>161</v>
      </c>
      <c r="U446">
        <v>154</v>
      </c>
      <c r="V446">
        <v>131</v>
      </c>
      <c r="W446">
        <v>131</v>
      </c>
      <c r="X446">
        <v>131</v>
      </c>
      <c r="AB446" t="s">
        <v>1979</v>
      </c>
      <c r="AE446" t="s">
        <v>1979</v>
      </c>
      <c r="AH446">
        <v>0</v>
      </c>
      <c r="AI446" t="s">
        <v>1979</v>
      </c>
      <c r="AJ446" t="s">
        <v>1979</v>
      </c>
      <c r="AK446" t="s">
        <v>1979</v>
      </c>
      <c r="AL446" t="s">
        <v>1979</v>
      </c>
      <c r="AM446" t="s">
        <v>1979</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8092</v>
      </c>
      <c r="BP446">
        <v>117</v>
      </c>
      <c r="BQ446" s="594">
        <v>110</v>
      </c>
      <c r="BR446" t="s">
        <v>1979</v>
      </c>
      <c r="BS446" t="s">
        <v>8093</v>
      </c>
      <c r="BT446">
        <v>0</v>
      </c>
      <c r="BU446" t="s">
        <v>1988</v>
      </c>
      <c r="BV446">
        <v>0.98699999999999999</v>
      </c>
      <c r="BW446">
        <v>111</v>
      </c>
      <c r="BX446" t="s">
        <v>1979</v>
      </c>
      <c r="BY446">
        <v>0</v>
      </c>
      <c r="BZ446">
        <v>0</v>
      </c>
      <c r="CA446" t="s">
        <v>1988</v>
      </c>
      <c r="CB446">
        <v>0.94</v>
      </c>
      <c r="CD446" t="s">
        <v>10610</v>
      </c>
    </row>
    <row r="447" spans="1:82">
      <c r="A447" t="s">
        <v>7965</v>
      </c>
      <c r="B447" t="s">
        <v>10611</v>
      </c>
      <c r="C447" t="s">
        <v>7958</v>
      </c>
      <c r="D447" t="s">
        <v>1384</v>
      </c>
      <c r="E447" t="s">
        <v>8297</v>
      </c>
      <c r="F447" t="s">
        <v>10562</v>
      </c>
      <c r="G447" t="s">
        <v>7872</v>
      </c>
      <c r="H447" t="s">
        <v>10612</v>
      </c>
      <c r="I447" t="s">
        <v>10613</v>
      </c>
      <c r="J447" t="s">
        <v>8099</v>
      </c>
      <c r="K447" t="s">
        <v>8089</v>
      </c>
      <c r="N447" t="s">
        <v>8314</v>
      </c>
      <c r="O447" t="s">
        <v>11</v>
      </c>
      <c r="P447" t="s">
        <v>10614</v>
      </c>
      <c r="Q447">
        <v>0</v>
      </c>
      <c r="R447" t="s">
        <v>8129</v>
      </c>
      <c r="S447">
        <v>1000</v>
      </c>
      <c r="T447">
        <v>1000</v>
      </c>
      <c r="U447">
        <v>1000</v>
      </c>
      <c r="V447">
        <v>15000</v>
      </c>
      <c r="W447">
        <v>20000</v>
      </c>
      <c r="X447">
        <v>25000</v>
      </c>
      <c r="AH447">
        <v>0</v>
      </c>
      <c r="AI447" t="s">
        <v>1979</v>
      </c>
      <c r="AJ447" t="s">
        <v>1979</v>
      </c>
      <c r="AK447" t="s">
        <v>1979</v>
      </c>
      <c r="AL447" t="s">
        <v>1979</v>
      </c>
      <c r="AM447" t="s">
        <v>1979</v>
      </c>
      <c r="AN447">
        <v>1000</v>
      </c>
      <c r="AO447">
        <v>1000</v>
      </c>
      <c r="AP447">
        <v>1000</v>
      </c>
      <c r="AQ447">
        <v>1000</v>
      </c>
      <c r="AR447">
        <v>1000</v>
      </c>
      <c r="AS447">
        <v>1000</v>
      </c>
      <c r="AT447">
        <v>1000</v>
      </c>
      <c r="AU447">
        <v>8000</v>
      </c>
      <c r="AV447">
        <v>10500</v>
      </c>
      <c r="AW447">
        <v>13000</v>
      </c>
      <c r="BH447">
        <v>2.0000000000000001E-4</v>
      </c>
      <c r="BN447">
        <v>1</v>
      </c>
      <c r="BO447" t="s">
        <v>8092</v>
      </c>
      <c r="BP447">
        <v>1247</v>
      </c>
      <c r="BQ447" s="594">
        <v>1531</v>
      </c>
      <c r="BR447" t="s">
        <v>1979</v>
      </c>
      <c r="BS447" t="s">
        <v>8093</v>
      </c>
      <c r="BT447">
        <v>0</v>
      </c>
      <c r="BU447" t="s">
        <v>8093</v>
      </c>
      <c r="BV447">
        <v>0</v>
      </c>
      <c r="BW447">
        <v>13661</v>
      </c>
      <c r="BX447" t="s">
        <v>1979</v>
      </c>
      <c r="BY447">
        <v>0</v>
      </c>
      <c r="BZ447">
        <v>0</v>
      </c>
      <c r="CA447">
        <v>0</v>
      </c>
      <c r="CB447">
        <v>0</v>
      </c>
      <c r="CD447" t="s">
        <v>10615</v>
      </c>
    </row>
    <row r="448" spans="1:82">
      <c r="A448" t="s">
        <v>7965</v>
      </c>
      <c r="B448" t="s">
        <v>10616</v>
      </c>
      <c r="C448" t="s">
        <v>7958</v>
      </c>
      <c r="D448" t="s">
        <v>1384</v>
      </c>
      <c r="E448" t="s">
        <v>8297</v>
      </c>
      <c r="F448" t="s">
        <v>10562</v>
      </c>
      <c r="G448" t="s">
        <v>7875</v>
      </c>
      <c r="H448" t="s">
        <v>10617</v>
      </c>
      <c r="I448" t="s">
        <v>10564</v>
      </c>
      <c r="J448" t="s">
        <v>8119</v>
      </c>
      <c r="N448" t="s">
        <v>8260</v>
      </c>
      <c r="O448" t="s">
        <v>11</v>
      </c>
      <c r="P448" t="s">
        <v>10175</v>
      </c>
      <c r="Q448">
        <v>2</v>
      </c>
      <c r="R448" t="s">
        <v>8129</v>
      </c>
      <c r="S448">
        <v>32.89</v>
      </c>
      <c r="T448">
        <v>32.89</v>
      </c>
      <c r="U448">
        <v>45.22</v>
      </c>
      <c r="V448">
        <v>57.55</v>
      </c>
      <c r="W448">
        <v>69.89</v>
      </c>
      <c r="X448">
        <v>82.22</v>
      </c>
      <c r="AH448">
        <v>0</v>
      </c>
      <c r="BP448">
        <v>45.8</v>
      </c>
      <c r="BQ448" s="595">
        <v>47.16</v>
      </c>
      <c r="BR448" t="s">
        <v>1979</v>
      </c>
      <c r="BS448" t="s">
        <v>8093</v>
      </c>
      <c r="BT448">
        <v>0</v>
      </c>
      <c r="BU448" t="s">
        <v>8093</v>
      </c>
      <c r="BV448">
        <v>0</v>
      </c>
      <c r="BW448">
        <v>49.01</v>
      </c>
      <c r="BX448" t="s">
        <v>1979</v>
      </c>
      <c r="BY448">
        <v>0</v>
      </c>
      <c r="BZ448">
        <v>0</v>
      </c>
      <c r="CA448">
        <v>0</v>
      </c>
      <c r="CB448">
        <v>0</v>
      </c>
      <c r="CD448" t="s">
        <v>10565</v>
      </c>
    </row>
    <row r="449" spans="1:82">
      <c r="A449" t="s">
        <v>7965</v>
      </c>
      <c r="B449" t="s">
        <v>10618</v>
      </c>
      <c r="C449" t="s">
        <v>7958</v>
      </c>
      <c r="D449" t="s">
        <v>1384</v>
      </c>
      <c r="E449" t="s">
        <v>8297</v>
      </c>
      <c r="F449" t="s">
        <v>10619</v>
      </c>
      <c r="G449" t="s">
        <v>7879</v>
      </c>
      <c r="H449" t="s">
        <v>10620</v>
      </c>
      <c r="I449" t="s">
        <v>10569</v>
      </c>
      <c r="J449" t="s">
        <v>8088</v>
      </c>
      <c r="K449" t="s">
        <v>8089</v>
      </c>
      <c r="M449" t="s">
        <v>1980</v>
      </c>
      <c r="N449" t="s">
        <v>8169</v>
      </c>
      <c r="O449" t="s">
        <v>6241</v>
      </c>
      <c r="P449" t="s">
        <v>8523</v>
      </c>
      <c r="Q449" t="s">
        <v>8092</v>
      </c>
      <c r="R449" t="s">
        <v>8129</v>
      </c>
      <c r="S449" t="s">
        <v>10528</v>
      </c>
      <c r="T449" t="s">
        <v>9009</v>
      </c>
      <c r="U449" t="s">
        <v>9009</v>
      </c>
      <c r="V449" t="s">
        <v>9009</v>
      </c>
      <c r="W449" t="s">
        <v>9009</v>
      </c>
      <c r="X449" t="s">
        <v>9009</v>
      </c>
      <c r="AH449">
        <v>0</v>
      </c>
      <c r="AI449" t="s">
        <v>1979</v>
      </c>
      <c r="AJ449" t="s">
        <v>1979</v>
      </c>
      <c r="AK449" t="s">
        <v>1979</v>
      </c>
      <c r="AL449" t="s">
        <v>1979</v>
      </c>
      <c r="AM449" t="s">
        <v>1979</v>
      </c>
      <c r="AN449" t="s">
        <v>8172</v>
      </c>
      <c r="AO449" t="s">
        <v>8172</v>
      </c>
      <c r="AP449" t="s">
        <v>8172</v>
      </c>
      <c r="AQ449" t="s">
        <v>8172</v>
      </c>
      <c r="AR449" t="s">
        <v>8172</v>
      </c>
      <c r="AS449" t="s">
        <v>8172</v>
      </c>
      <c r="AT449" t="s">
        <v>8172</v>
      </c>
      <c r="AU449" t="s">
        <v>8172</v>
      </c>
      <c r="AV449" t="s">
        <v>8172</v>
      </c>
      <c r="AW449" t="s">
        <v>8172</v>
      </c>
      <c r="AX449" t="s">
        <v>8172</v>
      </c>
      <c r="AY449" t="s">
        <v>8172</v>
      </c>
      <c r="AZ449" t="s">
        <v>8172</v>
      </c>
      <c r="BA449" t="s">
        <v>8172</v>
      </c>
      <c r="BB449" t="s">
        <v>8172</v>
      </c>
      <c r="BC449" t="s">
        <v>8172</v>
      </c>
      <c r="BD449" t="s">
        <v>8172</v>
      </c>
      <c r="BE449" t="s">
        <v>8172</v>
      </c>
      <c r="BF449" t="s">
        <v>8172</v>
      </c>
      <c r="BG449" t="s">
        <v>8172</v>
      </c>
      <c r="BH449" t="s">
        <v>8172</v>
      </c>
      <c r="BL449" t="s">
        <v>8172</v>
      </c>
      <c r="BN449">
        <v>1</v>
      </c>
      <c r="BO449" t="s">
        <v>8092</v>
      </c>
      <c r="BQ449" s="593">
        <v>83</v>
      </c>
      <c r="BR449" t="s">
        <v>1980</v>
      </c>
      <c r="BS449" t="s">
        <v>8093</v>
      </c>
      <c r="BT449">
        <v>0</v>
      </c>
      <c r="BU449" t="s">
        <v>8093</v>
      </c>
      <c r="BV449">
        <v>0</v>
      </c>
      <c r="BW449">
        <v>82.86</v>
      </c>
      <c r="BX449" t="s">
        <v>1980</v>
      </c>
      <c r="BY449">
        <v>0</v>
      </c>
      <c r="BZ449">
        <v>0</v>
      </c>
      <c r="CA449">
        <v>0</v>
      </c>
      <c r="CB449">
        <v>0</v>
      </c>
      <c r="CD449" t="s">
        <v>10570</v>
      </c>
    </row>
    <row r="450" spans="1:82">
      <c r="A450" t="s">
        <v>7965</v>
      </c>
      <c r="B450" t="s">
        <v>10621</v>
      </c>
      <c r="C450" t="s">
        <v>7958</v>
      </c>
      <c r="D450" t="s">
        <v>1384</v>
      </c>
      <c r="E450" t="s">
        <v>8297</v>
      </c>
      <c r="F450" t="s">
        <v>10619</v>
      </c>
      <c r="G450" t="s">
        <v>7882</v>
      </c>
      <c r="H450" t="s">
        <v>10622</v>
      </c>
      <c r="I450" t="s">
        <v>10573</v>
      </c>
      <c r="J450" t="s">
        <v>8119</v>
      </c>
      <c r="N450" t="s">
        <v>8274</v>
      </c>
      <c r="O450" t="s">
        <v>11</v>
      </c>
      <c r="P450" t="s">
        <v>10574</v>
      </c>
      <c r="Q450">
        <v>0</v>
      </c>
      <c r="R450" t="s">
        <v>8091</v>
      </c>
      <c r="S450">
        <v>850</v>
      </c>
      <c r="T450">
        <v>850</v>
      </c>
      <c r="U450">
        <v>750</v>
      </c>
      <c r="V450">
        <v>650</v>
      </c>
      <c r="W450">
        <v>550</v>
      </c>
      <c r="X450">
        <v>425</v>
      </c>
      <c r="AH450">
        <v>0</v>
      </c>
      <c r="BP450">
        <v>702</v>
      </c>
      <c r="BQ450" s="594">
        <v>648</v>
      </c>
      <c r="BR450" t="s">
        <v>1979</v>
      </c>
      <c r="BS450" t="s">
        <v>8093</v>
      </c>
      <c r="BT450">
        <v>0</v>
      </c>
      <c r="BU450" t="s">
        <v>8093</v>
      </c>
      <c r="BV450">
        <v>0</v>
      </c>
      <c r="BW450">
        <v>575</v>
      </c>
      <c r="BX450" t="s">
        <v>1979</v>
      </c>
      <c r="BY450">
        <v>0</v>
      </c>
      <c r="BZ450">
        <v>0</v>
      </c>
      <c r="CA450">
        <v>0</v>
      </c>
      <c r="CB450">
        <v>0</v>
      </c>
      <c r="CD450" t="s">
        <v>10575</v>
      </c>
    </row>
    <row r="451" spans="1:82">
      <c r="A451" t="s">
        <v>7965</v>
      </c>
      <c r="B451" t="s">
        <v>10623</v>
      </c>
      <c r="C451" t="s">
        <v>7958</v>
      </c>
      <c r="D451" t="s">
        <v>1384</v>
      </c>
      <c r="E451" t="s">
        <v>8297</v>
      </c>
      <c r="F451" t="s">
        <v>10619</v>
      </c>
      <c r="G451" t="s">
        <v>7885</v>
      </c>
      <c r="H451" t="s">
        <v>10624</v>
      </c>
      <c r="I451" t="s">
        <v>10625</v>
      </c>
      <c r="J451" t="s">
        <v>8088</v>
      </c>
      <c r="K451" t="s">
        <v>8089</v>
      </c>
      <c r="M451" t="s">
        <v>1980</v>
      </c>
      <c r="N451" t="s">
        <v>8301</v>
      </c>
      <c r="O451" t="s">
        <v>11</v>
      </c>
      <c r="P451" t="s">
        <v>10626</v>
      </c>
      <c r="Q451">
        <v>0</v>
      </c>
      <c r="R451" t="s">
        <v>8091</v>
      </c>
      <c r="S451">
        <v>313</v>
      </c>
      <c r="T451">
        <v>310</v>
      </c>
      <c r="U451">
        <v>300</v>
      </c>
      <c r="V451">
        <v>292</v>
      </c>
      <c r="W451">
        <v>282</v>
      </c>
      <c r="X451">
        <v>269</v>
      </c>
      <c r="AC451" t="s">
        <v>1979</v>
      </c>
      <c r="AE451" t="s">
        <v>1979</v>
      </c>
      <c r="AH451">
        <v>0</v>
      </c>
      <c r="AJ451" t="s">
        <v>1979</v>
      </c>
      <c r="AK451" t="s">
        <v>1979</v>
      </c>
      <c r="AL451" t="s">
        <v>1979</v>
      </c>
      <c r="AM451" t="s">
        <v>1979</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8092</v>
      </c>
      <c r="BP451">
        <v>265</v>
      </c>
      <c r="BQ451" s="594">
        <v>223</v>
      </c>
      <c r="BR451" t="s">
        <v>1979</v>
      </c>
      <c r="BS451" t="s">
        <v>8093</v>
      </c>
      <c r="BT451">
        <v>0</v>
      </c>
      <c r="BU451" t="s">
        <v>8093</v>
      </c>
      <c r="BV451">
        <v>0</v>
      </c>
      <c r="BW451">
        <v>242</v>
      </c>
      <c r="BX451" t="s">
        <v>1979</v>
      </c>
      <c r="BY451">
        <v>0</v>
      </c>
      <c r="BZ451">
        <v>0</v>
      </c>
      <c r="CA451" t="s">
        <v>1988</v>
      </c>
      <c r="CB451">
        <v>1.86</v>
      </c>
      <c r="CD451" t="s">
        <v>10627</v>
      </c>
    </row>
    <row r="452" spans="1:82">
      <c r="A452" t="s">
        <v>7965</v>
      </c>
      <c r="B452" t="s">
        <v>10628</v>
      </c>
      <c r="C452" t="s">
        <v>7958</v>
      </c>
      <c r="D452" t="s">
        <v>1384</v>
      </c>
      <c r="E452" t="s">
        <v>8297</v>
      </c>
      <c r="F452" t="s">
        <v>10619</v>
      </c>
      <c r="G452" t="s">
        <v>7891</v>
      </c>
      <c r="H452" t="s">
        <v>10629</v>
      </c>
      <c r="I452" t="s">
        <v>10630</v>
      </c>
      <c r="J452" t="s">
        <v>8119</v>
      </c>
      <c r="N452" t="s">
        <v>8274</v>
      </c>
      <c r="O452" t="s">
        <v>10</v>
      </c>
      <c r="P452" t="s">
        <v>8275</v>
      </c>
      <c r="Q452">
        <v>0</v>
      </c>
      <c r="R452" t="s">
        <v>8129</v>
      </c>
      <c r="S452">
        <v>63</v>
      </c>
      <c r="T452">
        <v>63</v>
      </c>
      <c r="U452">
        <v>66</v>
      </c>
      <c r="V452">
        <v>68</v>
      </c>
      <c r="W452">
        <v>71</v>
      </c>
      <c r="X452">
        <v>75</v>
      </c>
      <c r="AH452">
        <v>0</v>
      </c>
      <c r="BP452">
        <v>79</v>
      </c>
      <c r="BQ452" s="594">
        <v>82</v>
      </c>
      <c r="BR452" t="s">
        <v>1979</v>
      </c>
      <c r="BS452" t="s">
        <v>8093</v>
      </c>
      <c r="BT452">
        <v>0</v>
      </c>
      <c r="BU452" t="s">
        <v>8093</v>
      </c>
      <c r="BV452">
        <v>0</v>
      </c>
      <c r="BW452">
        <v>85</v>
      </c>
      <c r="BX452" t="s">
        <v>1979</v>
      </c>
      <c r="BY452">
        <v>0</v>
      </c>
      <c r="BZ452">
        <v>0</v>
      </c>
      <c r="CA452">
        <v>0</v>
      </c>
      <c r="CB452">
        <v>0</v>
      </c>
      <c r="CD452" t="s">
        <v>10631</v>
      </c>
    </row>
    <row r="453" spans="1:82">
      <c r="A453" t="s">
        <v>7965</v>
      </c>
      <c r="B453" t="s">
        <v>10632</v>
      </c>
      <c r="C453" t="s">
        <v>7958</v>
      </c>
      <c r="D453" t="s">
        <v>1384</v>
      </c>
      <c r="E453" t="s">
        <v>8297</v>
      </c>
      <c r="F453" t="s">
        <v>10581</v>
      </c>
      <c r="G453" t="s">
        <v>7895</v>
      </c>
      <c r="H453" t="s">
        <v>10633</v>
      </c>
      <c r="I453" t="s">
        <v>10583</v>
      </c>
      <c r="J453" t="s">
        <v>8119</v>
      </c>
      <c r="N453" t="s">
        <v>8178</v>
      </c>
      <c r="O453" t="s">
        <v>10</v>
      </c>
      <c r="P453" t="s">
        <v>10584</v>
      </c>
      <c r="Q453">
        <v>0</v>
      </c>
      <c r="R453" t="s">
        <v>8091</v>
      </c>
      <c r="S453" t="s">
        <v>10585</v>
      </c>
      <c r="T453" t="s">
        <v>10586</v>
      </c>
      <c r="U453" t="s">
        <v>10586</v>
      </c>
      <c r="V453" t="s">
        <v>10586</v>
      </c>
      <c r="W453" t="s">
        <v>10586</v>
      </c>
      <c r="X453" t="s">
        <v>10586</v>
      </c>
      <c r="AH453">
        <v>0</v>
      </c>
      <c r="BP453">
        <v>-3</v>
      </c>
      <c r="BQ453" s="593">
        <v>-1</v>
      </c>
      <c r="BR453" t="s">
        <v>1979</v>
      </c>
      <c r="BS453" t="s">
        <v>8093</v>
      </c>
      <c r="BT453">
        <v>0</v>
      </c>
      <c r="BU453" t="s">
        <v>8093</v>
      </c>
      <c r="BV453">
        <v>0</v>
      </c>
      <c r="BW453">
        <v>-1</v>
      </c>
      <c r="BX453" t="s">
        <v>1979</v>
      </c>
      <c r="BY453">
        <v>0</v>
      </c>
      <c r="BZ453">
        <v>0</v>
      </c>
      <c r="CA453">
        <v>0</v>
      </c>
      <c r="CB453">
        <v>0</v>
      </c>
      <c r="CD453" t="s">
        <v>10587</v>
      </c>
    </row>
    <row r="454" spans="1:82">
      <c r="A454" t="s">
        <v>7965</v>
      </c>
      <c r="B454" t="s">
        <v>10634</v>
      </c>
      <c r="C454" t="s">
        <v>7958</v>
      </c>
      <c r="D454" t="s">
        <v>1384</v>
      </c>
      <c r="E454" t="s">
        <v>8297</v>
      </c>
      <c r="F454" t="s">
        <v>10589</v>
      </c>
      <c r="G454" t="s">
        <v>7911</v>
      </c>
      <c r="H454" t="s">
        <v>10635</v>
      </c>
      <c r="I454" t="s">
        <v>10591</v>
      </c>
      <c r="J454" t="s">
        <v>8099</v>
      </c>
      <c r="K454" t="s">
        <v>8089</v>
      </c>
      <c r="M454" t="s">
        <v>1980</v>
      </c>
      <c r="N454" t="s">
        <v>8364</v>
      </c>
      <c r="O454" t="s">
        <v>8282</v>
      </c>
      <c r="P454" t="s">
        <v>8429</v>
      </c>
      <c r="Q454" t="s">
        <v>8092</v>
      </c>
      <c r="S454" t="s">
        <v>1984</v>
      </c>
      <c r="T454" t="s">
        <v>1984</v>
      </c>
      <c r="U454" t="s">
        <v>1984</v>
      </c>
      <c r="V454" t="s">
        <v>1984</v>
      </c>
      <c r="W454" t="s">
        <v>1984</v>
      </c>
      <c r="X454" t="s">
        <v>1984</v>
      </c>
      <c r="AE454" t="s">
        <v>1979</v>
      </c>
      <c r="AH454">
        <v>9</v>
      </c>
      <c r="AI454" t="s">
        <v>1979</v>
      </c>
      <c r="AJ454" t="s">
        <v>1979</v>
      </c>
      <c r="AK454" t="s">
        <v>1979</v>
      </c>
      <c r="AL454" t="s">
        <v>1979</v>
      </c>
      <c r="AM454" t="s">
        <v>1979</v>
      </c>
      <c r="AN454" t="s">
        <v>8430</v>
      </c>
      <c r="AO454" t="s">
        <v>8430</v>
      </c>
      <c r="AP454" t="s">
        <v>8430</v>
      </c>
      <c r="AQ454" t="s">
        <v>8430</v>
      </c>
      <c r="AR454" t="s">
        <v>8430</v>
      </c>
      <c r="AS454" t="s">
        <v>1982</v>
      </c>
      <c r="AT454" t="s">
        <v>1982</v>
      </c>
      <c r="AU454" t="s">
        <v>1982</v>
      </c>
      <c r="AV454" t="s">
        <v>1982</v>
      </c>
      <c r="AW454" t="s">
        <v>1982</v>
      </c>
      <c r="BH454">
        <v>20</v>
      </c>
      <c r="BN454">
        <v>1</v>
      </c>
      <c r="BO454" t="s">
        <v>8092</v>
      </c>
      <c r="BP454" t="s">
        <v>1984</v>
      </c>
      <c r="BQ454" s="593" t="s">
        <v>1984</v>
      </c>
      <c r="BR454" t="s">
        <v>1979</v>
      </c>
      <c r="BS454" t="s">
        <v>8093</v>
      </c>
      <c r="BT454">
        <v>0</v>
      </c>
      <c r="BU454" t="s">
        <v>8093</v>
      </c>
      <c r="BV454">
        <v>0</v>
      </c>
      <c r="BW454" t="s">
        <v>1984</v>
      </c>
      <c r="BX454" t="s">
        <v>1979</v>
      </c>
      <c r="BY454">
        <v>0</v>
      </c>
      <c r="BZ454">
        <v>0</v>
      </c>
      <c r="CA454">
        <v>0</v>
      </c>
      <c r="CB454">
        <v>0</v>
      </c>
      <c r="CD454" t="s">
        <v>10592</v>
      </c>
    </row>
    <row r="455" spans="1:82">
      <c r="A455" t="s">
        <v>7965</v>
      </c>
      <c r="B455" t="s">
        <v>10636</v>
      </c>
      <c r="C455" t="s">
        <v>7958</v>
      </c>
      <c r="D455" t="s">
        <v>1384</v>
      </c>
      <c r="E455" t="s">
        <v>8297</v>
      </c>
      <c r="F455" t="s">
        <v>10589</v>
      </c>
      <c r="G455" t="s">
        <v>7917</v>
      </c>
      <c r="H455" t="s">
        <v>10637</v>
      </c>
      <c r="I455" t="s">
        <v>10599</v>
      </c>
      <c r="J455" t="s">
        <v>8099</v>
      </c>
      <c r="K455" t="s">
        <v>8089</v>
      </c>
      <c r="N455" t="s">
        <v>4821</v>
      </c>
      <c r="O455" t="s">
        <v>10</v>
      </c>
      <c r="P455" t="s">
        <v>10600</v>
      </c>
      <c r="Q455">
        <v>0</v>
      </c>
      <c r="R455" t="s">
        <v>8129</v>
      </c>
      <c r="S455">
        <v>71</v>
      </c>
      <c r="T455">
        <v>71</v>
      </c>
      <c r="U455">
        <v>72</v>
      </c>
      <c r="V455">
        <v>74</v>
      </c>
      <c r="W455">
        <v>76</v>
      </c>
      <c r="X455">
        <v>78</v>
      </c>
      <c r="AE455" t="s">
        <v>1979</v>
      </c>
      <c r="AH455">
        <v>0</v>
      </c>
      <c r="AM455" t="s">
        <v>1979</v>
      </c>
      <c r="AR455">
        <v>71</v>
      </c>
      <c r="AW455">
        <v>76</v>
      </c>
      <c r="BH455">
        <v>2.2000000000000002</v>
      </c>
      <c r="BN455">
        <v>1</v>
      </c>
      <c r="BO455" t="s">
        <v>8092</v>
      </c>
      <c r="BP455">
        <v>75</v>
      </c>
      <c r="BQ455" s="594">
        <v>74</v>
      </c>
      <c r="BR455" t="s">
        <v>1979</v>
      </c>
      <c r="BS455" t="s">
        <v>8093</v>
      </c>
      <c r="BT455">
        <v>0</v>
      </c>
      <c r="BU455" t="s">
        <v>8093</v>
      </c>
      <c r="BV455">
        <v>0</v>
      </c>
      <c r="BW455">
        <v>73.599999999999994</v>
      </c>
      <c r="BX455" t="s">
        <v>1979</v>
      </c>
      <c r="BY455">
        <v>0</v>
      </c>
      <c r="BZ455">
        <v>0</v>
      </c>
      <c r="CA455">
        <v>0</v>
      </c>
      <c r="CB455">
        <v>0</v>
      </c>
      <c r="CD455" t="s">
        <v>10601</v>
      </c>
    </row>
    <row r="456" spans="1:82">
      <c r="A456" t="s">
        <v>7965</v>
      </c>
      <c r="B456" t="s">
        <v>10638</v>
      </c>
      <c r="C456" t="s">
        <v>7958</v>
      </c>
      <c r="D456" t="s">
        <v>8609</v>
      </c>
      <c r="E456" t="s">
        <v>8610</v>
      </c>
      <c r="F456" t="s">
        <v>10639</v>
      </c>
      <c r="G456" t="s">
        <v>7879</v>
      </c>
      <c r="H456" t="s">
        <v>10640</v>
      </c>
      <c r="I456" t="s">
        <v>10569</v>
      </c>
      <c r="J456" t="s">
        <v>8088</v>
      </c>
      <c r="K456" t="s">
        <v>8089</v>
      </c>
      <c r="M456" t="s">
        <v>1980</v>
      </c>
      <c r="N456" t="s">
        <v>8169</v>
      </c>
      <c r="O456" t="s">
        <v>6241</v>
      </c>
      <c r="P456" t="s">
        <v>8523</v>
      </c>
      <c r="Q456" t="s">
        <v>8092</v>
      </c>
      <c r="R456" t="s">
        <v>8129</v>
      </c>
      <c r="S456" t="s">
        <v>10528</v>
      </c>
      <c r="T456" t="s">
        <v>9009</v>
      </c>
      <c r="U456" t="s">
        <v>9009</v>
      </c>
      <c r="V456" t="s">
        <v>9009</v>
      </c>
      <c r="W456" t="s">
        <v>9009</v>
      </c>
      <c r="X456" t="s">
        <v>9009</v>
      </c>
      <c r="AH456">
        <v>0</v>
      </c>
      <c r="AI456" t="s">
        <v>1979</v>
      </c>
      <c r="AJ456" t="s">
        <v>1979</v>
      </c>
      <c r="AK456" t="s">
        <v>1979</v>
      </c>
      <c r="AL456" t="s">
        <v>1979</v>
      </c>
      <c r="AM456" t="s">
        <v>1979</v>
      </c>
      <c r="AN456" t="s">
        <v>8172</v>
      </c>
      <c r="AO456" t="s">
        <v>8172</v>
      </c>
      <c r="AP456" t="s">
        <v>8172</v>
      </c>
      <c r="AQ456" t="s">
        <v>8172</v>
      </c>
      <c r="AR456" t="s">
        <v>8172</v>
      </c>
      <c r="AS456" t="s">
        <v>8172</v>
      </c>
      <c r="AT456" t="s">
        <v>8172</v>
      </c>
      <c r="AU456" t="s">
        <v>8172</v>
      </c>
      <c r="AV456" t="s">
        <v>8172</v>
      </c>
      <c r="AW456" t="s">
        <v>8172</v>
      </c>
      <c r="AX456" t="s">
        <v>8172</v>
      </c>
      <c r="AY456" t="s">
        <v>8172</v>
      </c>
      <c r="AZ456" t="s">
        <v>8172</v>
      </c>
      <c r="BA456" t="s">
        <v>8172</v>
      </c>
      <c r="BB456" t="s">
        <v>8172</v>
      </c>
      <c r="BC456" t="s">
        <v>8172</v>
      </c>
      <c r="BD456" t="s">
        <v>8172</v>
      </c>
      <c r="BE456" t="s">
        <v>8172</v>
      </c>
      <c r="BF456" t="s">
        <v>8172</v>
      </c>
      <c r="BG456" t="s">
        <v>8172</v>
      </c>
      <c r="BH456" t="s">
        <v>8172</v>
      </c>
      <c r="BL456" t="s">
        <v>8172</v>
      </c>
      <c r="BN456">
        <v>1</v>
      </c>
      <c r="BO456" t="s">
        <v>8092</v>
      </c>
      <c r="BQ456" s="593">
        <v>83</v>
      </c>
      <c r="BR456" t="s">
        <v>1980</v>
      </c>
      <c r="BS456" t="s">
        <v>8093</v>
      </c>
      <c r="BT456">
        <v>0</v>
      </c>
      <c r="BU456" t="s">
        <v>8093</v>
      </c>
      <c r="BV456">
        <v>0</v>
      </c>
      <c r="BW456">
        <v>1152</v>
      </c>
      <c r="BX456" t="s">
        <v>1980</v>
      </c>
      <c r="BY456">
        <v>0</v>
      </c>
      <c r="BZ456">
        <v>0</v>
      </c>
      <c r="CA456">
        <v>0</v>
      </c>
      <c r="CB456">
        <v>0</v>
      </c>
      <c r="CD456" t="s">
        <v>10570</v>
      </c>
    </row>
    <row r="457" spans="1:82">
      <c r="A457" t="s">
        <v>7965</v>
      </c>
      <c r="B457" t="s">
        <v>10641</v>
      </c>
      <c r="C457" t="s">
        <v>7958</v>
      </c>
      <c r="D457" t="s">
        <v>8609</v>
      </c>
      <c r="E457" t="s">
        <v>8610</v>
      </c>
      <c r="F457" t="s">
        <v>10639</v>
      </c>
      <c r="G457" t="s">
        <v>7888</v>
      </c>
      <c r="H457" t="s">
        <v>10642</v>
      </c>
      <c r="I457" t="s">
        <v>10643</v>
      </c>
      <c r="J457" t="s">
        <v>8099</v>
      </c>
      <c r="K457" t="s">
        <v>8089</v>
      </c>
      <c r="N457" t="s">
        <v>8274</v>
      </c>
      <c r="O457" t="s">
        <v>10</v>
      </c>
      <c r="P457" t="s">
        <v>8275</v>
      </c>
      <c r="Q457">
        <v>0</v>
      </c>
      <c r="R457" t="s">
        <v>8129</v>
      </c>
      <c r="S457">
        <v>87</v>
      </c>
      <c r="T457">
        <v>87</v>
      </c>
      <c r="U457">
        <v>88</v>
      </c>
      <c r="V457">
        <v>89</v>
      </c>
      <c r="W457">
        <v>90</v>
      </c>
      <c r="X457">
        <v>90</v>
      </c>
      <c r="AH457">
        <v>0</v>
      </c>
      <c r="AI457" t="s">
        <v>1979</v>
      </c>
      <c r="AJ457" t="s">
        <v>1979</v>
      </c>
      <c r="AK457" t="s">
        <v>1979</v>
      </c>
      <c r="AL457" t="s">
        <v>1979</v>
      </c>
      <c r="AM457" t="s">
        <v>1979</v>
      </c>
      <c r="AN457">
        <v>70</v>
      </c>
      <c r="AO457">
        <v>70</v>
      </c>
      <c r="AP457">
        <v>70</v>
      </c>
      <c r="AQ457">
        <v>70</v>
      </c>
      <c r="AR457">
        <v>70</v>
      </c>
      <c r="AS457">
        <v>80</v>
      </c>
      <c r="AT457">
        <v>80</v>
      </c>
      <c r="AU457">
        <v>80</v>
      </c>
      <c r="AV457">
        <v>80</v>
      </c>
      <c r="AW457">
        <v>80</v>
      </c>
      <c r="BH457">
        <v>0.5</v>
      </c>
      <c r="BN457">
        <v>1</v>
      </c>
      <c r="BO457" t="s">
        <v>8092</v>
      </c>
      <c r="BP457">
        <v>89</v>
      </c>
      <c r="BQ457" s="594">
        <v>88</v>
      </c>
      <c r="BR457" t="s">
        <v>1979</v>
      </c>
      <c r="BS457" t="s">
        <v>8093</v>
      </c>
      <c r="BT457">
        <v>0</v>
      </c>
      <c r="BU457" t="s">
        <v>8093</v>
      </c>
      <c r="BV457">
        <v>0</v>
      </c>
      <c r="BW457">
        <v>89</v>
      </c>
      <c r="BX457" t="s">
        <v>1979</v>
      </c>
      <c r="BY457">
        <v>0</v>
      </c>
      <c r="BZ457">
        <v>0</v>
      </c>
      <c r="CA457">
        <v>0</v>
      </c>
      <c r="CB457">
        <v>0</v>
      </c>
      <c r="CD457" t="s">
        <v>10644</v>
      </c>
    </row>
    <row r="458" spans="1:82">
      <c r="A458" t="s">
        <v>7965</v>
      </c>
      <c r="B458" t="s">
        <v>10645</v>
      </c>
      <c r="C458" t="s">
        <v>7958</v>
      </c>
      <c r="D458" t="s">
        <v>8609</v>
      </c>
      <c r="E458" t="s">
        <v>8610</v>
      </c>
      <c r="F458" t="s">
        <v>10639</v>
      </c>
      <c r="G458" t="s">
        <v>7891</v>
      </c>
      <c r="H458" t="s">
        <v>10646</v>
      </c>
      <c r="I458" t="s">
        <v>10578</v>
      </c>
      <c r="J458" t="s">
        <v>8119</v>
      </c>
      <c r="N458" t="s">
        <v>8274</v>
      </c>
      <c r="O458" t="s">
        <v>10</v>
      </c>
      <c r="P458" t="s">
        <v>8275</v>
      </c>
      <c r="Q458">
        <v>0</v>
      </c>
      <c r="R458" t="s">
        <v>8129</v>
      </c>
      <c r="S458">
        <v>63</v>
      </c>
      <c r="T458">
        <v>63</v>
      </c>
      <c r="U458">
        <v>66</v>
      </c>
      <c r="V458">
        <v>68</v>
      </c>
      <c r="W458">
        <v>71</v>
      </c>
      <c r="X458">
        <v>75</v>
      </c>
      <c r="AH458">
        <v>0</v>
      </c>
      <c r="BP458">
        <v>79</v>
      </c>
      <c r="BQ458" s="594">
        <v>82</v>
      </c>
      <c r="BR458" t="s">
        <v>1979</v>
      </c>
      <c r="BS458" t="s">
        <v>8093</v>
      </c>
      <c r="BT458">
        <v>0</v>
      </c>
      <c r="BU458" t="s">
        <v>8093</v>
      </c>
      <c r="BV458">
        <v>0</v>
      </c>
      <c r="BW458">
        <v>85</v>
      </c>
      <c r="BX458" t="s">
        <v>1979</v>
      </c>
      <c r="BY458">
        <v>0</v>
      </c>
      <c r="BZ458">
        <v>0</v>
      </c>
      <c r="CA458">
        <v>0</v>
      </c>
      <c r="CB458">
        <v>0</v>
      </c>
      <c r="CD458" t="s">
        <v>10579</v>
      </c>
    </row>
    <row r="459" spans="1:82">
      <c r="A459" t="s">
        <v>7965</v>
      </c>
      <c r="B459" t="s">
        <v>10647</v>
      </c>
      <c r="C459" t="s">
        <v>7958</v>
      </c>
      <c r="D459" t="s">
        <v>8609</v>
      </c>
      <c r="E459" t="s">
        <v>8610</v>
      </c>
      <c r="F459" t="s">
        <v>10581</v>
      </c>
      <c r="G459" t="s">
        <v>7895</v>
      </c>
      <c r="H459" t="s">
        <v>10648</v>
      </c>
      <c r="I459" t="s">
        <v>10583</v>
      </c>
      <c r="J459" t="s">
        <v>8119</v>
      </c>
      <c r="N459" t="s">
        <v>8178</v>
      </c>
      <c r="O459" t="s">
        <v>10</v>
      </c>
      <c r="P459" t="s">
        <v>10584</v>
      </c>
      <c r="Q459">
        <v>0</v>
      </c>
      <c r="R459" t="s">
        <v>8091</v>
      </c>
      <c r="S459" t="s">
        <v>10585</v>
      </c>
      <c r="T459" t="s">
        <v>10586</v>
      </c>
      <c r="U459" t="s">
        <v>10586</v>
      </c>
      <c r="V459" t="s">
        <v>10586</v>
      </c>
      <c r="W459" t="s">
        <v>10586</v>
      </c>
      <c r="X459" t="s">
        <v>10586</v>
      </c>
      <c r="AH459">
        <v>0</v>
      </c>
      <c r="BP459">
        <v>-3</v>
      </c>
      <c r="BQ459" s="593">
        <v>-1</v>
      </c>
      <c r="BR459" t="s">
        <v>1979</v>
      </c>
      <c r="BS459" t="s">
        <v>8093</v>
      </c>
      <c r="BT459">
        <v>0</v>
      </c>
      <c r="BU459" t="s">
        <v>8093</v>
      </c>
      <c r="BV459">
        <v>0</v>
      </c>
      <c r="BW459">
        <v>-1</v>
      </c>
      <c r="BX459" t="s">
        <v>1979</v>
      </c>
      <c r="BY459">
        <v>0</v>
      </c>
      <c r="BZ459">
        <v>0</v>
      </c>
      <c r="CA459">
        <v>0</v>
      </c>
      <c r="CB459">
        <v>0</v>
      </c>
      <c r="CD459" t="s">
        <v>10587</v>
      </c>
    </row>
    <row r="460" spans="1:82">
      <c r="A460" t="s">
        <v>7965</v>
      </c>
      <c r="B460" t="s">
        <v>10649</v>
      </c>
      <c r="C460" t="s">
        <v>7958</v>
      </c>
      <c r="D460" t="s">
        <v>8163</v>
      </c>
      <c r="E460" t="s">
        <v>8164</v>
      </c>
      <c r="F460" t="s">
        <v>10619</v>
      </c>
      <c r="G460" t="s">
        <v>7879</v>
      </c>
      <c r="H460" t="s">
        <v>10650</v>
      </c>
      <c r="I460" t="s">
        <v>10569</v>
      </c>
      <c r="J460" t="s">
        <v>8088</v>
      </c>
      <c r="K460" t="s">
        <v>8089</v>
      </c>
      <c r="M460" t="s">
        <v>1980</v>
      </c>
      <c r="N460" t="s">
        <v>8169</v>
      </c>
      <c r="O460" t="s">
        <v>6241</v>
      </c>
      <c r="P460" t="s">
        <v>8523</v>
      </c>
      <c r="Q460" t="s">
        <v>8092</v>
      </c>
      <c r="R460" t="s">
        <v>8129</v>
      </c>
      <c r="S460" t="s">
        <v>10528</v>
      </c>
      <c r="T460" t="s">
        <v>9009</v>
      </c>
      <c r="U460" t="s">
        <v>9009</v>
      </c>
      <c r="V460" t="s">
        <v>9009</v>
      </c>
      <c r="W460" t="s">
        <v>9009</v>
      </c>
      <c r="X460" t="s">
        <v>9009</v>
      </c>
      <c r="AH460">
        <v>0</v>
      </c>
      <c r="AI460" t="s">
        <v>1979</v>
      </c>
      <c r="AJ460" t="s">
        <v>1979</v>
      </c>
      <c r="AK460" t="s">
        <v>1979</v>
      </c>
      <c r="AL460" t="s">
        <v>1979</v>
      </c>
      <c r="AM460" t="s">
        <v>1979</v>
      </c>
      <c r="AN460" t="s">
        <v>8172</v>
      </c>
      <c r="AO460" t="s">
        <v>8172</v>
      </c>
      <c r="AP460" t="s">
        <v>8172</v>
      </c>
      <c r="AQ460" t="s">
        <v>8172</v>
      </c>
      <c r="AR460" t="s">
        <v>8172</v>
      </c>
      <c r="AS460" t="s">
        <v>8172</v>
      </c>
      <c r="AT460" t="s">
        <v>8172</v>
      </c>
      <c r="AU460" t="s">
        <v>8172</v>
      </c>
      <c r="AV460" t="s">
        <v>8172</v>
      </c>
      <c r="AW460" t="s">
        <v>8172</v>
      </c>
      <c r="AX460" t="s">
        <v>8172</v>
      </c>
      <c r="AY460" t="s">
        <v>8172</v>
      </c>
      <c r="AZ460" t="s">
        <v>8172</v>
      </c>
      <c r="BA460" t="s">
        <v>8172</v>
      </c>
      <c r="BB460" t="s">
        <v>8172</v>
      </c>
      <c r="BC460" t="s">
        <v>8172</v>
      </c>
      <c r="BD460" t="s">
        <v>8172</v>
      </c>
      <c r="BE460" t="s">
        <v>8172</v>
      </c>
      <c r="BF460" t="s">
        <v>8172</v>
      </c>
      <c r="BG460" t="s">
        <v>8172</v>
      </c>
      <c r="BH460" t="s">
        <v>8172</v>
      </c>
      <c r="BL460" t="s">
        <v>8172</v>
      </c>
      <c r="BN460">
        <v>1</v>
      </c>
      <c r="BO460" t="s">
        <v>8092</v>
      </c>
      <c r="BQ460" s="593">
        <v>83</v>
      </c>
      <c r="BR460" t="s">
        <v>1980</v>
      </c>
      <c r="BS460" t="s">
        <v>8093</v>
      </c>
      <c r="BT460">
        <v>0</v>
      </c>
      <c r="BU460" t="s">
        <v>8093</v>
      </c>
      <c r="BV460">
        <v>0</v>
      </c>
      <c r="BW460">
        <v>82.86</v>
      </c>
      <c r="BX460" t="s">
        <v>1980</v>
      </c>
      <c r="BY460">
        <v>0</v>
      </c>
      <c r="BZ460">
        <v>0</v>
      </c>
      <c r="CA460">
        <v>0</v>
      </c>
      <c r="CB460">
        <v>0</v>
      </c>
      <c r="CD460" t="s">
        <v>10570</v>
      </c>
    </row>
    <row r="461" spans="1:82">
      <c r="A461" t="s">
        <v>7965</v>
      </c>
      <c r="B461" t="s">
        <v>10651</v>
      </c>
      <c r="C461" t="s">
        <v>7958</v>
      </c>
      <c r="D461" t="s">
        <v>8163</v>
      </c>
      <c r="E461" t="s">
        <v>8164</v>
      </c>
      <c r="F461" t="s">
        <v>10619</v>
      </c>
      <c r="G461" t="s">
        <v>7891</v>
      </c>
      <c r="H461" t="s">
        <v>10652</v>
      </c>
      <c r="I461" t="s">
        <v>10578</v>
      </c>
      <c r="J461" t="s">
        <v>8119</v>
      </c>
      <c r="N461" t="s">
        <v>8274</v>
      </c>
      <c r="O461" t="s">
        <v>10</v>
      </c>
      <c r="P461" t="s">
        <v>8275</v>
      </c>
      <c r="Q461">
        <v>0</v>
      </c>
      <c r="R461" t="s">
        <v>8129</v>
      </c>
      <c r="S461">
        <v>63</v>
      </c>
      <c r="T461">
        <v>63</v>
      </c>
      <c r="U461">
        <v>66</v>
      </c>
      <c r="V461">
        <v>68</v>
      </c>
      <c r="W461">
        <v>71</v>
      </c>
      <c r="X461">
        <v>75</v>
      </c>
      <c r="AH461">
        <v>0</v>
      </c>
      <c r="BP461">
        <v>79</v>
      </c>
      <c r="BQ461" s="594">
        <v>82</v>
      </c>
      <c r="BR461" t="s">
        <v>1979</v>
      </c>
      <c r="BS461" t="s">
        <v>8093</v>
      </c>
      <c r="BT461">
        <v>0</v>
      </c>
      <c r="BU461" t="s">
        <v>8093</v>
      </c>
      <c r="BV461">
        <v>0</v>
      </c>
      <c r="BW461">
        <v>85</v>
      </c>
      <c r="BX461" t="s">
        <v>1979</v>
      </c>
      <c r="BY461">
        <v>0</v>
      </c>
      <c r="BZ461">
        <v>0</v>
      </c>
      <c r="CA461">
        <v>0</v>
      </c>
      <c r="CB461">
        <v>0</v>
      </c>
      <c r="CD461" t="s">
        <v>10579</v>
      </c>
    </row>
    <row r="462" spans="1:82">
      <c r="A462" t="s">
        <v>7965</v>
      </c>
      <c r="B462" t="s">
        <v>10653</v>
      </c>
      <c r="C462" t="s">
        <v>7958</v>
      </c>
      <c r="D462" t="s">
        <v>8163</v>
      </c>
      <c r="E462" t="s">
        <v>8164</v>
      </c>
      <c r="F462" t="s">
        <v>10581</v>
      </c>
      <c r="G462" t="s">
        <v>7895</v>
      </c>
      <c r="H462" t="s">
        <v>10654</v>
      </c>
      <c r="I462" t="s">
        <v>10583</v>
      </c>
      <c r="J462" t="s">
        <v>8119</v>
      </c>
      <c r="N462" t="s">
        <v>8178</v>
      </c>
      <c r="O462" t="s">
        <v>10</v>
      </c>
      <c r="P462" t="s">
        <v>10584</v>
      </c>
      <c r="Q462">
        <v>0</v>
      </c>
      <c r="R462" t="s">
        <v>8091</v>
      </c>
      <c r="S462" t="s">
        <v>10585</v>
      </c>
      <c r="T462" t="s">
        <v>10586</v>
      </c>
      <c r="U462" t="s">
        <v>10586</v>
      </c>
      <c r="V462" t="s">
        <v>10586</v>
      </c>
      <c r="W462" t="s">
        <v>10586</v>
      </c>
      <c r="X462" t="s">
        <v>10586</v>
      </c>
      <c r="AH462">
        <v>0</v>
      </c>
      <c r="BP462">
        <v>-3</v>
      </c>
      <c r="BQ462" s="593">
        <v>-1</v>
      </c>
      <c r="BR462" t="s">
        <v>1979</v>
      </c>
      <c r="BS462" t="s">
        <v>8093</v>
      </c>
      <c r="BT462">
        <v>0</v>
      </c>
      <c r="BU462" t="s">
        <v>8093</v>
      </c>
      <c r="BV462">
        <v>0</v>
      </c>
      <c r="BW462">
        <v>-1</v>
      </c>
      <c r="BX462" t="s">
        <v>1979</v>
      </c>
      <c r="BY462">
        <v>0</v>
      </c>
      <c r="BZ462">
        <v>0</v>
      </c>
      <c r="CA462">
        <v>0</v>
      </c>
      <c r="CB462">
        <v>0</v>
      </c>
      <c r="CD462" t="s">
        <v>10587</v>
      </c>
    </row>
    <row r="463" spans="1:82">
      <c r="A463" t="s">
        <v>7965</v>
      </c>
      <c r="B463" t="s">
        <v>10655</v>
      </c>
      <c r="C463" t="s">
        <v>7958</v>
      </c>
      <c r="D463" t="s">
        <v>8163</v>
      </c>
      <c r="E463" t="s">
        <v>8164</v>
      </c>
      <c r="F463" t="s">
        <v>10581</v>
      </c>
      <c r="G463" t="s">
        <v>7898</v>
      </c>
      <c r="H463" t="s">
        <v>10656</v>
      </c>
      <c r="I463" t="s">
        <v>10657</v>
      </c>
      <c r="J463" t="s">
        <v>8119</v>
      </c>
      <c r="N463" t="s">
        <v>8178</v>
      </c>
      <c r="O463" t="s">
        <v>11</v>
      </c>
      <c r="P463" t="s">
        <v>10658</v>
      </c>
      <c r="Q463">
        <v>0</v>
      </c>
      <c r="R463" t="s">
        <v>8129</v>
      </c>
      <c r="S463">
        <v>52000</v>
      </c>
      <c r="T463">
        <v>52000</v>
      </c>
      <c r="U463">
        <v>65000</v>
      </c>
      <c r="V463">
        <v>75000</v>
      </c>
      <c r="W463">
        <v>85000</v>
      </c>
      <c r="X463">
        <v>100000</v>
      </c>
      <c r="AH463">
        <v>0</v>
      </c>
      <c r="BP463">
        <v>49455</v>
      </c>
      <c r="BQ463" s="594">
        <v>48734</v>
      </c>
      <c r="BR463" t="s">
        <v>1979</v>
      </c>
      <c r="BS463" t="s">
        <v>8093</v>
      </c>
      <c r="BT463">
        <v>0</v>
      </c>
      <c r="BU463" t="s">
        <v>8093</v>
      </c>
      <c r="BV463">
        <v>0</v>
      </c>
      <c r="BW463">
        <v>65461</v>
      </c>
      <c r="BX463" t="s">
        <v>1979</v>
      </c>
      <c r="BY463">
        <v>0</v>
      </c>
      <c r="BZ463">
        <v>0</v>
      </c>
      <c r="CA463">
        <v>0</v>
      </c>
      <c r="CB463">
        <v>0</v>
      </c>
      <c r="CD463" t="s">
        <v>10659</v>
      </c>
    </row>
    <row r="464" spans="1:82">
      <c r="A464" t="s">
        <v>7989</v>
      </c>
      <c r="B464" t="s">
        <v>10660</v>
      </c>
      <c r="C464" t="s">
        <v>7958</v>
      </c>
      <c r="D464" t="s">
        <v>1383</v>
      </c>
      <c r="E464" t="s">
        <v>8083</v>
      </c>
      <c r="F464" t="s">
        <v>10661</v>
      </c>
      <c r="G464" t="s">
        <v>8592</v>
      </c>
      <c r="H464" t="s">
        <v>10662</v>
      </c>
      <c r="I464" t="s">
        <v>10663</v>
      </c>
      <c r="J464" t="s">
        <v>8119</v>
      </c>
      <c r="N464" t="s">
        <v>8113</v>
      </c>
      <c r="O464" t="s">
        <v>10</v>
      </c>
      <c r="P464" t="s">
        <v>10664</v>
      </c>
      <c r="Q464">
        <v>1</v>
      </c>
      <c r="R464" t="s">
        <v>8129</v>
      </c>
      <c r="S464">
        <v>100</v>
      </c>
      <c r="T464">
        <v>100</v>
      </c>
      <c r="U464">
        <v>100</v>
      </c>
      <c r="V464">
        <v>100</v>
      </c>
      <c r="W464">
        <v>100</v>
      </c>
      <c r="X464">
        <v>100</v>
      </c>
      <c r="AH464">
        <v>0</v>
      </c>
      <c r="BP464">
        <v>100</v>
      </c>
      <c r="BQ464" s="591">
        <v>100</v>
      </c>
      <c r="BR464" t="s">
        <v>1979</v>
      </c>
      <c r="BS464" t="s">
        <v>8093</v>
      </c>
      <c r="BT464">
        <v>0</v>
      </c>
      <c r="BU464" t="s">
        <v>8093</v>
      </c>
      <c r="BV464">
        <v>0</v>
      </c>
      <c r="BW464">
        <v>100</v>
      </c>
      <c r="BX464" t="s">
        <v>1979</v>
      </c>
      <c r="BY464">
        <v>0</v>
      </c>
      <c r="BZ464">
        <v>0</v>
      </c>
      <c r="CA464">
        <v>0</v>
      </c>
      <c r="CB464">
        <v>0</v>
      </c>
      <c r="CD464" t="s">
        <v>10665</v>
      </c>
    </row>
    <row r="465" spans="1:82">
      <c r="A465" t="s">
        <v>7989</v>
      </c>
      <c r="B465" t="s">
        <v>10666</v>
      </c>
      <c r="C465" t="s">
        <v>7958</v>
      </c>
      <c r="D465" t="s">
        <v>1383</v>
      </c>
      <c r="E465" t="s">
        <v>8083</v>
      </c>
      <c r="F465" t="s">
        <v>10661</v>
      </c>
      <c r="G465" t="s">
        <v>9051</v>
      </c>
      <c r="H465" t="s">
        <v>10667</v>
      </c>
      <c r="I465" t="s">
        <v>10668</v>
      </c>
      <c r="J465" t="s">
        <v>8099</v>
      </c>
      <c r="K465" t="s">
        <v>8089</v>
      </c>
      <c r="N465" t="s">
        <v>8113</v>
      </c>
      <c r="O465" t="s">
        <v>11</v>
      </c>
      <c r="P465" t="s">
        <v>10669</v>
      </c>
      <c r="Q465">
        <v>0</v>
      </c>
      <c r="R465" t="s">
        <v>8091</v>
      </c>
      <c r="S465">
        <v>100</v>
      </c>
      <c r="T465">
        <v>100</v>
      </c>
      <c r="U465">
        <v>100</v>
      </c>
      <c r="V465">
        <v>100</v>
      </c>
      <c r="W465">
        <v>100</v>
      </c>
      <c r="X465">
        <v>100</v>
      </c>
      <c r="AG465" t="s">
        <v>1979</v>
      </c>
      <c r="AH465">
        <v>0</v>
      </c>
      <c r="AI465" t="s">
        <v>1979</v>
      </c>
      <c r="AJ465" t="s">
        <v>1979</v>
      </c>
      <c r="AK465" t="s">
        <v>1979</v>
      </c>
      <c r="AL465" t="s">
        <v>1979</v>
      </c>
      <c r="AM465" t="s">
        <v>1979</v>
      </c>
      <c r="AN465">
        <v>1350</v>
      </c>
      <c r="AO465">
        <v>1350</v>
      </c>
      <c r="AP465">
        <v>1350</v>
      </c>
      <c r="AQ465">
        <v>1350</v>
      </c>
      <c r="AR465">
        <v>1350</v>
      </c>
      <c r="AS465">
        <v>100</v>
      </c>
      <c r="AT465">
        <v>100</v>
      </c>
      <c r="AU465">
        <v>100</v>
      </c>
      <c r="AV465">
        <v>100</v>
      </c>
      <c r="AW465">
        <v>100</v>
      </c>
      <c r="BH465">
        <v>2.5000000000000001E-5</v>
      </c>
      <c r="BN465">
        <v>1</v>
      </c>
      <c r="BO465" t="s">
        <v>8092</v>
      </c>
      <c r="BP465">
        <v>88</v>
      </c>
      <c r="BQ465" s="594">
        <v>172</v>
      </c>
      <c r="BR465" t="s">
        <v>1980</v>
      </c>
      <c r="BS465" t="s">
        <v>8093</v>
      </c>
      <c r="BT465">
        <v>0</v>
      </c>
      <c r="BU465" t="s">
        <v>1983</v>
      </c>
      <c r="BV465">
        <v>-1.8E-3</v>
      </c>
      <c r="BW465">
        <v>341</v>
      </c>
      <c r="BX465" t="s">
        <v>1980</v>
      </c>
      <c r="BY465">
        <v>0</v>
      </c>
      <c r="BZ465">
        <v>0</v>
      </c>
      <c r="CA465" t="s">
        <v>1983</v>
      </c>
      <c r="CB465">
        <v>-6.0000000000000001E-3</v>
      </c>
      <c r="CD465" t="s">
        <v>10670</v>
      </c>
    </row>
    <row r="466" spans="1:82">
      <c r="A466" t="s">
        <v>7989</v>
      </c>
      <c r="B466" t="s">
        <v>10671</v>
      </c>
      <c r="C466" t="s">
        <v>7958</v>
      </c>
      <c r="D466" t="s">
        <v>1383</v>
      </c>
      <c r="E466" t="s">
        <v>8083</v>
      </c>
      <c r="F466" t="s">
        <v>10661</v>
      </c>
      <c r="G466" t="s">
        <v>9057</v>
      </c>
      <c r="H466" t="s">
        <v>10672</v>
      </c>
      <c r="I466" t="s">
        <v>10673</v>
      </c>
      <c r="J466" t="s">
        <v>8099</v>
      </c>
      <c r="K466" t="s">
        <v>8428</v>
      </c>
      <c r="N466" t="s">
        <v>8245</v>
      </c>
      <c r="O466" t="s">
        <v>10</v>
      </c>
      <c r="P466" t="s">
        <v>10674</v>
      </c>
      <c r="Q466">
        <v>0</v>
      </c>
      <c r="R466" t="s">
        <v>8129</v>
      </c>
      <c r="S466">
        <v>47</v>
      </c>
      <c r="T466">
        <v>60</v>
      </c>
      <c r="U466">
        <v>70</v>
      </c>
      <c r="V466">
        <v>80</v>
      </c>
      <c r="W466">
        <v>90</v>
      </c>
      <c r="X466">
        <v>100</v>
      </c>
      <c r="AF466" t="s">
        <v>1979</v>
      </c>
      <c r="AH466">
        <v>0</v>
      </c>
      <c r="AI466" t="s">
        <v>1979</v>
      </c>
      <c r="AJ466" t="s">
        <v>1979</v>
      </c>
      <c r="AK466" t="s">
        <v>1979</v>
      </c>
      <c r="AL466" t="s">
        <v>1979</v>
      </c>
      <c r="AM466" t="s">
        <v>1979</v>
      </c>
      <c r="AN466">
        <v>50</v>
      </c>
      <c r="AO466">
        <v>50</v>
      </c>
      <c r="AP466">
        <v>50</v>
      </c>
      <c r="AQ466">
        <v>50</v>
      </c>
      <c r="AR466">
        <v>50</v>
      </c>
      <c r="AS466">
        <v>60</v>
      </c>
      <c r="AT466">
        <v>70</v>
      </c>
      <c r="AU466">
        <v>80</v>
      </c>
      <c r="AV466">
        <v>90</v>
      </c>
      <c r="AW466">
        <v>100</v>
      </c>
      <c r="BH466">
        <v>4.0000000000000001E-3</v>
      </c>
      <c r="BN466">
        <v>1</v>
      </c>
      <c r="BO466" t="s">
        <v>8092</v>
      </c>
      <c r="BP466">
        <v>47</v>
      </c>
      <c r="BQ466" s="594">
        <v>60</v>
      </c>
      <c r="BR466" t="s">
        <v>1979</v>
      </c>
      <c r="BS466" t="s">
        <v>8093</v>
      </c>
      <c r="BT466">
        <v>0</v>
      </c>
      <c r="BU466" t="s">
        <v>8093</v>
      </c>
      <c r="BV466">
        <v>0</v>
      </c>
      <c r="BW466">
        <v>71</v>
      </c>
      <c r="BX466" t="s">
        <v>1979</v>
      </c>
      <c r="BY466">
        <v>0</v>
      </c>
      <c r="BZ466">
        <v>0</v>
      </c>
      <c r="CA466">
        <v>0</v>
      </c>
      <c r="CB466">
        <v>0</v>
      </c>
      <c r="CD466" t="s">
        <v>10675</v>
      </c>
    </row>
    <row r="467" spans="1:82">
      <c r="A467" t="s">
        <v>7989</v>
      </c>
      <c r="B467" t="s">
        <v>10676</v>
      </c>
      <c r="C467" t="s">
        <v>7958</v>
      </c>
      <c r="D467" t="s">
        <v>1383</v>
      </c>
      <c r="E467" t="s">
        <v>8083</v>
      </c>
      <c r="F467" t="s">
        <v>10661</v>
      </c>
      <c r="G467" t="s">
        <v>10677</v>
      </c>
      <c r="H467" t="s">
        <v>10678</v>
      </c>
      <c r="I467" t="s">
        <v>10679</v>
      </c>
      <c r="J467" t="s">
        <v>8088</v>
      </c>
      <c r="K467" t="s">
        <v>8428</v>
      </c>
      <c r="N467" t="s">
        <v>8252</v>
      </c>
      <c r="O467" t="s">
        <v>11</v>
      </c>
      <c r="P467" t="s">
        <v>10680</v>
      </c>
      <c r="Q467">
        <v>0</v>
      </c>
      <c r="R467" t="s">
        <v>8129</v>
      </c>
      <c r="S467">
        <v>0</v>
      </c>
      <c r="T467">
        <v>0</v>
      </c>
      <c r="U467">
        <v>0</v>
      </c>
      <c r="V467">
        <v>0</v>
      </c>
      <c r="W467">
        <v>99</v>
      </c>
      <c r="X467">
        <v>99</v>
      </c>
      <c r="AF467" t="s">
        <v>1979</v>
      </c>
      <c r="AH467">
        <v>0</v>
      </c>
      <c r="AI467" t="s">
        <v>1979</v>
      </c>
      <c r="AJ467" t="s">
        <v>1979</v>
      </c>
      <c r="AK467" t="s">
        <v>1979</v>
      </c>
      <c r="AL467" t="s">
        <v>1979</v>
      </c>
      <c r="AM467" t="s">
        <v>1979</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8092</v>
      </c>
      <c r="BP467">
        <v>0</v>
      </c>
      <c r="BQ467" s="594">
        <v>0</v>
      </c>
      <c r="BR467" t="s">
        <v>1979</v>
      </c>
      <c r="BS467" t="s">
        <v>8093</v>
      </c>
      <c r="BT467">
        <v>0</v>
      </c>
      <c r="BU467" t="s">
        <v>8093</v>
      </c>
      <c r="BV467">
        <v>0</v>
      </c>
      <c r="BW467">
        <v>0</v>
      </c>
      <c r="BX467" t="s">
        <v>1979</v>
      </c>
      <c r="BY467">
        <v>0</v>
      </c>
      <c r="BZ467">
        <v>0</v>
      </c>
      <c r="CA467">
        <v>0</v>
      </c>
      <c r="CB467">
        <v>0</v>
      </c>
      <c r="CD467" t="s">
        <v>10681</v>
      </c>
    </row>
    <row r="468" spans="1:82">
      <c r="A468" t="s">
        <v>7989</v>
      </c>
      <c r="B468" t="s">
        <v>10682</v>
      </c>
      <c r="C468" t="s">
        <v>7958</v>
      </c>
      <c r="D468" t="s">
        <v>1383</v>
      </c>
      <c r="E468" t="s">
        <v>8083</v>
      </c>
      <c r="F468" t="s">
        <v>10683</v>
      </c>
      <c r="G468" t="s">
        <v>7882</v>
      </c>
      <c r="H468" t="s">
        <v>10684</v>
      </c>
      <c r="I468" t="s">
        <v>10685</v>
      </c>
      <c r="J468" t="s">
        <v>8099</v>
      </c>
      <c r="K468" t="s">
        <v>8089</v>
      </c>
      <c r="M468" t="s">
        <v>1980</v>
      </c>
      <c r="N468" t="s">
        <v>8214</v>
      </c>
      <c r="O468" t="s">
        <v>11</v>
      </c>
      <c r="P468" t="s">
        <v>10686</v>
      </c>
      <c r="Q468">
        <v>0</v>
      </c>
      <c r="R468" t="s">
        <v>8091</v>
      </c>
      <c r="S468">
        <v>0</v>
      </c>
      <c r="T468">
        <v>0</v>
      </c>
      <c r="U468">
        <v>0</v>
      </c>
      <c r="V468">
        <v>0</v>
      </c>
      <c r="W468">
        <v>0</v>
      </c>
      <c r="X468">
        <v>0</v>
      </c>
      <c r="AH468">
        <v>0</v>
      </c>
      <c r="AI468" t="s">
        <v>1979</v>
      </c>
      <c r="AJ468" t="s">
        <v>1979</v>
      </c>
      <c r="AK468" t="s">
        <v>1979</v>
      </c>
      <c r="AL468" t="s">
        <v>1979</v>
      </c>
      <c r="AM468" t="s">
        <v>1979</v>
      </c>
      <c r="AN468">
        <v>1</v>
      </c>
      <c r="AO468">
        <v>1</v>
      </c>
      <c r="AP468">
        <v>1</v>
      </c>
      <c r="AQ468">
        <v>1</v>
      </c>
      <c r="AR468">
        <v>1</v>
      </c>
      <c r="AS468">
        <v>0</v>
      </c>
      <c r="AT468">
        <v>0</v>
      </c>
      <c r="AU468">
        <v>0</v>
      </c>
      <c r="AV468">
        <v>0</v>
      </c>
      <c r="AW468">
        <v>0</v>
      </c>
      <c r="BH468">
        <v>10.1</v>
      </c>
      <c r="BN468">
        <v>1</v>
      </c>
      <c r="BO468" t="s">
        <v>8092</v>
      </c>
      <c r="BP468">
        <v>0</v>
      </c>
      <c r="BQ468" s="594">
        <v>0</v>
      </c>
      <c r="BR468" t="s">
        <v>1979</v>
      </c>
      <c r="BS468" t="s">
        <v>8093</v>
      </c>
      <c r="BT468">
        <v>0</v>
      </c>
      <c r="BU468" t="s">
        <v>8093</v>
      </c>
      <c r="BV468">
        <v>0</v>
      </c>
      <c r="BW468">
        <v>0</v>
      </c>
      <c r="BX468" t="s">
        <v>1979</v>
      </c>
      <c r="BY468">
        <v>0</v>
      </c>
      <c r="BZ468">
        <v>0</v>
      </c>
      <c r="CA468">
        <v>0</v>
      </c>
      <c r="CB468">
        <v>0</v>
      </c>
      <c r="CD468" t="s">
        <v>10687</v>
      </c>
    </row>
    <row r="469" spans="1:82">
      <c r="A469" t="s">
        <v>7989</v>
      </c>
      <c r="B469" t="s">
        <v>10688</v>
      </c>
      <c r="C469" t="s">
        <v>7958</v>
      </c>
      <c r="D469" t="s">
        <v>1383</v>
      </c>
      <c r="E469" t="s">
        <v>8083</v>
      </c>
      <c r="F469" t="s">
        <v>10683</v>
      </c>
      <c r="G469" t="s">
        <v>7885</v>
      </c>
      <c r="H469" t="s">
        <v>10689</v>
      </c>
      <c r="I469" t="s">
        <v>10690</v>
      </c>
      <c r="J469" t="s">
        <v>8088</v>
      </c>
      <c r="K469" t="s">
        <v>8089</v>
      </c>
      <c r="N469" t="s">
        <v>2556</v>
      </c>
      <c r="O469" t="s">
        <v>8186</v>
      </c>
      <c r="P469" t="s">
        <v>8187</v>
      </c>
      <c r="Q469">
        <v>1</v>
      </c>
      <c r="R469" t="s">
        <v>8091</v>
      </c>
      <c r="S469">
        <v>24</v>
      </c>
      <c r="T469">
        <v>21.3</v>
      </c>
      <c r="U469">
        <v>16</v>
      </c>
      <c r="V469">
        <v>12</v>
      </c>
      <c r="W469">
        <v>12</v>
      </c>
      <c r="X469">
        <v>12</v>
      </c>
      <c r="AA469" t="s">
        <v>1979</v>
      </c>
      <c r="AE469" t="s">
        <v>1979</v>
      </c>
      <c r="AH469">
        <v>0</v>
      </c>
      <c r="AI469" t="s">
        <v>1979</v>
      </c>
      <c r="AJ469" t="s">
        <v>1979</v>
      </c>
      <c r="AK469" t="s">
        <v>1979</v>
      </c>
      <c r="AL469" t="s">
        <v>1979</v>
      </c>
      <c r="AM469" t="s">
        <v>1979</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8092</v>
      </c>
      <c r="BP469">
        <v>20.100000000000001</v>
      </c>
      <c r="BQ469" s="591">
        <v>14.3</v>
      </c>
      <c r="BR469" t="s">
        <v>1979</v>
      </c>
      <c r="BS469" t="s">
        <v>8093</v>
      </c>
      <c r="BT469">
        <v>0</v>
      </c>
      <c r="BU469" t="s">
        <v>1992</v>
      </c>
      <c r="BV469">
        <v>0</v>
      </c>
      <c r="BW469">
        <v>12.8</v>
      </c>
      <c r="BX469" t="s">
        <v>1979</v>
      </c>
      <c r="BY469">
        <v>0</v>
      </c>
      <c r="BZ469">
        <v>0</v>
      </c>
      <c r="CA469" t="s">
        <v>1992</v>
      </c>
      <c r="CB469">
        <v>0</v>
      </c>
      <c r="CD469" t="s">
        <v>10691</v>
      </c>
    </row>
    <row r="470" spans="1:82">
      <c r="A470" t="s">
        <v>7989</v>
      </c>
      <c r="B470" t="s">
        <v>10692</v>
      </c>
      <c r="C470" t="s">
        <v>7958</v>
      </c>
      <c r="D470" t="s">
        <v>1383</v>
      </c>
      <c r="E470" t="s">
        <v>8083</v>
      </c>
      <c r="F470" t="s">
        <v>10683</v>
      </c>
      <c r="G470" t="s">
        <v>7888</v>
      </c>
      <c r="H470" t="s">
        <v>10693</v>
      </c>
      <c r="I470" t="s">
        <v>10694</v>
      </c>
      <c r="J470" t="s">
        <v>8099</v>
      </c>
      <c r="K470" t="s">
        <v>8428</v>
      </c>
      <c r="M470" t="s">
        <v>1980</v>
      </c>
      <c r="N470" t="s">
        <v>4821</v>
      </c>
      <c r="O470" t="s">
        <v>11</v>
      </c>
      <c r="P470" t="s">
        <v>10695</v>
      </c>
      <c r="Q470">
        <v>0</v>
      </c>
      <c r="R470" t="s">
        <v>8091</v>
      </c>
      <c r="S470">
        <v>106000</v>
      </c>
      <c r="T470">
        <v>78000</v>
      </c>
      <c r="U470">
        <v>78000</v>
      </c>
      <c r="V470">
        <v>78000</v>
      </c>
      <c r="W470">
        <v>42000</v>
      </c>
      <c r="X470">
        <v>42000</v>
      </c>
      <c r="AD470" t="s">
        <v>1979</v>
      </c>
      <c r="AE470" t="s">
        <v>1979</v>
      </c>
      <c r="AH470">
        <v>0</v>
      </c>
      <c r="AI470" t="s">
        <v>1979</v>
      </c>
      <c r="AJ470" t="s">
        <v>1979</v>
      </c>
      <c r="AK470" t="s">
        <v>1979</v>
      </c>
      <c r="AL470" t="s">
        <v>1979</v>
      </c>
      <c r="AM470" t="s">
        <v>1979</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8092</v>
      </c>
      <c r="BP470">
        <v>91000</v>
      </c>
      <c r="BQ470" s="594">
        <v>78000</v>
      </c>
      <c r="BR470" t="s">
        <v>1979</v>
      </c>
      <c r="BS470" t="s">
        <v>8093</v>
      </c>
      <c r="BT470">
        <v>0</v>
      </c>
      <c r="BU470" t="s">
        <v>8093</v>
      </c>
      <c r="BV470">
        <v>0</v>
      </c>
      <c r="BW470">
        <v>48000</v>
      </c>
      <c r="BX470" t="s">
        <v>1979</v>
      </c>
      <c r="BY470">
        <v>0</v>
      </c>
      <c r="BZ470">
        <v>0</v>
      </c>
      <c r="CA470">
        <v>0</v>
      </c>
      <c r="CB470">
        <v>0</v>
      </c>
      <c r="CD470" t="s">
        <v>10696</v>
      </c>
    </row>
    <row r="471" spans="1:82">
      <c r="A471" t="s">
        <v>7989</v>
      </c>
      <c r="B471" t="s">
        <v>10697</v>
      </c>
      <c r="C471" t="s">
        <v>7958</v>
      </c>
      <c r="D471" t="s">
        <v>1383</v>
      </c>
      <c r="E471" t="s">
        <v>8083</v>
      </c>
      <c r="F471" t="s">
        <v>10683</v>
      </c>
      <c r="G471" t="s">
        <v>7891</v>
      </c>
      <c r="H471" t="s">
        <v>10698</v>
      </c>
      <c r="I471" t="s">
        <v>10699</v>
      </c>
      <c r="J471" t="s">
        <v>8099</v>
      </c>
      <c r="K471" t="s">
        <v>8428</v>
      </c>
      <c r="N471" t="s">
        <v>8148</v>
      </c>
      <c r="O471" t="s">
        <v>11</v>
      </c>
      <c r="P471" t="s">
        <v>10700</v>
      </c>
      <c r="Q471">
        <v>0</v>
      </c>
      <c r="R471" t="s">
        <v>8091</v>
      </c>
      <c r="S471" t="s">
        <v>10701</v>
      </c>
      <c r="T471" t="s">
        <v>10702</v>
      </c>
      <c r="U471" t="s">
        <v>10702</v>
      </c>
      <c r="V471" t="s">
        <v>10702</v>
      </c>
      <c r="W471" t="s">
        <v>10702</v>
      </c>
      <c r="X471" t="s">
        <v>10702</v>
      </c>
      <c r="AE471" t="s">
        <v>1979</v>
      </c>
      <c r="AH471">
        <v>0</v>
      </c>
      <c r="AI471" t="s">
        <v>1979</v>
      </c>
      <c r="AJ471" t="s">
        <v>1979</v>
      </c>
      <c r="AK471" t="s">
        <v>1979</v>
      </c>
      <c r="AL471" t="s">
        <v>1979</v>
      </c>
      <c r="AM471" t="s">
        <v>1979</v>
      </c>
      <c r="AN471">
        <v>999999</v>
      </c>
      <c r="AO471">
        <v>999999</v>
      </c>
      <c r="AP471">
        <v>999999</v>
      </c>
      <c r="AQ471">
        <v>999999</v>
      </c>
      <c r="AR471">
        <v>999999</v>
      </c>
      <c r="AS471">
        <v>1993</v>
      </c>
      <c r="AT471">
        <v>1993</v>
      </c>
      <c r="AU471">
        <v>1993</v>
      </c>
      <c r="AV471">
        <v>1993</v>
      </c>
      <c r="AW471">
        <v>1993</v>
      </c>
      <c r="BH471">
        <v>4.8999999999999998E-3</v>
      </c>
      <c r="BN471">
        <v>1</v>
      </c>
      <c r="BO471" t="s">
        <v>8092</v>
      </c>
      <c r="BP471">
        <v>1892</v>
      </c>
      <c r="BQ471" s="594">
        <v>1663</v>
      </c>
      <c r="BR471" t="s">
        <v>1979</v>
      </c>
      <c r="BS471" t="s">
        <v>8093</v>
      </c>
      <c r="BT471">
        <v>0</v>
      </c>
      <c r="BU471" t="s">
        <v>8093</v>
      </c>
      <c r="BV471">
        <v>0</v>
      </c>
      <c r="BW471">
        <v>1863</v>
      </c>
      <c r="BX471" t="s">
        <v>1979</v>
      </c>
      <c r="BY471">
        <v>0</v>
      </c>
      <c r="BZ471">
        <v>0</v>
      </c>
      <c r="CA471">
        <v>0</v>
      </c>
      <c r="CB471">
        <v>0</v>
      </c>
      <c r="CD471" t="s">
        <v>10703</v>
      </c>
    </row>
    <row r="472" spans="1:82">
      <c r="A472" t="s">
        <v>7989</v>
      </c>
      <c r="B472" t="s">
        <v>10704</v>
      </c>
      <c r="C472" t="s">
        <v>7958</v>
      </c>
      <c r="D472" t="s">
        <v>1383</v>
      </c>
      <c r="E472" t="s">
        <v>8083</v>
      </c>
      <c r="F472" t="s">
        <v>2534</v>
      </c>
      <c r="G472" t="s">
        <v>7911</v>
      </c>
      <c r="H472" t="s">
        <v>10705</v>
      </c>
      <c r="I472" t="s">
        <v>10706</v>
      </c>
      <c r="J472" t="s">
        <v>8088</v>
      </c>
      <c r="K472" t="s">
        <v>8089</v>
      </c>
      <c r="N472" t="s">
        <v>2534</v>
      </c>
      <c r="O472" t="s">
        <v>11</v>
      </c>
      <c r="P472" t="s">
        <v>8090</v>
      </c>
      <c r="Q472">
        <v>1</v>
      </c>
      <c r="R472" t="s">
        <v>8091</v>
      </c>
      <c r="S472">
        <v>70</v>
      </c>
      <c r="T472">
        <v>69.3</v>
      </c>
      <c r="U472">
        <v>68.599999999999994</v>
      </c>
      <c r="V472">
        <v>67.900000000000006</v>
      </c>
      <c r="W472">
        <v>67.2</v>
      </c>
      <c r="X472">
        <v>66.5</v>
      </c>
      <c r="AE472" t="s">
        <v>1979</v>
      </c>
      <c r="AH472">
        <v>0</v>
      </c>
      <c r="AI472" t="s">
        <v>1979</v>
      </c>
      <c r="AJ472" t="s">
        <v>1979</v>
      </c>
      <c r="AK472" t="s">
        <v>1979</v>
      </c>
      <c r="AL472" t="s">
        <v>1979</v>
      </c>
      <c r="AM472" t="s">
        <v>1979</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8092</v>
      </c>
      <c r="BP472">
        <v>68.599999999999994</v>
      </c>
      <c r="BQ472" s="591">
        <v>68.3</v>
      </c>
      <c r="BR472" t="s">
        <v>1979</v>
      </c>
      <c r="BS472" t="s">
        <v>8093</v>
      </c>
      <c r="BT472">
        <v>0</v>
      </c>
      <c r="BU472" t="s">
        <v>1992</v>
      </c>
      <c r="BV472">
        <v>0</v>
      </c>
      <c r="BW472">
        <v>68.3</v>
      </c>
      <c r="BX472" t="s">
        <v>1979</v>
      </c>
      <c r="BY472">
        <v>0</v>
      </c>
      <c r="BZ472">
        <v>0</v>
      </c>
      <c r="CA472" t="s">
        <v>1992</v>
      </c>
      <c r="CB472">
        <v>0</v>
      </c>
      <c r="CD472" t="s">
        <v>10707</v>
      </c>
    </row>
    <row r="473" spans="1:82">
      <c r="A473" t="s">
        <v>7989</v>
      </c>
      <c r="B473" t="s">
        <v>10708</v>
      </c>
      <c r="C473" t="s">
        <v>7958</v>
      </c>
      <c r="D473" t="s">
        <v>1383</v>
      </c>
      <c r="E473" t="s">
        <v>8083</v>
      </c>
      <c r="F473" t="s">
        <v>2534</v>
      </c>
      <c r="G473" t="s">
        <v>7914</v>
      </c>
      <c r="H473" t="s">
        <v>10709</v>
      </c>
      <c r="I473" t="s">
        <v>10710</v>
      </c>
      <c r="J473" t="s">
        <v>8119</v>
      </c>
      <c r="N473" t="s">
        <v>2534</v>
      </c>
      <c r="O473" t="s">
        <v>10</v>
      </c>
      <c r="P473" t="s">
        <v>10711</v>
      </c>
      <c r="Q473">
        <v>0</v>
      </c>
      <c r="R473" t="s">
        <v>8129</v>
      </c>
      <c r="S473" t="s">
        <v>8746</v>
      </c>
      <c r="T473">
        <v>66</v>
      </c>
      <c r="U473">
        <v>70</v>
      </c>
      <c r="V473">
        <v>75</v>
      </c>
      <c r="W473">
        <v>80</v>
      </c>
      <c r="X473">
        <v>90</v>
      </c>
      <c r="AE473" t="s">
        <v>1979</v>
      </c>
      <c r="AH473">
        <v>0</v>
      </c>
      <c r="BP473" t="s">
        <v>1981</v>
      </c>
      <c r="BQ473" s="594">
        <v>68</v>
      </c>
      <c r="BR473" t="s">
        <v>1979</v>
      </c>
      <c r="BS473" t="s">
        <v>8093</v>
      </c>
      <c r="BT473">
        <v>0</v>
      </c>
      <c r="BU473" t="s">
        <v>8093</v>
      </c>
      <c r="BV473">
        <v>0</v>
      </c>
      <c r="BW473">
        <v>70</v>
      </c>
      <c r="BX473" t="s">
        <v>1979</v>
      </c>
      <c r="BY473">
        <v>0</v>
      </c>
      <c r="BZ473">
        <v>0</v>
      </c>
      <c r="CA473">
        <v>0</v>
      </c>
      <c r="CB473">
        <v>0</v>
      </c>
      <c r="CD473" t="s">
        <v>10712</v>
      </c>
    </row>
    <row r="474" spans="1:82">
      <c r="A474" t="s">
        <v>7989</v>
      </c>
      <c r="B474" t="s">
        <v>10713</v>
      </c>
      <c r="C474" t="s">
        <v>7958</v>
      </c>
      <c r="D474" t="s">
        <v>1383</v>
      </c>
      <c r="E474" t="s">
        <v>8083</v>
      </c>
      <c r="F474" t="s">
        <v>10714</v>
      </c>
      <c r="G474" t="s">
        <v>8471</v>
      </c>
      <c r="H474" t="s">
        <v>10715</v>
      </c>
      <c r="I474" t="s">
        <v>10716</v>
      </c>
      <c r="J474" t="s">
        <v>8088</v>
      </c>
      <c r="K474" t="s">
        <v>8428</v>
      </c>
      <c r="N474" t="s">
        <v>8055</v>
      </c>
      <c r="O474" t="s">
        <v>11</v>
      </c>
      <c r="P474" t="s">
        <v>10717</v>
      </c>
      <c r="Q474">
        <v>0</v>
      </c>
      <c r="R474" t="s">
        <v>8091</v>
      </c>
      <c r="S474">
        <v>3000</v>
      </c>
      <c r="T474">
        <v>2536</v>
      </c>
      <c r="U474">
        <v>2072</v>
      </c>
      <c r="V474">
        <v>1608</v>
      </c>
      <c r="W474">
        <v>1608</v>
      </c>
      <c r="X474">
        <v>1608</v>
      </c>
      <c r="Z474" t="s">
        <v>1979</v>
      </c>
      <c r="AE474" t="s">
        <v>1979</v>
      </c>
      <c r="AH474">
        <v>0</v>
      </c>
      <c r="AI474" t="s">
        <v>1979</v>
      </c>
      <c r="AJ474" t="s">
        <v>1979</v>
      </c>
      <c r="AK474" t="s">
        <v>1979</v>
      </c>
      <c r="AL474" t="s">
        <v>1979</v>
      </c>
      <c r="AM474" t="s">
        <v>1979</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8092</v>
      </c>
      <c r="BP474">
        <v>3006</v>
      </c>
      <c r="BQ474" s="594">
        <v>2431</v>
      </c>
      <c r="BR474" t="s">
        <v>1979</v>
      </c>
      <c r="BS474" t="s">
        <v>8093</v>
      </c>
      <c r="BT474">
        <v>0</v>
      </c>
      <c r="BU474" t="s">
        <v>1992</v>
      </c>
      <c r="BV474">
        <v>0</v>
      </c>
      <c r="BW474">
        <v>2172</v>
      </c>
      <c r="BX474" t="s">
        <v>1980</v>
      </c>
      <c r="BY474">
        <v>0</v>
      </c>
      <c r="BZ474">
        <v>0</v>
      </c>
      <c r="CA474" t="s">
        <v>1985</v>
      </c>
      <c r="CB474">
        <v>0</v>
      </c>
      <c r="CD474" t="s">
        <v>10718</v>
      </c>
    </row>
    <row r="475" spans="1:82">
      <c r="A475" t="s">
        <v>7989</v>
      </c>
      <c r="B475" t="s">
        <v>10719</v>
      </c>
      <c r="C475" t="s">
        <v>7958</v>
      </c>
      <c r="D475" t="s">
        <v>1383</v>
      </c>
      <c r="E475" t="s">
        <v>8083</v>
      </c>
      <c r="F475" t="s">
        <v>10714</v>
      </c>
      <c r="G475" t="s">
        <v>8507</v>
      </c>
      <c r="H475" t="s">
        <v>10720</v>
      </c>
      <c r="I475" t="s">
        <v>10721</v>
      </c>
      <c r="J475" t="s">
        <v>8099</v>
      </c>
      <c r="K475" t="s">
        <v>8428</v>
      </c>
      <c r="M475" t="s">
        <v>1980</v>
      </c>
      <c r="N475" t="s">
        <v>8127</v>
      </c>
      <c r="O475" t="s">
        <v>10</v>
      </c>
      <c r="P475" t="s">
        <v>8128</v>
      </c>
      <c r="Q475">
        <v>2</v>
      </c>
      <c r="R475" t="s">
        <v>8129</v>
      </c>
      <c r="S475">
        <v>99.98</v>
      </c>
      <c r="T475">
        <v>99.98</v>
      </c>
      <c r="U475">
        <v>99.98</v>
      </c>
      <c r="V475">
        <v>100</v>
      </c>
      <c r="W475">
        <v>100</v>
      </c>
      <c r="X475">
        <v>100</v>
      </c>
      <c r="Y475" t="s">
        <v>1979</v>
      </c>
      <c r="AE475" t="s">
        <v>1979</v>
      </c>
      <c r="AH475">
        <v>0</v>
      </c>
      <c r="AI475" t="s">
        <v>1979</v>
      </c>
      <c r="AJ475" t="s">
        <v>1979</v>
      </c>
      <c r="AK475" t="s">
        <v>1979</v>
      </c>
      <c r="AL475" t="s">
        <v>1979</v>
      </c>
      <c r="AM475" t="s">
        <v>1979</v>
      </c>
      <c r="AN475" t="s">
        <v>10722</v>
      </c>
      <c r="AO475" t="s">
        <v>10722</v>
      </c>
      <c r="AP475" t="s">
        <v>10722</v>
      </c>
      <c r="AQ475" t="s">
        <v>10722</v>
      </c>
      <c r="AR475" t="s">
        <v>10722</v>
      </c>
      <c r="AS475">
        <v>99.95</v>
      </c>
      <c r="AT475">
        <v>99.95</v>
      </c>
      <c r="AU475">
        <v>99.95</v>
      </c>
      <c r="AV475">
        <v>99.95</v>
      </c>
      <c r="AW475">
        <v>99.95</v>
      </c>
      <c r="BH475">
        <v>0.77</v>
      </c>
      <c r="BN475">
        <v>1</v>
      </c>
      <c r="BO475" t="s">
        <v>8092</v>
      </c>
      <c r="BP475">
        <v>99.97</v>
      </c>
      <c r="BQ475" s="595">
        <v>99.96</v>
      </c>
      <c r="BR475" t="s">
        <v>1980</v>
      </c>
      <c r="BS475" t="s">
        <v>8093</v>
      </c>
      <c r="BT475">
        <v>0</v>
      </c>
      <c r="BU475" t="s">
        <v>1985</v>
      </c>
      <c r="BV475">
        <v>0</v>
      </c>
      <c r="BW475">
        <v>99.95</v>
      </c>
      <c r="BX475" t="s">
        <v>1980</v>
      </c>
      <c r="BY475">
        <v>0</v>
      </c>
      <c r="BZ475">
        <v>0</v>
      </c>
      <c r="CA475" t="s">
        <v>1985</v>
      </c>
      <c r="CB475">
        <v>0</v>
      </c>
      <c r="CD475" t="s">
        <v>10723</v>
      </c>
    </row>
    <row r="476" spans="1:82">
      <c r="A476" t="s">
        <v>7989</v>
      </c>
      <c r="B476" t="s">
        <v>10724</v>
      </c>
      <c r="C476" t="s">
        <v>7958</v>
      </c>
      <c r="D476" t="s">
        <v>1384</v>
      </c>
      <c r="E476" t="s">
        <v>8297</v>
      </c>
      <c r="F476" t="s">
        <v>10725</v>
      </c>
      <c r="G476" t="s">
        <v>6966</v>
      </c>
      <c r="H476" t="s">
        <v>10726</v>
      </c>
      <c r="I476" t="s">
        <v>10727</v>
      </c>
      <c r="J476" t="s">
        <v>8099</v>
      </c>
      <c r="K476" t="s">
        <v>8428</v>
      </c>
      <c r="N476" t="s">
        <v>8252</v>
      </c>
      <c r="O476" t="s">
        <v>10</v>
      </c>
      <c r="P476" t="s">
        <v>10728</v>
      </c>
      <c r="Q476">
        <v>0</v>
      </c>
      <c r="R476" t="s">
        <v>8129</v>
      </c>
      <c r="S476" t="s">
        <v>1981</v>
      </c>
      <c r="T476">
        <v>100</v>
      </c>
      <c r="U476">
        <v>100</v>
      </c>
      <c r="V476">
        <v>100</v>
      </c>
      <c r="W476">
        <v>100</v>
      </c>
      <c r="X476">
        <v>100</v>
      </c>
      <c r="AF476" t="s">
        <v>1979</v>
      </c>
      <c r="AH476">
        <v>0</v>
      </c>
      <c r="AI476" t="s">
        <v>1979</v>
      </c>
      <c r="AJ476" t="s">
        <v>1979</v>
      </c>
      <c r="AK476" t="s">
        <v>1979</v>
      </c>
      <c r="AL476" t="s">
        <v>1979</v>
      </c>
      <c r="AM476" t="s">
        <v>1979</v>
      </c>
      <c r="AN476">
        <v>0</v>
      </c>
      <c r="AO476">
        <v>0</v>
      </c>
      <c r="AP476">
        <v>0</v>
      </c>
      <c r="AQ476">
        <v>0</v>
      </c>
      <c r="AR476">
        <v>0</v>
      </c>
      <c r="AS476">
        <v>100</v>
      </c>
      <c r="AT476">
        <v>100</v>
      </c>
      <c r="AU476">
        <v>100</v>
      </c>
      <c r="AV476">
        <v>100</v>
      </c>
      <c r="AW476">
        <v>100</v>
      </c>
      <c r="BH476">
        <v>8.9999999999999993E-3</v>
      </c>
      <c r="BN476">
        <v>1</v>
      </c>
      <c r="BO476" t="s">
        <v>8092</v>
      </c>
      <c r="BP476" t="s">
        <v>1981</v>
      </c>
      <c r="BQ476" s="594">
        <v>100</v>
      </c>
      <c r="BR476" t="s">
        <v>1979</v>
      </c>
      <c r="BS476" t="s">
        <v>8093</v>
      </c>
      <c r="BT476">
        <v>0</v>
      </c>
      <c r="BU476" t="s">
        <v>8093</v>
      </c>
      <c r="BV476">
        <v>0</v>
      </c>
      <c r="BW476">
        <v>100</v>
      </c>
      <c r="BX476" t="s">
        <v>1979</v>
      </c>
      <c r="BY476">
        <v>0</v>
      </c>
      <c r="BZ476">
        <v>0</v>
      </c>
      <c r="CA476">
        <v>0</v>
      </c>
      <c r="CB476">
        <v>0</v>
      </c>
      <c r="CD476" t="s">
        <v>10729</v>
      </c>
    </row>
    <row r="477" spans="1:82">
      <c r="A477" t="s">
        <v>7989</v>
      </c>
      <c r="B477" t="s">
        <v>10730</v>
      </c>
      <c r="C477" t="s">
        <v>7958</v>
      </c>
      <c r="D477" t="s">
        <v>1384</v>
      </c>
      <c r="E477" t="s">
        <v>8297</v>
      </c>
      <c r="F477" t="s">
        <v>10725</v>
      </c>
      <c r="G477" t="s">
        <v>6967</v>
      </c>
      <c r="H477" t="s">
        <v>10731</v>
      </c>
      <c r="I477" t="s">
        <v>10732</v>
      </c>
      <c r="J477" t="s">
        <v>8119</v>
      </c>
      <c r="N477" t="s">
        <v>8252</v>
      </c>
      <c r="O477" t="s">
        <v>10</v>
      </c>
      <c r="P477" t="s">
        <v>10733</v>
      </c>
      <c r="Q477">
        <v>0</v>
      </c>
      <c r="R477" t="s">
        <v>8129</v>
      </c>
      <c r="S477" t="s">
        <v>8746</v>
      </c>
      <c r="T477">
        <v>100</v>
      </c>
      <c r="U477">
        <v>100</v>
      </c>
      <c r="V477">
        <v>100</v>
      </c>
      <c r="W477">
        <v>100</v>
      </c>
      <c r="X477">
        <v>100</v>
      </c>
      <c r="AF477" t="s">
        <v>1979</v>
      </c>
      <c r="AH477">
        <v>0</v>
      </c>
      <c r="BP477">
        <v>98</v>
      </c>
      <c r="BQ477" s="594">
        <v>98</v>
      </c>
      <c r="BR477" t="s">
        <v>1980</v>
      </c>
      <c r="BS477" t="s">
        <v>8093</v>
      </c>
      <c r="BT477">
        <v>0</v>
      </c>
      <c r="BU477" t="s">
        <v>8093</v>
      </c>
      <c r="BV477">
        <v>0</v>
      </c>
      <c r="BW477">
        <v>98</v>
      </c>
      <c r="BX477" t="s">
        <v>1980</v>
      </c>
      <c r="BY477">
        <v>0</v>
      </c>
      <c r="BZ477">
        <v>0</v>
      </c>
      <c r="CA477">
        <v>0</v>
      </c>
      <c r="CB477">
        <v>0</v>
      </c>
      <c r="CD477" t="s">
        <v>10734</v>
      </c>
    </row>
    <row r="478" spans="1:82" ht="25.5">
      <c r="A478" t="s">
        <v>7989</v>
      </c>
      <c r="B478" t="s">
        <v>10735</v>
      </c>
      <c r="C478" t="s">
        <v>7958</v>
      </c>
      <c r="D478" t="s">
        <v>1384</v>
      </c>
      <c r="E478" t="s">
        <v>8297</v>
      </c>
      <c r="F478" t="s">
        <v>10661</v>
      </c>
      <c r="G478" t="s">
        <v>6968</v>
      </c>
      <c r="H478" t="s">
        <v>10736</v>
      </c>
      <c r="I478" t="s">
        <v>10737</v>
      </c>
      <c r="J478" t="s">
        <v>8088</v>
      </c>
      <c r="K478" t="s">
        <v>8089</v>
      </c>
      <c r="M478" t="s">
        <v>1980</v>
      </c>
      <c r="N478" t="s">
        <v>8337</v>
      </c>
      <c r="O478" t="s">
        <v>6241</v>
      </c>
      <c r="P478" t="s">
        <v>10738</v>
      </c>
      <c r="Q478" t="s">
        <v>8092</v>
      </c>
      <c r="S478" t="s">
        <v>10739</v>
      </c>
      <c r="T478" t="s">
        <v>10740</v>
      </c>
      <c r="U478" t="s">
        <v>10740</v>
      </c>
      <c r="V478" t="s">
        <v>10740</v>
      </c>
      <c r="W478" t="s">
        <v>10740</v>
      </c>
      <c r="X478" t="s">
        <v>10740</v>
      </c>
      <c r="AB478" t="s">
        <v>1979</v>
      </c>
      <c r="AE478" t="s">
        <v>1979</v>
      </c>
      <c r="AH478">
        <v>0</v>
      </c>
      <c r="AI478" t="s">
        <v>1979</v>
      </c>
      <c r="AJ478" t="s">
        <v>1979</v>
      </c>
      <c r="AK478" t="s">
        <v>1979</v>
      </c>
      <c r="AL478" t="s">
        <v>1979</v>
      </c>
      <c r="AM478" t="s">
        <v>1979</v>
      </c>
      <c r="AN478" t="s">
        <v>10741</v>
      </c>
      <c r="AO478" t="s">
        <v>10741</v>
      </c>
      <c r="AP478" t="s">
        <v>10741</v>
      </c>
      <c r="AQ478" t="s">
        <v>10741</v>
      </c>
      <c r="AR478" t="s">
        <v>10741</v>
      </c>
      <c r="AS478" t="s">
        <v>10742</v>
      </c>
      <c r="AT478" t="s">
        <v>10742</v>
      </c>
      <c r="AU478" t="s">
        <v>10742</v>
      </c>
      <c r="AV478" t="s">
        <v>10742</v>
      </c>
      <c r="AW478" t="s">
        <v>10742</v>
      </c>
      <c r="AX478" t="s">
        <v>10743</v>
      </c>
      <c r="AY478" t="s">
        <v>10743</v>
      </c>
      <c r="AZ478" t="s">
        <v>10743</v>
      </c>
      <c r="BA478" t="s">
        <v>10743</v>
      </c>
      <c r="BB478" t="s">
        <v>10743</v>
      </c>
      <c r="BC478" t="s">
        <v>10744</v>
      </c>
      <c r="BD478" t="s">
        <v>10744</v>
      </c>
      <c r="BE478" t="s">
        <v>10744</v>
      </c>
      <c r="BF478" t="s">
        <v>10744</v>
      </c>
      <c r="BG478" t="s">
        <v>10744</v>
      </c>
      <c r="BH478">
        <v>5.9</v>
      </c>
      <c r="BL478">
        <v>0.19</v>
      </c>
      <c r="BN478">
        <v>1</v>
      </c>
      <c r="BO478" t="s">
        <v>8092</v>
      </c>
      <c r="BP478" t="s">
        <v>10745</v>
      </c>
      <c r="BQ478" s="593" t="s">
        <v>10739</v>
      </c>
      <c r="BR478" t="s">
        <v>1979</v>
      </c>
      <c r="BS478" t="s">
        <v>8093</v>
      </c>
      <c r="BT478">
        <v>0</v>
      </c>
      <c r="BU478" t="s">
        <v>8093</v>
      </c>
      <c r="BV478">
        <v>0</v>
      </c>
      <c r="BW478" t="s">
        <v>10739</v>
      </c>
      <c r="BX478" t="s">
        <v>1979</v>
      </c>
      <c r="BY478">
        <v>0</v>
      </c>
      <c r="BZ478">
        <v>0</v>
      </c>
      <c r="CA478">
        <v>0</v>
      </c>
      <c r="CB478">
        <v>0</v>
      </c>
      <c r="CD478" t="s">
        <v>10746</v>
      </c>
    </row>
    <row r="479" spans="1:82">
      <c r="A479" t="s">
        <v>7989</v>
      </c>
      <c r="B479" t="s">
        <v>10747</v>
      </c>
      <c r="C479" t="s">
        <v>7958</v>
      </c>
      <c r="D479" t="s">
        <v>1384</v>
      </c>
      <c r="E479" t="s">
        <v>8297</v>
      </c>
      <c r="F479" t="s">
        <v>10661</v>
      </c>
      <c r="G479" t="s">
        <v>6969</v>
      </c>
      <c r="H479" t="s">
        <v>10748</v>
      </c>
      <c r="I479" t="s">
        <v>10749</v>
      </c>
      <c r="J479" t="s">
        <v>8099</v>
      </c>
      <c r="K479" t="s">
        <v>8428</v>
      </c>
      <c r="N479" t="s">
        <v>8252</v>
      </c>
      <c r="O479" t="s">
        <v>10</v>
      </c>
      <c r="P479" t="s">
        <v>10750</v>
      </c>
      <c r="Q479">
        <v>0</v>
      </c>
      <c r="R479" t="s">
        <v>8129</v>
      </c>
      <c r="S479">
        <v>33</v>
      </c>
      <c r="T479">
        <v>40</v>
      </c>
      <c r="U479">
        <v>40</v>
      </c>
      <c r="V479">
        <v>43</v>
      </c>
      <c r="W479">
        <v>43</v>
      </c>
      <c r="X479">
        <v>100</v>
      </c>
      <c r="AF479" t="s">
        <v>1979</v>
      </c>
      <c r="AH479">
        <v>0</v>
      </c>
      <c r="AI479" t="s">
        <v>1979</v>
      </c>
      <c r="AJ479" t="s">
        <v>1979</v>
      </c>
      <c r="AK479" t="s">
        <v>1979</v>
      </c>
      <c r="AL479" t="s">
        <v>1979</v>
      </c>
      <c r="AM479" t="s">
        <v>1979</v>
      </c>
      <c r="AN479">
        <v>33</v>
      </c>
      <c r="AO479">
        <v>33</v>
      </c>
      <c r="AP479">
        <v>33</v>
      </c>
      <c r="AQ479">
        <v>33</v>
      </c>
      <c r="AR479">
        <v>33</v>
      </c>
      <c r="AS479">
        <v>40</v>
      </c>
      <c r="AT479">
        <v>40</v>
      </c>
      <c r="AU479">
        <v>43</v>
      </c>
      <c r="AV479">
        <v>43</v>
      </c>
      <c r="AW479">
        <v>100</v>
      </c>
      <c r="BH479">
        <v>0.01</v>
      </c>
      <c r="BN479">
        <v>1</v>
      </c>
      <c r="BO479" t="s">
        <v>8092</v>
      </c>
      <c r="BP479">
        <v>39</v>
      </c>
      <c r="BQ479" s="594">
        <v>46</v>
      </c>
      <c r="BR479" t="s">
        <v>1979</v>
      </c>
      <c r="BS479" t="s">
        <v>8093</v>
      </c>
      <c r="BT479">
        <v>0</v>
      </c>
      <c r="BU479" t="s">
        <v>8093</v>
      </c>
      <c r="BV479">
        <v>0</v>
      </c>
      <c r="BW479">
        <v>50</v>
      </c>
      <c r="BX479" t="s">
        <v>1979</v>
      </c>
      <c r="BY479">
        <v>0</v>
      </c>
      <c r="BZ479">
        <v>0</v>
      </c>
      <c r="CA479">
        <v>0</v>
      </c>
      <c r="CB479">
        <v>0</v>
      </c>
      <c r="CD479" t="s">
        <v>10751</v>
      </c>
    </row>
    <row r="480" spans="1:82">
      <c r="A480" t="s">
        <v>7989</v>
      </c>
      <c r="B480" t="s">
        <v>10752</v>
      </c>
      <c r="C480" t="s">
        <v>7958</v>
      </c>
      <c r="D480" t="s">
        <v>1384</v>
      </c>
      <c r="E480" t="s">
        <v>8297</v>
      </c>
      <c r="F480" t="s">
        <v>10661</v>
      </c>
      <c r="G480" t="s">
        <v>7868</v>
      </c>
      <c r="H480" t="s">
        <v>10753</v>
      </c>
      <c r="I480" t="s">
        <v>10754</v>
      </c>
      <c r="J480" t="s">
        <v>8088</v>
      </c>
      <c r="K480" t="s">
        <v>8089</v>
      </c>
      <c r="N480" t="s">
        <v>8252</v>
      </c>
      <c r="O480" t="s">
        <v>11</v>
      </c>
      <c r="P480" t="s">
        <v>10755</v>
      </c>
      <c r="Q480">
        <v>0</v>
      </c>
      <c r="R480" t="s">
        <v>8129</v>
      </c>
      <c r="S480">
        <v>0</v>
      </c>
      <c r="T480">
        <v>0</v>
      </c>
      <c r="U480">
        <v>0</v>
      </c>
      <c r="V480">
        <v>8</v>
      </c>
      <c r="W480">
        <v>11</v>
      </c>
      <c r="X480">
        <v>70</v>
      </c>
      <c r="AF480" t="s">
        <v>1979</v>
      </c>
      <c r="AH480">
        <v>0</v>
      </c>
      <c r="AM480" t="s">
        <v>1979</v>
      </c>
      <c r="AR480">
        <v>0</v>
      </c>
      <c r="AW480">
        <v>70</v>
      </c>
      <c r="BB480">
        <v>70</v>
      </c>
      <c r="BG480">
        <v>131</v>
      </c>
      <c r="BH480">
        <v>1.6739999999999999</v>
      </c>
      <c r="BL480">
        <v>1.29</v>
      </c>
      <c r="BN480">
        <v>1</v>
      </c>
      <c r="BO480" t="s">
        <v>8092</v>
      </c>
      <c r="BP480">
        <v>0</v>
      </c>
      <c r="BQ480" s="594">
        <v>0</v>
      </c>
      <c r="BR480" t="s">
        <v>1979</v>
      </c>
      <c r="BS480" t="s">
        <v>8093</v>
      </c>
      <c r="BT480">
        <v>0</v>
      </c>
      <c r="BU480" t="s">
        <v>8093</v>
      </c>
      <c r="BV480">
        <v>0</v>
      </c>
      <c r="BW480">
        <v>8</v>
      </c>
      <c r="BX480" t="s">
        <v>1979</v>
      </c>
      <c r="BY480">
        <v>0</v>
      </c>
      <c r="BZ480">
        <v>0</v>
      </c>
      <c r="CA480">
        <v>0</v>
      </c>
      <c r="CB480">
        <v>0</v>
      </c>
      <c r="CD480" t="s">
        <v>10756</v>
      </c>
    </row>
    <row r="481" spans="1:82">
      <c r="A481" t="s">
        <v>7989</v>
      </c>
      <c r="B481" t="s">
        <v>10757</v>
      </c>
      <c r="C481" t="s">
        <v>7958</v>
      </c>
      <c r="D481" t="s">
        <v>1384</v>
      </c>
      <c r="E481" t="s">
        <v>8297</v>
      </c>
      <c r="F481" t="s">
        <v>10758</v>
      </c>
      <c r="G481" t="s">
        <v>7872</v>
      </c>
      <c r="H481" t="s">
        <v>10759</v>
      </c>
      <c r="I481" t="s">
        <v>10760</v>
      </c>
      <c r="J481" t="s">
        <v>8088</v>
      </c>
      <c r="K481" t="s">
        <v>8089</v>
      </c>
      <c r="N481" t="s">
        <v>8301</v>
      </c>
      <c r="O481" t="s">
        <v>11</v>
      </c>
      <c r="P481" t="s">
        <v>10761</v>
      </c>
      <c r="Q481">
        <v>2</v>
      </c>
      <c r="R481" t="s">
        <v>8091</v>
      </c>
      <c r="S481">
        <v>1.77</v>
      </c>
      <c r="T481">
        <v>1.75</v>
      </c>
      <c r="U481">
        <v>1.72</v>
      </c>
      <c r="V481">
        <v>1.7</v>
      </c>
      <c r="W481">
        <v>1.68</v>
      </c>
      <c r="X481">
        <v>1.66</v>
      </c>
      <c r="AC481" t="s">
        <v>1979</v>
      </c>
      <c r="AE481" t="s">
        <v>1979</v>
      </c>
      <c r="AH481">
        <v>0</v>
      </c>
      <c r="AI481" t="s">
        <v>1979</v>
      </c>
      <c r="AJ481" t="s">
        <v>1979</v>
      </c>
      <c r="AK481" t="s">
        <v>1979</v>
      </c>
      <c r="AL481" t="s">
        <v>1979</v>
      </c>
      <c r="AM481" t="s">
        <v>1979</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10762</v>
      </c>
      <c r="BP481">
        <v>1.1499999999999999</v>
      </c>
      <c r="BQ481" s="595">
        <v>1.36</v>
      </c>
      <c r="BR481" t="s">
        <v>1979</v>
      </c>
      <c r="BS481" t="s">
        <v>8093</v>
      </c>
      <c r="BT481">
        <v>0</v>
      </c>
      <c r="BU481" t="s">
        <v>1988</v>
      </c>
      <c r="BV481">
        <v>5.0999999999999996</v>
      </c>
      <c r="BW481">
        <v>1.2</v>
      </c>
      <c r="BX481" t="s">
        <v>1979</v>
      </c>
      <c r="BY481">
        <v>0</v>
      </c>
      <c r="BZ481">
        <v>0</v>
      </c>
      <c r="CA481" t="s">
        <v>1988</v>
      </c>
      <c r="CB481">
        <v>5.508</v>
      </c>
      <c r="CD481" t="s">
        <v>10763</v>
      </c>
    </row>
    <row r="482" spans="1:82">
      <c r="A482" t="s">
        <v>7989</v>
      </c>
      <c r="B482" t="s">
        <v>10764</v>
      </c>
      <c r="C482" t="s">
        <v>7958</v>
      </c>
      <c r="D482" t="s">
        <v>1384</v>
      </c>
      <c r="E482" t="s">
        <v>8297</v>
      </c>
      <c r="F482" t="s">
        <v>10758</v>
      </c>
      <c r="G482" t="s">
        <v>7875</v>
      </c>
      <c r="H482" t="s">
        <v>10765</v>
      </c>
      <c r="I482" t="s">
        <v>10766</v>
      </c>
      <c r="J482" t="s">
        <v>8088</v>
      </c>
      <c r="K482" t="s">
        <v>8428</v>
      </c>
      <c r="M482" t="s">
        <v>1980</v>
      </c>
      <c r="N482" t="s">
        <v>8301</v>
      </c>
      <c r="O482" t="s">
        <v>11</v>
      </c>
      <c r="P482" t="s">
        <v>10767</v>
      </c>
      <c r="Q482">
        <v>0</v>
      </c>
      <c r="R482" t="s">
        <v>8091</v>
      </c>
      <c r="S482">
        <v>50000</v>
      </c>
      <c r="T482">
        <v>50651</v>
      </c>
      <c r="U482">
        <v>50651</v>
      </c>
      <c r="V482">
        <v>50651</v>
      </c>
      <c r="W482">
        <v>50651</v>
      </c>
      <c r="X482">
        <v>50651</v>
      </c>
      <c r="AE482" t="s">
        <v>1979</v>
      </c>
      <c r="AH482">
        <v>0</v>
      </c>
      <c r="AI482" t="s">
        <v>1979</v>
      </c>
      <c r="AJ482" t="s">
        <v>1979</v>
      </c>
      <c r="AK482" t="s">
        <v>1979</v>
      </c>
      <c r="AL482" t="s">
        <v>1979</v>
      </c>
      <c r="AM482" t="s">
        <v>1979</v>
      </c>
      <c r="AN482" t="s">
        <v>10768</v>
      </c>
      <c r="AO482" t="s">
        <v>10768</v>
      </c>
      <c r="AP482" t="s">
        <v>10768</v>
      </c>
      <c r="AQ482" t="s">
        <v>10768</v>
      </c>
      <c r="AR482" t="s">
        <v>10768</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8092</v>
      </c>
      <c r="BP482">
        <v>50651</v>
      </c>
      <c r="BQ482" s="594">
        <v>51509</v>
      </c>
      <c r="BR482" t="s">
        <v>1980</v>
      </c>
      <c r="BS482" t="s">
        <v>8093</v>
      </c>
      <c r="BT482">
        <v>0</v>
      </c>
      <c r="BU482" t="s">
        <v>1985</v>
      </c>
      <c r="BV482">
        <v>0</v>
      </c>
      <c r="BW482">
        <v>51125</v>
      </c>
      <c r="BX482" t="s">
        <v>1980</v>
      </c>
      <c r="BY482">
        <v>0</v>
      </c>
      <c r="BZ482">
        <v>0</v>
      </c>
      <c r="CA482" t="s">
        <v>1985</v>
      </c>
      <c r="CB482">
        <v>0</v>
      </c>
      <c r="CD482" t="s">
        <v>10769</v>
      </c>
    </row>
    <row r="483" spans="1:82">
      <c r="A483" t="s">
        <v>7989</v>
      </c>
      <c r="B483" t="s">
        <v>10770</v>
      </c>
      <c r="C483" t="s">
        <v>7958</v>
      </c>
      <c r="D483" t="s">
        <v>1384</v>
      </c>
      <c r="E483" t="s">
        <v>8297</v>
      </c>
      <c r="F483" t="s">
        <v>10758</v>
      </c>
      <c r="G483" t="s">
        <v>10771</v>
      </c>
      <c r="H483" t="s">
        <v>10772</v>
      </c>
      <c r="I483" t="s">
        <v>10773</v>
      </c>
      <c r="J483" t="s">
        <v>8099</v>
      </c>
      <c r="K483" t="s">
        <v>8428</v>
      </c>
      <c r="M483" t="s">
        <v>1980</v>
      </c>
      <c r="N483" t="s">
        <v>8301</v>
      </c>
      <c r="O483" t="s">
        <v>6241</v>
      </c>
      <c r="P483" t="s">
        <v>10774</v>
      </c>
      <c r="Q483" t="s">
        <v>8092</v>
      </c>
      <c r="X483" t="s">
        <v>8989</v>
      </c>
      <c r="AD483" t="s">
        <v>1979</v>
      </c>
      <c r="AE483" t="s">
        <v>1979</v>
      </c>
      <c r="AH483">
        <v>0</v>
      </c>
      <c r="AM483" t="s">
        <v>1979</v>
      </c>
      <c r="BH483">
        <v>1.86</v>
      </c>
      <c r="BI483">
        <v>24.917000000000002</v>
      </c>
      <c r="BN483">
        <v>1</v>
      </c>
      <c r="BO483" t="s">
        <v>8092</v>
      </c>
      <c r="BP483" t="s">
        <v>1981</v>
      </c>
      <c r="BQ483" s="593" t="s">
        <v>1981</v>
      </c>
      <c r="BR483" t="s">
        <v>1979</v>
      </c>
      <c r="BS483" t="s">
        <v>8093</v>
      </c>
      <c r="BT483">
        <v>0</v>
      </c>
      <c r="BU483" t="s">
        <v>8093</v>
      </c>
      <c r="BV483">
        <v>0</v>
      </c>
      <c r="BW483" t="s">
        <v>1981</v>
      </c>
      <c r="BX483" t="s">
        <v>1981</v>
      </c>
      <c r="BY483">
        <v>0</v>
      </c>
      <c r="BZ483">
        <v>0</v>
      </c>
      <c r="CA483">
        <v>0</v>
      </c>
      <c r="CB483">
        <v>0</v>
      </c>
      <c r="CD483" t="s">
        <v>10775</v>
      </c>
    </row>
    <row r="484" spans="1:82">
      <c r="A484" t="s">
        <v>7989</v>
      </c>
      <c r="B484" t="s">
        <v>10776</v>
      </c>
      <c r="C484" t="s">
        <v>7958</v>
      </c>
      <c r="D484" t="s">
        <v>1384</v>
      </c>
      <c r="E484" t="s">
        <v>8297</v>
      </c>
      <c r="F484" t="s">
        <v>10758</v>
      </c>
      <c r="G484" t="s">
        <v>10777</v>
      </c>
      <c r="H484" t="s">
        <v>10778</v>
      </c>
      <c r="I484" t="s">
        <v>10779</v>
      </c>
      <c r="J484" t="s">
        <v>8099</v>
      </c>
      <c r="K484" t="s">
        <v>8428</v>
      </c>
      <c r="M484" t="s">
        <v>1980</v>
      </c>
      <c r="N484" t="s">
        <v>8301</v>
      </c>
      <c r="O484" t="s">
        <v>6241</v>
      </c>
      <c r="P484" t="s">
        <v>10780</v>
      </c>
      <c r="Q484" t="s">
        <v>8092</v>
      </c>
      <c r="V484" t="s">
        <v>8572</v>
      </c>
      <c r="AD484" t="s">
        <v>1979</v>
      </c>
      <c r="AE484" t="s">
        <v>1979</v>
      </c>
      <c r="AH484">
        <v>0</v>
      </c>
      <c r="AK484" t="s">
        <v>1979</v>
      </c>
      <c r="AL484" t="s">
        <v>1979</v>
      </c>
      <c r="AM484" t="s">
        <v>1979</v>
      </c>
      <c r="BH484">
        <v>0.97</v>
      </c>
      <c r="BI484">
        <v>14.083</v>
      </c>
      <c r="BN484">
        <v>1</v>
      </c>
      <c r="BO484" t="s">
        <v>8092</v>
      </c>
      <c r="BP484" t="s">
        <v>1981</v>
      </c>
      <c r="BQ484" s="593" t="s">
        <v>1981</v>
      </c>
      <c r="BR484" t="s">
        <v>1979</v>
      </c>
      <c r="BS484" t="s">
        <v>8093</v>
      </c>
      <c r="BT484">
        <v>0</v>
      </c>
      <c r="BU484" t="s">
        <v>8093</v>
      </c>
      <c r="BV484">
        <v>0</v>
      </c>
      <c r="BW484" t="s">
        <v>1981</v>
      </c>
      <c r="BX484" t="s">
        <v>1981</v>
      </c>
      <c r="BY484">
        <v>0</v>
      </c>
      <c r="BZ484">
        <v>0</v>
      </c>
      <c r="CA484">
        <v>0</v>
      </c>
      <c r="CB484">
        <v>0</v>
      </c>
      <c r="CD484" t="s">
        <v>10781</v>
      </c>
    </row>
    <row r="485" spans="1:82">
      <c r="A485" t="s">
        <v>7989</v>
      </c>
      <c r="B485" t="s">
        <v>10782</v>
      </c>
      <c r="C485" t="s">
        <v>7958</v>
      </c>
      <c r="D485" t="s">
        <v>1384</v>
      </c>
      <c r="E485" t="s">
        <v>8297</v>
      </c>
      <c r="F485" t="s">
        <v>10683</v>
      </c>
      <c r="G485" t="s">
        <v>7879</v>
      </c>
      <c r="H485" t="s">
        <v>10783</v>
      </c>
      <c r="I485" t="s">
        <v>10784</v>
      </c>
      <c r="J485" t="s">
        <v>8099</v>
      </c>
      <c r="K485" t="s">
        <v>8428</v>
      </c>
      <c r="N485" t="s">
        <v>8364</v>
      </c>
      <c r="O485" t="s">
        <v>11</v>
      </c>
      <c r="P485" t="s">
        <v>10785</v>
      </c>
      <c r="Q485">
        <v>0</v>
      </c>
      <c r="R485" t="s">
        <v>8091</v>
      </c>
      <c r="S485" t="s">
        <v>10786</v>
      </c>
      <c r="T485" t="s">
        <v>10786</v>
      </c>
      <c r="U485" t="s">
        <v>10786</v>
      </c>
      <c r="V485" t="s">
        <v>10786</v>
      </c>
      <c r="W485" t="s">
        <v>10786</v>
      </c>
      <c r="X485" t="s">
        <v>10786</v>
      </c>
      <c r="AE485" t="s">
        <v>1979</v>
      </c>
      <c r="AH485">
        <v>0</v>
      </c>
      <c r="AI485" t="s">
        <v>1979</v>
      </c>
      <c r="AJ485" t="s">
        <v>1979</v>
      </c>
      <c r="AK485" t="s">
        <v>1979</v>
      </c>
      <c r="AL485" t="s">
        <v>1979</v>
      </c>
      <c r="AM485" t="s">
        <v>1979</v>
      </c>
      <c r="AN485">
        <v>999999</v>
      </c>
      <c r="AO485">
        <v>999999</v>
      </c>
      <c r="AP485">
        <v>999999</v>
      </c>
      <c r="AQ485">
        <v>999999</v>
      </c>
      <c r="AR485">
        <v>999999</v>
      </c>
      <c r="AS485">
        <v>300</v>
      </c>
      <c r="AT485">
        <v>300</v>
      </c>
      <c r="AU485">
        <v>300</v>
      </c>
      <c r="AV485">
        <v>300</v>
      </c>
      <c r="AW485">
        <v>300</v>
      </c>
      <c r="BH485">
        <v>8.3999999999999995E-3</v>
      </c>
      <c r="BN485">
        <v>1</v>
      </c>
      <c r="BO485" t="s">
        <v>8092</v>
      </c>
      <c r="BP485">
        <v>270</v>
      </c>
      <c r="BQ485" s="594">
        <v>282</v>
      </c>
      <c r="BR485" t="s">
        <v>1979</v>
      </c>
      <c r="BS485" t="s">
        <v>8093</v>
      </c>
      <c r="BT485">
        <v>0</v>
      </c>
      <c r="BU485" t="s">
        <v>8093</v>
      </c>
      <c r="BV485">
        <v>0</v>
      </c>
      <c r="BW485">
        <v>264</v>
      </c>
      <c r="BX485" t="s">
        <v>1979</v>
      </c>
      <c r="BY485">
        <v>0</v>
      </c>
      <c r="BZ485">
        <v>0</v>
      </c>
      <c r="CA485">
        <v>0</v>
      </c>
      <c r="CB485">
        <v>0</v>
      </c>
      <c r="CD485" t="s">
        <v>10787</v>
      </c>
    </row>
    <row r="486" spans="1:82">
      <c r="A486" t="s">
        <v>7989</v>
      </c>
      <c r="B486" t="s">
        <v>10788</v>
      </c>
      <c r="C486" t="s">
        <v>7958</v>
      </c>
      <c r="D486" t="s">
        <v>1384</v>
      </c>
      <c r="E486" t="s">
        <v>8297</v>
      </c>
      <c r="F486" t="s">
        <v>10789</v>
      </c>
      <c r="G486" t="s">
        <v>7895</v>
      </c>
      <c r="H486" t="s">
        <v>10790</v>
      </c>
      <c r="I486" t="s">
        <v>10791</v>
      </c>
      <c r="J486" t="s">
        <v>8119</v>
      </c>
      <c r="N486" t="s">
        <v>8260</v>
      </c>
      <c r="O486" t="s">
        <v>11</v>
      </c>
      <c r="P486" t="s">
        <v>8753</v>
      </c>
      <c r="Q486">
        <v>0</v>
      </c>
      <c r="R486" t="s">
        <v>8091</v>
      </c>
      <c r="S486">
        <v>152</v>
      </c>
      <c r="T486">
        <v>133</v>
      </c>
      <c r="U486">
        <v>124</v>
      </c>
      <c r="V486">
        <v>122</v>
      </c>
      <c r="W486">
        <v>121</v>
      </c>
      <c r="X486">
        <v>119</v>
      </c>
      <c r="AH486">
        <v>0</v>
      </c>
      <c r="BP486">
        <v>147.80000000000001</v>
      </c>
      <c r="BQ486" s="594">
        <v>138</v>
      </c>
      <c r="BR486" t="s">
        <v>1980</v>
      </c>
      <c r="BS486" t="s">
        <v>8093</v>
      </c>
      <c r="BT486">
        <v>0</v>
      </c>
      <c r="BU486" t="s">
        <v>8093</v>
      </c>
      <c r="BV486">
        <v>0</v>
      </c>
      <c r="BW486">
        <v>123</v>
      </c>
      <c r="BX486" t="s">
        <v>1979</v>
      </c>
      <c r="BY486">
        <v>0</v>
      </c>
      <c r="BZ486">
        <v>0</v>
      </c>
      <c r="CA486">
        <v>0</v>
      </c>
      <c r="CB486">
        <v>0</v>
      </c>
      <c r="CD486" t="s">
        <v>10792</v>
      </c>
    </row>
    <row r="487" spans="1:82">
      <c r="A487" t="s">
        <v>7989</v>
      </c>
      <c r="B487" t="s">
        <v>10793</v>
      </c>
      <c r="C487" t="s">
        <v>7958</v>
      </c>
      <c r="D487" t="s">
        <v>1384</v>
      </c>
      <c r="E487" t="s">
        <v>8297</v>
      </c>
      <c r="F487" t="s">
        <v>10789</v>
      </c>
      <c r="G487" t="s">
        <v>7898</v>
      </c>
      <c r="H487" t="s">
        <v>10794</v>
      </c>
      <c r="I487" t="s">
        <v>10795</v>
      </c>
      <c r="J487" t="s">
        <v>8099</v>
      </c>
      <c r="K487" t="s">
        <v>8428</v>
      </c>
      <c r="N487" t="s">
        <v>8260</v>
      </c>
      <c r="O487" t="s">
        <v>10</v>
      </c>
      <c r="P487" t="s">
        <v>10796</v>
      </c>
      <c r="Q487">
        <v>0</v>
      </c>
      <c r="R487" t="s">
        <v>8129</v>
      </c>
      <c r="S487">
        <v>20</v>
      </c>
      <c r="T487">
        <v>21</v>
      </c>
      <c r="U487">
        <v>22</v>
      </c>
      <c r="V487">
        <v>22</v>
      </c>
      <c r="W487">
        <v>21</v>
      </c>
      <c r="X487">
        <v>24</v>
      </c>
      <c r="AH487">
        <v>0</v>
      </c>
      <c r="AI487" t="s">
        <v>1979</v>
      </c>
      <c r="AJ487" t="s">
        <v>1979</v>
      </c>
      <c r="AK487" t="s">
        <v>1979</v>
      </c>
      <c r="AL487" t="s">
        <v>1979</v>
      </c>
      <c r="AM487" t="s">
        <v>1979</v>
      </c>
      <c r="AN487">
        <v>0</v>
      </c>
      <c r="AO487">
        <v>0</v>
      </c>
      <c r="AP487">
        <v>0</v>
      </c>
      <c r="AQ487">
        <v>0</v>
      </c>
      <c r="AR487">
        <v>0</v>
      </c>
      <c r="AS487">
        <v>21</v>
      </c>
      <c r="AT487">
        <v>22</v>
      </c>
      <c r="AU487">
        <v>22</v>
      </c>
      <c r="AV487">
        <v>21</v>
      </c>
      <c r="AW487">
        <v>24</v>
      </c>
      <c r="BH487">
        <v>9.9000000000000005E-2</v>
      </c>
      <c r="BN487">
        <v>1</v>
      </c>
      <c r="BO487" t="s">
        <v>8092</v>
      </c>
      <c r="BP487">
        <v>18</v>
      </c>
      <c r="BQ487" s="594">
        <v>25</v>
      </c>
      <c r="BR487" t="s">
        <v>1979</v>
      </c>
      <c r="BS487" t="s">
        <v>8093</v>
      </c>
      <c r="BT487">
        <v>0</v>
      </c>
      <c r="BU487" t="s">
        <v>8093</v>
      </c>
      <c r="BV487">
        <v>0</v>
      </c>
      <c r="BW487">
        <v>29</v>
      </c>
      <c r="BX487" t="s">
        <v>1979</v>
      </c>
      <c r="BY487">
        <v>0</v>
      </c>
      <c r="BZ487">
        <v>0</v>
      </c>
      <c r="CA487">
        <v>0</v>
      </c>
      <c r="CB487">
        <v>0</v>
      </c>
      <c r="CD487" t="s">
        <v>10797</v>
      </c>
    </row>
    <row r="488" spans="1:82">
      <c r="A488" t="s">
        <v>7989</v>
      </c>
      <c r="B488" t="s">
        <v>10798</v>
      </c>
      <c r="C488" t="s">
        <v>7958</v>
      </c>
      <c r="D488" t="s">
        <v>8163</v>
      </c>
      <c r="E488" t="s">
        <v>8164</v>
      </c>
      <c r="F488" t="s">
        <v>10799</v>
      </c>
      <c r="G488" t="s">
        <v>6966</v>
      </c>
      <c r="H488" t="s">
        <v>10800</v>
      </c>
      <c r="I488" t="s">
        <v>10801</v>
      </c>
      <c r="J488" t="s">
        <v>8088</v>
      </c>
      <c r="K488" t="s">
        <v>8089</v>
      </c>
      <c r="M488" t="s">
        <v>1980</v>
      </c>
      <c r="N488" t="s">
        <v>8169</v>
      </c>
      <c r="O488" t="s">
        <v>8170</v>
      </c>
      <c r="P488" t="s">
        <v>8171</v>
      </c>
      <c r="Q488">
        <v>0</v>
      </c>
      <c r="R488" t="s">
        <v>8129</v>
      </c>
      <c r="S488" t="s">
        <v>10802</v>
      </c>
      <c r="T488" t="s">
        <v>10802</v>
      </c>
      <c r="U488" t="s">
        <v>10802</v>
      </c>
      <c r="V488" t="s">
        <v>10802</v>
      </c>
      <c r="W488" t="s">
        <v>10802</v>
      </c>
      <c r="X488" t="s">
        <v>10802</v>
      </c>
      <c r="AH488">
        <v>0</v>
      </c>
      <c r="AI488" t="s">
        <v>1979</v>
      </c>
      <c r="AJ488" t="s">
        <v>1979</v>
      </c>
      <c r="AK488" t="s">
        <v>1979</v>
      </c>
      <c r="AL488" t="s">
        <v>1979</v>
      </c>
      <c r="AM488" t="s">
        <v>1979</v>
      </c>
      <c r="AN488" t="s">
        <v>8172</v>
      </c>
      <c r="AO488" t="s">
        <v>8172</v>
      </c>
      <c r="AP488" t="s">
        <v>8172</v>
      </c>
      <c r="AQ488" t="s">
        <v>8172</v>
      </c>
      <c r="AR488" t="s">
        <v>8172</v>
      </c>
      <c r="AS488" t="s">
        <v>8172</v>
      </c>
      <c r="AT488" t="s">
        <v>8172</v>
      </c>
      <c r="AU488" t="s">
        <v>8172</v>
      </c>
      <c r="AV488" t="s">
        <v>8172</v>
      </c>
      <c r="AW488" t="s">
        <v>8172</v>
      </c>
      <c r="AX488" t="s">
        <v>8172</v>
      </c>
      <c r="AY488" t="s">
        <v>8172</v>
      </c>
      <c r="AZ488" t="s">
        <v>8172</v>
      </c>
      <c r="BA488" t="s">
        <v>8172</v>
      </c>
      <c r="BB488" t="s">
        <v>8172</v>
      </c>
      <c r="BC488" t="s">
        <v>8172</v>
      </c>
      <c r="BD488" t="s">
        <v>8172</v>
      </c>
      <c r="BE488" t="s">
        <v>8172</v>
      </c>
      <c r="BF488" t="s">
        <v>8172</v>
      </c>
      <c r="BG488" t="s">
        <v>8172</v>
      </c>
      <c r="BH488" t="s">
        <v>8172</v>
      </c>
      <c r="BL488" t="s">
        <v>8172</v>
      </c>
      <c r="BN488">
        <v>1</v>
      </c>
      <c r="BO488" t="s">
        <v>8092</v>
      </c>
      <c r="BP488" t="s">
        <v>3323</v>
      </c>
      <c r="BQ488" s="594">
        <v>87</v>
      </c>
      <c r="BR488" t="s">
        <v>1979</v>
      </c>
      <c r="BS488" t="s">
        <v>8093</v>
      </c>
      <c r="BT488">
        <v>0</v>
      </c>
      <c r="BU488" t="s">
        <v>8093</v>
      </c>
      <c r="BV488">
        <v>0</v>
      </c>
      <c r="BW488">
        <v>88</v>
      </c>
      <c r="BX488" t="s">
        <v>1979</v>
      </c>
      <c r="BY488">
        <v>0</v>
      </c>
      <c r="BZ488">
        <v>0</v>
      </c>
      <c r="CA488">
        <v>0</v>
      </c>
      <c r="CB488">
        <v>0</v>
      </c>
      <c r="CD488" t="s">
        <v>10803</v>
      </c>
    </row>
    <row r="489" spans="1:82">
      <c r="A489" t="s">
        <v>7989</v>
      </c>
      <c r="B489" t="s">
        <v>10804</v>
      </c>
      <c r="C489" t="s">
        <v>7958</v>
      </c>
      <c r="D489" t="s">
        <v>8163</v>
      </c>
      <c r="E489" t="s">
        <v>8164</v>
      </c>
      <c r="F489" t="s">
        <v>10799</v>
      </c>
      <c r="G489" t="s">
        <v>6967</v>
      </c>
      <c r="H489" t="s">
        <v>10805</v>
      </c>
      <c r="I489" t="s">
        <v>10806</v>
      </c>
      <c r="J489" t="s">
        <v>8119</v>
      </c>
      <c r="N489" t="s">
        <v>8274</v>
      </c>
      <c r="O489" t="s">
        <v>10</v>
      </c>
      <c r="P489" t="s">
        <v>8275</v>
      </c>
      <c r="Q489">
        <v>0</v>
      </c>
      <c r="R489" t="s">
        <v>8129</v>
      </c>
      <c r="S489" t="s">
        <v>10807</v>
      </c>
      <c r="T489" t="s">
        <v>10807</v>
      </c>
      <c r="U489" t="s">
        <v>10807</v>
      </c>
      <c r="V489" t="s">
        <v>10807</v>
      </c>
      <c r="W489" t="s">
        <v>10807</v>
      </c>
      <c r="X489" t="s">
        <v>10807</v>
      </c>
      <c r="AH489">
        <v>0</v>
      </c>
      <c r="BP489">
        <v>96</v>
      </c>
      <c r="BQ489" s="594">
        <v>96</v>
      </c>
      <c r="BR489" t="s">
        <v>1979</v>
      </c>
      <c r="BS489" t="s">
        <v>8093</v>
      </c>
      <c r="BT489">
        <v>0</v>
      </c>
      <c r="BU489" t="s">
        <v>8093</v>
      </c>
      <c r="BV489">
        <v>0</v>
      </c>
      <c r="BW489">
        <v>96</v>
      </c>
      <c r="BX489" t="s">
        <v>1979</v>
      </c>
      <c r="BY489">
        <v>0</v>
      </c>
      <c r="BZ489">
        <v>0</v>
      </c>
      <c r="CA489">
        <v>0</v>
      </c>
      <c r="CB489">
        <v>0</v>
      </c>
      <c r="CD489" t="s">
        <v>10808</v>
      </c>
    </row>
    <row r="490" spans="1:82">
      <c r="A490" t="s">
        <v>7989</v>
      </c>
      <c r="B490" t="s">
        <v>10809</v>
      </c>
      <c r="C490" t="s">
        <v>7958</v>
      </c>
      <c r="D490" t="s">
        <v>8163</v>
      </c>
      <c r="E490" t="s">
        <v>8164</v>
      </c>
      <c r="F490" t="s">
        <v>10799</v>
      </c>
      <c r="G490" t="s">
        <v>7851</v>
      </c>
      <c r="H490" t="s">
        <v>10810</v>
      </c>
      <c r="I490" t="s">
        <v>10811</v>
      </c>
      <c r="J490" t="s">
        <v>8119</v>
      </c>
      <c r="N490" t="s">
        <v>8178</v>
      </c>
      <c r="O490" t="s">
        <v>10</v>
      </c>
      <c r="P490" t="s">
        <v>8275</v>
      </c>
      <c r="Q490">
        <v>0</v>
      </c>
      <c r="R490" t="s">
        <v>8129</v>
      </c>
      <c r="S490">
        <v>70</v>
      </c>
      <c r="T490">
        <v>71</v>
      </c>
      <c r="U490">
        <v>72</v>
      </c>
      <c r="V490">
        <v>73</v>
      </c>
      <c r="W490">
        <v>74</v>
      </c>
      <c r="X490">
        <v>75</v>
      </c>
      <c r="AH490">
        <v>0</v>
      </c>
      <c r="BP490">
        <v>65</v>
      </c>
      <c r="BQ490" s="594">
        <v>78</v>
      </c>
      <c r="BR490" t="s">
        <v>1979</v>
      </c>
      <c r="BS490" t="s">
        <v>8093</v>
      </c>
      <c r="BT490">
        <v>0</v>
      </c>
      <c r="BU490" t="s">
        <v>8093</v>
      </c>
      <c r="BV490">
        <v>0</v>
      </c>
      <c r="BW490">
        <v>84</v>
      </c>
      <c r="BX490" t="s">
        <v>1979</v>
      </c>
      <c r="BY490">
        <v>0</v>
      </c>
      <c r="BZ490">
        <v>0</v>
      </c>
      <c r="CA490">
        <v>0</v>
      </c>
      <c r="CB490">
        <v>0</v>
      </c>
      <c r="CD490" t="s">
        <v>10812</v>
      </c>
    </row>
    <row r="491" spans="1:82">
      <c r="A491" t="s">
        <v>7989</v>
      </c>
      <c r="B491" t="s">
        <v>10813</v>
      </c>
      <c r="C491" t="s">
        <v>7958</v>
      </c>
      <c r="D491" t="s">
        <v>8163</v>
      </c>
      <c r="E491" t="s">
        <v>8164</v>
      </c>
      <c r="F491" t="s">
        <v>10799</v>
      </c>
      <c r="G491" t="s">
        <v>7854</v>
      </c>
      <c r="H491" t="s">
        <v>10814</v>
      </c>
      <c r="I491" t="s">
        <v>10815</v>
      </c>
      <c r="J491" t="s">
        <v>8119</v>
      </c>
      <c r="N491" t="s">
        <v>8274</v>
      </c>
      <c r="O491" t="s">
        <v>10</v>
      </c>
      <c r="P491" t="s">
        <v>8275</v>
      </c>
      <c r="Q491">
        <v>0</v>
      </c>
      <c r="R491" t="s">
        <v>8129</v>
      </c>
      <c r="S491" t="s">
        <v>8746</v>
      </c>
      <c r="T491" t="s">
        <v>10816</v>
      </c>
      <c r="U491" t="s">
        <v>10816</v>
      </c>
      <c r="V491" t="s">
        <v>10816</v>
      </c>
      <c r="W491" t="s">
        <v>10816</v>
      </c>
      <c r="X491" t="s">
        <v>10816</v>
      </c>
      <c r="AH491">
        <v>0</v>
      </c>
      <c r="BP491">
        <v>79</v>
      </c>
      <c r="BQ491" s="593">
        <v>81</v>
      </c>
      <c r="BR491" t="s">
        <v>1979</v>
      </c>
      <c r="BS491" t="s">
        <v>8093</v>
      </c>
      <c r="BT491">
        <v>0</v>
      </c>
      <c r="BU491" t="s">
        <v>8093</v>
      </c>
      <c r="BV491">
        <v>0</v>
      </c>
      <c r="BW491">
        <v>75</v>
      </c>
      <c r="BX491" t="s">
        <v>1980</v>
      </c>
      <c r="BY491">
        <v>0</v>
      </c>
      <c r="BZ491">
        <v>0</v>
      </c>
      <c r="CA491">
        <v>0</v>
      </c>
      <c r="CB491">
        <v>0</v>
      </c>
      <c r="CD491" t="s">
        <v>10817</v>
      </c>
    </row>
    <row r="492" spans="1:82" ht="56.25">
      <c r="A492" t="s">
        <v>7989</v>
      </c>
      <c r="B492" t="s">
        <v>10818</v>
      </c>
      <c r="C492" t="s">
        <v>7958</v>
      </c>
      <c r="D492" t="s">
        <v>8163</v>
      </c>
      <c r="E492" t="s">
        <v>8164</v>
      </c>
      <c r="F492" t="s">
        <v>10799</v>
      </c>
      <c r="G492" t="s">
        <v>7857</v>
      </c>
      <c r="H492" t="s">
        <v>10819</v>
      </c>
      <c r="I492" t="s">
        <v>10820</v>
      </c>
      <c r="J492" t="s">
        <v>8119</v>
      </c>
      <c r="N492" t="s">
        <v>8274</v>
      </c>
      <c r="O492" t="s">
        <v>6241</v>
      </c>
      <c r="P492" t="s">
        <v>10821</v>
      </c>
      <c r="Q492" t="s">
        <v>8092</v>
      </c>
      <c r="S492" t="s">
        <v>8746</v>
      </c>
      <c r="T492" t="s">
        <v>8565</v>
      </c>
      <c r="U492" t="s">
        <v>8565</v>
      </c>
      <c r="V492" t="s">
        <v>8565</v>
      </c>
      <c r="W492" t="s">
        <v>8565</v>
      </c>
      <c r="X492" t="s">
        <v>10822</v>
      </c>
      <c r="AH492">
        <v>0</v>
      </c>
      <c r="BP492" t="s">
        <v>10823</v>
      </c>
      <c r="BQ492" s="608" t="s">
        <v>10823</v>
      </c>
      <c r="BR492" t="s">
        <v>1979</v>
      </c>
      <c r="BS492" t="s">
        <v>8093</v>
      </c>
      <c r="BT492">
        <v>0</v>
      </c>
      <c r="BU492" t="s">
        <v>8093</v>
      </c>
      <c r="BV492">
        <v>0</v>
      </c>
      <c r="BW492" t="s">
        <v>10823</v>
      </c>
      <c r="BX492" t="s">
        <v>1979</v>
      </c>
      <c r="BY492">
        <v>0</v>
      </c>
      <c r="BZ492">
        <v>0</v>
      </c>
      <c r="CA492">
        <v>0</v>
      </c>
      <c r="CB492">
        <v>0</v>
      </c>
      <c r="CD492" t="s">
        <v>10824</v>
      </c>
    </row>
    <row r="493" spans="1:82">
      <c r="A493" t="s">
        <v>7989</v>
      </c>
      <c r="B493" t="s">
        <v>10825</v>
      </c>
      <c r="C493" t="s">
        <v>7958</v>
      </c>
      <c r="D493" t="s">
        <v>8163</v>
      </c>
      <c r="E493" t="s">
        <v>8164</v>
      </c>
      <c r="F493" t="s">
        <v>8513</v>
      </c>
      <c r="G493" t="s">
        <v>10826</v>
      </c>
      <c r="H493" t="s">
        <v>10827</v>
      </c>
      <c r="I493" t="s">
        <v>10828</v>
      </c>
      <c r="J493" t="s">
        <v>8119</v>
      </c>
      <c r="N493" t="s">
        <v>8100</v>
      </c>
      <c r="O493" t="s">
        <v>11</v>
      </c>
      <c r="P493" t="s">
        <v>8101</v>
      </c>
      <c r="Q493">
        <v>0</v>
      </c>
      <c r="R493" t="s">
        <v>8091</v>
      </c>
      <c r="S493">
        <v>137</v>
      </c>
      <c r="T493">
        <v>135</v>
      </c>
      <c r="U493">
        <v>134</v>
      </c>
      <c r="V493">
        <v>133</v>
      </c>
      <c r="W493">
        <v>132</v>
      </c>
      <c r="X493">
        <v>131</v>
      </c>
      <c r="AH493">
        <v>0</v>
      </c>
      <c r="BP493">
        <v>138</v>
      </c>
      <c r="BQ493" s="594">
        <v>138</v>
      </c>
      <c r="BR493" t="s">
        <v>1980</v>
      </c>
      <c r="BS493" t="s">
        <v>8093</v>
      </c>
      <c r="BT493">
        <v>0</v>
      </c>
      <c r="BU493" t="s">
        <v>8093</v>
      </c>
      <c r="BV493">
        <v>0</v>
      </c>
      <c r="BW493">
        <v>141.19999999999999</v>
      </c>
      <c r="BX493" t="s">
        <v>1980</v>
      </c>
      <c r="BY493">
        <v>0</v>
      </c>
      <c r="BZ493">
        <v>0</v>
      </c>
      <c r="CA493">
        <v>0</v>
      </c>
      <c r="CB493">
        <v>0</v>
      </c>
      <c r="CD493" t="s">
        <v>10829</v>
      </c>
    </row>
    <row r="494" spans="1:82">
      <c r="A494" t="s">
        <v>7989</v>
      </c>
      <c r="B494" t="s">
        <v>10830</v>
      </c>
      <c r="C494" t="s">
        <v>7958</v>
      </c>
      <c r="D494" t="s">
        <v>8163</v>
      </c>
      <c r="E494" t="s">
        <v>8164</v>
      </c>
      <c r="F494" t="s">
        <v>8513</v>
      </c>
      <c r="G494" t="s">
        <v>10831</v>
      </c>
      <c r="H494" t="s">
        <v>10832</v>
      </c>
      <c r="I494" t="s">
        <v>10833</v>
      </c>
      <c r="J494" t="s">
        <v>8099</v>
      </c>
      <c r="K494" t="s">
        <v>8089</v>
      </c>
      <c r="N494" t="s">
        <v>8100</v>
      </c>
      <c r="O494" t="s">
        <v>11</v>
      </c>
      <c r="P494" t="s">
        <v>8101</v>
      </c>
      <c r="Q494">
        <v>2</v>
      </c>
      <c r="R494" t="s">
        <v>8129</v>
      </c>
      <c r="T494">
        <v>0.56999999999999995</v>
      </c>
      <c r="U494">
        <v>1.25</v>
      </c>
      <c r="V494">
        <v>1.92</v>
      </c>
      <c r="W494">
        <v>2.59</v>
      </c>
      <c r="X494">
        <v>3.26</v>
      </c>
      <c r="AH494">
        <v>0</v>
      </c>
      <c r="AI494" t="s">
        <v>1979</v>
      </c>
      <c r="AJ494" t="s">
        <v>1979</v>
      </c>
      <c r="AK494" t="s">
        <v>1979</v>
      </c>
      <c r="AL494" t="s">
        <v>1979</v>
      </c>
      <c r="AM494" t="s">
        <v>1979</v>
      </c>
      <c r="AN494">
        <v>0</v>
      </c>
      <c r="AO494">
        <v>0</v>
      </c>
      <c r="AP494">
        <v>0</v>
      </c>
      <c r="AQ494">
        <v>0</v>
      </c>
      <c r="AR494">
        <v>0</v>
      </c>
      <c r="AS494">
        <v>0.56999999999999995</v>
      </c>
      <c r="AT494">
        <v>1.25</v>
      </c>
      <c r="AU494">
        <v>1.92</v>
      </c>
      <c r="AV494">
        <v>2.59</v>
      </c>
      <c r="AW494">
        <v>3.26</v>
      </c>
      <c r="BH494">
        <v>1.89</v>
      </c>
      <c r="BN494">
        <v>1</v>
      </c>
      <c r="BO494" t="s">
        <v>8092</v>
      </c>
      <c r="BP494">
        <v>0.48</v>
      </c>
      <c r="BQ494" s="595">
        <v>0.68</v>
      </c>
      <c r="BR494" t="s">
        <v>1979</v>
      </c>
      <c r="BS494" t="s">
        <v>8093</v>
      </c>
      <c r="BT494">
        <v>0</v>
      </c>
      <c r="BU494" t="s">
        <v>8093</v>
      </c>
      <c r="BV494">
        <v>0</v>
      </c>
      <c r="BW494">
        <v>1.56</v>
      </c>
      <c r="BX494" t="s">
        <v>1979</v>
      </c>
      <c r="BY494">
        <v>0</v>
      </c>
      <c r="BZ494">
        <v>0</v>
      </c>
      <c r="CA494">
        <v>0</v>
      </c>
      <c r="CB494">
        <v>0</v>
      </c>
      <c r="CD494" t="s">
        <v>10834</v>
      </c>
    </row>
    <row r="495" spans="1:82">
      <c r="A495" t="s">
        <v>7989</v>
      </c>
      <c r="B495" t="s">
        <v>10835</v>
      </c>
      <c r="C495" t="s">
        <v>7958</v>
      </c>
      <c r="D495" t="s">
        <v>8163</v>
      </c>
      <c r="E495" t="s">
        <v>8164</v>
      </c>
      <c r="F495" t="s">
        <v>8513</v>
      </c>
      <c r="G495" t="s">
        <v>6969</v>
      </c>
      <c r="H495" t="s">
        <v>10836</v>
      </c>
      <c r="I495" t="s">
        <v>10837</v>
      </c>
      <c r="J495" t="s">
        <v>8119</v>
      </c>
      <c r="N495" t="s">
        <v>8178</v>
      </c>
      <c r="O495" t="s">
        <v>10</v>
      </c>
      <c r="P495" t="s">
        <v>10838</v>
      </c>
      <c r="Q495">
        <v>1</v>
      </c>
      <c r="R495" t="s">
        <v>8091</v>
      </c>
      <c r="S495">
        <v>1.6E-2</v>
      </c>
      <c r="T495" t="s">
        <v>10839</v>
      </c>
      <c r="U495" t="s">
        <v>10839</v>
      </c>
      <c r="V495" t="s">
        <v>10839</v>
      </c>
      <c r="W495" t="s">
        <v>10839</v>
      </c>
      <c r="X495" t="s">
        <v>10839</v>
      </c>
      <c r="AH495">
        <v>0</v>
      </c>
      <c r="BP495">
        <v>1.6</v>
      </c>
      <c r="BQ495" s="593">
        <v>1.5</v>
      </c>
      <c r="BR495" t="s">
        <v>1979</v>
      </c>
      <c r="BS495" t="s">
        <v>8093</v>
      </c>
      <c r="BT495">
        <v>0</v>
      </c>
      <c r="BU495" t="s">
        <v>8093</v>
      </c>
      <c r="BV495">
        <v>0</v>
      </c>
      <c r="BW495">
        <v>1.4</v>
      </c>
      <c r="BX495" t="s">
        <v>1979</v>
      </c>
      <c r="BY495">
        <v>0</v>
      </c>
      <c r="BZ495">
        <v>0</v>
      </c>
      <c r="CA495">
        <v>0</v>
      </c>
      <c r="CB495">
        <v>0</v>
      </c>
      <c r="CD495" t="s">
        <v>10840</v>
      </c>
    </row>
    <row r="496" spans="1:82">
      <c r="A496" t="s">
        <v>7992</v>
      </c>
      <c r="B496" t="s">
        <v>10841</v>
      </c>
      <c r="C496" t="s">
        <v>7958</v>
      </c>
      <c r="D496" t="s">
        <v>1383</v>
      </c>
      <c r="E496" t="s">
        <v>8083</v>
      </c>
      <c r="F496" t="s">
        <v>10842</v>
      </c>
      <c r="G496" t="s">
        <v>10063</v>
      </c>
      <c r="H496" t="s">
        <v>10843</v>
      </c>
      <c r="I496" t="s">
        <v>10844</v>
      </c>
      <c r="J496" t="s">
        <v>8099</v>
      </c>
      <c r="K496" t="s">
        <v>10845</v>
      </c>
      <c r="N496" t="s">
        <v>8127</v>
      </c>
      <c r="O496" t="s">
        <v>10</v>
      </c>
      <c r="P496" t="s">
        <v>8128</v>
      </c>
      <c r="Q496">
        <v>3</v>
      </c>
      <c r="R496" t="s">
        <v>8129</v>
      </c>
      <c r="S496">
        <v>99.96</v>
      </c>
      <c r="T496">
        <v>99.96</v>
      </c>
      <c r="U496">
        <v>99.96</v>
      </c>
      <c r="V496">
        <v>100</v>
      </c>
      <c r="W496">
        <v>100</v>
      </c>
      <c r="X496">
        <v>100</v>
      </c>
      <c r="Y496" t="s">
        <v>1979</v>
      </c>
      <c r="AE496" t="s">
        <v>1979</v>
      </c>
      <c r="AH496">
        <v>0</v>
      </c>
      <c r="AI496" t="s">
        <v>1979</v>
      </c>
      <c r="AJ496" t="s">
        <v>1979</v>
      </c>
      <c r="AK496" t="s">
        <v>1979</v>
      </c>
      <c r="AL496" t="s">
        <v>1979</v>
      </c>
      <c r="AM496" t="s">
        <v>1979</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8456</v>
      </c>
      <c r="BP496">
        <v>99.953000000000003</v>
      </c>
      <c r="BQ496" s="604">
        <v>99.953999999999994</v>
      </c>
      <c r="BR496" t="s">
        <v>1980</v>
      </c>
      <c r="BS496" t="s">
        <v>8093</v>
      </c>
      <c r="BT496">
        <v>0</v>
      </c>
      <c r="BU496" t="s">
        <v>1985</v>
      </c>
      <c r="BV496">
        <v>0</v>
      </c>
      <c r="BW496">
        <v>99.962000000000003</v>
      </c>
      <c r="BX496" t="s">
        <v>1979</v>
      </c>
      <c r="BY496">
        <v>0</v>
      </c>
      <c r="BZ496">
        <v>0</v>
      </c>
      <c r="CA496">
        <v>0</v>
      </c>
      <c r="CB496">
        <v>0</v>
      </c>
      <c r="CD496" t="s">
        <v>10846</v>
      </c>
    </row>
    <row r="497" spans="1:82">
      <c r="A497" t="s">
        <v>7992</v>
      </c>
      <c r="B497" t="s">
        <v>10847</v>
      </c>
      <c r="C497" t="s">
        <v>7958</v>
      </c>
      <c r="D497" t="s">
        <v>1383</v>
      </c>
      <c r="E497" t="s">
        <v>8083</v>
      </c>
      <c r="F497" t="s">
        <v>10842</v>
      </c>
      <c r="G497" t="s">
        <v>10069</v>
      </c>
      <c r="H497" t="s">
        <v>10848</v>
      </c>
      <c r="I497" t="s">
        <v>10849</v>
      </c>
      <c r="J497" t="s">
        <v>8119</v>
      </c>
      <c r="N497" t="s">
        <v>8127</v>
      </c>
      <c r="O497" t="s">
        <v>11</v>
      </c>
      <c r="P497" t="s">
        <v>10850</v>
      </c>
      <c r="Q497">
        <v>0</v>
      </c>
      <c r="R497" t="s">
        <v>8091</v>
      </c>
      <c r="S497">
        <v>6</v>
      </c>
      <c r="T497">
        <v>6</v>
      </c>
      <c r="U497">
        <v>6</v>
      </c>
      <c r="V497">
        <v>6</v>
      </c>
      <c r="W497">
        <v>6</v>
      </c>
      <c r="X497">
        <v>6</v>
      </c>
      <c r="AE497" t="s">
        <v>1979</v>
      </c>
      <c r="AH497">
        <v>0</v>
      </c>
      <c r="BP497">
        <v>3</v>
      </c>
      <c r="BQ497" s="594">
        <v>5</v>
      </c>
      <c r="BR497" t="s">
        <v>1979</v>
      </c>
      <c r="BS497" t="s">
        <v>8093</v>
      </c>
      <c r="BT497">
        <v>0</v>
      </c>
      <c r="BU497" t="s">
        <v>8093</v>
      </c>
      <c r="BV497">
        <v>0</v>
      </c>
      <c r="BW497">
        <v>3</v>
      </c>
      <c r="BX497" t="s">
        <v>1979</v>
      </c>
      <c r="BY497">
        <v>0</v>
      </c>
      <c r="BZ497">
        <v>0</v>
      </c>
      <c r="CA497">
        <v>0</v>
      </c>
      <c r="CB497">
        <v>0</v>
      </c>
      <c r="CD497" t="s">
        <v>10851</v>
      </c>
    </row>
    <row r="498" spans="1:82">
      <c r="A498" t="s">
        <v>7992</v>
      </c>
      <c r="B498" t="s">
        <v>10852</v>
      </c>
      <c r="C498" t="s">
        <v>7958</v>
      </c>
      <c r="D498" t="s">
        <v>1383</v>
      </c>
      <c r="E498" t="s">
        <v>8083</v>
      </c>
      <c r="F498" t="s">
        <v>10842</v>
      </c>
      <c r="G498" t="s">
        <v>10075</v>
      </c>
      <c r="H498" t="s">
        <v>10853</v>
      </c>
      <c r="I498" t="s">
        <v>10854</v>
      </c>
      <c r="J498" t="s">
        <v>8088</v>
      </c>
      <c r="K498" t="s">
        <v>10855</v>
      </c>
      <c r="N498" t="s">
        <v>8055</v>
      </c>
      <c r="O498" t="s">
        <v>11</v>
      </c>
      <c r="P498" t="s">
        <v>10856</v>
      </c>
      <c r="Q498">
        <v>0</v>
      </c>
      <c r="R498" t="s">
        <v>8091</v>
      </c>
      <c r="S498">
        <v>12143</v>
      </c>
      <c r="T498">
        <v>10131</v>
      </c>
      <c r="U498">
        <v>8120</v>
      </c>
      <c r="V498">
        <v>6108</v>
      </c>
      <c r="W498">
        <v>6108</v>
      </c>
      <c r="X498">
        <v>6108</v>
      </c>
      <c r="Z498" t="s">
        <v>1979</v>
      </c>
      <c r="AE498" t="s">
        <v>1979</v>
      </c>
      <c r="AH498">
        <v>0</v>
      </c>
      <c r="AI498" t="s">
        <v>1979</v>
      </c>
      <c r="AJ498" t="s">
        <v>1979</v>
      </c>
      <c r="AK498" t="s">
        <v>1979</v>
      </c>
      <c r="AL498" t="s">
        <v>1979</v>
      </c>
      <c r="AM498" t="s">
        <v>1979</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8092</v>
      </c>
      <c r="BP498">
        <v>10570</v>
      </c>
      <c r="BQ498" s="594">
        <v>10007</v>
      </c>
      <c r="BR498" t="s">
        <v>1979</v>
      </c>
      <c r="BS498" t="s">
        <v>8093</v>
      </c>
      <c r="BT498">
        <v>0</v>
      </c>
      <c r="BU498" t="s">
        <v>1992</v>
      </c>
      <c r="BV498">
        <v>0</v>
      </c>
      <c r="BW498">
        <v>9093</v>
      </c>
      <c r="BX498" t="s">
        <v>1980</v>
      </c>
      <c r="BY498">
        <v>0</v>
      </c>
      <c r="BZ498">
        <v>0</v>
      </c>
      <c r="CA498" t="s">
        <v>1985</v>
      </c>
      <c r="CB498">
        <v>0</v>
      </c>
      <c r="CD498" t="s">
        <v>10857</v>
      </c>
    </row>
    <row r="499" spans="1:82">
      <c r="A499" t="s">
        <v>7992</v>
      </c>
      <c r="B499" t="s">
        <v>10858</v>
      </c>
      <c r="C499" t="s">
        <v>7958</v>
      </c>
      <c r="D499" t="s">
        <v>1383</v>
      </c>
      <c r="E499" t="s">
        <v>8083</v>
      </c>
      <c r="F499" t="s">
        <v>10842</v>
      </c>
      <c r="G499" t="s">
        <v>10081</v>
      </c>
      <c r="H499" t="s">
        <v>10859</v>
      </c>
      <c r="I499" t="s">
        <v>10860</v>
      </c>
      <c r="J499" t="s">
        <v>8099</v>
      </c>
      <c r="K499" t="s">
        <v>10845</v>
      </c>
      <c r="M499" t="s">
        <v>1980</v>
      </c>
      <c r="N499" t="s">
        <v>8148</v>
      </c>
      <c r="O499" t="s">
        <v>8282</v>
      </c>
      <c r="P499" t="s">
        <v>8429</v>
      </c>
      <c r="Q499" t="s">
        <v>8092</v>
      </c>
      <c r="S499" t="s">
        <v>1984</v>
      </c>
      <c r="X499" t="s">
        <v>1984</v>
      </c>
      <c r="AE499" t="s">
        <v>1979</v>
      </c>
      <c r="AH499">
        <v>5</v>
      </c>
      <c r="AM499" t="s">
        <v>1979</v>
      </c>
      <c r="AW499" t="s">
        <v>8430</v>
      </c>
      <c r="BH499" t="s">
        <v>10861</v>
      </c>
      <c r="BN499">
        <v>1</v>
      </c>
      <c r="BO499" t="s">
        <v>8092</v>
      </c>
      <c r="BP499" t="s">
        <v>10862</v>
      </c>
      <c r="BQ499" s="593" t="s">
        <v>10862</v>
      </c>
      <c r="BR499" t="s">
        <v>8093</v>
      </c>
      <c r="BS499" t="s">
        <v>8093</v>
      </c>
      <c r="BT499">
        <v>0</v>
      </c>
      <c r="BU499" t="s">
        <v>8093</v>
      </c>
      <c r="BV499">
        <v>0</v>
      </c>
      <c r="BW499" t="s">
        <v>10862</v>
      </c>
      <c r="BX499" t="s">
        <v>1981</v>
      </c>
      <c r="BY499">
        <v>0</v>
      </c>
      <c r="BZ499">
        <v>0</v>
      </c>
      <c r="CA499">
        <v>0</v>
      </c>
      <c r="CB499">
        <v>0</v>
      </c>
      <c r="CD499" t="s">
        <v>10863</v>
      </c>
    </row>
    <row r="500" spans="1:82">
      <c r="A500" t="s">
        <v>7992</v>
      </c>
      <c r="B500" t="s">
        <v>10864</v>
      </c>
      <c r="C500" t="s">
        <v>7958</v>
      </c>
      <c r="D500" t="s">
        <v>1383</v>
      </c>
      <c r="E500" t="s">
        <v>8083</v>
      </c>
      <c r="F500" t="s">
        <v>10865</v>
      </c>
      <c r="G500" t="s">
        <v>10095</v>
      </c>
      <c r="H500" t="s">
        <v>10866</v>
      </c>
      <c r="I500" t="s">
        <v>10867</v>
      </c>
      <c r="J500" t="s">
        <v>8088</v>
      </c>
      <c r="K500" t="s">
        <v>10855</v>
      </c>
      <c r="N500" t="s">
        <v>2534</v>
      </c>
      <c r="O500" t="s">
        <v>11</v>
      </c>
      <c r="P500" t="s">
        <v>8090</v>
      </c>
      <c r="Q500">
        <v>1</v>
      </c>
      <c r="R500" t="s">
        <v>8091</v>
      </c>
      <c r="S500">
        <v>297.10000000000002</v>
      </c>
      <c r="T500">
        <v>297.10000000000002</v>
      </c>
      <c r="U500">
        <v>297.10000000000002</v>
      </c>
      <c r="V500">
        <v>297.10000000000002</v>
      </c>
      <c r="W500">
        <v>292.10000000000002</v>
      </c>
      <c r="X500">
        <v>287.10000000000002</v>
      </c>
      <c r="AE500" t="s">
        <v>1979</v>
      </c>
      <c r="AH500">
        <v>0</v>
      </c>
      <c r="AI500" t="s">
        <v>1979</v>
      </c>
      <c r="AJ500" t="s">
        <v>1979</v>
      </c>
      <c r="AK500" t="s">
        <v>1979</v>
      </c>
      <c r="AL500" t="s">
        <v>1979</v>
      </c>
      <c r="AM500" t="s">
        <v>1979</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8092</v>
      </c>
      <c r="BP500">
        <v>288.42</v>
      </c>
      <c r="BQ500" s="591">
        <v>285.12</v>
      </c>
      <c r="BR500" t="s">
        <v>1979</v>
      </c>
      <c r="BS500" t="s">
        <v>8093</v>
      </c>
      <c r="BT500">
        <v>0</v>
      </c>
      <c r="BU500" t="s">
        <v>1992</v>
      </c>
      <c r="BV500">
        <v>0</v>
      </c>
      <c r="BW500">
        <v>295.16000000000003</v>
      </c>
      <c r="BX500" t="s">
        <v>1979</v>
      </c>
      <c r="BY500">
        <v>0</v>
      </c>
      <c r="BZ500">
        <v>0</v>
      </c>
      <c r="CA500" t="s">
        <v>1992</v>
      </c>
      <c r="CB500">
        <v>0</v>
      </c>
      <c r="CD500" t="s">
        <v>10868</v>
      </c>
    </row>
    <row r="501" spans="1:82">
      <c r="A501" t="s">
        <v>7992</v>
      </c>
      <c r="B501" t="s">
        <v>10869</v>
      </c>
      <c r="C501" t="s">
        <v>7958</v>
      </c>
      <c r="D501" t="s">
        <v>1383</v>
      </c>
      <c r="E501" t="s">
        <v>8083</v>
      </c>
      <c r="F501" t="s">
        <v>10865</v>
      </c>
      <c r="G501" t="s">
        <v>10100</v>
      </c>
      <c r="H501" t="s">
        <v>10870</v>
      </c>
      <c r="I501" t="s">
        <v>10871</v>
      </c>
      <c r="J501" t="s">
        <v>8088</v>
      </c>
      <c r="K501" t="s">
        <v>10855</v>
      </c>
      <c r="N501" t="s">
        <v>2556</v>
      </c>
      <c r="O501" t="s">
        <v>8186</v>
      </c>
      <c r="P501" t="s">
        <v>10872</v>
      </c>
      <c r="Q501">
        <v>2</v>
      </c>
      <c r="R501" t="s">
        <v>8091</v>
      </c>
      <c r="S501">
        <v>14.44</v>
      </c>
      <c r="T501">
        <v>13.63</v>
      </c>
      <c r="U501">
        <v>12.81</v>
      </c>
      <c r="V501">
        <v>12</v>
      </c>
      <c r="W501">
        <v>12</v>
      </c>
      <c r="X501">
        <v>12</v>
      </c>
      <c r="AA501" t="s">
        <v>1979</v>
      </c>
      <c r="AE501" t="s">
        <v>1979</v>
      </c>
      <c r="AH501">
        <v>0</v>
      </c>
      <c r="AI501" t="s">
        <v>1979</v>
      </c>
      <c r="AJ501" t="s">
        <v>1979</v>
      </c>
      <c r="AK501" t="s">
        <v>1979</v>
      </c>
      <c r="AL501" t="s">
        <v>1979</v>
      </c>
      <c r="AM501" t="s">
        <v>1979</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8092</v>
      </c>
      <c r="BP501">
        <v>9.48</v>
      </c>
      <c r="BQ501" s="595">
        <v>12.89</v>
      </c>
      <c r="BR501" t="s">
        <v>1979</v>
      </c>
      <c r="BS501" t="s">
        <v>8093</v>
      </c>
      <c r="BT501">
        <v>0</v>
      </c>
      <c r="BU501" t="s">
        <v>1992</v>
      </c>
      <c r="BV501">
        <v>0</v>
      </c>
      <c r="BW501">
        <v>9.7799999999999994</v>
      </c>
      <c r="BX501" t="s">
        <v>1979</v>
      </c>
      <c r="BY501">
        <v>0</v>
      </c>
      <c r="BZ501">
        <v>0</v>
      </c>
      <c r="CA501" t="s">
        <v>1988</v>
      </c>
      <c r="CB501">
        <v>5.7916999999999996</v>
      </c>
      <c r="CD501" t="s">
        <v>10873</v>
      </c>
    </row>
    <row r="502" spans="1:82">
      <c r="A502" t="s">
        <v>7992</v>
      </c>
      <c r="B502" t="s">
        <v>10874</v>
      </c>
      <c r="C502" t="s">
        <v>7958</v>
      </c>
      <c r="D502" t="s">
        <v>1383</v>
      </c>
      <c r="E502" t="s">
        <v>8083</v>
      </c>
      <c r="F502" t="s">
        <v>10865</v>
      </c>
      <c r="G502" t="s">
        <v>10105</v>
      </c>
      <c r="H502" t="s">
        <v>10875</v>
      </c>
      <c r="I502" t="s">
        <v>10876</v>
      </c>
      <c r="J502" t="s">
        <v>8119</v>
      </c>
      <c r="N502" t="s">
        <v>8100</v>
      </c>
      <c r="O502" t="s">
        <v>11</v>
      </c>
      <c r="P502" t="s">
        <v>8510</v>
      </c>
      <c r="Q502">
        <v>1</v>
      </c>
      <c r="R502" t="s">
        <v>8091</v>
      </c>
      <c r="S502">
        <v>143.69999999999999</v>
      </c>
      <c r="T502">
        <v>142.6</v>
      </c>
      <c r="U502">
        <v>141.5</v>
      </c>
      <c r="V502">
        <v>140.4</v>
      </c>
      <c r="W502">
        <v>139.30000000000001</v>
      </c>
      <c r="X502">
        <v>138.30000000000001</v>
      </c>
      <c r="AH502">
        <v>0</v>
      </c>
      <c r="BP502" t="s">
        <v>3323</v>
      </c>
      <c r="BQ502" s="591">
        <v>141.71</v>
      </c>
      <c r="BR502" t="s">
        <v>1979</v>
      </c>
      <c r="BS502" t="s">
        <v>8093</v>
      </c>
      <c r="BT502">
        <v>0</v>
      </c>
      <c r="BU502" t="s">
        <v>8093</v>
      </c>
      <c r="BV502">
        <v>0</v>
      </c>
      <c r="BW502">
        <v>137.4</v>
      </c>
      <c r="BX502" t="s">
        <v>1979</v>
      </c>
      <c r="BY502">
        <v>0</v>
      </c>
      <c r="BZ502">
        <v>0</v>
      </c>
      <c r="CA502">
        <v>0</v>
      </c>
      <c r="CB502">
        <v>0</v>
      </c>
      <c r="CD502" t="s">
        <v>10877</v>
      </c>
    </row>
    <row r="503" spans="1:82">
      <c r="A503" t="s">
        <v>7992</v>
      </c>
      <c r="B503" t="s">
        <v>10878</v>
      </c>
      <c r="C503" t="s">
        <v>7958</v>
      </c>
      <c r="D503" t="s">
        <v>1383</v>
      </c>
      <c r="E503" t="s">
        <v>8083</v>
      </c>
      <c r="F503" t="s">
        <v>10865</v>
      </c>
      <c r="G503" t="s">
        <v>10110</v>
      </c>
      <c r="H503" t="s">
        <v>10879</v>
      </c>
      <c r="I503" t="s">
        <v>10880</v>
      </c>
      <c r="J503" t="s">
        <v>8099</v>
      </c>
      <c r="K503" t="s">
        <v>10845</v>
      </c>
      <c r="M503" t="s">
        <v>1980</v>
      </c>
      <c r="N503" t="s">
        <v>8148</v>
      </c>
      <c r="O503" t="s">
        <v>8282</v>
      </c>
      <c r="P503" t="s">
        <v>8429</v>
      </c>
      <c r="Q503" t="s">
        <v>8092</v>
      </c>
      <c r="S503" t="s">
        <v>1984</v>
      </c>
      <c r="X503" t="s">
        <v>1984</v>
      </c>
      <c r="AE503" t="s">
        <v>1979</v>
      </c>
      <c r="AH503">
        <v>6</v>
      </c>
      <c r="AM503" t="s">
        <v>1979</v>
      </c>
      <c r="AW503" t="s">
        <v>8430</v>
      </c>
      <c r="BH503" t="s">
        <v>10861</v>
      </c>
      <c r="BN503">
        <v>1</v>
      </c>
      <c r="BO503" t="s">
        <v>8092</v>
      </c>
      <c r="BP503" t="s">
        <v>10862</v>
      </c>
      <c r="BQ503" s="593" t="s">
        <v>10862</v>
      </c>
      <c r="BR503" t="s">
        <v>8093</v>
      </c>
      <c r="BS503" t="s">
        <v>8093</v>
      </c>
      <c r="BT503">
        <v>0</v>
      </c>
      <c r="BU503" t="s">
        <v>8093</v>
      </c>
      <c r="BV503">
        <v>0</v>
      </c>
      <c r="BW503" t="s">
        <v>1984</v>
      </c>
      <c r="BX503" t="s">
        <v>1981</v>
      </c>
      <c r="BY503">
        <v>0</v>
      </c>
      <c r="BZ503">
        <v>0</v>
      </c>
      <c r="CA503">
        <v>0</v>
      </c>
      <c r="CB503">
        <v>0</v>
      </c>
      <c r="CD503" t="s">
        <v>10881</v>
      </c>
    </row>
    <row r="504" spans="1:82">
      <c r="A504" t="s">
        <v>7992</v>
      </c>
      <c r="B504" t="s">
        <v>10882</v>
      </c>
      <c r="C504" t="s">
        <v>7958</v>
      </c>
      <c r="D504" t="s">
        <v>1383</v>
      </c>
      <c r="E504" t="s">
        <v>8083</v>
      </c>
      <c r="F504" t="s">
        <v>10883</v>
      </c>
      <c r="G504" t="s">
        <v>10140</v>
      </c>
      <c r="H504" t="s">
        <v>10884</v>
      </c>
      <c r="I504" t="s">
        <v>10885</v>
      </c>
      <c r="J504" t="s">
        <v>8088</v>
      </c>
      <c r="K504" t="s">
        <v>10855</v>
      </c>
      <c r="M504" t="s">
        <v>1980</v>
      </c>
      <c r="N504" t="s">
        <v>8252</v>
      </c>
      <c r="O504" t="s">
        <v>11</v>
      </c>
      <c r="P504" t="s">
        <v>10886</v>
      </c>
      <c r="Q504">
        <v>0</v>
      </c>
      <c r="R504" t="s">
        <v>8129</v>
      </c>
      <c r="X504">
        <v>100</v>
      </c>
      <c r="AF504" t="s">
        <v>1979</v>
      </c>
      <c r="AH504">
        <v>0</v>
      </c>
      <c r="AM504" t="s">
        <v>1979</v>
      </c>
      <c r="AR504">
        <v>0</v>
      </c>
      <c r="AW504">
        <v>97</v>
      </c>
      <c r="BB504">
        <v>103</v>
      </c>
      <c r="BG504">
        <v>999999</v>
      </c>
      <c r="BH504">
        <v>0.14623800000000001</v>
      </c>
      <c r="BL504">
        <v>7.6696E-2</v>
      </c>
      <c r="BN504">
        <v>1</v>
      </c>
      <c r="BO504" t="s">
        <v>8092</v>
      </c>
      <c r="BP504" t="s">
        <v>3323</v>
      </c>
      <c r="BQ504" s="594">
        <v>0</v>
      </c>
      <c r="BR504" t="s">
        <v>8093</v>
      </c>
      <c r="BS504" t="s">
        <v>8093</v>
      </c>
      <c r="BT504">
        <v>0</v>
      </c>
      <c r="BU504" t="s">
        <v>8093</v>
      </c>
      <c r="BV504">
        <v>0</v>
      </c>
      <c r="BW504">
        <v>0</v>
      </c>
      <c r="BX504" t="s">
        <v>1981</v>
      </c>
      <c r="BY504">
        <v>0</v>
      </c>
      <c r="BZ504">
        <v>0</v>
      </c>
      <c r="CA504">
        <v>0</v>
      </c>
      <c r="CB504">
        <v>0</v>
      </c>
      <c r="CD504" t="s">
        <v>10887</v>
      </c>
    </row>
    <row r="505" spans="1:82">
      <c r="A505" t="s">
        <v>7992</v>
      </c>
      <c r="B505" t="s">
        <v>10888</v>
      </c>
      <c r="C505" t="s">
        <v>7958</v>
      </c>
      <c r="D505" t="s">
        <v>1383</v>
      </c>
      <c r="E505" t="s">
        <v>8083</v>
      </c>
      <c r="F505" t="s">
        <v>10883</v>
      </c>
      <c r="G505" t="s">
        <v>10145</v>
      </c>
      <c r="H505" t="s">
        <v>10889</v>
      </c>
      <c r="I505" t="s">
        <v>10890</v>
      </c>
      <c r="J505" t="s">
        <v>9799</v>
      </c>
      <c r="K505" t="s">
        <v>8089</v>
      </c>
      <c r="M505" t="s">
        <v>1980</v>
      </c>
      <c r="N505" t="s">
        <v>9086</v>
      </c>
      <c r="O505" t="s">
        <v>11</v>
      </c>
      <c r="P505" t="s">
        <v>10891</v>
      </c>
      <c r="Q505">
        <v>0</v>
      </c>
      <c r="R505" t="s">
        <v>8129</v>
      </c>
      <c r="T505">
        <v>3</v>
      </c>
      <c r="U505">
        <v>3</v>
      </c>
      <c r="V505">
        <v>3</v>
      </c>
      <c r="W505">
        <v>3</v>
      </c>
      <c r="X505">
        <v>4</v>
      </c>
      <c r="AH505">
        <v>0</v>
      </c>
      <c r="AI505" t="s">
        <v>1979</v>
      </c>
      <c r="AJ505" t="s">
        <v>1979</v>
      </c>
      <c r="AK505" t="s">
        <v>1979</v>
      </c>
      <c r="AL505" t="s">
        <v>1979</v>
      </c>
      <c r="AM505" t="s">
        <v>1979</v>
      </c>
      <c r="AX505">
        <v>3</v>
      </c>
      <c r="AY505">
        <v>6</v>
      </c>
      <c r="AZ505">
        <v>9</v>
      </c>
      <c r="BA505">
        <v>12</v>
      </c>
      <c r="BB505">
        <v>16</v>
      </c>
      <c r="BC505">
        <v>999999</v>
      </c>
      <c r="BD505">
        <v>999999</v>
      </c>
      <c r="BE505">
        <v>999999</v>
      </c>
      <c r="BF505">
        <v>999999</v>
      </c>
      <c r="BG505">
        <v>999999</v>
      </c>
      <c r="BL505" t="s">
        <v>10892</v>
      </c>
      <c r="BN505">
        <v>1</v>
      </c>
      <c r="BO505" t="s">
        <v>8092</v>
      </c>
      <c r="BP505" t="s">
        <v>3323</v>
      </c>
      <c r="BQ505" s="594">
        <v>4</v>
      </c>
      <c r="BR505" t="s">
        <v>1979</v>
      </c>
      <c r="BS505" t="s">
        <v>8093</v>
      </c>
      <c r="BT505">
        <v>0</v>
      </c>
      <c r="BU505" t="s">
        <v>1988</v>
      </c>
      <c r="BV505">
        <v>2.3955E-4</v>
      </c>
      <c r="BW505">
        <v>5</v>
      </c>
      <c r="BX505" t="s">
        <v>1979</v>
      </c>
      <c r="BY505">
        <v>0</v>
      </c>
      <c r="BZ505">
        <v>0</v>
      </c>
      <c r="CA505" t="s">
        <v>1988</v>
      </c>
      <c r="CB505">
        <v>1.6763999999999999E-4</v>
      </c>
      <c r="CD505" t="s">
        <v>10893</v>
      </c>
    </row>
    <row r="506" spans="1:82">
      <c r="A506" t="s">
        <v>7992</v>
      </c>
      <c r="B506" t="s">
        <v>10894</v>
      </c>
      <c r="C506" t="s">
        <v>7958</v>
      </c>
      <c r="D506" t="s">
        <v>1383</v>
      </c>
      <c r="E506" t="s">
        <v>8083</v>
      </c>
      <c r="F506" t="s">
        <v>10883</v>
      </c>
      <c r="G506" t="s">
        <v>10151</v>
      </c>
      <c r="H506" t="s">
        <v>10895</v>
      </c>
      <c r="I506" t="s">
        <v>10896</v>
      </c>
      <c r="J506" t="s">
        <v>8088</v>
      </c>
      <c r="K506" t="s">
        <v>10855</v>
      </c>
      <c r="M506" t="s">
        <v>1980</v>
      </c>
      <c r="N506" t="s">
        <v>8245</v>
      </c>
      <c r="O506" t="s">
        <v>11</v>
      </c>
      <c r="P506" t="s">
        <v>10897</v>
      </c>
      <c r="Q506">
        <v>0</v>
      </c>
      <c r="R506" t="s">
        <v>8129</v>
      </c>
      <c r="X506">
        <v>11736</v>
      </c>
      <c r="AF506" t="s">
        <v>1979</v>
      </c>
      <c r="AH506">
        <v>0</v>
      </c>
      <c r="AM506" t="s">
        <v>1979</v>
      </c>
      <c r="AR506">
        <v>10998</v>
      </c>
      <c r="AW506">
        <v>11501</v>
      </c>
      <c r="BB506">
        <v>11971</v>
      </c>
      <c r="BG506">
        <v>12049</v>
      </c>
      <c r="BH506">
        <v>2.0263E-2</v>
      </c>
      <c r="BL506">
        <v>1.3171E-2</v>
      </c>
      <c r="BN506">
        <v>1</v>
      </c>
      <c r="BO506" t="s">
        <v>8092</v>
      </c>
      <c r="BP506">
        <v>11466</v>
      </c>
      <c r="BQ506" s="594">
        <v>11466</v>
      </c>
      <c r="BR506" t="s">
        <v>8093</v>
      </c>
      <c r="BS506" t="s">
        <v>8093</v>
      </c>
      <c r="BT506">
        <v>0</v>
      </c>
      <c r="BU506" t="s">
        <v>8093</v>
      </c>
      <c r="BV506">
        <v>0</v>
      </c>
      <c r="BW506">
        <v>11492</v>
      </c>
      <c r="BX506" t="s">
        <v>1981</v>
      </c>
      <c r="BY506">
        <v>0</v>
      </c>
      <c r="BZ506">
        <v>0</v>
      </c>
      <c r="CA506">
        <v>0</v>
      </c>
      <c r="CB506">
        <v>0</v>
      </c>
      <c r="CD506" t="s">
        <v>10898</v>
      </c>
    </row>
    <row r="507" spans="1:82">
      <c r="A507" t="s">
        <v>7992</v>
      </c>
      <c r="B507" t="s">
        <v>10899</v>
      </c>
      <c r="C507" t="s">
        <v>7958</v>
      </c>
      <c r="D507" t="s">
        <v>1383</v>
      </c>
      <c r="E507" t="s">
        <v>8083</v>
      </c>
      <c r="F507" t="s">
        <v>10883</v>
      </c>
      <c r="G507" t="s">
        <v>10159</v>
      </c>
      <c r="H507" t="s">
        <v>10900</v>
      </c>
      <c r="I507" t="s">
        <v>10901</v>
      </c>
      <c r="J507" t="s">
        <v>8119</v>
      </c>
      <c r="N507" t="s">
        <v>8274</v>
      </c>
      <c r="O507" t="s">
        <v>6241</v>
      </c>
      <c r="P507" t="s">
        <v>10902</v>
      </c>
      <c r="Q507" t="s">
        <v>8092</v>
      </c>
      <c r="S507" t="s">
        <v>10903</v>
      </c>
      <c r="T507" t="s">
        <v>10903</v>
      </c>
      <c r="U507" t="s">
        <v>10903</v>
      </c>
      <c r="V507" t="s">
        <v>10903</v>
      </c>
      <c r="W507" t="s">
        <v>10903</v>
      </c>
      <c r="X507" t="s">
        <v>10903</v>
      </c>
      <c r="AH507">
        <v>0</v>
      </c>
      <c r="BP507" t="s">
        <v>3323</v>
      </c>
      <c r="BQ507" s="593" t="s">
        <v>10904</v>
      </c>
      <c r="BR507" t="s">
        <v>1979</v>
      </c>
      <c r="BS507" t="s">
        <v>8093</v>
      </c>
      <c r="BT507">
        <v>0</v>
      </c>
      <c r="BU507" t="s">
        <v>8093</v>
      </c>
      <c r="BV507">
        <v>0</v>
      </c>
      <c r="BW507" t="s">
        <v>10904</v>
      </c>
      <c r="BX507" t="s">
        <v>1979</v>
      </c>
      <c r="BY507">
        <v>0</v>
      </c>
      <c r="BZ507">
        <v>0</v>
      </c>
      <c r="CA507">
        <v>0</v>
      </c>
      <c r="CB507">
        <v>0</v>
      </c>
      <c r="CD507" t="s">
        <v>10905</v>
      </c>
    </row>
    <row r="508" spans="1:82">
      <c r="A508" t="s">
        <v>7992</v>
      </c>
      <c r="B508" t="s">
        <v>10906</v>
      </c>
      <c r="C508" t="s">
        <v>7958</v>
      </c>
      <c r="D508" t="s">
        <v>1383</v>
      </c>
      <c r="E508" t="s">
        <v>8083</v>
      </c>
      <c r="F508" t="s">
        <v>10907</v>
      </c>
      <c r="G508" t="s">
        <v>10172</v>
      </c>
      <c r="H508" t="s">
        <v>10908</v>
      </c>
      <c r="I508" t="s">
        <v>10909</v>
      </c>
      <c r="J508" t="s">
        <v>8119</v>
      </c>
      <c r="N508" t="s">
        <v>8260</v>
      </c>
      <c r="O508" t="s">
        <v>10</v>
      </c>
      <c r="P508" t="s">
        <v>10910</v>
      </c>
      <c r="Q508">
        <v>0</v>
      </c>
      <c r="R508" t="s">
        <v>8129</v>
      </c>
      <c r="S508">
        <v>8</v>
      </c>
      <c r="T508">
        <v>12</v>
      </c>
      <c r="U508">
        <v>12</v>
      </c>
      <c r="V508">
        <v>12</v>
      </c>
      <c r="W508">
        <v>12</v>
      </c>
      <c r="X508">
        <v>12</v>
      </c>
      <c r="AH508">
        <v>0</v>
      </c>
      <c r="BP508">
        <v>12.26</v>
      </c>
      <c r="BQ508" s="594">
        <v>11.257999999999999</v>
      </c>
      <c r="BR508" t="s">
        <v>1980</v>
      </c>
      <c r="BS508" t="s">
        <v>8093</v>
      </c>
      <c r="BT508">
        <v>0</v>
      </c>
      <c r="BU508" t="s">
        <v>8093</v>
      </c>
      <c r="BV508">
        <v>0</v>
      </c>
      <c r="BW508">
        <v>10.44</v>
      </c>
      <c r="BX508" t="s">
        <v>1980</v>
      </c>
      <c r="BY508">
        <v>0</v>
      </c>
      <c r="BZ508">
        <v>0</v>
      </c>
      <c r="CA508">
        <v>0</v>
      </c>
      <c r="CB508">
        <v>0</v>
      </c>
      <c r="CD508" t="s">
        <v>10911</v>
      </c>
    </row>
    <row r="509" spans="1:82">
      <c r="A509" t="s">
        <v>7992</v>
      </c>
      <c r="B509" t="s">
        <v>10912</v>
      </c>
      <c r="C509" t="s">
        <v>7958</v>
      </c>
      <c r="D509" t="s">
        <v>1383</v>
      </c>
      <c r="E509" t="s">
        <v>8083</v>
      </c>
      <c r="F509" t="s">
        <v>10907</v>
      </c>
      <c r="G509" t="s">
        <v>10913</v>
      </c>
      <c r="H509" t="s">
        <v>10914</v>
      </c>
      <c r="I509" t="s">
        <v>10915</v>
      </c>
      <c r="J509" t="s">
        <v>8119</v>
      </c>
      <c r="N509" t="s">
        <v>8503</v>
      </c>
      <c r="O509" t="s">
        <v>10</v>
      </c>
      <c r="P509" t="s">
        <v>10916</v>
      </c>
      <c r="Q509">
        <v>0</v>
      </c>
      <c r="R509" t="s">
        <v>8129</v>
      </c>
      <c r="S509">
        <v>93</v>
      </c>
      <c r="T509">
        <v>94</v>
      </c>
      <c r="U509">
        <v>94</v>
      </c>
      <c r="V509">
        <v>95</v>
      </c>
      <c r="W509">
        <v>95</v>
      </c>
      <c r="X509">
        <v>95</v>
      </c>
      <c r="AH509">
        <v>0</v>
      </c>
      <c r="BP509">
        <v>93.5</v>
      </c>
      <c r="BQ509" s="594">
        <v>98.91</v>
      </c>
      <c r="BR509" t="s">
        <v>1979</v>
      </c>
      <c r="BS509" t="s">
        <v>8093</v>
      </c>
      <c r="BT509">
        <v>0</v>
      </c>
      <c r="BU509" t="s">
        <v>8093</v>
      </c>
      <c r="BV509">
        <v>0</v>
      </c>
      <c r="BW509">
        <v>99.3</v>
      </c>
      <c r="BX509" t="s">
        <v>1979</v>
      </c>
      <c r="BY509">
        <v>0</v>
      </c>
      <c r="BZ509">
        <v>0</v>
      </c>
      <c r="CA509">
        <v>0</v>
      </c>
      <c r="CB509">
        <v>0</v>
      </c>
      <c r="CD509" t="s">
        <v>10917</v>
      </c>
    </row>
    <row r="510" spans="1:82">
      <c r="A510" t="s">
        <v>7992</v>
      </c>
      <c r="B510" t="s">
        <v>10918</v>
      </c>
      <c r="C510" t="s">
        <v>7958</v>
      </c>
      <c r="D510" t="s">
        <v>1384</v>
      </c>
      <c r="E510" t="s">
        <v>8297</v>
      </c>
      <c r="F510" t="s">
        <v>10919</v>
      </c>
      <c r="G510" t="s">
        <v>10178</v>
      </c>
      <c r="H510" t="s">
        <v>10920</v>
      </c>
      <c r="I510" t="s">
        <v>10921</v>
      </c>
      <c r="J510" t="s">
        <v>8088</v>
      </c>
      <c r="K510" t="s">
        <v>10855</v>
      </c>
      <c r="N510" t="s">
        <v>8301</v>
      </c>
      <c r="O510" t="s">
        <v>11</v>
      </c>
      <c r="P510" t="s">
        <v>9417</v>
      </c>
      <c r="Q510">
        <v>0</v>
      </c>
      <c r="S510">
        <v>1857</v>
      </c>
      <c r="T510">
        <v>1877</v>
      </c>
      <c r="U510">
        <v>1898</v>
      </c>
      <c r="V510">
        <v>1919</v>
      </c>
      <c r="W510">
        <v>1919</v>
      </c>
      <c r="X510">
        <v>1919</v>
      </c>
      <c r="AC510" t="s">
        <v>1979</v>
      </c>
      <c r="AE510" t="s">
        <v>1979</v>
      </c>
      <c r="AH510">
        <v>0</v>
      </c>
      <c r="AI510" t="s">
        <v>1979</v>
      </c>
      <c r="AJ510" t="s">
        <v>1979</v>
      </c>
      <c r="AK510" t="s">
        <v>1979</v>
      </c>
      <c r="AL510" t="s">
        <v>1979</v>
      </c>
      <c r="AM510" t="s">
        <v>1979</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8092</v>
      </c>
      <c r="BP510">
        <v>1947</v>
      </c>
      <c r="BQ510" s="594">
        <v>1842</v>
      </c>
      <c r="BR510" t="s">
        <v>1979</v>
      </c>
      <c r="BS510" t="s">
        <v>8093</v>
      </c>
      <c r="BT510">
        <v>0</v>
      </c>
      <c r="BU510" t="s">
        <v>1992</v>
      </c>
      <c r="BV510">
        <v>0</v>
      </c>
      <c r="BW510">
        <v>1769</v>
      </c>
      <c r="BX510" t="s">
        <v>1979</v>
      </c>
      <c r="BY510">
        <v>0</v>
      </c>
      <c r="BZ510">
        <v>0</v>
      </c>
      <c r="CA510" t="s">
        <v>1988</v>
      </c>
      <c r="CB510">
        <v>2.2423999999999999</v>
      </c>
      <c r="CD510" t="s">
        <v>10922</v>
      </c>
    </row>
    <row r="511" spans="1:82">
      <c r="A511" t="s">
        <v>7992</v>
      </c>
      <c r="B511" t="s">
        <v>10923</v>
      </c>
      <c r="C511" t="s">
        <v>7958</v>
      </c>
      <c r="D511" t="s">
        <v>1384</v>
      </c>
      <c r="E511" t="s">
        <v>8297</v>
      </c>
      <c r="F511" t="s">
        <v>10919</v>
      </c>
      <c r="G511" t="s">
        <v>10183</v>
      </c>
      <c r="H511" t="s">
        <v>10924</v>
      </c>
      <c r="I511" t="s">
        <v>10925</v>
      </c>
      <c r="J511" t="s">
        <v>8119</v>
      </c>
      <c r="N511" t="s">
        <v>8301</v>
      </c>
      <c r="O511" t="s">
        <v>11</v>
      </c>
      <c r="P511" t="s">
        <v>9422</v>
      </c>
      <c r="Q511">
        <v>0</v>
      </c>
      <c r="S511">
        <v>10125</v>
      </c>
      <c r="T511">
        <v>10125</v>
      </c>
      <c r="U511">
        <v>10363</v>
      </c>
      <c r="V511">
        <v>10487</v>
      </c>
      <c r="W511">
        <v>10487</v>
      </c>
      <c r="X511">
        <v>10487</v>
      </c>
      <c r="AE511" t="s">
        <v>1979</v>
      </c>
      <c r="AH511">
        <v>0</v>
      </c>
      <c r="BP511">
        <v>8686</v>
      </c>
      <c r="BQ511" s="594">
        <v>9037</v>
      </c>
      <c r="BR511" t="s">
        <v>1979</v>
      </c>
      <c r="BS511" t="s">
        <v>8093</v>
      </c>
      <c r="BT511">
        <v>0</v>
      </c>
      <c r="BU511" t="s">
        <v>8093</v>
      </c>
      <c r="BV511">
        <v>0</v>
      </c>
      <c r="BW511">
        <v>9145</v>
      </c>
      <c r="BX511" t="s">
        <v>1979</v>
      </c>
      <c r="BY511">
        <v>0</v>
      </c>
      <c r="BZ511">
        <v>0</v>
      </c>
      <c r="CA511">
        <v>0</v>
      </c>
      <c r="CB511">
        <v>0</v>
      </c>
      <c r="CD511" t="s">
        <v>10926</v>
      </c>
    </row>
    <row r="512" spans="1:82">
      <c r="A512" t="s">
        <v>7992</v>
      </c>
      <c r="B512" t="s">
        <v>10927</v>
      </c>
      <c r="C512" t="s">
        <v>7958</v>
      </c>
      <c r="D512" t="s">
        <v>1384</v>
      </c>
      <c r="E512" t="s">
        <v>8297</v>
      </c>
      <c r="F512" t="s">
        <v>10919</v>
      </c>
      <c r="G512" t="s">
        <v>10928</v>
      </c>
      <c r="H512" t="s">
        <v>10929</v>
      </c>
      <c r="I512" t="s">
        <v>10930</v>
      </c>
      <c r="J512" t="s">
        <v>8119</v>
      </c>
      <c r="N512" t="s">
        <v>8337</v>
      </c>
      <c r="O512" t="s">
        <v>11</v>
      </c>
      <c r="P512" t="s">
        <v>9463</v>
      </c>
      <c r="Q512">
        <v>0</v>
      </c>
      <c r="R512" t="s">
        <v>8091</v>
      </c>
      <c r="S512">
        <v>10</v>
      </c>
      <c r="T512">
        <v>8</v>
      </c>
      <c r="U512">
        <v>6</v>
      </c>
      <c r="V512">
        <v>4</v>
      </c>
      <c r="W512">
        <v>2</v>
      </c>
      <c r="X512">
        <v>0</v>
      </c>
      <c r="AE512" t="s">
        <v>1979</v>
      </c>
      <c r="AH512">
        <v>0</v>
      </c>
      <c r="BP512">
        <v>4</v>
      </c>
      <c r="BQ512" s="594">
        <v>5</v>
      </c>
      <c r="BR512" t="s">
        <v>1979</v>
      </c>
      <c r="BS512" t="s">
        <v>8093</v>
      </c>
      <c r="BT512">
        <v>0</v>
      </c>
      <c r="BU512" t="s">
        <v>8093</v>
      </c>
      <c r="BV512">
        <v>0</v>
      </c>
      <c r="BW512">
        <v>4</v>
      </c>
      <c r="BX512" t="s">
        <v>1979</v>
      </c>
      <c r="BY512">
        <v>0</v>
      </c>
      <c r="BZ512">
        <v>0</v>
      </c>
      <c r="CA512">
        <v>0</v>
      </c>
      <c r="CB512">
        <v>0</v>
      </c>
      <c r="CD512" t="s">
        <v>10931</v>
      </c>
    </row>
    <row r="513" spans="1:82">
      <c r="A513" t="s">
        <v>7992</v>
      </c>
      <c r="B513" t="s">
        <v>10932</v>
      </c>
      <c r="C513" t="s">
        <v>7958</v>
      </c>
      <c r="D513" t="s">
        <v>1384</v>
      </c>
      <c r="E513" t="s">
        <v>8297</v>
      </c>
      <c r="F513" t="s">
        <v>10919</v>
      </c>
      <c r="G513" t="s">
        <v>10933</v>
      </c>
      <c r="H513" t="s">
        <v>10934</v>
      </c>
      <c r="I513" t="s">
        <v>10935</v>
      </c>
      <c r="J513" t="s">
        <v>8088</v>
      </c>
      <c r="K513" t="s">
        <v>10855</v>
      </c>
      <c r="N513" t="s">
        <v>8337</v>
      </c>
      <c r="O513" t="s">
        <v>11</v>
      </c>
      <c r="P513" t="s">
        <v>8338</v>
      </c>
      <c r="Q513">
        <v>0</v>
      </c>
      <c r="R513" t="s">
        <v>8091</v>
      </c>
      <c r="S513">
        <v>250</v>
      </c>
      <c r="T513">
        <v>237</v>
      </c>
      <c r="U513">
        <v>224</v>
      </c>
      <c r="V513">
        <v>211</v>
      </c>
      <c r="W513">
        <v>211</v>
      </c>
      <c r="X513">
        <v>211</v>
      </c>
      <c r="AB513" t="s">
        <v>1979</v>
      </c>
      <c r="AE513" t="s">
        <v>1979</v>
      </c>
      <c r="AH513">
        <v>0</v>
      </c>
      <c r="AI513" t="s">
        <v>1979</v>
      </c>
      <c r="AJ513" t="s">
        <v>1979</v>
      </c>
      <c r="AK513" t="s">
        <v>1979</v>
      </c>
      <c r="AL513" t="s">
        <v>1979</v>
      </c>
      <c r="AM513" t="s">
        <v>1979</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8092</v>
      </c>
      <c r="BP513">
        <v>170</v>
      </c>
      <c r="BQ513" s="594">
        <v>180</v>
      </c>
      <c r="BR513" t="s">
        <v>1979</v>
      </c>
      <c r="BS513" t="s">
        <v>8093</v>
      </c>
      <c r="BT513">
        <v>0</v>
      </c>
      <c r="BU513" t="s">
        <v>1988</v>
      </c>
      <c r="BV513">
        <v>5.7391230000000002</v>
      </c>
      <c r="BW513">
        <v>207</v>
      </c>
      <c r="BX513" t="s">
        <v>1979</v>
      </c>
      <c r="BY513">
        <v>0</v>
      </c>
      <c r="BZ513">
        <v>0</v>
      </c>
      <c r="CA513" t="s">
        <v>1988</v>
      </c>
      <c r="CB513">
        <v>0.74050000000000005</v>
      </c>
      <c r="CD513" t="s">
        <v>10936</v>
      </c>
    </row>
    <row r="514" spans="1:82">
      <c r="A514" t="s">
        <v>7992</v>
      </c>
      <c r="B514" t="s">
        <v>10937</v>
      </c>
      <c r="C514" t="s">
        <v>7958</v>
      </c>
      <c r="D514" t="s">
        <v>1384</v>
      </c>
      <c r="E514" t="s">
        <v>8297</v>
      </c>
      <c r="F514" t="s">
        <v>10919</v>
      </c>
      <c r="G514" t="s">
        <v>10938</v>
      </c>
      <c r="H514" t="s">
        <v>10939</v>
      </c>
      <c r="I514" t="s">
        <v>10940</v>
      </c>
      <c r="J514" t="s">
        <v>8099</v>
      </c>
      <c r="K514" t="s">
        <v>10845</v>
      </c>
      <c r="M514" t="s">
        <v>1980</v>
      </c>
      <c r="N514" t="s">
        <v>8364</v>
      </c>
      <c r="O514" t="s">
        <v>8282</v>
      </c>
      <c r="P514" t="s">
        <v>8429</v>
      </c>
      <c r="Q514" t="s">
        <v>8092</v>
      </c>
      <c r="S514" t="s">
        <v>1984</v>
      </c>
      <c r="X514" t="s">
        <v>1984</v>
      </c>
      <c r="AE514" t="s">
        <v>1979</v>
      </c>
      <c r="AH514">
        <v>6</v>
      </c>
      <c r="AM514" t="s">
        <v>1979</v>
      </c>
      <c r="AW514" t="s">
        <v>8430</v>
      </c>
      <c r="BH514" t="s">
        <v>10861</v>
      </c>
      <c r="BN514">
        <v>1</v>
      </c>
      <c r="BO514" t="s">
        <v>8092</v>
      </c>
      <c r="BP514" t="s">
        <v>10862</v>
      </c>
      <c r="BQ514" s="593" t="s">
        <v>10862</v>
      </c>
      <c r="BR514" t="s">
        <v>8093</v>
      </c>
      <c r="BS514" t="s">
        <v>8093</v>
      </c>
      <c r="BT514">
        <v>0</v>
      </c>
      <c r="BU514" t="s">
        <v>8093</v>
      </c>
      <c r="BV514">
        <v>0</v>
      </c>
      <c r="BW514" t="s">
        <v>10862</v>
      </c>
      <c r="BX514" t="s">
        <v>1981</v>
      </c>
      <c r="BY514">
        <v>0</v>
      </c>
      <c r="BZ514">
        <v>0</v>
      </c>
      <c r="CA514">
        <v>0</v>
      </c>
      <c r="CB514">
        <v>0</v>
      </c>
      <c r="CD514" t="s">
        <v>10941</v>
      </c>
    </row>
    <row r="515" spans="1:82">
      <c r="A515" t="s">
        <v>7992</v>
      </c>
      <c r="B515" t="s">
        <v>10942</v>
      </c>
      <c r="C515" t="s">
        <v>7958</v>
      </c>
      <c r="D515" t="s">
        <v>1384</v>
      </c>
      <c r="E515" t="s">
        <v>8297</v>
      </c>
      <c r="F515" t="s">
        <v>10883</v>
      </c>
      <c r="G515" t="s">
        <v>10194</v>
      </c>
      <c r="H515" t="s">
        <v>10943</v>
      </c>
      <c r="I515" t="s">
        <v>10944</v>
      </c>
      <c r="J515" t="s">
        <v>8119</v>
      </c>
      <c r="N515" t="s">
        <v>8252</v>
      </c>
      <c r="O515" t="s">
        <v>11</v>
      </c>
      <c r="P515" t="s">
        <v>10945</v>
      </c>
      <c r="Q515">
        <v>0</v>
      </c>
      <c r="R515" t="s">
        <v>8129</v>
      </c>
      <c r="S515">
        <v>15</v>
      </c>
      <c r="T515">
        <v>15</v>
      </c>
      <c r="U515">
        <v>15</v>
      </c>
      <c r="V515">
        <v>15</v>
      </c>
      <c r="W515">
        <v>15</v>
      </c>
      <c r="X515">
        <v>15</v>
      </c>
      <c r="AH515">
        <v>0</v>
      </c>
      <c r="BP515">
        <v>18</v>
      </c>
      <c r="BQ515" s="594">
        <v>18</v>
      </c>
      <c r="BR515" t="s">
        <v>1979</v>
      </c>
      <c r="BS515" t="s">
        <v>8093</v>
      </c>
      <c r="BT515">
        <v>0</v>
      </c>
      <c r="BU515" t="s">
        <v>8093</v>
      </c>
      <c r="BV515">
        <v>0</v>
      </c>
      <c r="BW515">
        <v>17</v>
      </c>
      <c r="BX515" t="s">
        <v>1979</v>
      </c>
      <c r="BY515">
        <v>0</v>
      </c>
      <c r="BZ515">
        <v>0</v>
      </c>
      <c r="CA515">
        <v>0</v>
      </c>
      <c r="CB515">
        <v>0</v>
      </c>
      <c r="CD515" t="s">
        <v>10946</v>
      </c>
    </row>
    <row r="516" spans="1:82">
      <c r="A516" t="s">
        <v>7992</v>
      </c>
      <c r="B516" t="s">
        <v>10947</v>
      </c>
      <c r="C516" t="s">
        <v>7958</v>
      </c>
      <c r="D516" t="s">
        <v>1384</v>
      </c>
      <c r="E516" t="s">
        <v>8297</v>
      </c>
      <c r="F516" t="s">
        <v>10883</v>
      </c>
      <c r="G516" t="s">
        <v>10199</v>
      </c>
      <c r="H516" t="s">
        <v>10948</v>
      </c>
      <c r="I516" t="s">
        <v>10949</v>
      </c>
      <c r="J516" t="s">
        <v>8099</v>
      </c>
      <c r="K516" t="s">
        <v>10845</v>
      </c>
      <c r="M516" t="s">
        <v>1980</v>
      </c>
      <c r="N516" t="s">
        <v>8364</v>
      </c>
      <c r="O516" t="s">
        <v>8282</v>
      </c>
      <c r="P516" t="s">
        <v>8429</v>
      </c>
      <c r="Q516" t="s">
        <v>8092</v>
      </c>
      <c r="S516" t="s">
        <v>1984</v>
      </c>
      <c r="X516" t="s">
        <v>1984</v>
      </c>
      <c r="AE516" t="s">
        <v>1979</v>
      </c>
      <c r="AH516">
        <v>3</v>
      </c>
      <c r="AM516" t="s">
        <v>1979</v>
      </c>
      <c r="AW516" t="s">
        <v>8430</v>
      </c>
      <c r="BH516" t="s">
        <v>10861</v>
      </c>
      <c r="BN516">
        <v>1</v>
      </c>
      <c r="BO516" t="s">
        <v>8092</v>
      </c>
      <c r="BP516" t="s">
        <v>10862</v>
      </c>
      <c r="BQ516" s="593" t="s">
        <v>10862</v>
      </c>
      <c r="BR516" t="s">
        <v>8093</v>
      </c>
      <c r="BS516" t="s">
        <v>8093</v>
      </c>
      <c r="BT516">
        <v>0</v>
      </c>
      <c r="BU516" t="s">
        <v>8093</v>
      </c>
      <c r="BV516">
        <v>0</v>
      </c>
      <c r="BW516" t="s">
        <v>10862</v>
      </c>
      <c r="BX516" t="s">
        <v>1981</v>
      </c>
      <c r="BY516">
        <v>0</v>
      </c>
      <c r="BZ516">
        <v>0</v>
      </c>
      <c r="CA516">
        <v>0</v>
      </c>
      <c r="CB516">
        <v>0</v>
      </c>
      <c r="CD516" t="s">
        <v>10950</v>
      </c>
    </row>
    <row r="517" spans="1:82">
      <c r="A517" t="s">
        <v>7992</v>
      </c>
      <c r="B517" t="s">
        <v>10951</v>
      </c>
      <c r="C517" t="s">
        <v>7958</v>
      </c>
      <c r="D517" t="s">
        <v>1384</v>
      </c>
      <c r="E517" t="s">
        <v>8297</v>
      </c>
      <c r="F517" t="s">
        <v>10883</v>
      </c>
      <c r="G517" t="s">
        <v>10204</v>
      </c>
      <c r="H517" t="s">
        <v>10952</v>
      </c>
      <c r="I517" t="s">
        <v>10953</v>
      </c>
      <c r="J517" t="s">
        <v>9799</v>
      </c>
      <c r="K517" t="s">
        <v>8089</v>
      </c>
      <c r="M517" t="s">
        <v>1980</v>
      </c>
      <c r="N517" t="s">
        <v>9086</v>
      </c>
      <c r="O517" t="s">
        <v>11</v>
      </c>
      <c r="P517" t="s">
        <v>10891</v>
      </c>
      <c r="Q517">
        <v>0</v>
      </c>
      <c r="R517" t="s">
        <v>8129</v>
      </c>
      <c r="T517">
        <v>3</v>
      </c>
      <c r="U517">
        <v>3</v>
      </c>
      <c r="V517">
        <v>3</v>
      </c>
      <c r="W517">
        <v>3</v>
      </c>
      <c r="X517">
        <v>4</v>
      </c>
      <c r="AH517">
        <v>0</v>
      </c>
      <c r="AI517" t="s">
        <v>1979</v>
      </c>
      <c r="AJ517" t="s">
        <v>1979</v>
      </c>
      <c r="AK517" t="s">
        <v>1979</v>
      </c>
      <c r="AL517" t="s">
        <v>1979</v>
      </c>
      <c r="AM517" t="s">
        <v>1979</v>
      </c>
      <c r="AX517">
        <v>3</v>
      </c>
      <c r="AY517">
        <v>6</v>
      </c>
      <c r="AZ517">
        <v>9</v>
      </c>
      <c r="BA517">
        <v>12</v>
      </c>
      <c r="BB517">
        <v>16</v>
      </c>
      <c r="BC517">
        <v>999999</v>
      </c>
      <c r="BD517">
        <v>999999</v>
      </c>
      <c r="BE517">
        <v>999999</v>
      </c>
      <c r="BF517">
        <v>999999</v>
      </c>
      <c r="BG517">
        <v>999999</v>
      </c>
      <c r="BL517" t="s">
        <v>10892</v>
      </c>
      <c r="BN517">
        <v>1</v>
      </c>
      <c r="BO517" t="s">
        <v>8092</v>
      </c>
      <c r="BP517" t="s">
        <v>3323</v>
      </c>
      <c r="BQ517" s="594">
        <v>4</v>
      </c>
      <c r="BR517" t="s">
        <v>1979</v>
      </c>
      <c r="BS517" t="s">
        <v>8093</v>
      </c>
      <c r="BT517">
        <v>0</v>
      </c>
      <c r="BU517" t="s">
        <v>1988</v>
      </c>
      <c r="BV517">
        <v>2.3955E-4</v>
      </c>
      <c r="BW517">
        <v>5</v>
      </c>
      <c r="BX517" t="s">
        <v>1979</v>
      </c>
      <c r="BY517">
        <v>0</v>
      </c>
      <c r="BZ517">
        <v>0</v>
      </c>
      <c r="CA517" t="s">
        <v>1988</v>
      </c>
      <c r="CB517">
        <v>2.1336E-4</v>
      </c>
      <c r="CD517" t="s">
        <v>10954</v>
      </c>
    </row>
    <row r="518" spans="1:82">
      <c r="A518" t="s">
        <v>7992</v>
      </c>
      <c r="B518" t="s">
        <v>10955</v>
      </c>
      <c r="C518" t="s">
        <v>7958</v>
      </c>
      <c r="D518" t="s">
        <v>1384</v>
      </c>
      <c r="E518" t="s">
        <v>8297</v>
      </c>
      <c r="F518" t="s">
        <v>10883</v>
      </c>
      <c r="G518" t="s">
        <v>10210</v>
      </c>
      <c r="H518" t="s">
        <v>10956</v>
      </c>
      <c r="I518" t="s">
        <v>10957</v>
      </c>
      <c r="J518" t="s">
        <v>8088</v>
      </c>
      <c r="K518" t="s">
        <v>10855</v>
      </c>
      <c r="M518" t="s">
        <v>1980</v>
      </c>
      <c r="N518" t="s">
        <v>8252</v>
      </c>
      <c r="O518" t="s">
        <v>11</v>
      </c>
      <c r="P518" t="s">
        <v>10886</v>
      </c>
      <c r="Q518">
        <v>0</v>
      </c>
      <c r="R518" t="s">
        <v>8129</v>
      </c>
      <c r="X518">
        <v>340</v>
      </c>
      <c r="AF518" t="s">
        <v>1979</v>
      </c>
      <c r="AH518">
        <v>0</v>
      </c>
      <c r="AM518" t="s">
        <v>1979</v>
      </c>
      <c r="AR518">
        <v>0</v>
      </c>
      <c r="AW518">
        <v>337</v>
      </c>
      <c r="BB518">
        <v>343</v>
      </c>
      <c r="BG518">
        <v>999999</v>
      </c>
      <c r="BH518">
        <v>0.14623800000000001</v>
      </c>
      <c r="BL518">
        <v>7.6696E-2</v>
      </c>
      <c r="BN518">
        <v>1</v>
      </c>
      <c r="BO518" t="s">
        <v>8092</v>
      </c>
      <c r="BP518" t="s">
        <v>3323</v>
      </c>
      <c r="BQ518" s="594">
        <v>0</v>
      </c>
      <c r="BR518" t="s">
        <v>8093</v>
      </c>
      <c r="BS518" t="s">
        <v>8093</v>
      </c>
      <c r="BT518">
        <v>0</v>
      </c>
      <c r="BU518" t="s">
        <v>8093</v>
      </c>
      <c r="BV518">
        <v>0</v>
      </c>
      <c r="BW518">
        <v>0</v>
      </c>
      <c r="BX518" t="s">
        <v>1981</v>
      </c>
      <c r="BY518">
        <v>0</v>
      </c>
      <c r="BZ518">
        <v>0</v>
      </c>
      <c r="CA518">
        <v>0</v>
      </c>
      <c r="CB518">
        <v>0</v>
      </c>
      <c r="CD518" t="s">
        <v>10958</v>
      </c>
    </row>
    <row r="519" spans="1:82">
      <c r="A519" t="s">
        <v>7992</v>
      </c>
      <c r="B519" t="s">
        <v>10959</v>
      </c>
      <c r="C519" t="s">
        <v>7958</v>
      </c>
      <c r="D519" t="s">
        <v>1384</v>
      </c>
      <c r="E519" t="s">
        <v>8297</v>
      </c>
      <c r="F519" t="s">
        <v>10883</v>
      </c>
      <c r="G519" t="s">
        <v>10216</v>
      </c>
      <c r="H519" t="s">
        <v>10960</v>
      </c>
      <c r="I519" t="s">
        <v>10961</v>
      </c>
      <c r="J519" t="s">
        <v>8088</v>
      </c>
      <c r="K519" t="s">
        <v>10855</v>
      </c>
      <c r="M519" t="s">
        <v>1980</v>
      </c>
      <c r="N519" t="s">
        <v>8245</v>
      </c>
      <c r="O519" t="s">
        <v>11</v>
      </c>
      <c r="P519" t="s">
        <v>10897</v>
      </c>
      <c r="Q519">
        <v>0</v>
      </c>
      <c r="R519" t="s">
        <v>8129</v>
      </c>
      <c r="X519">
        <v>11736</v>
      </c>
      <c r="AF519" t="s">
        <v>1979</v>
      </c>
      <c r="AH519">
        <v>0</v>
      </c>
      <c r="AM519" t="s">
        <v>1979</v>
      </c>
      <c r="AR519">
        <v>10998</v>
      </c>
      <c r="AW519">
        <v>11501</v>
      </c>
      <c r="BB519">
        <v>11971</v>
      </c>
      <c r="BG519">
        <v>12049</v>
      </c>
      <c r="BH519">
        <v>2.0263E-2</v>
      </c>
      <c r="BL519">
        <v>1.3171E-2</v>
      </c>
      <c r="BN519">
        <v>1</v>
      </c>
      <c r="BO519" t="s">
        <v>8092</v>
      </c>
      <c r="BP519">
        <v>11466</v>
      </c>
      <c r="BQ519" s="594">
        <v>11466</v>
      </c>
      <c r="BR519" t="s">
        <v>8093</v>
      </c>
      <c r="BS519" t="s">
        <v>8093</v>
      </c>
      <c r="BT519">
        <v>0</v>
      </c>
      <c r="BU519" t="s">
        <v>8093</v>
      </c>
      <c r="BV519">
        <v>0</v>
      </c>
      <c r="BW519">
        <v>11492</v>
      </c>
      <c r="BX519" t="s">
        <v>1981</v>
      </c>
      <c r="BY519">
        <v>0</v>
      </c>
      <c r="BZ519">
        <v>0</v>
      </c>
      <c r="CA519">
        <v>0</v>
      </c>
      <c r="CB519">
        <v>0</v>
      </c>
      <c r="CD519" t="s">
        <v>10962</v>
      </c>
    </row>
    <row r="520" spans="1:82">
      <c r="A520" t="s">
        <v>7992</v>
      </c>
      <c r="B520" t="s">
        <v>10963</v>
      </c>
      <c r="C520" t="s">
        <v>7958</v>
      </c>
      <c r="D520" t="s">
        <v>1384</v>
      </c>
      <c r="E520" t="s">
        <v>8297</v>
      </c>
      <c r="F520" t="s">
        <v>10907</v>
      </c>
      <c r="G520" t="s">
        <v>10247</v>
      </c>
      <c r="H520" t="s">
        <v>10964</v>
      </c>
      <c r="I520" t="s">
        <v>10965</v>
      </c>
      <c r="J520" t="s">
        <v>8119</v>
      </c>
      <c r="N520" t="s">
        <v>8260</v>
      </c>
      <c r="O520" t="s">
        <v>10</v>
      </c>
      <c r="P520" t="s">
        <v>10910</v>
      </c>
      <c r="Q520">
        <v>0</v>
      </c>
      <c r="R520" t="s">
        <v>8129</v>
      </c>
      <c r="S520">
        <v>8</v>
      </c>
      <c r="T520">
        <v>12</v>
      </c>
      <c r="U520">
        <v>12</v>
      </c>
      <c r="V520">
        <v>12</v>
      </c>
      <c r="W520">
        <v>12</v>
      </c>
      <c r="X520">
        <v>12</v>
      </c>
      <c r="AH520">
        <v>0</v>
      </c>
      <c r="BP520">
        <v>12.26</v>
      </c>
      <c r="BQ520" s="594">
        <v>11.257999999999999</v>
      </c>
      <c r="BR520" t="s">
        <v>1980</v>
      </c>
      <c r="BS520" t="s">
        <v>8093</v>
      </c>
      <c r="BT520">
        <v>0</v>
      </c>
      <c r="BU520" t="s">
        <v>8093</v>
      </c>
      <c r="BV520">
        <v>0</v>
      </c>
      <c r="BW520">
        <v>10</v>
      </c>
      <c r="BX520" t="s">
        <v>1980</v>
      </c>
      <c r="BY520">
        <v>0</v>
      </c>
      <c r="BZ520">
        <v>0</v>
      </c>
      <c r="CA520">
        <v>0</v>
      </c>
      <c r="CB520">
        <v>0</v>
      </c>
      <c r="CD520" t="s">
        <v>10966</v>
      </c>
    </row>
    <row r="521" spans="1:82">
      <c r="A521" t="s">
        <v>7992</v>
      </c>
      <c r="B521" t="s">
        <v>10967</v>
      </c>
      <c r="C521" t="s">
        <v>7958</v>
      </c>
      <c r="D521" t="s">
        <v>1384</v>
      </c>
      <c r="E521" t="s">
        <v>8297</v>
      </c>
      <c r="F521" t="s">
        <v>10907</v>
      </c>
      <c r="G521" t="s">
        <v>10252</v>
      </c>
      <c r="H521" t="s">
        <v>10968</v>
      </c>
      <c r="I521" t="s">
        <v>10969</v>
      </c>
      <c r="J521" t="s">
        <v>8119</v>
      </c>
      <c r="N521" t="s">
        <v>8503</v>
      </c>
      <c r="O521" t="s">
        <v>10</v>
      </c>
      <c r="P521" t="s">
        <v>10916</v>
      </c>
      <c r="Q521">
        <v>0</v>
      </c>
      <c r="R521" t="s">
        <v>8129</v>
      </c>
      <c r="S521">
        <v>93</v>
      </c>
      <c r="T521">
        <v>94</v>
      </c>
      <c r="U521">
        <v>94</v>
      </c>
      <c r="V521">
        <v>95</v>
      </c>
      <c r="W521">
        <v>95</v>
      </c>
      <c r="X521">
        <v>95</v>
      </c>
      <c r="AH521">
        <v>0</v>
      </c>
      <c r="BP521">
        <v>93.5</v>
      </c>
      <c r="BQ521" s="594">
        <v>98.91</v>
      </c>
      <c r="BR521" t="s">
        <v>1979</v>
      </c>
      <c r="BS521" t="s">
        <v>8093</v>
      </c>
      <c r="BT521">
        <v>0</v>
      </c>
      <c r="BU521" t="s">
        <v>8093</v>
      </c>
      <c r="BV521">
        <v>0</v>
      </c>
      <c r="BW521">
        <v>99</v>
      </c>
      <c r="BX521" t="s">
        <v>1979</v>
      </c>
      <c r="BY521">
        <v>0</v>
      </c>
      <c r="BZ521">
        <v>0</v>
      </c>
      <c r="CA521">
        <v>0</v>
      </c>
      <c r="CB521">
        <v>0</v>
      </c>
      <c r="CD521" t="s">
        <v>10970</v>
      </c>
    </row>
    <row r="522" spans="1:82">
      <c r="A522" t="s">
        <v>7992</v>
      </c>
      <c r="B522" t="s">
        <v>10971</v>
      </c>
      <c r="C522" t="s">
        <v>7958</v>
      </c>
      <c r="D522" t="s">
        <v>8163</v>
      </c>
      <c r="E522" t="s">
        <v>8164</v>
      </c>
      <c r="F522" t="s">
        <v>10972</v>
      </c>
      <c r="G522" t="s">
        <v>10344</v>
      </c>
      <c r="H522" t="s">
        <v>10973</v>
      </c>
      <c r="I522" t="s">
        <v>10974</v>
      </c>
      <c r="J522" t="s">
        <v>8088</v>
      </c>
      <c r="K522" t="s">
        <v>8089</v>
      </c>
      <c r="M522" t="s">
        <v>1980</v>
      </c>
      <c r="N522" t="s">
        <v>8169</v>
      </c>
      <c r="O522" t="s">
        <v>8170</v>
      </c>
      <c r="P522" t="s">
        <v>8171</v>
      </c>
      <c r="Q522">
        <v>1</v>
      </c>
      <c r="R522" t="s">
        <v>8129</v>
      </c>
      <c r="S522">
        <v>82</v>
      </c>
      <c r="T522" t="s">
        <v>10975</v>
      </c>
      <c r="U522" t="s">
        <v>10976</v>
      </c>
      <c r="V522" t="s">
        <v>10977</v>
      </c>
      <c r="W522" t="s">
        <v>10978</v>
      </c>
      <c r="X522" t="s">
        <v>10979</v>
      </c>
      <c r="AH522">
        <v>0</v>
      </c>
      <c r="AI522" t="s">
        <v>1979</v>
      </c>
      <c r="AJ522" t="s">
        <v>1979</v>
      </c>
      <c r="AK522" t="s">
        <v>1979</v>
      </c>
      <c r="AL522" t="s">
        <v>1979</v>
      </c>
      <c r="AM522" t="s">
        <v>1979</v>
      </c>
      <c r="AN522" t="s">
        <v>8172</v>
      </c>
      <c r="AO522" t="s">
        <v>8172</v>
      </c>
      <c r="AP522" t="s">
        <v>8172</v>
      </c>
      <c r="AQ522" t="s">
        <v>8172</v>
      </c>
      <c r="AR522" t="s">
        <v>8172</v>
      </c>
      <c r="AS522" t="s">
        <v>8172</v>
      </c>
      <c r="AT522" t="s">
        <v>8172</v>
      </c>
      <c r="AU522" t="s">
        <v>8172</v>
      </c>
      <c r="AV522" t="s">
        <v>8172</v>
      </c>
      <c r="AW522" t="s">
        <v>8172</v>
      </c>
      <c r="AX522" t="s">
        <v>8172</v>
      </c>
      <c r="AY522" t="s">
        <v>8172</v>
      </c>
      <c r="AZ522" t="s">
        <v>8172</v>
      </c>
      <c r="BA522" t="s">
        <v>8172</v>
      </c>
      <c r="BB522" t="s">
        <v>8172</v>
      </c>
      <c r="BC522" t="s">
        <v>8172</v>
      </c>
      <c r="BD522" t="s">
        <v>8172</v>
      </c>
      <c r="BE522" t="s">
        <v>8172</v>
      </c>
      <c r="BF522" t="s">
        <v>8172</v>
      </c>
      <c r="BG522" t="s">
        <v>8172</v>
      </c>
      <c r="BH522" t="s">
        <v>8172</v>
      </c>
      <c r="BL522" t="s">
        <v>8172</v>
      </c>
      <c r="BN522">
        <v>1</v>
      </c>
      <c r="BO522" t="s">
        <v>8092</v>
      </c>
      <c r="BP522">
        <v>82</v>
      </c>
      <c r="BQ522" s="593">
        <v>82.6</v>
      </c>
      <c r="BR522" t="s">
        <v>1979</v>
      </c>
      <c r="BS522" t="s">
        <v>8093</v>
      </c>
      <c r="BT522">
        <v>0</v>
      </c>
      <c r="BU522" t="s">
        <v>8093</v>
      </c>
      <c r="BV522">
        <v>0</v>
      </c>
      <c r="BW522">
        <v>83.4</v>
      </c>
      <c r="BX522" t="s">
        <v>1979</v>
      </c>
      <c r="BY522">
        <v>0</v>
      </c>
      <c r="BZ522">
        <v>0</v>
      </c>
      <c r="CA522">
        <v>0</v>
      </c>
      <c r="CB522">
        <v>0</v>
      </c>
      <c r="CD522" t="s">
        <v>10980</v>
      </c>
    </row>
    <row r="523" spans="1:82">
      <c r="A523" t="s">
        <v>7992</v>
      </c>
      <c r="B523" t="s">
        <v>10981</v>
      </c>
      <c r="C523" t="s">
        <v>7958</v>
      </c>
      <c r="D523" t="s">
        <v>8163</v>
      </c>
      <c r="E523" t="s">
        <v>8164</v>
      </c>
      <c r="F523" t="s">
        <v>10972</v>
      </c>
      <c r="G523" t="s">
        <v>10349</v>
      </c>
      <c r="H523" t="s">
        <v>10982</v>
      </c>
      <c r="I523" t="s">
        <v>10983</v>
      </c>
      <c r="J523" t="s">
        <v>8119</v>
      </c>
      <c r="N523" t="s">
        <v>8274</v>
      </c>
      <c r="O523" t="s">
        <v>11</v>
      </c>
      <c r="P523" t="s">
        <v>10984</v>
      </c>
      <c r="Q523">
        <v>0</v>
      </c>
      <c r="R523" t="s">
        <v>8091</v>
      </c>
      <c r="S523">
        <v>15267</v>
      </c>
      <c r="X523" t="s">
        <v>10985</v>
      </c>
      <c r="AH523">
        <v>0</v>
      </c>
      <c r="BP523">
        <v>10610</v>
      </c>
      <c r="BQ523" s="609">
        <v>10567</v>
      </c>
      <c r="BR523" t="s">
        <v>8093</v>
      </c>
      <c r="BS523" t="s">
        <v>8093</v>
      </c>
      <c r="BT523">
        <v>0</v>
      </c>
      <c r="BU523" t="s">
        <v>8093</v>
      </c>
      <c r="BV523">
        <v>0</v>
      </c>
      <c r="BW523">
        <v>10356</v>
      </c>
      <c r="BX523" t="s">
        <v>1981</v>
      </c>
      <c r="BY523">
        <v>0</v>
      </c>
      <c r="BZ523">
        <v>0</v>
      </c>
      <c r="CA523">
        <v>0</v>
      </c>
      <c r="CB523">
        <v>0</v>
      </c>
      <c r="CD523" t="s">
        <v>10986</v>
      </c>
    </row>
    <row r="524" spans="1:82" ht="60">
      <c r="A524" t="s">
        <v>7992</v>
      </c>
      <c r="B524" t="s">
        <v>10987</v>
      </c>
      <c r="C524" t="s">
        <v>7958</v>
      </c>
      <c r="D524" t="s">
        <v>8163</v>
      </c>
      <c r="E524" t="s">
        <v>8164</v>
      </c>
      <c r="F524" t="s">
        <v>10972</v>
      </c>
      <c r="G524" t="s">
        <v>10354</v>
      </c>
      <c r="H524" t="s">
        <v>10988</v>
      </c>
      <c r="I524" t="s">
        <v>10989</v>
      </c>
      <c r="J524" t="s">
        <v>8119</v>
      </c>
      <c r="N524" t="s">
        <v>8274</v>
      </c>
      <c r="O524" t="s">
        <v>10</v>
      </c>
      <c r="P524" t="s">
        <v>10990</v>
      </c>
      <c r="Q524">
        <v>0</v>
      </c>
      <c r="R524" t="s">
        <v>8129</v>
      </c>
      <c r="X524" t="s">
        <v>10991</v>
      </c>
      <c r="AH524">
        <v>0</v>
      </c>
      <c r="BP524" t="s">
        <v>10992</v>
      </c>
      <c r="BQ524" s="606" t="s">
        <v>10993</v>
      </c>
      <c r="BR524" t="s">
        <v>8093</v>
      </c>
      <c r="BS524" t="s">
        <v>8093</v>
      </c>
      <c r="BT524">
        <v>0</v>
      </c>
      <c r="BU524" t="s">
        <v>8093</v>
      </c>
      <c r="BV524">
        <v>0</v>
      </c>
      <c r="BW524" t="s">
        <v>10994</v>
      </c>
      <c r="BX524" t="s">
        <v>1981</v>
      </c>
      <c r="BY524">
        <v>0</v>
      </c>
      <c r="BZ524">
        <v>0</v>
      </c>
      <c r="CA524">
        <v>0</v>
      </c>
      <c r="CB524">
        <v>0</v>
      </c>
      <c r="CD524" t="s">
        <v>10995</v>
      </c>
    </row>
    <row r="525" spans="1:82">
      <c r="A525" t="s">
        <v>7992</v>
      </c>
      <c r="B525" t="s">
        <v>10996</v>
      </c>
      <c r="C525" t="s">
        <v>7958</v>
      </c>
      <c r="D525" t="s">
        <v>8163</v>
      </c>
      <c r="E525" t="s">
        <v>8164</v>
      </c>
      <c r="F525" t="s">
        <v>10997</v>
      </c>
      <c r="G525" t="s">
        <v>10376</v>
      </c>
      <c r="H525" t="s">
        <v>10998</v>
      </c>
      <c r="I525" t="s">
        <v>10999</v>
      </c>
      <c r="J525" t="s">
        <v>8119</v>
      </c>
      <c r="N525" t="s">
        <v>8178</v>
      </c>
      <c r="O525" t="s">
        <v>10</v>
      </c>
      <c r="P525" t="s">
        <v>11000</v>
      </c>
      <c r="Q525">
        <v>2</v>
      </c>
      <c r="R525" t="s">
        <v>8091</v>
      </c>
      <c r="S525">
        <v>3.1</v>
      </c>
      <c r="T525">
        <v>3.16</v>
      </c>
      <c r="U525">
        <v>3.16</v>
      </c>
      <c r="V525">
        <v>3.16</v>
      </c>
      <c r="W525">
        <v>3.16</v>
      </c>
      <c r="X525">
        <v>3.16</v>
      </c>
      <c r="AH525">
        <v>0</v>
      </c>
      <c r="BP525">
        <v>3.18</v>
      </c>
      <c r="BQ525" s="595">
        <v>3.05</v>
      </c>
      <c r="BR525" t="s">
        <v>1979</v>
      </c>
      <c r="BS525" t="s">
        <v>8093</v>
      </c>
      <c r="BT525">
        <v>0</v>
      </c>
      <c r="BU525" t="s">
        <v>8093</v>
      </c>
      <c r="BV525">
        <v>0</v>
      </c>
      <c r="BW525">
        <v>2.94</v>
      </c>
      <c r="BX525" t="s">
        <v>1979</v>
      </c>
      <c r="BY525">
        <v>0</v>
      </c>
      <c r="BZ525">
        <v>0</v>
      </c>
      <c r="CA525">
        <v>0</v>
      </c>
      <c r="CB525">
        <v>0</v>
      </c>
      <c r="CD525" t="s">
        <v>11001</v>
      </c>
    </row>
    <row r="526" spans="1:82">
      <c r="A526" t="s">
        <v>7992</v>
      </c>
      <c r="B526" t="s">
        <v>11002</v>
      </c>
      <c r="C526" t="s">
        <v>7958</v>
      </c>
      <c r="D526" t="s">
        <v>8163</v>
      </c>
      <c r="E526" t="s">
        <v>8164</v>
      </c>
      <c r="F526" t="s">
        <v>10997</v>
      </c>
      <c r="G526" t="s">
        <v>11003</v>
      </c>
      <c r="H526" t="s">
        <v>11004</v>
      </c>
      <c r="I526" t="s">
        <v>11005</v>
      </c>
      <c r="J526" t="s">
        <v>8119</v>
      </c>
      <c r="N526" t="s">
        <v>8178</v>
      </c>
      <c r="O526" t="s">
        <v>11</v>
      </c>
      <c r="P526" t="s">
        <v>11006</v>
      </c>
      <c r="Q526">
        <v>0</v>
      </c>
      <c r="T526" t="s">
        <v>11007</v>
      </c>
      <c r="U526" t="s">
        <v>11007</v>
      </c>
      <c r="V526" t="s">
        <v>11007</v>
      </c>
      <c r="W526" t="s">
        <v>11007</v>
      </c>
      <c r="X526" t="s">
        <v>11008</v>
      </c>
      <c r="AH526">
        <v>0</v>
      </c>
      <c r="BP526" t="s">
        <v>3323</v>
      </c>
      <c r="BQ526" s="606">
        <v>22735</v>
      </c>
      <c r="BR526" t="s">
        <v>8093</v>
      </c>
      <c r="BS526" t="s">
        <v>8093</v>
      </c>
      <c r="BT526">
        <v>0</v>
      </c>
      <c r="BU526" t="s">
        <v>8093</v>
      </c>
      <c r="BV526">
        <v>0</v>
      </c>
      <c r="BW526">
        <v>26902</v>
      </c>
      <c r="BX526" t="s">
        <v>1981</v>
      </c>
      <c r="BY526">
        <v>0</v>
      </c>
      <c r="BZ526">
        <v>0</v>
      </c>
      <c r="CA526">
        <v>0</v>
      </c>
      <c r="CB526">
        <v>0</v>
      </c>
      <c r="CD526" t="s">
        <v>11009</v>
      </c>
    </row>
    <row r="527" spans="1:82" ht="60">
      <c r="A527" t="s">
        <v>7992</v>
      </c>
      <c r="B527" t="s">
        <v>11010</v>
      </c>
      <c r="C527" t="s">
        <v>7958</v>
      </c>
      <c r="D527" t="s">
        <v>8163</v>
      </c>
      <c r="E527" t="s">
        <v>8164</v>
      </c>
      <c r="F527" t="s">
        <v>10997</v>
      </c>
      <c r="G527" t="s">
        <v>11011</v>
      </c>
      <c r="H527" t="s">
        <v>11012</v>
      </c>
      <c r="I527" t="s">
        <v>11013</v>
      </c>
      <c r="J527" t="s">
        <v>8119</v>
      </c>
      <c r="N527" t="s">
        <v>8178</v>
      </c>
      <c r="O527" t="s">
        <v>10</v>
      </c>
      <c r="P527" t="s">
        <v>11014</v>
      </c>
      <c r="Q527">
        <v>0</v>
      </c>
      <c r="R527" t="s">
        <v>8129</v>
      </c>
      <c r="X527" t="s">
        <v>11015</v>
      </c>
      <c r="AH527">
        <v>0</v>
      </c>
      <c r="BP527" t="s">
        <v>11016</v>
      </c>
      <c r="BQ527" s="606" t="s">
        <v>11017</v>
      </c>
      <c r="BR527" t="s">
        <v>8093</v>
      </c>
      <c r="BS527" t="s">
        <v>8093</v>
      </c>
      <c r="BT527">
        <v>0</v>
      </c>
      <c r="BU527" t="s">
        <v>8093</v>
      </c>
      <c r="BV527">
        <v>0</v>
      </c>
      <c r="BW527" t="s">
        <v>11018</v>
      </c>
      <c r="BX527" t="s">
        <v>1981</v>
      </c>
      <c r="BY527">
        <v>0</v>
      </c>
      <c r="BZ527">
        <v>0</v>
      </c>
      <c r="CA527">
        <v>0</v>
      </c>
      <c r="CB527">
        <v>0</v>
      </c>
      <c r="CD527" t="s">
        <v>11019</v>
      </c>
    </row>
    <row r="528" spans="1:82">
      <c r="A528" t="s">
        <v>7992</v>
      </c>
      <c r="B528" t="s">
        <v>11020</v>
      </c>
      <c r="C528" t="s">
        <v>7958</v>
      </c>
      <c r="D528" t="s">
        <v>8163</v>
      </c>
      <c r="E528" t="s">
        <v>8164</v>
      </c>
      <c r="F528" t="s">
        <v>10907</v>
      </c>
      <c r="G528" t="s">
        <v>10386</v>
      </c>
      <c r="H528" t="s">
        <v>11021</v>
      </c>
      <c r="I528" t="s">
        <v>11022</v>
      </c>
      <c r="J528" t="s">
        <v>8119</v>
      </c>
      <c r="N528" t="s">
        <v>8260</v>
      </c>
      <c r="O528" t="s">
        <v>10</v>
      </c>
      <c r="P528" t="s">
        <v>10910</v>
      </c>
      <c r="Q528">
        <v>0</v>
      </c>
      <c r="R528" t="s">
        <v>8129</v>
      </c>
      <c r="S528">
        <v>8</v>
      </c>
      <c r="T528">
        <v>12</v>
      </c>
      <c r="U528">
        <v>12</v>
      </c>
      <c r="V528">
        <v>12</v>
      </c>
      <c r="W528">
        <v>12</v>
      </c>
      <c r="X528">
        <v>12</v>
      </c>
      <c r="AH528">
        <v>0</v>
      </c>
      <c r="BP528">
        <v>12.26</v>
      </c>
      <c r="BQ528" s="594">
        <v>11.257999999999999</v>
      </c>
      <c r="BR528" t="s">
        <v>1980</v>
      </c>
      <c r="BS528" t="s">
        <v>8093</v>
      </c>
      <c r="BT528">
        <v>0</v>
      </c>
      <c r="BU528" t="s">
        <v>8093</v>
      </c>
      <c r="BV528">
        <v>0</v>
      </c>
      <c r="BW528">
        <v>10</v>
      </c>
      <c r="BX528" t="s">
        <v>1980</v>
      </c>
      <c r="BY528">
        <v>0</v>
      </c>
      <c r="BZ528">
        <v>0</v>
      </c>
      <c r="CA528">
        <v>0</v>
      </c>
      <c r="CB528">
        <v>0</v>
      </c>
      <c r="CD528" t="s">
        <v>11023</v>
      </c>
    </row>
    <row r="529" spans="1:82">
      <c r="A529" t="s">
        <v>7992</v>
      </c>
      <c r="B529" t="s">
        <v>11024</v>
      </c>
      <c r="C529" t="s">
        <v>7958</v>
      </c>
      <c r="D529" t="s">
        <v>8163</v>
      </c>
      <c r="E529" t="s">
        <v>8164</v>
      </c>
      <c r="F529" t="s">
        <v>10907</v>
      </c>
      <c r="G529" t="s">
        <v>10392</v>
      </c>
      <c r="H529" t="s">
        <v>11025</v>
      </c>
      <c r="I529" t="s">
        <v>11026</v>
      </c>
      <c r="J529" t="s">
        <v>8119</v>
      </c>
      <c r="N529" t="s">
        <v>8503</v>
      </c>
      <c r="O529" t="s">
        <v>10</v>
      </c>
      <c r="P529" t="s">
        <v>10916</v>
      </c>
      <c r="Q529">
        <v>0</v>
      </c>
      <c r="R529" t="s">
        <v>8129</v>
      </c>
      <c r="S529">
        <v>93</v>
      </c>
      <c r="T529">
        <v>94</v>
      </c>
      <c r="U529">
        <v>94</v>
      </c>
      <c r="V529">
        <v>95</v>
      </c>
      <c r="W529">
        <v>95</v>
      </c>
      <c r="X529">
        <v>95</v>
      </c>
      <c r="AH529">
        <v>0</v>
      </c>
      <c r="BP529">
        <v>93.5</v>
      </c>
      <c r="BQ529" s="594">
        <v>98.91</v>
      </c>
      <c r="BR529" t="s">
        <v>1979</v>
      </c>
      <c r="BS529" t="s">
        <v>8093</v>
      </c>
      <c r="BT529">
        <v>0</v>
      </c>
      <c r="BU529" t="s">
        <v>8093</v>
      </c>
      <c r="BV529">
        <v>0</v>
      </c>
      <c r="BW529">
        <v>99</v>
      </c>
      <c r="BX529" t="s">
        <v>1979</v>
      </c>
      <c r="BY529">
        <v>0</v>
      </c>
      <c r="BZ529">
        <v>0</v>
      </c>
      <c r="CA529">
        <v>0</v>
      </c>
      <c r="CB529">
        <v>0</v>
      </c>
      <c r="CD529" t="s">
        <v>11027</v>
      </c>
    </row>
  </sheetData>
  <sheetProtection algorithmName="SHA-512" hashValue="uxB+9ctUJ+b+eoqae1OJNBYowVmsU0I2zCWh3XoLTR7h4W1iWZ+GPS/AmDI4olAgP3K1qXZyhhRWC6jI956fbQ==" saltValue="GnYt3EHtDqfGmqbLvqQp1w==" spinCount="100000" sheet="1" objects="1" scenarios="1"/>
  <autoFilter ref="A2:CB529" xr:uid="{00000000-0009-0000-0000-000038000000}"/>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tabColor theme="4" tint="0.749992370372631"/>
    <pageSetUpPr fitToPage="1"/>
  </sheetPr>
  <dimension ref="A1:EI529"/>
  <sheetViews>
    <sheetView workbookViewId="0"/>
  </sheetViews>
  <sheetFormatPr defaultColWidth="9" defaultRowHeight="14.25"/>
  <cols>
    <col min="1" max="1" width="18.625" style="52" bestFit="1" customWidth="1"/>
    <col min="2" max="2" width="34.125" style="52" customWidth="1"/>
    <col min="6" max="6" width="11.125" bestFit="1" customWidth="1"/>
    <col min="7" max="7" width="13.625" bestFit="1" customWidth="1"/>
    <col min="8" max="8" width="17.625" style="47" bestFit="1" customWidth="1"/>
    <col min="9" max="9" width="29.125" style="47" customWidth="1"/>
    <col min="13" max="13" width="11" bestFit="1" customWidth="1"/>
    <col min="14" max="14" width="11" customWidth="1"/>
    <col min="15" max="15" width="15.125" style="47" bestFit="1" customWidth="1"/>
    <col min="16" max="16" width="27.625" style="47" customWidth="1"/>
    <col min="22" max="22" width="15.625" style="47" bestFit="1" customWidth="1"/>
    <col min="23" max="23" width="24.5" style="47" customWidth="1"/>
    <col min="29" max="29" width="17.625" style="47" bestFit="1" customWidth="1"/>
    <col min="30" max="30" width="31.625" style="47" customWidth="1"/>
    <col min="32" max="32" width="19.125" customWidth="1"/>
    <col min="36" max="36" width="15.125" style="47" bestFit="1" customWidth="1"/>
    <col min="37" max="37" width="20.625" style="47" bestFit="1" customWidth="1"/>
    <col min="43" max="43" width="15.625" style="47" bestFit="1" customWidth="1"/>
    <col min="44" max="44" width="68.125" style="47" bestFit="1" customWidth="1"/>
    <col min="50" max="50" width="15.125" style="47" bestFit="1" customWidth="1"/>
    <col min="51" max="51" width="29" style="47" customWidth="1"/>
    <col min="57" max="57" width="17.125" style="47" customWidth="1"/>
    <col min="58" max="58" width="27.5" style="47" customWidth="1"/>
    <col min="64" max="64" width="14.125" style="47" bestFit="1" customWidth="1"/>
    <col min="65" max="65" width="25.625" style="47" bestFit="1" customWidth="1"/>
    <col min="71" max="71" width="15.625" style="47" bestFit="1" customWidth="1"/>
    <col min="72" max="72" width="43.125" style="47" bestFit="1" customWidth="1"/>
    <col min="78" max="78" width="17.5" style="47" bestFit="1" customWidth="1"/>
    <col min="79" max="79" width="42.125" style="47" customWidth="1"/>
    <col min="85" max="85" width="18" style="47" bestFit="1" customWidth="1"/>
    <col min="86" max="86" width="42.125" style="47" customWidth="1"/>
    <col min="92" max="92" width="17.125" style="47" bestFit="1" customWidth="1"/>
    <col min="93" max="93" width="56.125" style="47" customWidth="1"/>
    <col min="98" max="98" width="10.125" bestFit="1" customWidth="1"/>
    <col min="99" max="99" width="14.125" style="47" bestFit="1" customWidth="1"/>
    <col min="100" max="100" width="40.625" style="47" bestFit="1" customWidth="1"/>
    <col min="106" max="106" width="15.625" style="47" bestFit="1" customWidth="1"/>
    <col min="107" max="107" width="72.625" style="47" bestFit="1" customWidth="1"/>
    <col min="113" max="113" width="17.125" style="47" bestFit="1" customWidth="1"/>
    <col min="114" max="114" width="36.125" style="47" bestFit="1" customWidth="1"/>
    <col min="120" max="120" width="9" style="47"/>
    <col min="121" max="121" width="33" style="47" customWidth="1"/>
    <col min="122" max="122" width="7.125" style="47" bestFit="1" customWidth="1"/>
    <col min="123" max="123" width="7.125" style="47" customWidth="1"/>
    <col min="124" max="138" width="9" style="47"/>
    <col min="140" max="16384" width="9" style="47"/>
  </cols>
  <sheetData>
    <row r="1" spans="1:126" ht="26.25" customHeight="1">
      <c r="A1" s="50" t="s">
        <v>1955</v>
      </c>
      <c r="B1" s="50" t="s">
        <v>1956</v>
      </c>
    </row>
    <row r="2" spans="1:126" s="51" customFormat="1" ht="12.75">
      <c r="A2" s="51" t="s">
        <v>8081</v>
      </c>
      <c r="B2" s="51" t="str">
        <f xml:space="preserve"> A2 &amp; "PC"</f>
        <v>AFWPC</v>
      </c>
      <c r="C2" s="51" t="str">
        <f xml:space="preserve"> A2 &amp; "Unit"</f>
        <v>AFWUnit</v>
      </c>
      <c r="D2" s="51" t="str">
        <f xml:space="preserve"> A2 &amp; "UnitDes"</f>
        <v>AFWUnitDes</v>
      </c>
      <c r="E2" s="51" t="s">
        <v>11028</v>
      </c>
      <c r="F2" s="51" t="str">
        <f xml:space="preserve"> A2 &amp; 'PC LIST'!$J$2</f>
        <v>AFWODI type</v>
      </c>
      <c r="G2" s="51" t="str">
        <f xml:space="preserve"> A2 &amp; "201617Actual"</f>
        <v>AFW201617Actual</v>
      </c>
      <c r="H2" s="51" t="s">
        <v>7961</v>
      </c>
      <c r="I2" s="51" t="str">
        <f>H2&amp;"PC"</f>
        <v>ANHPC</v>
      </c>
      <c r="J2" s="51" t="str">
        <f xml:space="preserve"> H2 &amp; "Unit"</f>
        <v>ANHUnit</v>
      </c>
      <c r="K2" s="51" t="str">
        <f xml:space="preserve"> H2 &amp; "UnitDes"</f>
        <v>ANHUnitDes</v>
      </c>
      <c r="L2" s="51" t="s">
        <v>11029</v>
      </c>
      <c r="M2" s="51" t="str">
        <f xml:space="preserve"> H2 &amp; 'PC LIST'!$J$2</f>
        <v>ANHODI type</v>
      </c>
      <c r="N2" s="51" t="str">
        <f xml:space="preserve"> H2 &amp; "201617Actual"</f>
        <v>ANH201617Actual</v>
      </c>
      <c r="O2" s="51" t="s">
        <v>8419</v>
      </c>
      <c r="P2" s="51" t="str">
        <f>O2&amp;"PC"</f>
        <v>BRLPC</v>
      </c>
      <c r="Q2" s="51" t="str">
        <f xml:space="preserve"> O2 &amp; "Unit"</f>
        <v>BRLUnit</v>
      </c>
      <c r="R2" s="51" t="str">
        <f xml:space="preserve"> O2 &amp; "UnitDes"</f>
        <v>BRLUnitDes</v>
      </c>
      <c r="S2" s="51" t="s">
        <v>11030</v>
      </c>
      <c r="T2" s="51" t="str">
        <f xml:space="preserve"> O2 &amp; 'PC LIST'!$J$2</f>
        <v>BRLODI type</v>
      </c>
      <c r="U2" s="51" t="str">
        <f xml:space="preserve"> O2 &amp; "201617Actual"</f>
        <v>BRL201617Actual</v>
      </c>
      <c r="V2" s="51" t="s">
        <v>8550</v>
      </c>
      <c r="W2" s="51" t="str">
        <f>V2&amp;"PC"</f>
        <v>DVWPC</v>
      </c>
      <c r="X2" s="51" t="str">
        <f xml:space="preserve"> V2 &amp; "Unit"</f>
        <v>DVWUnit</v>
      </c>
      <c r="Y2" s="51" t="str">
        <f xml:space="preserve"> V2 &amp; "UnitDes"</f>
        <v>DVWUnitDes</v>
      </c>
      <c r="Z2" s="51" t="s">
        <v>11031</v>
      </c>
      <c r="AA2" s="51" t="str">
        <f xml:space="preserve"> V2 &amp; 'PC LIST'!$J$2</f>
        <v>DVWODI type</v>
      </c>
      <c r="AB2" s="51" t="str">
        <f xml:space="preserve"> V2 &amp; "201617Actual"</f>
        <v>DVW201617Actual</v>
      </c>
      <c r="AC2" s="51" t="s">
        <v>7968</v>
      </c>
      <c r="AD2" s="51" t="str">
        <f>AC2&amp;"PC"</f>
        <v>NESPC</v>
      </c>
      <c r="AE2" s="51" t="str">
        <f xml:space="preserve"> AC2 &amp; "Unit"</f>
        <v>NESUnit</v>
      </c>
      <c r="AF2" s="51" t="str">
        <f xml:space="preserve"> AC2 &amp; "UnitDes"</f>
        <v>NESUnitDes</v>
      </c>
      <c r="AG2" s="51" t="s">
        <v>11032</v>
      </c>
      <c r="AH2" s="51" t="str">
        <f xml:space="preserve"> AC2 &amp; 'PC LIST'!$J$2</f>
        <v>NESODI type</v>
      </c>
      <c r="AI2" s="51" t="str">
        <f xml:space="preserve"> AC2 &amp; "201617Actual"</f>
        <v>NES201617Actual</v>
      </c>
      <c r="AJ2" s="51" t="s">
        <v>8942</v>
      </c>
      <c r="AK2" s="51" t="str">
        <f>AJ2&amp;"PC"</f>
        <v>PRTPC</v>
      </c>
      <c r="AL2" s="51" t="str">
        <f xml:space="preserve"> AJ2 &amp; "Unit"</f>
        <v>PRTUnit</v>
      </c>
      <c r="AM2" s="51" t="str">
        <f xml:space="preserve"> AJ2 &amp; "UnitDes"</f>
        <v>PRTUnitDes</v>
      </c>
      <c r="AN2" s="51" t="s">
        <v>11033</v>
      </c>
      <c r="AO2" s="51" t="str">
        <f xml:space="preserve"> AJ2 &amp; 'PC LIST'!$J$2</f>
        <v>PRTODI type</v>
      </c>
      <c r="AP2" s="51" t="str">
        <f xml:space="preserve"> AJ2 &amp; "201617Actual"</f>
        <v>PRT201617Actual</v>
      </c>
      <c r="AQ2" s="51" t="s">
        <v>9021</v>
      </c>
      <c r="AR2" s="51" t="str">
        <f>AQ2&amp;"PC"</f>
        <v>SBWPC</v>
      </c>
      <c r="AS2" s="51" t="str">
        <f xml:space="preserve"> AQ2 &amp; "Unit"</f>
        <v>SBWUnit</v>
      </c>
      <c r="AT2" s="51" t="str">
        <f xml:space="preserve"> AQ2 &amp; "UnitDes"</f>
        <v>SBWUnitDes</v>
      </c>
      <c r="AU2" s="51" t="s">
        <v>11034</v>
      </c>
      <c r="AV2" s="51" t="str">
        <f xml:space="preserve"> AQ2 &amp; 'PC LIST'!$J$2</f>
        <v>SBWODI type</v>
      </c>
      <c r="AW2" s="51" t="str">
        <f xml:space="preserve"> AQ2 &amp; "201617Actual"</f>
        <v>SBW201617Actual</v>
      </c>
      <c r="AX2" s="51" t="s">
        <v>9104</v>
      </c>
      <c r="AY2" s="51" t="str">
        <f>AX2&amp;"PC"</f>
        <v>SESPC</v>
      </c>
      <c r="AZ2" s="51" t="str">
        <f xml:space="preserve"> AX2 &amp; "Unit"</f>
        <v>SESUnit</v>
      </c>
      <c r="BA2" s="51" t="str">
        <f xml:space="preserve"> AX2 &amp; "UnitDes"</f>
        <v>SESUnitDes</v>
      </c>
      <c r="BB2" s="51" t="s">
        <v>11035</v>
      </c>
      <c r="BC2" s="51" t="str">
        <f xml:space="preserve"> AX2 &amp; 'PC LIST'!$J$2</f>
        <v>SESODI type</v>
      </c>
      <c r="BD2" s="51" t="str">
        <f xml:space="preserve"> AX2 &amp; "201617Actual"</f>
        <v>SES201617Actual</v>
      </c>
      <c r="BE2" s="51" t="s">
        <v>9211</v>
      </c>
      <c r="BF2" s="51" t="str">
        <f>BE2&amp;"PC"</f>
        <v>SEWPC</v>
      </c>
      <c r="BG2" s="51" t="str">
        <f xml:space="preserve"> BE2 &amp; "Unit"</f>
        <v>SEWUnit</v>
      </c>
      <c r="BH2" s="51" t="str">
        <f xml:space="preserve"> BE2 &amp; "UnitDes"</f>
        <v>SEWUnitDes</v>
      </c>
      <c r="BI2" s="51" t="s">
        <v>11036</v>
      </c>
      <c r="BJ2" s="51" t="str">
        <f xml:space="preserve"> BE2 &amp; 'PC LIST'!$J$2</f>
        <v>SEWODI type</v>
      </c>
      <c r="BK2" s="51" t="str">
        <f xml:space="preserve"> BE2 &amp; "201617Actual"</f>
        <v>SEW201617Actual</v>
      </c>
      <c r="BL2" s="51" t="s">
        <v>7981</v>
      </c>
      <c r="BM2" s="51" t="str">
        <f>BL2&amp;"PC"</f>
        <v>SRNPC</v>
      </c>
      <c r="BN2" s="51" t="str">
        <f xml:space="preserve"> BL2 &amp; "Unit"</f>
        <v>SRNUnit</v>
      </c>
      <c r="BO2" s="51" t="str">
        <f xml:space="preserve"> BL2 &amp; "UnitDes"</f>
        <v>SRNUnitDes</v>
      </c>
      <c r="BP2" s="51" t="s">
        <v>11037</v>
      </c>
      <c r="BQ2" s="51" t="str">
        <f xml:space="preserve"> BL2 &amp; 'PC LIST'!$J$2</f>
        <v>SRNODI type</v>
      </c>
      <c r="BR2" s="51" t="str">
        <f xml:space="preserve"> BL2 &amp; "201617Actual"</f>
        <v>SRN201617Actual</v>
      </c>
      <c r="BS2" s="51" t="s">
        <v>9528</v>
      </c>
      <c r="BT2" s="51" t="str">
        <f>BS2&amp;"PC"</f>
        <v>SSCPC</v>
      </c>
      <c r="BU2" s="51" t="str">
        <f xml:space="preserve"> BS2 &amp; "Unit"</f>
        <v>SSCUnit</v>
      </c>
      <c r="BV2" s="51" t="str">
        <f xml:space="preserve"> BS2 &amp; "UnitDes"</f>
        <v>SSCUnitDes</v>
      </c>
      <c r="BW2" s="51" t="str">
        <f xml:space="preserve"> BS2 &amp; "DP"</f>
        <v>SSCDP</v>
      </c>
      <c r="BX2" s="51" t="str">
        <f xml:space="preserve"> BS2 &amp; 'PC LIST'!$J$2</f>
        <v>SSCODI type</v>
      </c>
      <c r="BY2" s="51" t="str">
        <f xml:space="preserve"> BS2 &amp; "201617Actual"</f>
        <v>SSC201617Actual</v>
      </c>
      <c r="BZ2" s="51" t="s">
        <v>7971</v>
      </c>
      <c r="CA2" s="51" t="str">
        <f>BZ2&amp;"PC"</f>
        <v>SVTPC</v>
      </c>
      <c r="CB2" s="51" t="str">
        <f xml:space="preserve"> BZ2 &amp; "Unit"</f>
        <v>SVTUnit</v>
      </c>
      <c r="CC2" s="51" t="str">
        <f xml:space="preserve"> BZ2 &amp; "UnitDes"</f>
        <v>SVTUnitDes</v>
      </c>
      <c r="CD2" s="51" t="s">
        <v>11038</v>
      </c>
      <c r="CE2" s="51" t="str">
        <f xml:space="preserve"> BZ2 &amp; 'PC LIST'!$J$2</f>
        <v>SVTODI type</v>
      </c>
      <c r="CF2" s="51" t="str">
        <f xml:space="preserve"> BZ2 &amp; "201617Actual"</f>
        <v>SVT201617Actual</v>
      </c>
      <c r="CG2" s="51" t="s">
        <v>7977</v>
      </c>
      <c r="CH2" s="51" t="str">
        <f>CG2&amp;"PC"</f>
        <v>SWTPC</v>
      </c>
      <c r="CI2" s="51" t="str">
        <f xml:space="preserve"> CG2 &amp; "Unit"</f>
        <v>SWTUnit</v>
      </c>
      <c r="CJ2" s="51" t="str">
        <f xml:space="preserve"> CG2 &amp; "UnitDes"</f>
        <v>SWTUnitDes</v>
      </c>
      <c r="CK2" s="51" t="s">
        <v>11039</v>
      </c>
      <c r="CL2" s="51" t="str">
        <f xml:space="preserve"> CG2 &amp; 'PC LIST'!$J$2</f>
        <v>SWTODI type</v>
      </c>
      <c r="CM2" s="51" t="str">
        <f xml:space="preserve"> CG2 &amp; "201617Actual"</f>
        <v>SWT201617Actual</v>
      </c>
      <c r="CN2" s="51" t="s">
        <v>7983</v>
      </c>
      <c r="CO2" s="51" t="str">
        <f>CN2&amp;"PC"</f>
        <v>TMSPC</v>
      </c>
      <c r="CP2" s="51" t="str">
        <f xml:space="preserve"> CN2 &amp; "Unit"</f>
        <v>TMSUnit</v>
      </c>
      <c r="CQ2" s="51" t="str">
        <f xml:space="preserve"> CN2 &amp; "UnitDes"</f>
        <v>TMSUnitDes</v>
      </c>
      <c r="CR2" s="51" t="s">
        <v>11040</v>
      </c>
      <c r="CS2" s="51" t="str">
        <f xml:space="preserve"> CN2 &amp; 'PC LIST'!$J$2</f>
        <v>TMSODI type</v>
      </c>
      <c r="CT2" s="51" t="str">
        <f xml:space="preserve"> CN2 &amp; "201617Actual"</f>
        <v>TMS201617Actual</v>
      </c>
      <c r="CU2" s="51" t="s">
        <v>7986</v>
      </c>
      <c r="CV2" s="51" t="str">
        <f>CU2&amp;"PC"</f>
        <v>NWTPC</v>
      </c>
      <c r="CW2" s="51" t="str">
        <f xml:space="preserve"> CU2 &amp; "Unit"</f>
        <v>NWTUnit</v>
      </c>
      <c r="CX2" s="51" t="str">
        <f xml:space="preserve"> CU2 &amp; "UnitDes"</f>
        <v>NWTUnitDes</v>
      </c>
      <c r="CY2" s="51" t="s">
        <v>11041</v>
      </c>
      <c r="CZ2" s="51" t="str">
        <f xml:space="preserve"> CU2 &amp; 'PC LIST'!$J$2</f>
        <v>NWTODI type</v>
      </c>
      <c r="DA2" s="51" t="str">
        <f xml:space="preserve"> CU2 &amp; "201617Actual"</f>
        <v>NWT201617Actual</v>
      </c>
      <c r="DB2" s="51" t="s">
        <v>7965</v>
      </c>
      <c r="DC2" s="51" t="str">
        <f>DB2&amp;"PC"</f>
        <v>WSHPC</v>
      </c>
      <c r="DD2" s="51" t="str">
        <f xml:space="preserve"> DB2 &amp; "Unit"</f>
        <v>WSHUnit</v>
      </c>
      <c r="DE2" s="51" t="str">
        <f xml:space="preserve"> DB2 &amp; "UnitDes"</f>
        <v>WSHUnitDes</v>
      </c>
      <c r="DF2" s="51" t="s">
        <v>11042</v>
      </c>
      <c r="DG2" s="51" t="str">
        <f xml:space="preserve"> DB2 &amp; 'PC LIST'!$J$2</f>
        <v>WSHODI type</v>
      </c>
      <c r="DH2" s="51" t="str">
        <f xml:space="preserve"> DB2 &amp; "201617Actual"</f>
        <v>WSH201617Actual</v>
      </c>
      <c r="DI2" s="51" t="s">
        <v>7989</v>
      </c>
      <c r="DJ2" s="51" t="s">
        <v>11043</v>
      </c>
      <c r="DK2" s="51" t="str">
        <f xml:space="preserve"> DI2 &amp; "Unit"</f>
        <v>WSXUnit</v>
      </c>
      <c r="DL2" s="51" t="str">
        <f xml:space="preserve"> DI2 &amp; "UnitDes"</f>
        <v>WSXUnitDes</v>
      </c>
      <c r="DM2" s="51" t="s">
        <v>11044</v>
      </c>
      <c r="DN2" s="51" t="str">
        <f xml:space="preserve"> DI2 &amp; 'PC LIST'!$J$2</f>
        <v>WSXODI type</v>
      </c>
      <c r="DO2" s="51" t="str">
        <f xml:space="preserve"> DI2 &amp; "201617Actual"</f>
        <v>WSX201617Actual</v>
      </c>
      <c r="DP2" s="51" t="s">
        <v>7992</v>
      </c>
      <c r="DQ2" s="51" t="str">
        <f>DP2&amp;"PC"</f>
        <v>YKYPC</v>
      </c>
      <c r="DR2" s="51" t="str">
        <f xml:space="preserve"> DP2 &amp; "Unit"</f>
        <v>YKYUnit</v>
      </c>
      <c r="DS2" s="51" t="str">
        <f xml:space="preserve"> DP2 &amp; "UnitDes"</f>
        <v>YKYUnitDes</v>
      </c>
      <c r="DT2" s="51" t="s">
        <v>11045</v>
      </c>
      <c r="DU2" s="51" t="str">
        <f xml:space="preserve"> DP2 &amp; 'PC LIST'!$J$2</f>
        <v>YKYODI type</v>
      </c>
      <c r="DV2" s="51" t="str">
        <f xml:space="preserve"> DP2 &amp; "201617Actual"</f>
        <v>YKY201617Actual</v>
      </c>
    </row>
    <row r="3" spans="1:126" ht="15.75" customHeight="1">
      <c r="A3" s="52" t="str">
        <f>'PC LIST'!B3</f>
        <v>PR14AFWWSW_W-A1</v>
      </c>
      <c r="B3" s="52" t="str">
        <f>'PC LIST'!I3</f>
        <v>W-A1: Leakage</v>
      </c>
      <c r="C3" s="52" t="str">
        <f>'PC LIST'!O3</f>
        <v>nr</v>
      </c>
      <c r="D3" s="52" t="str">
        <f>'PC LIST'!P3</f>
        <v>Megalitres per day (Ml/d)</v>
      </c>
      <c r="E3" s="52">
        <f>'PC LIST'!Q3</f>
        <v>1</v>
      </c>
      <c r="F3" s="52" t="str">
        <f>'PC LIST'!J3</f>
        <v>Out &amp; under</v>
      </c>
      <c r="G3" s="52">
        <f>'PC LIST'!BW3</f>
        <v>172.99</v>
      </c>
      <c r="H3" s="52" t="str">
        <f>'PC LIST'!B16</f>
        <v>PR14ANHWSW_W-A2</v>
      </c>
      <c r="I3" s="52" t="str">
        <f>'PC LIST'!I16</f>
        <v>W-A2: Water supply interruptions</v>
      </c>
      <c r="J3" s="52" t="str">
        <f>'PC LIST'!O16</f>
        <v>time</v>
      </c>
      <c r="K3" s="52" t="str">
        <f>'PC LIST'!P16</f>
        <v>Minutes / property / year</v>
      </c>
      <c r="L3" s="52">
        <f>'PC LIST'!Q16</f>
        <v>2</v>
      </c>
      <c r="M3" s="52" t="str">
        <f>'PC LIST'!J16</f>
        <v>Out &amp; under</v>
      </c>
      <c r="N3" s="610">
        <f>'PC LIST'!BW16</f>
        <v>11.72</v>
      </c>
      <c r="O3" s="52" t="str">
        <f>'PC LIST'!B55</f>
        <v>PR14BRLWSW_A1</v>
      </c>
      <c r="P3" s="52" t="str">
        <f>'PC LIST'!I55</f>
        <v>A1: Unplanned customer minutes lost</v>
      </c>
      <c r="Q3" s="52" t="str">
        <f>'PC LIST'!O55</f>
        <v>time</v>
      </c>
      <c r="R3" s="52" t="str">
        <f>'PC LIST'!P55</f>
        <v>Minutes / property / year</v>
      </c>
      <c r="S3" s="52">
        <f>'PC LIST'!Q55</f>
        <v>1</v>
      </c>
      <c r="T3" s="52" t="str">
        <f>'PC LIST'!J55</f>
        <v>Out &amp; under</v>
      </c>
      <c r="U3" s="610">
        <f>'PC LIST'!BW55</f>
        <v>13.12</v>
      </c>
      <c r="V3" s="52" t="str">
        <f>'PC LIST'!B76</f>
        <v>PR14DVWWSW_A1</v>
      </c>
      <c r="W3" s="52" t="str">
        <f>'PC LIST'!I76</f>
        <v>A1: Discoloured water contacts</v>
      </c>
      <c r="X3" s="52" t="str">
        <f>'PC LIST'!O76</f>
        <v>nr</v>
      </c>
      <c r="Y3" s="52" t="str">
        <f>'PC LIST'!P76</f>
        <v>No. per 1,000 population</v>
      </c>
      <c r="Z3" s="52">
        <f>'PC LIST'!Q76</f>
        <v>2</v>
      </c>
      <c r="AA3" s="52" t="str">
        <f>'PC LIST'!J76</f>
        <v>Out &amp; under</v>
      </c>
      <c r="AB3" s="610">
        <f>'PC LIST'!BW76</f>
        <v>1.07</v>
      </c>
      <c r="AC3" s="52" t="str">
        <f>'PC LIST'!B89</f>
        <v>PR14NESWSW_W-A1</v>
      </c>
      <c r="AD3" s="53" t="str">
        <f>'PC LIST'!I89</f>
        <v>W-A1: Asset health measures - water</v>
      </c>
      <c r="AE3" s="53" t="str">
        <f>'PC LIST'!O89</f>
        <v>N/A</v>
      </c>
      <c r="AF3" s="53" t="str">
        <f>'PC LIST'!P89</f>
        <v>N/A (measured in separate PCs)</v>
      </c>
      <c r="AG3" s="52" t="str">
        <f>'PC LIST'!Q89</f>
        <v>na</v>
      </c>
      <c r="AH3" s="52" t="str">
        <f>'PC LIST'!J89</f>
        <v>NFI</v>
      </c>
      <c r="AI3" s="52" t="str">
        <f>'PC LIST'!BW89</f>
        <v>n/a</v>
      </c>
      <c r="AJ3" s="52" t="str">
        <f>'PC LIST'!B133</f>
        <v>PR14PRTWSW_A1</v>
      </c>
      <c r="AK3" s="52" t="str">
        <f>'PC LIST'!I133</f>
        <v>A1: Bursts</v>
      </c>
      <c r="AL3" s="52" t="str">
        <f>'PC LIST'!O133</f>
        <v>nr</v>
      </c>
      <c r="AM3" s="52" t="str">
        <f>'PC LIST'!P133</f>
        <v>No. of burst mains per year</v>
      </c>
      <c r="AN3" s="52">
        <f>'PC LIST'!Q133</f>
        <v>0</v>
      </c>
      <c r="AO3" s="52" t="str">
        <f>'PC LIST'!J133</f>
        <v>Out &amp; under</v>
      </c>
      <c r="AP3" s="611">
        <f>'PC LIST'!BW133</f>
        <v>298</v>
      </c>
      <c r="AQ3" s="52" t="str">
        <f>'PC LIST'!B146</f>
        <v>PR14SBWWSW_A1</v>
      </c>
      <c r="AR3" s="52" t="str">
        <f>'PC LIST'!I146</f>
        <v>A1: Customer contacts: taste and appearance (water quality contacts)</v>
      </c>
      <c r="AS3" s="52" t="str">
        <f>'PC LIST'!O146</f>
        <v>nr</v>
      </c>
      <c r="AT3" s="52" t="str">
        <f>'PC LIST'!P146</f>
        <v>No. per 1,000 population</v>
      </c>
      <c r="AU3" s="52">
        <f>'PC LIST'!Q146</f>
        <v>2</v>
      </c>
      <c r="AV3" s="52" t="str">
        <f>'PC LIST'!J146</f>
        <v>Under</v>
      </c>
      <c r="AW3" s="610">
        <f>'PC LIST'!BW146</f>
        <v>0.89</v>
      </c>
      <c r="AX3" s="52" t="str">
        <f>'PC LIST'!B161</f>
        <v>PR14SESWSW_A1</v>
      </c>
      <c r="AY3" s="52" t="str">
        <f>'PC LIST'!I161</f>
        <v>A1: Security of supply index (SoSI) dry year average</v>
      </c>
      <c r="AZ3" s="52" t="str">
        <f>'PC LIST'!O161</f>
        <v>score</v>
      </c>
      <c r="BA3" s="52" t="str">
        <f>'PC LIST'!P161</f>
        <v>Security of Supply Index (SOSI)</v>
      </c>
      <c r="BB3" s="52">
        <f>'PC LIST'!Q161</f>
        <v>0</v>
      </c>
      <c r="BC3" s="52" t="str">
        <f>'PC LIST'!J161</f>
        <v>Under</v>
      </c>
      <c r="BD3" s="611">
        <f>'PC LIST'!BW161</f>
        <v>100</v>
      </c>
      <c r="BE3" s="52" t="str">
        <f>'PC LIST'!B182</f>
        <v>PR14SEWWSW_A1</v>
      </c>
      <c r="BF3" s="52" t="str">
        <f>'PC LIST'!I182</f>
        <v>A1: Customer satisfaction - appearance of water</v>
      </c>
      <c r="BG3" s="52" t="str">
        <f>'PC LIST'!O182</f>
        <v>score</v>
      </c>
      <c r="BH3" s="52" t="str">
        <f>'PC LIST'!P182</f>
        <v>Customer satisfaction score out of 5</v>
      </c>
      <c r="BI3" s="52">
        <f>'PC LIST'!Q182</f>
        <v>1</v>
      </c>
      <c r="BJ3" s="52" t="str">
        <f>'PC LIST'!J182</f>
        <v>Out &amp; under</v>
      </c>
      <c r="BK3" s="52">
        <f>'PC LIST'!BW182</f>
        <v>4.5</v>
      </c>
      <c r="BL3" s="52" t="str">
        <f>'PC LIST'!B216</f>
        <v>PR14SRNWSW_1</v>
      </c>
      <c r="BM3" s="52" t="str">
        <f>'PC LIST'!I216</f>
        <v>1: Water asset health (mains bursts, TIM, WSW &amp; WSR coliform compliance, turbidity compliance)</v>
      </c>
      <c r="BN3" s="52" t="str">
        <f>'PC LIST'!O216</f>
        <v>category</v>
      </c>
      <c r="BO3" s="52" t="str">
        <f>'PC LIST'!P216</f>
        <v>Asset health indicator</v>
      </c>
      <c r="BP3" s="52" t="str">
        <f>'PC LIST'!Q216</f>
        <v>na</v>
      </c>
      <c r="BQ3" s="52" t="str">
        <f>'PC LIST'!J216</f>
        <v>Under</v>
      </c>
      <c r="BR3" s="52" t="str">
        <f>'PC LIST'!BW216</f>
        <v>Stable</v>
      </c>
      <c r="BS3" s="52" t="str">
        <f>'PC LIST'!B249</f>
        <v>PR14SSCWSW_1.1</v>
      </c>
      <c r="BT3" s="52" t="str">
        <f>'PC LIST'!I249</f>
        <v>1.1: Mean zonal compliance (MZC, combined company)</v>
      </c>
      <c r="BU3" s="52" t="str">
        <f>'PC LIST'!O249</f>
        <v>%</v>
      </c>
      <c r="BV3" s="52" t="str">
        <f>'PC LIST'!P249</f>
        <v>Mean zonal compliance (%)</v>
      </c>
      <c r="BW3" s="52">
        <f>'PC LIST'!Q249</f>
        <v>3</v>
      </c>
      <c r="BX3" s="52" t="str">
        <f>'PC LIST'!J249</f>
        <v>Under</v>
      </c>
      <c r="BY3" s="52">
        <f>'PC LIST'!BW249</f>
        <v>99.981700000000004</v>
      </c>
      <c r="BZ3" s="52" t="str">
        <f>'PC LIST'!B264</f>
        <v>PR14SVTWSW_W-A1</v>
      </c>
      <c r="CA3" s="52" t="str">
        <f>'PC LIST'!I264</f>
        <v>W-A1: Number of complaints about drinking water quality</v>
      </c>
      <c r="CB3" s="52" t="str">
        <f>'PC LIST'!O264</f>
        <v>nr</v>
      </c>
      <c r="CC3" s="52" t="str">
        <f>'PC LIST'!P264</f>
        <v>No. of water quality complaints</v>
      </c>
      <c r="CD3" s="52">
        <f>'PC LIST'!Q264</f>
        <v>0</v>
      </c>
      <c r="CE3" s="52" t="str">
        <f>'PC LIST'!J264</f>
        <v>Out &amp; under</v>
      </c>
      <c r="CF3" s="611">
        <f>'PC LIST'!BW264</f>
        <v>14461</v>
      </c>
      <c r="CG3" s="52" t="str">
        <f>'PC LIST'!B309</f>
        <v>PR14SWTWSW_W-A1</v>
      </c>
      <c r="CH3" s="54" t="str">
        <f>'PC LIST'!I309</f>
        <v>W-A1: Compliance with water quality standard</v>
      </c>
      <c r="CI3" s="54" t="str">
        <f>'PC LIST'!O309</f>
        <v>%</v>
      </c>
      <c r="CJ3" s="54" t="str">
        <f>'PC LIST'!P309</f>
        <v>Mean zonal compliance (%)</v>
      </c>
      <c r="CK3" s="52">
        <f>'PC LIST'!Q309</f>
        <v>2</v>
      </c>
      <c r="CL3" s="52" t="str">
        <f>'PC LIST'!J309</f>
        <v>Under</v>
      </c>
      <c r="CM3" s="610">
        <f>'PC LIST'!BW309</f>
        <v>99.96</v>
      </c>
      <c r="CN3" s="52" t="str">
        <f>'PC LIST'!B351</f>
        <v>PR14TMSWSW_WA1</v>
      </c>
      <c r="CO3" s="52" t="str">
        <f>'PC LIST'!I351</f>
        <v>WA1: Improve handling of written complaints by increasing 1st time resolution</v>
      </c>
      <c r="CP3" s="52" t="str">
        <f>'PC LIST'!O351</f>
        <v>%</v>
      </c>
      <c r="CQ3" s="52" t="str">
        <f>'PC LIST'!P351</f>
        <v>% written complaints resolved 1st time</v>
      </c>
      <c r="CR3" s="52">
        <f>'PC LIST'!Q351</f>
        <v>0</v>
      </c>
      <c r="CS3" s="52" t="str">
        <f>'PC LIST'!J351</f>
        <v>NFI</v>
      </c>
      <c r="CT3" s="52">
        <f>'PC LIST'!BW351</f>
        <v>95.63</v>
      </c>
      <c r="CU3" s="52" t="str">
        <f>'PC LIST'!B406</f>
        <v>PR14UUWSW_A1</v>
      </c>
      <c r="CV3" s="52" t="str">
        <f>'PC LIST'!I406</f>
        <v>A1: Drinking Water Safety Plan risk score</v>
      </c>
      <c r="CW3" s="52" t="str">
        <f>'PC LIST'!O406</f>
        <v>score</v>
      </c>
      <c r="CX3" s="52" t="str">
        <f>'PC LIST'!P406</f>
        <v>Drinking Water Safety Plan (DWSP) risk score</v>
      </c>
      <c r="CY3" s="52">
        <f>'PC LIST'!Q406</f>
        <v>1</v>
      </c>
      <c r="CZ3" s="52" t="str">
        <f>'PC LIST'!J406</f>
        <v>NFI</v>
      </c>
      <c r="DA3" s="52">
        <f>'PC LIST'!BW406</f>
        <v>4.3</v>
      </c>
      <c r="DB3" s="52" t="str">
        <f>'PC LIST'!B433</f>
        <v>PR14WSHWSW_A1</v>
      </c>
      <c r="DC3" s="52" t="str">
        <f>'PC LIST'!I433</f>
        <v>A1: Safety of drinking water</v>
      </c>
      <c r="DD3" s="52" t="str">
        <f>'PC LIST'!O433</f>
        <v>%</v>
      </c>
      <c r="DE3" s="52" t="str">
        <f>'PC LIST'!P433</f>
        <v>Mean zonal compliance (%)</v>
      </c>
      <c r="DF3" s="52">
        <f>'PC LIST'!Q433</f>
        <v>2</v>
      </c>
      <c r="DG3" s="52" t="str">
        <f>'PC LIST'!J433</f>
        <v>Under</v>
      </c>
      <c r="DH3" s="610">
        <f>'PC LIST'!BW433</f>
        <v>99.97</v>
      </c>
      <c r="DI3" s="52" t="str">
        <f>'PC LIST'!B464</f>
        <v>PR14WSXWSW_B4</v>
      </c>
      <c r="DJ3" s="52" t="str">
        <f>'PC LIST'!I464</f>
        <v>B4: Compliance with abstraction licences</v>
      </c>
      <c r="DK3" s="52" t="str">
        <f>'PC LIST'!O464</f>
        <v>%</v>
      </c>
      <c r="DL3" s="52" t="str">
        <f>'PC LIST'!P464</f>
        <v>% compliance with EA abstraction licences</v>
      </c>
      <c r="DM3" s="52">
        <f>'PC LIST'!Q464</f>
        <v>1</v>
      </c>
      <c r="DN3" s="52" t="str">
        <f>'PC LIST'!J464</f>
        <v>NFI</v>
      </c>
      <c r="DO3" s="52">
        <f>'PC LIST'!BW464</f>
        <v>100</v>
      </c>
      <c r="DP3" s="52" t="str">
        <f>'PC LIST'!B496</f>
        <v>PR14YKYWSW_WA1</v>
      </c>
      <c r="DQ3" s="52" t="str">
        <f>'PC LIST'!I496</f>
        <v>WA1: Drinking water quality</v>
      </c>
      <c r="DR3" s="52" t="str">
        <f>'PC LIST'!O496</f>
        <v>%</v>
      </c>
      <c r="DS3" s="52" t="str">
        <f>'PC LIST'!P496</f>
        <v>Mean zonal compliance (%)</v>
      </c>
      <c r="DT3" s="52">
        <f>'PC LIST'!Q496</f>
        <v>3</v>
      </c>
      <c r="DU3" s="52" t="str">
        <f>'PC LIST'!J496</f>
        <v>Under</v>
      </c>
      <c r="DV3" s="52">
        <f>'PC LIST'!BW496</f>
        <v>99.962000000000003</v>
      </c>
    </row>
    <row r="4" spans="1:126" ht="15.75" customHeight="1">
      <c r="A4" s="52" t="str">
        <f>'PC LIST'!B4</f>
        <v>PR14AFWWSW_W-A2</v>
      </c>
      <c r="B4" s="52" t="str">
        <f>'PC LIST'!I4</f>
        <v>W-A2: Average water use</v>
      </c>
      <c r="C4" s="52" t="str">
        <f>'PC LIST'!O4</f>
        <v>nr</v>
      </c>
      <c r="D4" s="52" t="str">
        <f>'PC LIST'!P4</f>
        <v>Litres per person per day (l/p/d)</v>
      </c>
      <c r="E4" s="52">
        <f>'PC LIST'!Q4</f>
        <v>1</v>
      </c>
      <c r="F4" s="52" t="str">
        <f>'PC LIST'!J4</f>
        <v>Under</v>
      </c>
      <c r="G4" s="52">
        <f>'PC LIST'!BW4</f>
        <v>159.69</v>
      </c>
      <c r="H4" s="52" t="str">
        <f>'PC LIST'!B17</f>
        <v>PR14ANHWSW_W-A3</v>
      </c>
      <c r="I4" s="52" t="str">
        <f>'PC LIST'!I17</f>
        <v>W-A3: Properties at risk of persistent low pressure</v>
      </c>
      <c r="J4" s="52" t="str">
        <f>'PC LIST'!O17</f>
        <v>nr</v>
      </c>
      <c r="K4" s="52" t="str">
        <f>'PC LIST'!P17</f>
        <v>No. of properties</v>
      </c>
      <c r="L4" s="52">
        <f>'PC LIST'!Q17</f>
        <v>0</v>
      </c>
      <c r="M4" s="52" t="str">
        <f>'PC LIST'!J17</f>
        <v>Out &amp; under</v>
      </c>
      <c r="N4" s="610">
        <f>'PC LIST'!BW17</f>
        <v>460</v>
      </c>
      <c r="O4" s="52" t="str">
        <f>'PC LIST'!B56</f>
        <v>PR14BRLWSW_A2</v>
      </c>
      <c r="P4" s="52" t="str">
        <f>'PC LIST'!I56</f>
        <v>A2: Asset reliability - infrastructure</v>
      </c>
      <c r="Q4" s="52" t="str">
        <f>'PC LIST'!O56</f>
        <v>category</v>
      </c>
      <c r="R4" s="52" t="str">
        <f>'PC LIST'!P56</f>
        <v>Asset health indicator</v>
      </c>
      <c r="S4" s="52" t="str">
        <f>'PC LIST'!Q56</f>
        <v>na</v>
      </c>
      <c r="T4" s="52" t="str">
        <f>'PC LIST'!J56</f>
        <v>Under</v>
      </c>
      <c r="U4" s="610" t="str">
        <f>'PC LIST'!BW56</f>
        <v>Stable</v>
      </c>
      <c r="V4" s="52" t="str">
        <f>'PC LIST'!B77</f>
        <v>PR14DVWWSW_A2</v>
      </c>
      <c r="W4" s="52" t="str">
        <f>'PC LIST'!I77</f>
        <v>A2: Mean zonal compliance (MZC)</v>
      </c>
      <c r="X4" s="52" t="str">
        <f>'PC LIST'!O77</f>
        <v>%</v>
      </c>
      <c r="Y4" s="52" t="str">
        <f>'PC LIST'!P77</f>
        <v>Mean zonal compliance (%)</v>
      </c>
      <c r="Z4" s="52">
        <f>'PC LIST'!Q77</f>
        <v>2</v>
      </c>
      <c r="AA4" s="52" t="str">
        <f>'PC LIST'!J77</f>
        <v>Under</v>
      </c>
      <c r="AB4" s="610">
        <f>'PC LIST'!BW77</f>
        <v>99.99</v>
      </c>
      <c r="AC4" s="52" t="str">
        <f>'PC LIST'!B90</f>
        <v>PR14NESWSW_W-B1</v>
      </c>
      <c r="AD4" s="53" t="str">
        <f>'PC LIST'!I90</f>
        <v>W-B1: Satisfaction with taste and odour of tap water</v>
      </c>
      <c r="AE4" s="53" t="str">
        <f>'PC LIST'!O90</f>
        <v>nr</v>
      </c>
      <c r="AF4" s="53" t="str">
        <f>'PC LIST'!P90</f>
        <v>No. of complaints per year</v>
      </c>
      <c r="AG4" s="52">
        <f>'PC LIST'!Q90</f>
        <v>0</v>
      </c>
      <c r="AH4" s="52" t="str">
        <f>'PC LIST'!J90</f>
        <v>Out &amp; under</v>
      </c>
      <c r="AI4" s="52">
        <f>'PC LIST'!BW90</f>
        <v>1229</v>
      </c>
      <c r="AJ4" s="52" t="str">
        <f>'PC LIST'!B134</f>
        <v>PR14PRTWSW_A2</v>
      </c>
      <c r="AK4" s="52" t="str">
        <f>'PC LIST'!I134</f>
        <v>A2: Water quality standards</v>
      </c>
      <c r="AL4" s="52" t="str">
        <f>'PC LIST'!O134</f>
        <v>%</v>
      </c>
      <c r="AM4" s="52" t="str">
        <f>'PC LIST'!P134</f>
        <v>Mean zonal compliance (%)</v>
      </c>
      <c r="AN4" s="52">
        <f>'PC LIST'!Q134</f>
        <v>2</v>
      </c>
      <c r="AO4" s="52" t="str">
        <f>'PC LIST'!J134</f>
        <v>Under</v>
      </c>
      <c r="AP4" s="611">
        <f>'PC LIST'!BW134</f>
        <v>99.99</v>
      </c>
      <c r="AQ4" s="52" t="str">
        <f>'PC LIST'!B147</f>
        <v>PR14SBWWSW_A2</v>
      </c>
      <c r="AR4" s="52" t="str">
        <f>'PC LIST'!I147</f>
        <v>A2: WS (WQ) regulation compliance - mean zonal compliance (compliance with DWI regulations)</v>
      </c>
      <c r="AS4" s="52" t="str">
        <f>'PC LIST'!O147</f>
        <v>%</v>
      </c>
      <c r="AT4" s="52" t="str">
        <f>'PC LIST'!P147</f>
        <v>Mean zonal compliance (%)</v>
      </c>
      <c r="AU4" s="52">
        <f>'PC LIST'!Q147</f>
        <v>2</v>
      </c>
      <c r="AV4" s="52" t="str">
        <f>'PC LIST'!J147</f>
        <v>Under</v>
      </c>
      <c r="AW4" s="610">
        <f>'PC LIST'!BW147</f>
        <v>99.98</v>
      </c>
      <c r="AX4" s="52" t="str">
        <f>'PC LIST'!B162</f>
        <v>PR14SESWSW_A2</v>
      </c>
      <c r="AY4" s="52" t="str">
        <f>'PC LIST'!I162</f>
        <v>A2: Security of supply index (SoSI) critical period</v>
      </c>
      <c r="AZ4" s="52" t="str">
        <f>'PC LIST'!O162</f>
        <v>score</v>
      </c>
      <c r="BA4" s="52" t="str">
        <f>'PC LIST'!P162</f>
        <v>Security of Supply Index (SOSI)</v>
      </c>
      <c r="BB4" s="52">
        <f>'PC LIST'!Q162</f>
        <v>0</v>
      </c>
      <c r="BC4" s="52" t="str">
        <f>'PC LIST'!J162</f>
        <v>NFI</v>
      </c>
      <c r="BD4" s="611">
        <f>'PC LIST'!BW162</f>
        <v>100</v>
      </c>
      <c r="BE4" s="52" t="str">
        <f>'PC LIST'!B183</f>
        <v>PR14SEWWSW_B1</v>
      </c>
      <c r="BF4" s="52" t="str">
        <f>'PC LIST'!I183</f>
        <v>B1: Customer satisfaction - taste and odour of water</v>
      </c>
      <c r="BG4" s="52" t="str">
        <f>'PC LIST'!O183</f>
        <v>score</v>
      </c>
      <c r="BH4" s="52" t="str">
        <f>'PC LIST'!P183</f>
        <v>Customer satisfaction score out of 5</v>
      </c>
      <c r="BI4" s="52">
        <f>'PC LIST'!Q183</f>
        <v>1</v>
      </c>
      <c r="BJ4" s="52" t="str">
        <f>'PC LIST'!J183</f>
        <v>Out &amp; under</v>
      </c>
      <c r="BK4" s="52">
        <f>'PC LIST'!BW183</f>
        <v>4.2</v>
      </c>
      <c r="BL4" s="52" t="str">
        <f>'PC LIST'!B217</f>
        <v>PR14SRNWSW_2</v>
      </c>
      <c r="BM4" s="52" t="str">
        <f>'PC LIST'!I217</f>
        <v>2: Water use restrictions</v>
      </c>
      <c r="BN4" s="52" t="str">
        <f>'PC LIST'!O217</f>
        <v>nr</v>
      </c>
      <c r="BO4" s="52" t="str">
        <f>'PC LIST'!P217</f>
        <v>No. of properties affected per ban</v>
      </c>
      <c r="BP4" s="52">
        <f>'PC LIST'!Q217</f>
        <v>0</v>
      </c>
      <c r="BQ4" s="52" t="str">
        <f>'PC LIST'!J217</f>
        <v>Under</v>
      </c>
      <c r="BR4" s="52">
        <f>'PC LIST'!BW217</f>
        <v>0</v>
      </c>
      <c r="BS4" s="52" t="str">
        <f>'PC LIST'!B250</f>
        <v>PR14SSCWSW_1.2</v>
      </c>
      <c r="BT4" s="52" t="str">
        <f>'PC LIST'!I250</f>
        <v>1.2: Acceptability of water to customers (combined company)</v>
      </c>
      <c r="BU4" s="52" t="str">
        <f>'PC LIST'!O250</f>
        <v>nr</v>
      </c>
      <c r="BV4" s="52" t="str">
        <f>'PC LIST'!P250</f>
        <v>No. of contacts per 1,000 population</v>
      </c>
      <c r="BW4" s="52">
        <f>'PC LIST'!Q250</f>
        <v>2</v>
      </c>
      <c r="BX4" s="52" t="str">
        <f>'PC LIST'!J250</f>
        <v>Out &amp; under</v>
      </c>
      <c r="BY4" s="52">
        <f>'PC LIST'!BW250</f>
        <v>1.6608000000000001</v>
      </c>
      <c r="BZ4" s="52" t="str">
        <f>'PC LIST'!B265</f>
        <v>PR14SVTWSW_W-A2</v>
      </c>
      <c r="CA4" s="52" t="str">
        <f>'PC LIST'!I265</f>
        <v>W-A2: Compliance with drinking water quality standards</v>
      </c>
      <c r="CB4" s="52" t="str">
        <f>'PC LIST'!O265</f>
        <v>%</v>
      </c>
      <c r="CC4" s="52" t="str">
        <f>'PC LIST'!P265</f>
        <v>Mean zonal compliance (%)</v>
      </c>
      <c r="CD4" s="52">
        <f>'PC LIST'!Q265</f>
        <v>3</v>
      </c>
      <c r="CE4" s="52" t="str">
        <f>'PC LIST'!J265</f>
        <v>Under</v>
      </c>
      <c r="CF4" s="611">
        <f>'PC LIST'!BW265</f>
        <v>99.944000000000003</v>
      </c>
      <c r="CG4" s="52" t="str">
        <f>'PC LIST'!B310</f>
        <v>PR14SWTWSW_W-A2</v>
      </c>
      <c r="CH4" s="54" t="str">
        <f>'PC LIST'!I310</f>
        <v>W-A2: Taste, smell and colour contacts</v>
      </c>
      <c r="CI4" s="54" t="str">
        <f>'PC LIST'!O310</f>
        <v>nr</v>
      </c>
      <c r="CJ4" s="54" t="str">
        <f>'PC LIST'!P310</f>
        <v>No. of contacts per 1,000 population</v>
      </c>
      <c r="CK4" s="52">
        <f>'PC LIST'!Q310</f>
        <v>2</v>
      </c>
      <c r="CL4" s="52" t="str">
        <f>'PC LIST'!J310</f>
        <v>Out &amp; under</v>
      </c>
      <c r="CM4" s="610">
        <f>'PC LIST'!BW310</f>
        <v>2.7</v>
      </c>
      <c r="CN4" s="52" t="str">
        <f>'PC LIST'!B352</f>
        <v>PR14TMSWSW_WA2</v>
      </c>
      <c r="CO4" s="52" t="str">
        <f>'PC LIST'!I352</f>
        <v>WA2: Number of written complaints per 10,000 connected properties</v>
      </c>
      <c r="CP4" s="52" t="str">
        <f>'PC LIST'!O352</f>
        <v>nr</v>
      </c>
      <c r="CQ4" s="52" t="str">
        <f>'PC LIST'!P352</f>
        <v>No. written complaints / 10,000 properties</v>
      </c>
      <c r="CR4" s="52">
        <f>'PC LIST'!Q352</f>
        <v>2</v>
      </c>
      <c r="CS4" s="52" t="str">
        <f>'PC LIST'!J352</f>
        <v>NFI</v>
      </c>
      <c r="CT4" s="52">
        <f>'PC LIST'!BW352</f>
        <v>9.1249206385227879</v>
      </c>
      <c r="CU4" s="52" t="str">
        <f>'PC LIST'!B407</f>
        <v>PR14UUWSW_A2</v>
      </c>
      <c r="CV4" s="52" t="str">
        <f>'PC LIST'!I407</f>
        <v>A2: Water quality events DWI category 3 or above</v>
      </c>
      <c r="CW4" s="52" t="str">
        <f>'PC LIST'!O407</f>
        <v>nr</v>
      </c>
      <c r="CX4" s="52" t="str">
        <f>'PC LIST'!P407</f>
        <v>No. water quality events DWI cat 3 or above</v>
      </c>
      <c r="CY4" s="52">
        <f>'PC LIST'!Q407</f>
        <v>0</v>
      </c>
      <c r="CZ4" s="52" t="str">
        <f>'PC LIST'!J407</f>
        <v>Under</v>
      </c>
      <c r="DA4" s="52">
        <f>'PC LIST'!BW407</f>
        <v>22</v>
      </c>
      <c r="DB4" s="52" t="str">
        <f>'PC LIST'!B434</f>
        <v>PR14WSHWSW_A2</v>
      </c>
      <c r="DC4" s="52" t="str">
        <f>'PC LIST'!I434</f>
        <v>A2: Customer acceptability (drinking water) - contacts per 1,000 population</v>
      </c>
      <c r="DD4" s="52" t="str">
        <f>'PC LIST'!O434</f>
        <v>nr</v>
      </c>
      <c r="DE4" s="52" t="str">
        <f>'PC LIST'!P434</f>
        <v>No. of contacts per 1,000 population</v>
      </c>
      <c r="DF4" s="52">
        <f>'PC LIST'!Q434</f>
        <v>2</v>
      </c>
      <c r="DG4" s="52" t="str">
        <f>'PC LIST'!J434</f>
        <v>Out &amp; under</v>
      </c>
      <c r="DH4" s="610">
        <f>'PC LIST'!BW434</f>
        <v>3.2</v>
      </c>
      <c r="DI4" s="52" t="str">
        <f>'PC LIST'!B465</f>
        <v>PR14WSXWSW_B5</v>
      </c>
      <c r="DJ4" s="52" t="str">
        <f>'PC LIST'!I465</f>
        <v>B5: Abstractions at Mere exported (follows principles of the AIM methodology)</v>
      </c>
      <c r="DK4" s="52" t="str">
        <f>'PC LIST'!O465</f>
        <v>nr</v>
      </c>
      <c r="DL4" s="52" t="str">
        <f>'PC LIST'!P465</f>
        <v>Megalitres per annum (Ml/a)</v>
      </c>
      <c r="DM4" s="52">
        <f>'PC LIST'!Q465</f>
        <v>0</v>
      </c>
      <c r="DN4" s="52" t="str">
        <f>'PC LIST'!J465</f>
        <v>Under</v>
      </c>
      <c r="DO4" s="52">
        <f>'PC LIST'!BW465</f>
        <v>341</v>
      </c>
      <c r="DP4" s="52" t="str">
        <f>'PC LIST'!B497</f>
        <v>PR14YKYWSW_WA2</v>
      </c>
      <c r="DQ4" s="52" t="str">
        <f>'PC LIST'!I497</f>
        <v>WA2: Significant drinking water events which require corrective action</v>
      </c>
      <c r="DR4" s="52" t="str">
        <f>'PC LIST'!O497</f>
        <v>nr</v>
      </c>
      <c r="DS4" s="52" t="str">
        <f>'PC LIST'!P497</f>
        <v>No. of corrective actions required by DWI with respect to potentially significant events notified</v>
      </c>
      <c r="DT4" s="52">
        <f>'PC LIST'!Q497</f>
        <v>0</v>
      </c>
      <c r="DU4" s="52" t="str">
        <f>'PC LIST'!J497</f>
        <v>NFI</v>
      </c>
      <c r="DV4" s="52">
        <f>'PC LIST'!BW497</f>
        <v>3</v>
      </c>
    </row>
    <row r="5" spans="1:126" ht="15.75" customHeight="1">
      <c r="A5" s="52" t="str">
        <f>'PC LIST'!B5</f>
        <v>PR14AFWWSW_W-A3</v>
      </c>
      <c r="B5" s="52" t="str">
        <f>'PC LIST'!I5</f>
        <v>W-A3: Water available for use</v>
      </c>
      <c r="C5" s="52" t="str">
        <f>'PC LIST'!O5</f>
        <v>nr</v>
      </c>
      <c r="D5" s="52" t="str">
        <f>'PC LIST'!P5</f>
        <v>Megalitres per day (Ml/d)</v>
      </c>
      <c r="E5" s="52">
        <f>'PC LIST'!Q5</f>
        <v>1</v>
      </c>
      <c r="F5" s="52" t="str">
        <f>'PC LIST'!J5</f>
        <v>Under</v>
      </c>
      <c r="G5" s="52">
        <f>'PC LIST'!BW5</f>
        <v>1153.02</v>
      </c>
      <c r="H5" s="52" t="str">
        <f>'PC LIST'!B18</f>
        <v>PR14ANHWSW_W-A4</v>
      </c>
      <c r="I5" s="52" t="str">
        <f>'PC LIST'!I18</f>
        <v>W-A4: Water quality contacts</v>
      </c>
      <c r="J5" s="52" t="str">
        <f>'PC LIST'!O18</f>
        <v>nr</v>
      </c>
      <c r="K5" s="52" t="str">
        <f>'PC LIST'!P18</f>
        <v>No. per 1,000 population</v>
      </c>
      <c r="L5" s="52">
        <f>'PC LIST'!Q18</f>
        <v>2</v>
      </c>
      <c r="M5" s="52" t="str">
        <f>'PC LIST'!J18</f>
        <v>Out &amp; under</v>
      </c>
      <c r="N5" s="610">
        <f>'PC LIST'!BW18</f>
        <v>1.38</v>
      </c>
      <c r="O5" s="52" t="str">
        <f>'PC LIST'!B57</f>
        <v>PR14BRLWSW_A3</v>
      </c>
      <c r="P5" s="52" t="str">
        <f>'PC LIST'!I57</f>
        <v>A3: Asset reliability - non-infrastructure</v>
      </c>
      <c r="Q5" s="52" t="str">
        <f>'PC LIST'!O57</f>
        <v>category</v>
      </c>
      <c r="R5" s="52" t="str">
        <f>'PC LIST'!P57</f>
        <v>Asset health indicator</v>
      </c>
      <c r="S5" s="52" t="str">
        <f>'PC LIST'!Q57</f>
        <v>na</v>
      </c>
      <c r="T5" s="52" t="str">
        <f>'PC LIST'!J57</f>
        <v>Under</v>
      </c>
      <c r="U5" s="610" t="str">
        <f>'PC LIST'!BW57</f>
        <v>Stable</v>
      </c>
      <c r="V5" s="52" t="str">
        <f>'PC LIST'!B78</f>
        <v>PR14DVWWSW_A3</v>
      </c>
      <c r="W5" s="52" t="str">
        <f>'PC LIST'!I78</f>
        <v>A3: Delivery of the outcomes of the Legacy water treatment works (south west Wrexham) major scheme</v>
      </c>
      <c r="X5" s="52" t="str">
        <f>'PC LIST'!O78</f>
        <v>text</v>
      </c>
      <c r="Y5" s="52" t="str">
        <f>'PC LIST'!P78</f>
        <v>Pass/fail (until completion)</v>
      </c>
      <c r="Z5" s="52" t="str">
        <f>'PC LIST'!Q78</f>
        <v>na</v>
      </c>
      <c r="AA5" s="52" t="str">
        <f>'PC LIST'!J78</f>
        <v>Under</v>
      </c>
      <c r="AB5" s="610" t="str">
        <f>'PC LIST'!BW78</f>
        <v>Pass</v>
      </c>
      <c r="AC5" s="52" t="str">
        <f>'PC LIST'!B91</f>
        <v>PR14NESWSW_W-B2</v>
      </c>
      <c r="AD5" s="53" t="str">
        <f>'PC LIST'!I91</f>
        <v>W-B2: Overall drinking water compliance (3-year average)</v>
      </c>
      <c r="AE5" s="53" t="str">
        <f>'PC LIST'!O91</f>
        <v>%</v>
      </c>
      <c r="AF5" s="53" t="str">
        <f>'PC LIST'!P91</f>
        <v>Mean zonal compliance (%)</v>
      </c>
      <c r="AG5" s="52">
        <f>'PC LIST'!Q91</f>
        <v>3</v>
      </c>
      <c r="AH5" s="52" t="str">
        <f>'PC LIST'!J91</f>
        <v>Under</v>
      </c>
      <c r="AI5" s="52">
        <f>'PC LIST'!BW91</f>
        <v>99.944000000000003</v>
      </c>
      <c r="AJ5" s="52" t="str">
        <f>'PC LIST'!B135</f>
        <v>PR14PRTWSW_A3</v>
      </c>
      <c r="AK5" s="52" t="str">
        <f>'PC LIST'!I135</f>
        <v>A3: Water quality contacts</v>
      </c>
      <c r="AL5" s="52" t="str">
        <f>'PC LIST'!O135</f>
        <v>nr</v>
      </c>
      <c r="AM5" s="52" t="str">
        <f>'PC LIST'!P135</f>
        <v>No. contacts per 1,000 population served</v>
      </c>
      <c r="AN5" s="52">
        <f>'PC LIST'!Q135</f>
        <v>3</v>
      </c>
      <c r="AO5" s="52" t="str">
        <f>'PC LIST'!J135</f>
        <v>Out &amp; under</v>
      </c>
      <c r="AP5" s="611">
        <f>'PC LIST'!BW135</f>
        <v>0.67</v>
      </c>
      <c r="AQ5" s="52" t="str">
        <f>'PC LIST'!B148</f>
        <v>PR14SBWWSW_B1</v>
      </c>
      <c r="AR5" s="52" t="str">
        <f>'PC LIST'!I148</f>
        <v>B1: Reduce leakage (to less than or equal to 20.00 Ml/d by 2020)</v>
      </c>
      <c r="AS5" s="52" t="str">
        <f>'PC LIST'!O148</f>
        <v>nr</v>
      </c>
      <c r="AT5" s="52" t="str">
        <f>'PC LIST'!P148</f>
        <v>Megalitres per day (Ml/d)</v>
      </c>
      <c r="AU5" s="52">
        <f>'PC LIST'!Q148</f>
        <v>2</v>
      </c>
      <c r="AV5" s="52" t="str">
        <f>'PC LIST'!J148</f>
        <v>Out &amp; under</v>
      </c>
      <c r="AW5" s="610">
        <f>'PC LIST'!BW148</f>
        <v>19</v>
      </c>
      <c r="AX5" s="52" t="str">
        <f>'PC LIST'!B163</f>
        <v>PR14SESWSW_A3</v>
      </c>
      <c r="AY5" s="52" t="str">
        <f>'PC LIST'!I163</f>
        <v>A3: Supply interruptions &gt;3 hours</v>
      </c>
      <c r="AZ5" s="52" t="str">
        <f>'PC LIST'!O163</f>
        <v>time</v>
      </c>
      <c r="BA5" s="52" t="str">
        <f>'PC LIST'!P163</f>
        <v>Hours / property / year</v>
      </c>
      <c r="BB5" s="52">
        <f>'PC LIST'!Q163</f>
        <v>2</v>
      </c>
      <c r="BC5" s="52" t="str">
        <f>'PC LIST'!J163</f>
        <v>Out &amp; under</v>
      </c>
      <c r="BD5" s="611">
        <f>'PC LIST'!BW163</f>
        <v>7.2999999999999995E-2</v>
      </c>
      <c r="BE5" s="52" t="str">
        <f>'PC LIST'!B184</f>
        <v>PR14SEWWSW_C1</v>
      </c>
      <c r="BF5" s="52" t="str">
        <f>'PC LIST'!I184</f>
        <v>C1: Customer satisfaction - level of leakage</v>
      </c>
      <c r="BG5" s="52" t="str">
        <f>'PC LIST'!O184</f>
        <v>score</v>
      </c>
      <c r="BH5" s="52" t="str">
        <f>'PC LIST'!P184</f>
        <v>Customer satisfaction score out of 5</v>
      </c>
      <c r="BI5" s="52">
        <f>'PC LIST'!Q184</f>
        <v>1</v>
      </c>
      <c r="BJ5" s="52" t="str">
        <f>'PC LIST'!J184</f>
        <v>Out &amp; under</v>
      </c>
      <c r="BK5" s="52">
        <f>'PC LIST'!BW184</f>
        <v>3.8</v>
      </c>
      <c r="BL5" s="52" t="str">
        <f>'PC LIST'!B218</f>
        <v>PR14SRNWSW_3</v>
      </c>
      <c r="BM5" s="52" t="str">
        <f>'PC LIST'!I218</f>
        <v>3: Leakage (including customer supply-pipe leakage) - five-year average target</v>
      </c>
      <c r="BN5" s="52" t="str">
        <f>'PC LIST'!O218</f>
        <v>nr</v>
      </c>
      <c r="BO5" s="52" t="str">
        <f>'PC LIST'!P218</f>
        <v>Megalitres per day (Ml/d)</v>
      </c>
      <c r="BP5" s="52">
        <f>'PC LIST'!Q218</f>
        <v>1</v>
      </c>
      <c r="BQ5" s="52" t="str">
        <f>'PC LIST'!J218</f>
        <v>Out &amp; under</v>
      </c>
      <c r="BR5" s="52">
        <f>'PC LIST'!BW218</f>
        <v>88.110156640835783</v>
      </c>
      <c r="BS5" s="52" t="str">
        <f>'PC LIST'!B251</f>
        <v>PR14SSCWSW_2.1</v>
      </c>
      <c r="BT5" s="52" t="str">
        <f>'PC LIST'!I251</f>
        <v>2.1: Interruptions to supply (combined company)</v>
      </c>
      <c r="BU5" s="52" t="str">
        <f>'PC LIST'!O251</f>
        <v>time</v>
      </c>
      <c r="BV5" s="52" t="str">
        <f>'PC LIST'!P251</f>
        <v>Minutes / property / year</v>
      </c>
      <c r="BW5" s="52">
        <f>'PC LIST'!Q251</f>
        <v>1</v>
      </c>
      <c r="BX5" s="52" t="str">
        <f>'PC LIST'!J251</f>
        <v>Out &amp; under</v>
      </c>
      <c r="BY5" s="52">
        <f>'PC LIST'!BW251</f>
        <v>5.1802000000000001</v>
      </c>
      <c r="BZ5" s="52" t="str">
        <f>'PC LIST'!B266</f>
        <v>PR14SVTWSW_W-A3</v>
      </c>
      <c r="CA5" s="52" t="str">
        <f>'PC LIST'!I266</f>
        <v>W-A3: Asset stewardship - number of sites with coliform failures (WTWs)</v>
      </c>
      <c r="CB5" s="52" t="str">
        <f>'PC LIST'!O266</f>
        <v>nr</v>
      </c>
      <c r="CC5" s="52" t="str">
        <f>'PC LIST'!P266</f>
        <v>No. of sites with coliform failures per year</v>
      </c>
      <c r="CD5" s="52">
        <f>'PC LIST'!Q266</f>
        <v>0</v>
      </c>
      <c r="CE5" s="52" t="str">
        <f>'PC LIST'!J266</f>
        <v>Under</v>
      </c>
      <c r="CF5" s="611">
        <f>'PC LIST'!BW266</f>
        <v>5</v>
      </c>
      <c r="CG5" s="52" t="str">
        <f>'PC LIST'!B311</f>
        <v>PR14SWTWSW_W-A3</v>
      </c>
      <c r="CH5" s="54" t="str">
        <f>'PC LIST'!I311</f>
        <v>W-A3: Asset reliability (pipes)</v>
      </c>
      <c r="CI5" s="54" t="str">
        <f>'PC LIST'!O311</f>
        <v>category</v>
      </c>
      <c r="CJ5" s="54" t="str">
        <f>'PC LIST'!P311</f>
        <v>Asset health indicator</v>
      </c>
      <c r="CK5" s="52" t="str">
        <f>'PC LIST'!Q311</f>
        <v>na</v>
      </c>
      <c r="CL5" s="52" t="str">
        <f>'PC LIST'!J311</f>
        <v>Under</v>
      </c>
      <c r="CM5" s="610" t="str">
        <f>'PC LIST'!BW311</f>
        <v>Stable</v>
      </c>
      <c r="CN5" s="52" t="str">
        <f>'PC LIST'!B353</f>
        <v>PR14TMSWSW_WA3</v>
      </c>
      <c r="CO5" s="52" t="str">
        <f>'PC LIST'!I353</f>
        <v>WA3: Customer satisfaction surveys (internal CSAT monitor)</v>
      </c>
      <c r="CP5" s="52" t="str">
        <f>'PC LIST'!O353</f>
        <v>score</v>
      </c>
      <c r="CQ5" s="52" t="str">
        <f>'PC LIST'!P353</f>
        <v>TW internal Customer satisfaction score (mean score out of 5)</v>
      </c>
      <c r="CR5" s="52">
        <f>'PC LIST'!Q353</f>
        <v>2</v>
      </c>
      <c r="CS5" s="52" t="str">
        <f>'PC LIST'!J353</f>
        <v>NFI</v>
      </c>
      <c r="CT5" s="52">
        <f>'PC LIST'!BW353</f>
        <v>4.50023588614562</v>
      </c>
      <c r="CU5" s="52" t="str">
        <f>'PC LIST'!B408</f>
        <v>PR14UUWSW_A3</v>
      </c>
      <c r="CV5" s="52" t="str">
        <f>'PC LIST'!I408</f>
        <v>A3: Water Quality Service Index</v>
      </c>
      <c r="CW5" s="52" t="str">
        <f>'PC LIST'!O408</f>
        <v>score</v>
      </c>
      <c r="CX5" s="52" t="str">
        <f>'PC LIST'!P408</f>
        <v>Water Quality Service Index (UU bespoke)</v>
      </c>
      <c r="CY5" s="52">
        <f>'PC LIST'!Q408</f>
        <v>3</v>
      </c>
      <c r="CZ5" s="52" t="str">
        <f>'PC LIST'!J408</f>
        <v>Out &amp; under</v>
      </c>
      <c r="DA5" s="52">
        <f>'PC LIST'!BW408</f>
        <v>116.923</v>
      </c>
      <c r="DB5" s="52" t="str">
        <f>'PC LIST'!B435</f>
        <v>PR14WSHWSW_A3</v>
      </c>
      <c r="DC5" s="52" t="str">
        <f>'PC LIST'!I435</f>
        <v>A3: Reliability of supply - minutes lost per property per year</v>
      </c>
      <c r="DD5" s="52" t="str">
        <f>'PC LIST'!O435</f>
        <v>time</v>
      </c>
      <c r="DE5" s="52" t="str">
        <f>'PC LIST'!P435</f>
        <v>Minutes of supply interruption per property per year</v>
      </c>
      <c r="DF5" s="52">
        <f>'PC LIST'!Q435</f>
        <v>1</v>
      </c>
      <c r="DG5" s="52" t="str">
        <f>'PC LIST'!J435</f>
        <v>Out &amp; under</v>
      </c>
      <c r="DH5" s="610">
        <f>'PC LIST'!BW435</f>
        <v>12.15</v>
      </c>
      <c r="DI5" s="52" t="str">
        <f>'PC LIST'!B466</f>
        <v>PR14WSXWSW_B6</v>
      </c>
      <c r="DJ5" s="52" t="str">
        <f>'PC LIST'!I466</f>
        <v>B6: BAP landholding assessed and managed for biodiversity</v>
      </c>
      <c r="DK5" s="52" t="str">
        <f>'PC LIST'!O466</f>
        <v>%</v>
      </c>
      <c r="DL5" s="52" t="str">
        <f>'PC LIST'!P466</f>
        <v>% WSX landholding assessed &amp; managed for biodiversity</v>
      </c>
      <c r="DM5" s="52">
        <f>'PC LIST'!Q466</f>
        <v>0</v>
      </c>
      <c r="DN5" s="52" t="str">
        <f>'PC LIST'!J466</f>
        <v>Under</v>
      </c>
      <c r="DO5" s="52">
        <f>'PC LIST'!BW466</f>
        <v>71</v>
      </c>
      <c r="DP5" s="52" t="str">
        <f>'PC LIST'!B498</f>
        <v>PR14YKYWSW_WA3</v>
      </c>
      <c r="DQ5" s="52" t="str">
        <f>'PC LIST'!I498</f>
        <v>WA3: Drinking water contacts</v>
      </c>
      <c r="DR5" s="52" t="str">
        <f>'PC LIST'!O498</f>
        <v>nr</v>
      </c>
      <c r="DS5" s="52" t="str">
        <f>'PC LIST'!P498</f>
        <v>No. of contacts (discolouration, taste &amp; odour and illness) in line with DWI reporting</v>
      </c>
      <c r="DT5" s="52">
        <f>'PC LIST'!Q498</f>
        <v>0</v>
      </c>
      <c r="DU5" s="52" t="str">
        <f>'PC LIST'!J498</f>
        <v>Out &amp; under</v>
      </c>
      <c r="DV5" s="52">
        <f>'PC LIST'!BW498</f>
        <v>9093</v>
      </c>
    </row>
    <row r="6" spans="1:126" ht="15.75" customHeight="1">
      <c r="A6" s="52" t="str">
        <f>'PC LIST'!B6</f>
        <v>PR14AFWWSW_W-A4</v>
      </c>
      <c r="B6" s="52" t="str">
        <f>'PC LIST'!I6</f>
        <v>W-A4: Sustainable abstraction reductions</v>
      </c>
      <c r="C6" s="52" t="str">
        <f>'PC LIST'!O6</f>
        <v>nr</v>
      </c>
      <c r="D6" s="52" t="str">
        <f>'PC LIST'!P6</f>
        <v>Megalitres per day (Ml/d)</v>
      </c>
      <c r="E6" s="52">
        <f>'PC LIST'!Q6</f>
        <v>1</v>
      </c>
      <c r="F6" s="52" t="str">
        <f>'PC LIST'!J6</f>
        <v>Out &amp; under</v>
      </c>
      <c r="G6" s="52">
        <f>'PC LIST'!BW6</f>
        <v>-12.5</v>
      </c>
      <c r="H6" s="52" t="str">
        <f>'PC LIST'!B19</f>
        <v>PR14ANHWSW_W-B1</v>
      </c>
      <c r="I6" s="52" t="str">
        <f>'PC LIST'!I19</f>
        <v>W-B1: Value for money perception - variation from baseline against WaSCs (water)</v>
      </c>
      <c r="J6" s="52" t="str">
        <f>'PC LIST'!O19</f>
        <v>%</v>
      </c>
      <c r="K6" s="52" t="str">
        <f>'PC LIST'!P19</f>
        <v>% variation from WaSC baseline</v>
      </c>
      <c r="L6" s="52">
        <f>'PC LIST'!Q19</f>
        <v>0</v>
      </c>
      <c r="M6" s="52" t="str">
        <f>'PC LIST'!J19</f>
        <v>Out &amp; under</v>
      </c>
      <c r="N6" s="610">
        <f>'PC LIST'!BW19</f>
        <v>0</v>
      </c>
      <c r="O6" s="52" t="str">
        <f>'PC LIST'!B58</f>
        <v>PR14BRLWSW_B1</v>
      </c>
      <c r="P6" s="52" t="str">
        <f>'PC LIST'!I58</f>
        <v>B1: Population in centres &gt;25,000 at risk from asset failure</v>
      </c>
      <c r="Q6" s="52" t="str">
        <f>'PC LIST'!O58</f>
        <v>nr</v>
      </c>
      <c r="R6" s="52" t="str">
        <f>'PC LIST'!P58</f>
        <v>No. of people (population)</v>
      </c>
      <c r="S6" s="52">
        <f>'PC LIST'!Q58</f>
        <v>0</v>
      </c>
      <c r="T6" s="52" t="str">
        <f>'PC LIST'!J58</f>
        <v>Out &amp; under</v>
      </c>
      <c r="U6" s="610">
        <f>'PC LIST'!BW58</f>
        <v>288589</v>
      </c>
      <c r="V6" s="52" t="str">
        <f>'PC LIST'!B79</f>
        <v>PR14DVWWSW_A4</v>
      </c>
      <c r="W6" s="52" t="str">
        <f>'PC LIST'!I79</f>
        <v>A4: Delivery of the outcomes of the service reservoir water quality risk management schemes</v>
      </c>
      <c r="X6" s="52" t="str">
        <f>'PC LIST'!O79</f>
        <v>text</v>
      </c>
      <c r="Y6" s="52" t="str">
        <f>'PC LIST'!P79</f>
        <v>Pass/fail (for each scheme)</v>
      </c>
      <c r="Z6" s="52" t="str">
        <f>'PC LIST'!Q79</f>
        <v>na</v>
      </c>
      <c r="AA6" s="52" t="str">
        <f>'PC LIST'!J79</f>
        <v>Under</v>
      </c>
      <c r="AB6" s="610" t="str">
        <f>'PC LIST'!BW79</f>
        <v>Pass</v>
      </c>
      <c r="AC6" s="52" t="str">
        <f>'PC LIST'!B92</f>
        <v>PR14NESWSW_W-B3</v>
      </c>
      <c r="AD6" s="53" t="str">
        <f>'PC LIST'!I92</f>
        <v>W-B3: Discoloured water complaints (3-year average)</v>
      </c>
      <c r="AE6" s="53" t="str">
        <f>'PC LIST'!O92</f>
        <v>nr</v>
      </c>
      <c r="AF6" s="53" t="str">
        <f>'PC LIST'!P92</f>
        <v>No. of complaints per year</v>
      </c>
      <c r="AG6" s="52">
        <f>'PC LIST'!Q92</f>
        <v>0</v>
      </c>
      <c r="AH6" s="52" t="str">
        <f>'PC LIST'!J92</f>
        <v>Out &amp; under</v>
      </c>
      <c r="AI6" s="52">
        <f>'PC LIST'!BW92</f>
        <v>3227</v>
      </c>
      <c r="AJ6" s="52" t="str">
        <f>'PC LIST'!B136</f>
        <v>PR14PRTWSW_A4</v>
      </c>
      <c r="AK6" s="52" t="str">
        <f>'PC LIST'!I136</f>
        <v>A4: Temporary usage bans</v>
      </c>
      <c r="AL6" s="52" t="str">
        <f>'PC LIST'!O136</f>
        <v>nr</v>
      </c>
      <c r="AM6" s="52" t="str">
        <f>'PC LIST'!P136</f>
        <v>No. of temporary usage bans per year</v>
      </c>
      <c r="AN6" s="52">
        <f>'PC LIST'!Q136</f>
        <v>0</v>
      </c>
      <c r="AO6" s="52" t="str">
        <f>'PC LIST'!J136</f>
        <v>NFI</v>
      </c>
      <c r="AP6" s="611">
        <f>'PC LIST'!BW136</f>
        <v>0</v>
      </c>
      <c r="AQ6" s="52" t="str">
        <f>'PC LIST'!B149</f>
        <v>PR14SBWWSW_B2</v>
      </c>
      <c r="AR6" s="52" t="str">
        <f>'PC LIST'!I149</f>
        <v>B2: Large scale interruptions (minimise risk of large scale interruption to 12,000 properties)</v>
      </c>
      <c r="AS6" s="52" t="str">
        <f>'PC LIST'!O149</f>
        <v>nr</v>
      </c>
      <c r="AT6" s="52" t="str">
        <f>'PC LIST'!P149</f>
        <v>1,000 properties</v>
      </c>
      <c r="AU6" s="52">
        <f>'PC LIST'!Q149</f>
        <v>1</v>
      </c>
      <c r="AV6" s="52" t="str">
        <f>'PC LIST'!J149</f>
        <v>Out &amp; under</v>
      </c>
      <c r="AW6" s="610">
        <f>'PC LIST'!BW149</f>
        <v>0</v>
      </c>
      <c r="AX6" s="52" t="str">
        <f>'PC LIST'!B164</f>
        <v>PR14SESWSW_A4</v>
      </c>
      <c r="AY6" s="52" t="str">
        <f>'PC LIST'!I164</f>
        <v>A4: Condition and reliability of the mains network - number of burst pipes a year</v>
      </c>
      <c r="AZ6" s="52" t="str">
        <f>'PC LIST'!O164</f>
        <v>nr</v>
      </c>
      <c r="BA6" s="52" t="str">
        <f>'PC LIST'!P164</f>
        <v>No. of burst mains per year</v>
      </c>
      <c r="BB6" s="52">
        <f>'PC LIST'!Q164</f>
        <v>0</v>
      </c>
      <c r="BC6" s="52" t="str">
        <f>'PC LIST'!J164</f>
        <v>Under</v>
      </c>
      <c r="BD6" s="611">
        <f>'PC LIST'!BW164</f>
        <v>234</v>
      </c>
      <c r="BE6" s="52" t="str">
        <f>'PC LIST'!B185</f>
        <v>PR14SEWWSW_C2</v>
      </c>
      <c r="BF6" s="52" t="str">
        <f>'PC LIST'!I185</f>
        <v>C2: Leakage (actual reported leakage per Ml/d per year)</v>
      </c>
      <c r="BG6" s="52" t="str">
        <f>'PC LIST'!O185</f>
        <v>nr</v>
      </c>
      <c r="BH6" s="52" t="str">
        <f>'PC LIST'!P185</f>
        <v>Megalitres per day (Ml/d)</v>
      </c>
      <c r="BI6" s="52">
        <f>'PC LIST'!Q185</f>
        <v>1</v>
      </c>
      <c r="BJ6" s="52" t="str">
        <f>'PC LIST'!J185</f>
        <v>Out &amp; under</v>
      </c>
      <c r="BK6" s="52">
        <f>'PC LIST'!BW185</f>
        <v>88.6</v>
      </c>
      <c r="BL6" s="52" t="str">
        <f>'PC LIST'!B219</f>
        <v>PR14SRNWSW_4</v>
      </c>
      <c r="BM6" s="52" t="str">
        <f>'PC LIST'!I219</f>
        <v>4: Interruptions to supply</v>
      </c>
      <c r="BN6" s="52" t="str">
        <f>'PC LIST'!O219</f>
        <v>time</v>
      </c>
      <c r="BO6" s="52" t="str">
        <f>'PC LIST'!P219</f>
        <v>Minutes / property / year</v>
      </c>
      <c r="BP6" s="52">
        <f>'PC LIST'!Q219</f>
        <v>0</v>
      </c>
      <c r="BQ6" s="52" t="str">
        <f>'PC LIST'!J219</f>
        <v>Under</v>
      </c>
      <c r="BR6" s="52">
        <f>'PC LIST'!BW219</f>
        <v>7</v>
      </c>
      <c r="BS6" s="52" t="str">
        <f>'PC LIST'!B252</f>
        <v>PR14SSCWSW_2.2</v>
      </c>
      <c r="BT6" s="52" t="str">
        <f>'PC LIST'!I252</f>
        <v>2.2: Serviceability infrastructure (combined company)</v>
      </c>
      <c r="BU6" s="52" t="str">
        <f>'PC LIST'!O252</f>
        <v>category</v>
      </c>
      <c r="BV6" s="52" t="str">
        <f>'PC LIST'!P252</f>
        <v>Asset health indicator</v>
      </c>
      <c r="BW6" s="52" t="str">
        <f>'PC LIST'!Q252</f>
        <v>na</v>
      </c>
      <c r="BX6" s="52" t="str">
        <f>'PC LIST'!J252</f>
        <v>Under</v>
      </c>
      <c r="BY6" s="52" t="str">
        <f>'PC LIST'!BW252</f>
        <v>Stable</v>
      </c>
      <c r="BZ6" s="52" t="str">
        <f>'PC LIST'!B267</f>
        <v>PR14SVTWSW_W-A4</v>
      </c>
      <c r="CA6" s="52" t="str">
        <f>'PC LIST'!I267</f>
        <v>W-A4: Number of successful catchment management schemes</v>
      </c>
      <c r="CB6" s="52" t="str">
        <f>'PC LIST'!O267</f>
        <v>nr</v>
      </c>
      <c r="CC6" s="52" t="str">
        <f>'PC LIST'!P267</f>
        <v>No. catchment management schemes</v>
      </c>
      <c r="CD6" s="52">
        <f>'PC LIST'!Q267</f>
        <v>0</v>
      </c>
      <c r="CE6" s="52" t="str">
        <f>'PC LIST'!J267</f>
        <v>Out &amp; under</v>
      </c>
      <c r="CF6" s="611">
        <f>'PC LIST'!BW267</f>
        <v>0</v>
      </c>
      <c r="CG6" s="52" t="str">
        <f>'PC LIST'!B312</f>
        <v>PR14SWTWSW_W-A4</v>
      </c>
      <c r="CH6" s="54" t="str">
        <f>'PC LIST'!I312</f>
        <v>W-A4: Asset reliability (process)</v>
      </c>
      <c r="CI6" s="54" t="str">
        <f>'PC LIST'!O312</f>
        <v>category</v>
      </c>
      <c r="CJ6" s="54" t="str">
        <f>'PC LIST'!P312</f>
        <v>Asset health indicator</v>
      </c>
      <c r="CK6" s="52" t="str">
        <f>'PC LIST'!Q312</f>
        <v>na</v>
      </c>
      <c r="CL6" s="52" t="str">
        <f>'PC LIST'!J312</f>
        <v>Under</v>
      </c>
      <c r="CM6" s="610" t="str">
        <f>'PC LIST'!BW312</f>
        <v>Stable</v>
      </c>
      <c r="CN6" s="52" t="str">
        <f>'PC LIST'!B354</f>
        <v>PR14TMSWSW_WA4</v>
      </c>
      <c r="CO6" s="52" t="str">
        <f>'PC LIST'!I354</f>
        <v>WA4: Reduced water consumption from issuing water efficiency devices to customers</v>
      </c>
      <c r="CP6" s="52" t="str">
        <f>'PC LIST'!O354</f>
        <v>nr</v>
      </c>
      <c r="CQ6" s="52" t="str">
        <f>'PC LIST'!P354</f>
        <v>Ml/d reduced water consumption (cumulative)</v>
      </c>
      <c r="CR6" s="52">
        <f>'PC LIST'!Q354</f>
        <v>2</v>
      </c>
      <c r="CS6" s="52" t="str">
        <f>'PC LIST'!J354</f>
        <v>Under</v>
      </c>
      <c r="CT6" s="52" t="str">
        <f>'PC LIST'!BW354</f>
        <v>Not available</v>
      </c>
      <c r="CU6" s="52" t="str">
        <f>'PC LIST'!B409</f>
        <v>PR14UUWSW_B1</v>
      </c>
      <c r="CV6" s="52" t="str">
        <f>'PC LIST'!I409</f>
        <v>B1: Average minutes supply lost per property (a year)</v>
      </c>
      <c r="CW6" s="52" t="str">
        <f>'PC LIST'!O409</f>
        <v>time</v>
      </c>
      <c r="CX6" s="52" t="str">
        <f>'PC LIST'!P409</f>
        <v>Mins:secs supply lost per property per year</v>
      </c>
      <c r="CY6" s="52" t="str">
        <f>'PC LIST'!Q409</f>
        <v>mins:secs</v>
      </c>
      <c r="CZ6" s="52" t="str">
        <f>'PC LIST'!J409</f>
        <v>Out &amp; under</v>
      </c>
      <c r="DA6" s="52" t="str">
        <f>'PC LIST'!BW409</f>
        <v>13:33</v>
      </c>
      <c r="DB6" s="52" t="str">
        <f>'PC LIST'!B436</f>
        <v>PR14WSHWSW_B1</v>
      </c>
      <c r="DC6" s="52" t="str">
        <f>'PC LIST'!I436</f>
        <v>B1: Abstraction for water for use - % compliance with abstraction licences, as regulated by NRW</v>
      </c>
      <c r="DD6" s="52" t="str">
        <f>'PC LIST'!O436</f>
        <v>%</v>
      </c>
      <c r="DE6" s="52" t="str">
        <f>'PC LIST'!P436</f>
        <v>% compliance with abstraction licences (NRW regulated)</v>
      </c>
      <c r="DF6" s="52">
        <f>'PC LIST'!Q436</f>
        <v>0</v>
      </c>
      <c r="DG6" s="52" t="str">
        <f>'PC LIST'!J436</f>
        <v>NFI</v>
      </c>
      <c r="DH6" s="610">
        <f>'PC LIST'!BW436</f>
        <v>100</v>
      </c>
      <c r="DI6" s="52" t="str">
        <f>'PC LIST'!B467</f>
        <v>PR14WSXWSW_B7</v>
      </c>
      <c r="DJ6" s="52" t="str">
        <f>'PC LIST'!I467</f>
        <v>B7: Length of rivers with improved flows</v>
      </c>
      <c r="DK6" s="52" t="str">
        <f>'PC LIST'!O467</f>
        <v>nr</v>
      </c>
      <c r="DL6" s="52" t="str">
        <f>'PC LIST'!P467</f>
        <v>Kilometres (km) of river with improved flows (cumulative)</v>
      </c>
      <c r="DM6" s="52">
        <f>'PC LIST'!Q467</f>
        <v>0</v>
      </c>
      <c r="DN6" s="52" t="str">
        <f>'PC LIST'!J467</f>
        <v>Out &amp; under</v>
      </c>
      <c r="DO6" s="52">
        <f>'PC LIST'!BW467</f>
        <v>0</v>
      </c>
      <c r="DP6" s="52" t="str">
        <f>'PC LIST'!B499</f>
        <v>PR14YKYWSW_WA4</v>
      </c>
      <c r="DQ6" s="52" t="str">
        <f>'PC LIST'!I499</f>
        <v>WA4: Water quality stability and reliability factor</v>
      </c>
      <c r="DR6" s="52" t="str">
        <f>'PC LIST'!O499</f>
        <v>category</v>
      </c>
      <c r="DS6" s="52" t="str">
        <f>'PC LIST'!P499</f>
        <v>Asset health indicator</v>
      </c>
      <c r="DT6" s="52" t="str">
        <f>'PC LIST'!Q499</f>
        <v>na</v>
      </c>
      <c r="DU6" s="52" t="str">
        <f>'PC LIST'!J499</f>
        <v>Under</v>
      </c>
      <c r="DV6" s="52" t="str">
        <f>'PC LIST'!BW499</f>
        <v xml:space="preserve">Stable </v>
      </c>
    </row>
    <row r="7" spans="1:126" ht="15.75" customHeight="1">
      <c r="A7" s="52" t="str">
        <f>'PC LIST'!B7</f>
        <v>PR14AFWWSW_W-A5</v>
      </c>
      <c r="B7" s="52" t="str">
        <f>'PC LIST'!I7</f>
        <v>W-A5: Abstraction incentive mechanism (AIM)</v>
      </c>
      <c r="C7" s="52" t="str">
        <f>'PC LIST'!O7</f>
        <v>TBC</v>
      </c>
      <c r="D7" s="52" t="str">
        <f>'PC LIST'!P7</f>
        <v>TBC</v>
      </c>
      <c r="E7" s="52" t="str">
        <f>'PC LIST'!Q7</f>
        <v>TBC</v>
      </c>
      <c r="F7" s="52" t="str">
        <f>'PC LIST'!J7</f>
        <v>NFI</v>
      </c>
      <c r="G7" s="52">
        <f>'PC LIST'!BW7</f>
        <v>-2.5499999999999998</v>
      </c>
      <c r="H7" s="52" t="str">
        <f>'PC LIST'!B20</f>
        <v>PR14ANHWSW_W-C1</v>
      </c>
      <c r="I7" s="52" t="str">
        <f>'PC LIST'!I20</f>
        <v>W-C1: Percentage of population supplied by single supply system</v>
      </c>
      <c r="J7" s="52" t="str">
        <f>'PC LIST'!O20</f>
        <v>%</v>
      </c>
      <c r="K7" s="52" t="str">
        <f>'PC LIST'!P20</f>
        <v>% population with single supply system</v>
      </c>
      <c r="L7" s="52">
        <f>'PC LIST'!Q20</f>
        <v>1</v>
      </c>
      <c r="M7" s="52" t="str">
        <f>'PC LIST'!J20</f>
        <v>Under</v>
      </c>
      <c r="N7" s="610">
        <f>'PC LIST'!BW20</f>
        <v>46.3</v>
      </c>
      <c r="O7" s="52" t="str">
        <f>'PC LIST'!B59</f>
        <v>PR14BRLWSW_C1</v>
      </c>
      <c r="P7" s="52" t="str">
        <f>'PC LIST'!I59</f>
        <v>C1: Security of supply index (SOSI)</v>
      </c>
      <c r="Q7" s="52" t="str">
        <f>'PC LIST'!O59</f>
        <v>score</v>
      </c>
      <c r="R7" s="52" t="str">
        <f>'PC LIST'!P59</f>
        <v>Security of Supply Index (SOSI)</v>
      </c>
      <c r="S7" s="52">
        <f>'PC LIST'!Q59</f>
        <v>0</v>
      </c>
      <c r="T7" s="52" t="str">
        <f>'PC LIST'!J59</f>
        <v>NFI</v>
      </c>
      <c r="U7" s="610">
        <f>'PC LIST'!BW59</f>
        <v>100</v>
      </c>
      <c r="V7" s="52" t="str">
        <f>'PC LIST'!B80</f>
        <v>PR14DVWWSW_B1</v>
      </c>
      <c r="W7" s="52" t="str">
        <f>'PC LIST'!I80</f>
        <v>B1: Average duration of interruptions - 3 hours or longer (planned and unplanned interruptions)</v>
      </c>
      <c r="X7" s="52" t="str">
        <f>'PC LIST'!O80</f>
        <v>time</v>
      </c>
      <c r="Y7" s="52" t="str">
        <f>'PC LIST'!P80</f>
        <v>Hours / property / year</v>
      </c>
      <c r="Z7" s="52">
        <f>'PC LIST'!Q80</f>
        <v>2</v>
      </c>
      <c r="AA7" s="52" t="str">
        <f>'PC LIST'!J80</f>
        <v>Out &amp; under</v>
      </c>
      <c r="AB7" s="610">
        <f>'PC LIST'!BW80</f>
        <v>0.35</v>
      </c>
      <c r="AC7" s="52" t="str">
        <f>'PC LIST'!B93</f>
        <v>PR14NESWSW_W-C1</v>
      </c>
      <c r="AD7" s="53" t="str">
        <f>'PC LIST'!I93</f>
        <v>W-C1: Interruptions to water supply for more than 3 hours (average time per property per year)</v>
      </c>
      <c r="AE7" s="53" t="str">
        <f>'PC LIST'!O93</f>
        <v>time</v>
      </c>
      <c r="AF7" s="53" t="str">
        <f>'PC LIST'!P93</f>
        <v>Mins:secs per property per year</v>
      </c>
      <c r="AG7" s="52" t="str">
        <f>'PC LIST'!Q93</f>
        <v>mins:secs</v>
      </c>
      <c r="AH7" s="52" t="str">
        <f>'PC LIST'!J93</f>
        <v>Out &amp; under</v>
      </c>
      <c r="AI7" s="52" t="str">
        <f>'PC LIST'!BW93</f>
        <v>02:26</v>
      </c>
      <c r="AJ7" s="52" t="str">
        <f>'PC LIST'!B137</f>
        <v>PR14PRTWSW_B1</v>
      </c>
      <c r="AK7" s="52" t="str">
        <f>'PC LIST'!I137</f>
        <v>B1: Leakage</v>
      </c>
      <c r="AL7" s="52" t="str">
        <f>'PC LIST'!O137</f>
        <v>nr</v>
      </c>
      <c r="AM7" s="52" t="str">
        <f>'PC LIST'!P137</f>
        <v>Megalitres per day (Ml/d)</v>
      </c>
      <c r="AN7" s="52">
        <f>'PC LIST'!Q137</f>
        <v>2</v>
      </c>
      <c r="AO7" s="52" t="str">
        <f>'PC LIST'!J137</f>
        <v>Out &amp; under</v>
      </c>
      <c r="AP7" s="611">
        <f>'PC LIST'!BW137</f>
        <v>30.37</v>
      </c>
      <c r="AQ7" s="52" t="str">
        <f>'PC LIST'!B150</f>
        <v>PR14SBWWSW_B3</v>
      </c>
      <c r="AR7" s="52" t="str">
        <f>'PC LIST'!I150</f>
        <v>B3: Decreasing average interruptions &gt;3 hours</v>
      </c>
      <c r="AS7" s="52" t="str">
        <f>'PC LIST'!O150</f>
        <v>time</v>
      </c>
      <c r="AT7" s="52" t="str">
        <f>'PC LIST'!P150</f>
        <v>Minutes / property / year</v>
      </c>
      <c r="AU7" s="52">
        <f>'PC LIST'!Q150</f>
        <v>1</v>
      </c>
      <c r="AV7" s="52" t="str">
        <f>'PC LIST'!J150</f>
        <v>Under</v>
      </c>
      <c r="AW7" s="610">
        <f>'PC LIST'!BW150</f>
        <v>1.9</v>
      </c>
      <c r="AX7" s="52" t="str">
        <f>'PC LIST'!B165</f>
        <v>PR14SESWSW_A5</v>
      </c>
      <c r="AY7" s="52" t="str">
        <f>'PC LIST'!I165</f>
        <v>A5: Drinking Water Inspectorate’s (DWI) index of water quality</v>
      </c>
      <c r="AZ7" s="52" t="str">
        <f>'PC LIST'!O165</f>
        <v>%</v>
      </c>
      <c r="BA7" s="52" t="str">
        <f>'PC LIST'!P165</f>
        <v>Mean zonal compliance (%)</v>
      </c>
      <c r="BB7" s="52">
        <f>'PC LIST'!Q165</f>
        <v>2</v>
      </c>
      <c r="BC7" s="52" t="str">
        <f>'PC LIST'!J165</f>
        <v>Under</v>
      </c>
      <c r="BD7" s="611">
        <f>'PC LIST'!BW165</f>
        <v>99.98</v>
      </c>
      <c r="BE7" s="52" t="str">
        <f>'PC LIST'!B186</f>
        <v>PR14SEWWSW_D1</v>
      </c>
      <c r="BF7" s="52" t="str">
        <f>'PC LIST'!I186</f>
        <v>D1: Customer satisfaction - direct interaction experience</v>
      </c>
      <c r="BG7" s="52" t="str">
        <f>'PC LIST'!O186</f>
        <v>score</v>
      </c>
      <c r="BH7" s="52" t="str">
        <f>'PC LIST'!P186</f>
        <v>Customer satisfaction score out of 5</v>
      </c>
      <c r="BI7" s="52">
        <f>'PC LIST'!Q186</f>
        <v>1</v>
      </c>
      <c r="BJ7" s="52" t="str">
        <f>'PC LIST'!J186</f>
        <v>Out &amp; under</v>
      </c>
      <c r="BK7" s="52">
        <f>'PC LIST'!BW186</f>
        <v>4.3</v>
      </c>
      <c r="BL7" s="52" t="str">
        <f>'PC LIST'!B220</f>
        <v>PR14SRNWSW_5</v>
      </c>
      <c r="BM7" s="52" t="str">
        <f>'PC LIST'!I220</f>
        <v>5: Mean Zonal Compliance (MZC)</v>
      </c>
      <c r="BN7" s="52" t="str">
        <f>'PC LIST'!O220</f>
        <v>%</v>
      </c>
      <c r="BO7" s="52" t="str">
        <f>'PC LIST'!P220</f>
        <v>Mean zonal compliance (%)</v>
      </c>
      <c r="BP7" s="52">
        <f>'PC LIST'!Q220</f>
        <v>2</v>
      </c>
      <c r="BQ7" s="52" t="str">
        <f>'PC LIST'!J220</f>
        <v>Under</v>
      </c>
      <c r="BR7" s="52">
        <f>'PC LIST'!BW220</f>
        <v>99.96</v>
      </c>
      <c r="BS7" s="52" t="str">
        <f>'PC LIST'!B253</f>
        <v>PR14SSCWSW_2.3</v>
      </c>
      <c r="BT7" s="52" t="str">
        <f>'PC LIST'!I253</f>
        <v>2.3: Serviceability non-infrastructure (combined company)</v>
      </c>
      <c r="BU7" s="52" t="str">
        <f>'PC LIST'!O253</f>
        <v>category</v>
      </c>
      <c r="BV7" s="52" t="str">
        <f>'PC LIST'!P253</f>
        <v>Asset health indicator</v>
      </c>
      <c r="BW7" s="52" t="str">
        <f>'PC LIST'!Q253</f>
        <v>na</v>
      </c>
      <c r="BX7" s="52" t="str">
        <f>'PC LIST'!J253</f>
        <v>Under</v>
      </c>
      <c r="BY7" s="52" t="str">
        <f>'PC LIST'!BW253</f>
        <v>Stable</v>
      </c>
      <c r="BZ7" s="52" t="str">
        <f>'PC LIST'!B268</f>
        <v>PR14SVTWSW_W-B1</v>
      </c>
      <c r="CA7" s="52" t="str">
        <f>'PC LIST'!I268</f>
        <v>W-B1: Resource efficiency (distribution input per customer) - amount of water taken out of the environment</v>
      </c>
      <c r="CB7" s="52" t="str">
        <f>'PC LIST'!O268</f>
        <v>nr</v>
      </c>
      <c r="CC7" s="52" t="str">
        <f>'PC LIST'!P268</f>
        <v>Litres per person per day (l/p/d)</v>
      </c>
      <c r="CD7" s="52">
        <f>'PC LIST'!Q268</f>
        <v>0</v>
      </c>
      <c r="CE7" s="52" t="str">
        <f>'PC LIST'!J268</f>
        <v>NFI</v>
      </c>
      <c r="CF7" s="611">
        <f>'PC LIST'!BW268</f>
        <v>236</v>
      </c>
      <c r="CG7" s="52" t="str">
        <f>'PC LIST'!B313</f>
        <v>PR14SWTWSW_W-A5</v>
      </c>
      <c r="CH7" s="54" t="str">
        <f>'PC LIST'!I313</f>
        <v>W-A5: Duration of interruptions in supply (hours/property)</v>
      </c>
      <c r="CI7" s="54" t="str">
        <f>'PC LIST'!O313</f>
        <v>time</v>
      </c>
      <c r="CJ7" s="54" t="str">
        <f>'PC LIST'!P313</f>
        <v>Hours / property / year</v>
      </c>
      <c r="CK7" s="52">
        <f>'PC LIST'!Q313</f>
        <v>3</v>
      </c>
      <c r="CL7" s="52" t="str">
        <f>'PC LIST'!J313</f>
        <v>Out &amp; under</v>
      </c>
      <c r="CM7" s="610">
        <f>'PC LIST'!BW313</f>
        <v>0.221</v>
      </c>
      <c r="CN7" s="52" t="str">
        <f>'PC LIST'!B355</f>
        <v>PR14TMSWSW_WA5</v>
      </c>
      <c r="CO7" s="52" t="str">
        <f>'PC LIST'!I355</f>
        <v>WA5: Provide a free repair service for customers with a customer side leak outside of the property</v>
      </c>
      <c r="CP7" s="52" t="str">
        <f>'PC LIST'!O355</f>
        <v>nr</v>
      </c>
      <c r="CQ7" s="52" t="str">
        <f>'PC LIST'!P355</f>
        <v>Number against target above annual baseline no.</v>
      </c>
      <c r="CR7" s="52">
        <f>'PC LIST'!Q355</f>
        <v>0</v>
      </c>
      <c r="CS7" s="52" t="str">
        <f>'PC LIST'!J355</f>
        <v>NFI</v>
      </c>
      <c r="CT7" s="52">
        <f>'PC LIST'!BW355</f>
        <v>2089</v>
      </c>
      <c r="CU7" s="52" t="str">
        <f>'PC LIST'!B410</f>
        <v>PR14UUWSW_B2</v>
      </c>
      <c r="CV7" s="52" t="str">
        <f>'PC LIST'!I410</f>
        <v>B2: Reliable water service index</v>
      </c>
      <c r="CW7" s="52" t="str">
        <f>'PC LIST'!O410</f>
        <v>score</v>
      </c>
      <c r="CX7" s="52" t="str">
        <f>'PC LIST'!P410</f>
        <v>Reliable water service index (UU bespoke)</v>
      </c>
      <c r="CY7" s="52">
        <f>'PC LIST'!Q410</f>
        <v>3</v>
      </c>
      <c r="CZ7" s="52" t="str">
        <f>'PC LIST'!J410</f>
        <v>Out &amp; under</v>
      </c>
      <c r="DA7" s="52">
        <f>'PC LIST'!BW410</f>
        <v>77.84</v>
      </c>
      <c r="DB7" s="52" t="str">
        <f>'PC LIST'!B437</f>
        <v>PR14WSHWSW_C2</v>
      </c>
      <c r="DC7" s="52" t="str">
        <f>'PC LIST'!I437</f>
        <v>C2: Carbon footprint - gigawatt-hours (GWh) of renewable energy generated</v>
      </c>
      <c r="DD7" s="52" t="str">
        <f>'PC LIST'!O437</f>
        <v>nr</v>
      </c>
      <c r="DE7" s="52" t="str">
        <f>'PC LIST'!P437</f>
        <v>GWh (gigawatt-hours)</v>
      </c>
      <c r="DF7" s="52">
        <f>'PC LIST'!Q437</f>
        <v>2</v>
      </c>
      <c r="DG7" s="52" t="str">
        <f>'PC LIST'!J437</f>
        <v>NFI</v>
      </c>
      <c r="DH7" s="610">
        <f>'PC LIST'!BW437</f>
        <v>37.49</v>
      </c>
      <c r="DI7" s="52" t="str">
        <f>'PC LIST'!B468</f>
        <v>PR14WSXWSW_D2</v>
      </c>
      <c r="DJ7" s="52" t="str">
        <f>'PC LIST'!I468</f>
        <v>D2: Restrictions on water use (hosepipe bans)</v>
      </c>
      <c r="DK7" s="52" t="str">
        <f>'PC LIST'!O468</f>
        <v>nr</v>
      </c>
      <c r="DL7" s="52" t="str">
        <f>'PC LIST'!P468</f>
        <v>No. of hosepipe bans (temporary use ban)</v>
      </c>
      <c r="DM7" s="52">
        <f>'PC LIST'!Q468</f>
        <v>0</v>
      </c>
      <c r="DN7" s="52" t="str">
        <f>'PC LIST'!J468</f>
        <v>Under</v>
      </c>
      <c r="DO7" s="52">
        <f>'PC LIST'!BW468</f>
        <v>0</v>
      </c>
      <c r="DP7" s="52" t="str">
        <f>'PC LIST'!B500</f>
        <v>PR14YKYWSW_WB1</v>
      </c>
      <c r="DQ7" s="52" t="str">
        <f>'PC LIST'!I500</f>
        <v>WB1: Leakage</v>
      </c>
      <c r="DR7" s="52" t="str">
        <f>'PC LIST'!O500</f>
        <v>nr</v>
      </c>
      <c r="DS7" s="52" t="str">
        <f>'PC LIST'!P500</f>
        <v>Megalitres per day (Ml/d)</v>
      </c>
      <c r="DT7" s="52">
        <f>'PC LIST'!Q500</f>
        <v>1</v>
      </c>
      <c r="DU7" s="52" t="str">
        <f>'PC LIST'!J500</f>
        <v>Out &amp; under</v>
      </c>
      <c r="DV7" s="52">
        <f>'PC LIST'!BW500</f>
        <v>295.16000000000003</v>
      </c>
    </row>
    <row r="8" spans="1:126" ht="15.75" customHeight="1">
      <c r="A8" s="52" t="str">
        <f>'PC LIST'!B8</f>
        <v>PR14AFWWSW_W-B1</v>
      </c>
      <c r="B8" s="52" t="str">
        <f>'PC LIST'!I8</f>
        <v>W-B1: Compliance with water quality standards (mean zonal compliance)</v>
      </c>
      <c r="C8" s="52" t="str">
        <f>'PC LIST'!O8</f>
        <v>%</v>
      </c>
      <c r="D8" s="52" t="str">
        <f>'PC LIST'!P8</f>
        <v>Mean zonal compliance (%)</v>
      </c>
      <c r="E8" s="52">
        <f>'PC LIST'!Q8</f>
        <v>2</v>
      </c>
      <c r="F8" s="52" t="str">
        <f>'PC LIST'!J8</f>
        <v>Under</v>
      </c>
      <c r="G8" s="52">
        <f>'PC LIST'!BW8</f>
        <v>99.96</v>
      </c>
      <c r="H8" s="52" t="str">
        <f>'PC LIST'!B21</f>
        <v>PR14ANHWSW_W-C2</v>
      </c>
      <c r="I8" s="52" t="str">
        <f>'PC LIST'!I21</f>
        <v>W-C2: Frequency of service level restrictions (hosepipe bans)</v>
      </c>
      <c r="J8" s="52" t="str">
        <f>'PC LIST'!O21</f>
        <v>nr</v>
      </c>
      <c r="K8" s="52" t="str">
        <f>'PC LIST'!P21</f>
        <v>No. (frequency) per 10 years</v>
      </c>
      <c r="L8" s="52">
        <f>'PC LIST'!Q21</f>
        <v>0</v>
      </c>
      <c r="M8" s="52" t="str">
        <f>'PC LIST'!J21</f>
        <v>NFI</v>
      </c>
      <c r="N8" s="610">
        <f>'PC LIST'!BW21</f>
        <v>1</v>
      </c>
      <c r="O8" s="52" t="str">
        <f>'PC LIST'!B60</f>
        <v>PR14BRLWSW_C2</v>
      </c>
      <c r="P8" s="52" t="str">
        <f>'PC LIST'!I60</f>
        <v>C2: Hosepipe ban frequency</v>
      </c>
      <c r="Q8" s="52" t="str">
        <f>'PC LIST'!O60</f>
        <v>nr</v>
      </c>
      <c r="R8" s="52" t="str">
        <f>'PC LIST'!P60</f>
        <v>No. of expected days that water restrictions are placed</v>
      </c>
      <c r="S8" s="52">
        <f>'PC LIST'!Q60</f>
        <v>1</v>
      </c>
      <c r="T8" s="52" t="str">
        <f>'PC LIST'!J60</f>
        <v>Under</v>
      </c>
      <c r="U8" s="610">
        <f>'PC LIST'!BW60</f>
        <v>3.09</v>
      </c>
      <c r="V8" s="52" t="str">
        <f>'PC LIST'!B81</f>
        <v>PR14DVWWSW_B2</v>
      </c>
      <c r="W8" s="52" t="str">
        <f>'PC LIST'!I81</f>
        <v>B2: Sustainable economic level of leakage</v>
      </c>
      <c r="X8" s="52" t="str">
        <f>'PC LIST'!O81</f>
        <v>nr</v>
      </c>
      <c r="Y8" s="52" t="str">
        <f>'PC LIST'!P81</f>
        <v>Litres per property per day (l/prop/day)</v>
      </c>
      <c r="Z8" s="52">
        <f>'PC LIST'!Q81</f>
        <v>1</v>
      </c>
      <c r="AA8" s="52" t="str">
        <f>'PC LIST'!J81</f>
        <v>Out &amp; under</v>
      </c>
      <c r="AB8" s="610">
        <f>'PC LIST'!BW81</f>
        <v>88.96</v>
      </c>
      <c r="AC8" s="52" t="str">
        <f>'PC LIST'!B94</f>
        <v>PR14NESWSW_W-C2</v>
      </c>
      <c r="AD8" s="53" t="str">
        <f>'PC LIST'!I94</f>
        <v>W-C2: Properties experiencing poor water pressure (3-year average)</v>
      </c>
      <c r="AE8" s="53" t="str">
        <f>'PC LIST'!O94</f>
        <v>nr</v>
      </c>
      <c r="AF8" s="53" t="str">
        <f>'PC LIST'!P94</f>
        <v>No. of properties</v>
      </c>
      <c r="AG8" s="52">
        <f>'PC LIST'!Q94</f>
        <v>0</v>
      </c>
      <c r="AH8" s="52" t="str">
        <f>'PC LIST'!J94</f>
        <v>Out &amp; under</v>
      </c>
      <c r="AI8" s="52">
        <f>'PC LIST'!BW94</f>
        <v>217</v>
      </c>
      <c r="AJ8" s="52" t="str">
        <f>'PC LIST'!B138</f>
        <v>PR14PRTWSW_C1</v>
      </c>
      <c r="AK8" s="52" t="str">
        <f>'PC LIST'!I138</f>
        <v>C1: Interruptions to supply</v>
      </c>
      <c r="AL8" s="52" t="str">
        <f>'PC LIST'!O138</f>
        <v>time</v>
      </c>
      <c r="AM8" s="52" t="str">
        <f>'PC LIST'!P138</f>
        <v>Mins:secs per property per year</v>
      </c>
      <c r="AN8" s="52" t="str">
        <f>'PC LIST'!Q138</f>
        <v>mins:secs</v>
      </c>
      <c r="AO8" s="52" t="str">
        <f>'PC LIST'!J138</f>
        <v>Out &amp; under</v>
      </c>
      <c r="AP8" s="611" t="str">
        <f>'PC LIST'!BW138</f>
        <v>4 min 9 secs</v>
      </c>
      <c r="AQ8" s="52" t="str">
        <f>'PC LIST'!B151</f>
        <v>PR14SBWWSW_B4</v>
      </c>
      <c r="AR8" s="52" t="str">
        <f>'PC LIST'!I151</f>
        <v>B4: Maintain serviceable assets</v>
      </c>
      <c r="AS8" s="52" t="str">
        <f>'PC LIST'!O151</f>
        <v>category</v>
      </c>
      <c r="AT8" s="52" t="str">
        <f>'PC LIST'!P151</f>
        <v>Asset health indicator</v>
      </c>
      <c r="AU8" s="52" t="str">
        <f>'PC LIST'!Q151</f>
        <v>na</v>
      </c>
      <c r="AV8" s="52" t="str">
        <f>'PC LIST'!J151</f>
        <v>Under</v>
      </c>
      <c r="AW8" s="610" t="str">
        <f>'PC LIST'!BW151</f>
        <v>Stable</v>
      </c>
      <c r="AX8" s="52" t="str">
        <f>'PC LIST'!B166</f>
        <v>PR14SESWSW_A6</v>
      </c>
      <c r="AY8" s="52" t="str">
        <f>'PC LIST'!I166</f>
        <v>A6: Taste, odour and discolouration (number of contacts received)</v>
      </c>
      <c r="AZ8" s="52" t="str">
        <f>'PC LIST'!O166</f>
        <v>nr</v>
      </c>
      <c r="BA8" s="52" t="str">
        <f>'PC LIST'!P166</f>
        <v>No. of contacts per year</v>
      </c>
      <c r="BB8" s="52">
        <f>'PC LIST'!Q166</f>
        <v>0</v>
      </c>
      <c r="BC8" s="52" t="str">
        <f>'PC LIST'!J166</f>
        <v>Out &amp; under</v>
      </c>
      <c r="BD8" s="611">
        <f>'PC LIST'!BW166</f>
        <v>375</v>
      </c>
      <c r="BE8" s="52" t="str">
        <f>'PC LIST'!B187</f>
        <v>PR14SEWWSW_D2</v>
      </c>
      <c r="BF8" s="52" t="str">
        <f>'PC LIST'!I187</f>
        <v>D2: Service Incentive Mechanism (SIM)</v>
      </c>
      <c r="BG8" s="52" t="str">
        <f>'PC LIST'!O187</f>
        <v>score</v>
      </c>
      <c r="BH8" s="52" t="str">
        <f>'PC LIST'!P187</f>
        <v>Service incentive mechanism (SIM) score</v>
      </c>
      <c r="BI8" s="52">
        <f>'PC LIST'!Q187</f>
        <v>1</v>
      </c>
      <c r="BJ8" s="52" t="str">
        <f>'PC LIST'!J187</f>
        <v>Out &amp; under</v>
      </c>
      <c r="BK8" s="52">
        <f>'PC LIST'!BW187</f>
        <v>84.6</v>
      </c>
      <c r="BL8" s="52" t="str">
        <f>'PC LIST'!B221</f>
        <v>PR14SRNWSW_5a</v>
      </c>
      <c r="BM8" s="52" t="str">
        <f>'PC LIST'!I221</f>
        <v>5a: Drinking water quality - discolouration contacts</v>
      </c>
      <c r="BN8" s="52" t="str">
        <f>'PC LIST'!O221</f>
        <v>nr</v>
      </c>
      <c r="BO8" s="52" t="str">
        <f>'PC LIST'!P221</f>
        <v>No. per 1,000 population</v>
      </c>
      <c r="BP8" s="52">
        <f>'PC LIST'!Q221</f>
        <v>2</v>
      </c>
      <c r="BQ8" s="52" t="str">
        <f>'PC LIST'!J221</f>
        <v>Under</v>
      </c>
      <c r="BR8" s="52">
        <f>'PC LIST'!BW221</f>
        <v>0.74</v>
      </c>
      <c r="BS8" s="52" t="str">
        <f>'PC LIST'!B254</f>
        <v>PR14SSCWSW_4.1</v>
      </c>
      <c r="BT8" s="52" t="str">
        <f>'PC LIST'!I254</f>
        <v>4.1: Leakage (South Staffordshire operating region)</v>
      </c>
      <c r="BU8" s="52" t="str">
        <f>'PC LIST'!O254</f>
        <v>nr</v>
      </c>
      <c r="BV8" s="52" t="str">
        <f>'PC LIST'!P254</f>
        <v>Megalitres per day (Ml/d)</v>
      </c>
      <c r="BW8" s="52">
        <f>'PC LIST'!Q254</f>
        <v>1</v>
      </c>
      <c r="BX8" s="52" t="str">
        <f>'PC LIST'!J254</f>
        <v>Out &amp; under</v>
      </c>
      <c r="BY8" s="52">
        <f>'PC LIST'!BW254</f>
        <v>69.849999999999994</v>
      </c>
      <c r="BZ8" s="52" t="str">
        <f>'PC LIST'!B269</f>
        <v>PR14SVTWSW_W-B2</v>
      </c>
      <c r="CA8" s="52" t="str">
        <f>'PC LIST'!I269</f>
        <v>W-B2: Leakage levels</v>
      </c>
      <c r="CB8" s="52" t="str">
        <f>'PC LIST'!O269</f>
        <v>nr</v>
      </c>
      <c r="CC8" s="52" t="str">
        <f>'PC LIST'!P269</f>
        <v>Megalitres per day (Ml/d)</v>
      </c>
      <c r="CD8" s="52">
        <f>'PC LIST'!Q269</f>
        <v>0</v>
      </c>
      <c r="CE8" s="52" t="str">
        <f>'PC LIST'!J269</f>
        <v>Out &amp; under</v>
      </c>
      <c r="CF8" s="611">
        <f>'PC LIST'!BW269</f>
        <v>432</v>
      </c>
      <c r="CG8" s="52" t="str">
        <f>'PC LIST'!B314</f>
        <v>PR14SWTWSW_W-B1</v>
      </c>
      <c r="CH8" s="54" t="str">
        <f>'PC LIST'!I314</f>
        <v>W-B1: Water restrictions placed on customers (number)</v>
      </c>
      <c r="CI8" s="54" t="str">
        <f>'PC LIST'!O314</f>
        <v>nr</v>
      </c>
      <c r="CJ8" s="54" t="str">
        <f>'PC LIST'!P314</f>
        <v>No. of water restrictions</v>
      </c>
      <c r="CK8" s="52">
        <f>'PC LIST'!Q314</f>
        <v>0</v>
      </c>
      <c r="CL8" s="52" t="str">
        <f>'PC LIST'!J314</f>
        <v>Out &amp; under</v>
      </c>
      <c r="CM8" s="610">
        <f>'PC LIST'!BW314</f>
        <v>0</v>
      </c>
      <c r="CN8" s="52" t="str">
        <f>'PC LIST'!B356</f>
        <v>PR14TMSWSW_WB1</v>
      </c>
      <c r="CO8" s="52" t="str">
        <f>'PC LIST'!I356</f>
        <v>WB1: Asset health water infrastructure</v>
      </c>
      <c r="CP8" s="52" t="str">
        <f>'PC LIST'!O356</f>
        <v>category</v>
      </c>
      <c r="CQ8" s="52" t="str">
        <f>'PC LIST'!P356</f>
        <v>Asset health indicator</v>
      </c>
      <c r="CR8" s="52" t="str">
        <f>'PC LIST'!Q356</f>
        <v>na</v>
      </c>
      <c r="CS8" s="52" t="str">
        <f>'PC LIST'!J356</f>
        <v>Under</v>
      </c>
      <c r="CT8" s="52" t="str">
        <f>'PC LIST'!BW356</f>
        <v>Marginal</v>
      </c>
      <c r="CU8" s="52" t="str">
        <f>'PC LIST'!B411</f>
        <v>PR14UUWSW_B3</v>
      </c>
      <c r="CV8" s="52" t="str">
        <f>'PC LIST'!I411</f>
        <v>B3: Security of supply index (SoSI)</v>
      </c>
      <c r="CW8" s="52" t="str">
        <f>'PC LIST'!O411</f>
        <v>score</v>
      </c>
      <c r="CX8" s="52" t="str">
        <f>'PC LIST'!P411</f>
        <v>Security of Supply Index (SOSI)</v>
      </c>
      <c r="CY8" s="52">
        <f>'PC LIST'!Q411</f>
        <v>3</v>
      </c>
      <c r="CZ8" s="52" t="str">
        <f>'PC LIST'!J411</f>
        <v>Under</v>
      </c>
      <c r="DA8" s="52">
        <f>'PC LIST'!BW411</f>
        <v>100</v>
      </c>
      <c r="DB8" s="52" t="str">
        <f>'PC LIST'!B438</f>
        <v>PR14WSHWSW_D1</v>
      </c>
      <c r="DC8" s="52" t="str">
        <f>'PC LIST'!I438</f>
        <v>D1: Service incentive mechanism (SIM)</v>
      </c>
      <c r="DD8" s="52" t="str">
        <f>'PC LIST'!O438</f>
        <v>text</v>
      </c>
      <c r="DE8" s="52" t="str">
        <f>'PC LIST'!P438</f>
        <v>Service incentive mechanism (SIM) score ranking</v>
      </c>
      <c r="DF8" s="52" t="str">
        <f>'PC LIST'!Q438</f>
        <v>na</v>
      </c>
      <c r="DG8" s="52" t="str">
        <f>'PC LIST'!J438</f>
        <v>Out &amp; under</v>
      </c>
      <c r="DH8" s="610">
        <f>'PC LIST'!BW438</f>
        <v>82.86</v>
      </c>
      <c r="DI8" s="52" t="str">
        <f>'PC LIST'!B469</f>
        <v>PR14WSXWSW_D3</v>
      </c>
      <c r="DJ8" s="52" t="str">
        <f>'PC LIST'!I469</f>
        <v>D3: Water supply interruptions (&gt; 3 hours including planned, unplanned and third party interruptions)</v>
      </c>
      <c r="DK8" s="52" t="str">
        <f>'PC LIST'!O469</f>
        <v>time</v>
      </c>
      <c r="DL8" s="52" t="str">
        <f>'PC LIST'!P469</f>
        <v>Minutes / property / year</v>
      </c>
      <c r="DM8" s="52">
        <f>'PC LIST'!Q469</f>
        <v>1</v>
      </c>
      <c r="DN8" s="52" t="str">
        <f>'PC LIST'!J469</f>
        <v>Out &amp; under</v>
      </c>
      <c r="DO8" s="52">
        <f>'PC LIST'!BW469</f>
        <v>12.8</v>
      </c>
      <c r="DP8" s="52" t="str">
        <f>'PC LIST'!B501</f>
        <v>PR14YKYWSW_WB2</v>
      </c>
      <c r="DQ8" s="52" t="str">
        <f>'PC LIST'!I501</f>
        <v>WB2: Water supply interruptions</v>
      </c>
      <c r="DR8" s="52" t="str">
        <f>'PC LIST'!O501</f>
        <v>time</v>
      </c>
      <c r="DS8" s="52" t="str">
        <f>'PC LIST'!P501</f>
        <v>Minutes lost per property per year</v>
      </c>
      <c r="DT8" s="52">
        <f>'PC LIST'!Q501</f>
        <v>2</v>
      </c>
      <c r="DU8" s="52" t="str">
        <f>'PC LIST'!J501</f>
        <v>Out &amp; under</v>
      </c>
      <c r="DV8" s="52">
        <f>'PC LIST'!BW501</f>
        <v>9.7799999999999994</v>
      </c>
    </row>
    <row r="9" spans="1:126" ht="15.75" customHeight="1">
      <c r="A9" s="52" t="str">
        <f>'PC LIST'!B9</f>
        <v>PR14AFWWSW_W-B2</v>
      </c>
      <c r="B9" s="52" t="str">
        <f>'PC LIST'!I9</f>
        <v>W-B2: Customer contacts for discolouration</v>
      </c>
      <c r="C9" s="52" t="str">
        <f>'PC LIST'!O9</f>
        <v>nr</v>
      </c>
      <c r="D9" s="52" t="str">
        <f>'PC LIST'!P9</f>
        <v>No. per 1,000 population</v>
      </c>
      <c r="E9" s="52">
        <f>'PC LIST'!Q9</f>
        <v>2</v>
      </c>
      <c r="F9" s="52" t="str">
        <f>'PC LIST'!J9</f>
        <v>Under</v>
      </c>
      <c r="G9" s="52">
        <f>'PC LIST'!BW9</f>
        <v>0.28000000000000003</v>
      </c>
      <c r="H9" s="52" t="str">
        <f>'PC LIST'!B22</f>
        <v>PR14ANHWSW_W-D1</v>
      </c>
      <c r="I9" s="52" t="str">
        <f>'PC LIST'!I22</f>
        <v>W-D1: Security of Supply Index (SoSI) - dry year annual average</v>
      </c>
      <c r="J9" s="52" t="str">
        <f>'PC LIST'!O22</f>
        <v>score</v>
      </c>
      <c r="K9" s="52" t="str">
        <f>'PC LIST'!P22</f>
        <v>Security of Supply Index (SOSI)</v>
      </c>
      <c r="L9" s="52">
        <f>'PC LIST'!Q22</f>
        <v>0</v>
      </c>
      <c r="M9" s="52" t="str">
        <f>'PC LIST'!J22</f>
        <v>NFI</v>
      </c>
      <c r="N9" s="610">
        <f>'PC LIST'!BW22</f>
        <v>100</v>
      </c>
      <c r="O9" s="52" t="str">
        <f>'PC LIST'!B61</f>
        <v>PR14BRLWSW_D1</v>
      </c>
      <c r="P9" s="52" t="str">
        <f>'PC LIST'!I61</f>
        <v>D1: Mean zonal compliance (MZC)</v>
      </c>
      <c r="Q9" s="52" t="str">
        <f>'PC LIST'!O61</f>
        <v>%</v>
      </c>
      <c r="R9" s="52" t="str">
        <f>'PC LIST'!P61</f>
        <v>Mean zonal compliance (%)</v>
      </c>
      <c r="S9" s="52">
        <f>'PC LIST'!Q61</f>
        <v>2</v>
      </c>
      <c r="T9" s="52" t="str">
        <f>'PC LIST'!J61</f>
        <v>Under</v>
      </c>
      <c r="U9" s="610">
        <f>'PC LIST'!BW61</f>
        <v>99.97</v>
      </c>
      <c r="V9" s="52" t="str">
        <f>'PC LIST'!B82</f>
        <v>PR14DVWWSW_B3</v>
      </c>
      <c r="W9" s="52" t="str">
        <f>'PC LIST'!I82</f>
        <v>B3: Security of supply index (SOSI)</v>
      </c>
      <c r="X9" s="52" t="str">
        <f>'PC LIST'!O82</f>
        <v>score</v>
      </c>
      <c r="Y9" s="52" t="str">
        <f>'PC LIST'!P82</f>
        <v>Security of Supply Index (SOSI)</v>
      </c>
      <c r="Z9" s="52">
        <f>'PC LIST'!Q82</f>
        <v>0</v>
      </c>
      <c r="AA9" s="52" t="str">
        <f>'PC LIST'!J82</f>
        <v>NFI</v>
      </c>
      <c r="AB9" s="610">
        <f>'PC LIST'!BW82</f>
        <v>100</v>
      </c>
      <c r="AC9" s="52" t="str">
        <f>'PC LIST'!B95</f>
        <v>PR14NESWSW_W-C3</v>
      </c>
      <c r="AD9" s="53" t="str">
        <f>'PC LIST'!I95</f>
        <v>W-C3: Water mains bursts (3-year average)</v>
      </c>
      <c r="AE9" s="53" t="str">
        <f>'PC LIST'!O95</f>
        <v>nr</v>
      </c>
      <c r="AF9" s="53" t="str">
        <f>'PC LIST'!P95</f>
        <v>No. of burst mains per year</v>
      </c>
      <c r="AG9" s="52">
        <f>'PC LIST'!Q95</f>
        <v>0</v>
      </c>
      <c r="AH9" s="52" t="str">
        <f>'PC LIST'!J95</f>
        <v>Under</v>
      </c>
      <c r="AI9" s="52">
        <f>'PC LIST'!BW95</f>
        <v>4048</v>
      </c>
      <c r="AJ9" s="52" t="str">
        <f>'PC LIST'!B139</f>
        <v>PR14PRTWSW_D1</v>
      </c>
      <c r="AK9" s="52" t="str">
        <f>'PC LIST'!I139</f>
        <v>D1: Biodiversity</v>
      </c>
      <c r="AL9" s="52" t="str">
        <f>'PC LIST'!O139</f>
        <v>%</v>
      </c>
      <c r="AM9" s="52" t="str">
        <f>'PC LIST'!P139</f>
        <v>% (completion of agreed actions)</v>
      </c>
      <c r="AN9" s="52">
        <f>'PC LIST'!Q139</f>
        <v>0</v>
      </c>
      <c r="AO9" s="52" t="str">
        <f>'PC LIST'!J139</f>
        <v>Under</v>
      </c>
      <c r="AP9" s="611">
        <f>'PC LIST'!BW139</f>
        <v>40</v>
      </c>
      <c r="AQ9" s="52" t="str">
        <f>'PC LIST'!B152</f>
        <v>PR14SBWWSW_B5</v>
      </c>
      <c r="AR9" s="52" t="str">
        <f>'PC LIST'!I152</f>
        <v>B5: Metering - continue current strategy</v>
      </c>
      <c r="AS9" s="52" t="str">
        <f>'PC LIST'!O152</f>
        <v>nr</v>
      </c>
      <c r="AT9" s="52" t="str">
        <f>'PC LIST'!P152</f>
        <v>No. of additional meters installed</v>
      </c>
      <c r="AU9" s="52">
        <f>'PC LIST'!Q152</f>
        <v>0</v>
      </c>
      <c r="AV9" s="52" t="str">
        <f>'PC LIST'!J152</f>
        <v>Under</v>
      </c>
      <c r="AW9" s="610">
        <f>'PC LIST'!BW152</f>
        <v>4647</v>
      </c>
      <c r="AX9" s="52" t="str">
        <f>'PC LIST'!B167</f>
        <v>PR14SESWSW_A7</v>
      </c>
      <c r="AY9" s="52" t="str">
        <f>'PC LIST'!I167</f>
        <v>A7: Water softening programme</v>
      </c>
      <c r="AZ9" s="52" t="str">
        <f>'PC LIST'!O167</f>
        <v>text</v>
      </c>
      <c r="BA9" s="52" t="str">
        <f>'PC LIST'!P167</f>
        <v>Programme delivery</v>
      </c>
      <c r="BB9" s="52" t="str">
        <f>'PC LIST'!Q167</f>
        <v>na</v>
      </c>
      <c r="BC9" s="52" t="str">
        <f>'PC LIST'!J167</f>
        <v>Under</v>
      </c>
      <c r="BD9" s="611" t="str">
        <f>'PC LIST'!BW167</f>
        <v>Delivered</v>
      </c>
      <c r="BE9" s="52" t="str">
        <f>'PC LIST'!B188</f>
        <v>PR14SEWWSW_E1</v>
      </c>
      <c r="BF9" s="52" t="str">
        <f>'PC LIST'!I188</f>
        <v>E1: Customer satisfaction - bills are value for money and affordable</v>
      </c>
      <c r="BG9" s="52" t="str">
        <f>'PC LIST'!O188</f>
        <v>%</v>
      </c>
      <c r="BH9" s="52" t="str">
        <f>'PC LIST'!P188</f>
        <v>% customer satisfaction</v>
      </c>
      <c r="BI9" s="52">
        <f>'PC LIST'!Q188</f>
        <v>0</v>
      </c>
      <c r="BJ9" s="52" t="str">
        <f>'PC LIST'!J188</f>
        <v>NFI</v>
      </c>
      <c r="BK9" s="52">
        <f>'PC LIST'!BW188</f>
        <v>0.74</v>
      </c>
      <c r="BL9" s="52" t="str">
        <f>'PC LIST'!B222</f>
        <v>PR14SRNWSW_6</v>
      </c>
      <c r="BM9" s="52" t="str">
        <f>'PC LIST'!I222</f>
        <v>6: Water pressure (number of properties on the DG2 low water pressure register)</v>
      </c>
      <c r="BN9" s="52" t="str">
        <f>'PC LIST'!O222</f>
        <v>nr</v>
      </c>
      <c r="BO9" s="52" t="str">
        <f>'PC LIST'!P222</f>
        <v>No. of properties on DG2 register</v>
      </c>
      <c r="BP9" s="52">
        <f>'PC LIST'!Q222</f>
        <v>0</v>
      </c>
      <c r="BQ9" s="52" t="str">
        <f>'PC LIST'!J222</f>
        <v>Under</v>
      </c>
      <c r="BR9" s="52">
        <f>'PC LIST'!BW222</f>
        <v>222</v>
      </c>
      <c r="BS9" s="52" t="str">
        <f>'PC LIST'!B255</f>
        <v>PR14SSCWSW_4.2</v>
      </c>
      <c r="BT9" s="52" t="str">
        <f>'PC LIST'!I255</f>
        <v>4.2: Leakage (Cambridge operating region)</v>
      </c>
      <c r="BU9" s="52" t="str">
        <f>'PC LIST'!O255</f>
        <v>nr</v>
      </c>
      <c r="BV9" s="52" t="str">
        <f>'PC LIST'!P255</f>
        <v>Megalitres per day (Ml/d)</v>
      </c>
      <c r="BW9" s="52">
        <f>'PC LIST'!Q255</f>
        <v>1</v>
      </c>
      <c r="BX9" s="52" t="str">
        <f>'PC LIST'!J255</f>
        <v>Out &amp; under</v>
      </c>
      <c r="BY9" s="52">
        <f>'PC LIST'!BW255</f>
        <v>14.32</v>
      </c>
      <c r="BZ9" s="52" t="str">
        <f>'PC LIST'!B270</f>
        <v>PR14SVTWSW_W-B3</v>
      </c>
      <c r="CA9" s="52" t="str">
        <f>'PC LIST'!I270</f>
        <v>W-B3: Speed of response in repairing leaks (% fixed within 24 hours)</v>
      </c>
      <c r="CB9" s="52" t="str">
        <f>'PC LIST'!O270</f>
        <v>%</v>
      </c>
      <c r="CC9" s="52" t="str">
        <f>'PC LIST'!P270</f>
        <v>% visible leaks fixed within 24 hours</v>
      </c>
      <c r="CD9" s="52">
        <f>'PC LIST'!Q270</f>
        <v>0</v>
      </c>
      <c r="CE9" s="52" t="str">
        <f>'PC LIST'!J270</f>
        <v>Out &amp; under</v>
      </c>
      <c r="CF9" s="611">
        <f>'PC LIST'!BW270</f>
        <v>33</v>
      </c>
      <c r="CG9" s="52" t="str">
        <f>'PC LIST'!B315</f>
        <v>PR14SWTWSW_W-B2</v>
      </c>
      <c r="CH9" s="54" t="str">
        <f>'PC LIST'!I315</f>
        <v>W-B2: Ability to move water around the network</v>
      </c>
      <c r="CI9" s="54" t="str">
        <f>'PC LIST'!O315</f>
        <v>text</v>
      </c>
      <c r="CJ9" s="54" t="str">
        <f>'PC LIST'!P315</f>
        <v>Limited / partial / increased / substantial</v>
      </c>
      <c r="CK9" s="52" t="str">
        <f>'PC LIST'!Q315</f>
        <v>na</v>
      </c>
      <c r="CL9" s="52" t="str">
        <f>'PC LIST'!J315</f>
        <v>NFI</v>
      </c>
      <c r="CM9" s="610" t="str">
        <f>'PC LIST'!BW315</f>
        <v>Partial</v>
      </c>
      <c r="CN9" s="52" t="str">
        <f>'PC LIST'!B357</f>
        <v>PR14TMSWSW_WB2</v>
      </c>
      <c r="CO9" s="52" t="str">
        <f>'PC LIST'!I357</f>
        <v>WB2: Asset health water non-infrastructure</v>
      </c>
      <c r="CP9" s="52" t="str">
        <f>'PC LIST'!O357</f>
        <v>category</v>
      </c>
      <c r="CQ9" s="52" t="str">
        <f>'PC LIST'!P357</f>
        <v>Asset health indicator</v>
      </c>
      <c r="CR9" s="52" t="str">
        <f>'PC LIST'!Q357</f>
        <v>na</v>
      </c>
      <c r="CS9" s="52" t="str">
        <f>'PC LIST'!J357</f>
        <v>Under</v>
      </c>
      <c r="CT9" s="52" t="str">
        <f>'PC LIST'!BW357</f>
        <v>Stable</v>
      </c>
      <c r="CU9" s="52" t="str">
        <f>'PC LIST'!B412</f>
        <v>PR14UUWSW_B4</v>
      </c>
      <c r="CV9" s="52" t="str">
        <f>'PC LIST'!I412</f>
        <v>B4: Total leakage at or below target</v>
      </c>
      <c r="CW9" s="52" t="str">
        <f>'PC LIST'!O412</f>
        <v>nr</v>
      </c>
      <c r="CX9" s="52" t="str">
        <f>'PC LIST'!P412</f>
        <v>Megalitres per day (Ml/d) variance from target</v>
      </c>
      <c r="CY9" s="52">
        <f>'PC LIST'!Q412</f>
        <v>2</v>
      </c>
      <c r="CZ9" s="52" t="str">
        <f>'PC LIST'!J412</f>
        <v>Out &amp; under</v>
      </c>
      <c r="DA9" s="52">
        <f>'PC LIST'!BW412</f>
        <v>23.42980249</v>
      </c>
      <c r="DB9" s="52" t="str">
        <f>'PC LIST'!B439</f>
        <v>PR14WSHWSW_D2</v>
      </c>
      <c r="DC9" s="52" t="str">
        <f>'PC LIST'!I439</f>
        <v>D2: ‘At risk’ customer services - number of customers who have experienced poor service</v>
      </c>
      <c r="DD9" s="52" t="str">
        <f>'PC LIST'!O439</f>
        <v>nr</v>
      </c>
      <c r="DE9" s="52" t="str">
        <f>'PC LIST'!P439</f>
        <v>No. of properties/ incidents on the internal 'at risk' register</v>
      </c>
      <c r="DF9" s="52">
        <f>'PC LIST'!Q439</f>
        <v>0</v>
      </c>
      <c r="DG9" s="52" t="str">
        <f>'PC LIST'!J439</f>
        <v>NFI</v>
      </c>
      <c r="DH9" s="610">
        <f>'PC LIST'!BW439</f>
        <v>575</v>
      </c>
      <c r="DI9" s="52" t="str">
        <f>'PC LIST'!B470</f>
        <v>PR14WSXWSW_D4</v>
      </c>
      <c r="DJ9" s="52" t="str">
        <f>'PC LIST'!I470</f>
        <v>D4: Properties supplied by a single source (including the integrated supply grid)</v>
      </c>
      <c r="DK9" s="52" t="str">
        <f>'PC LIST'!O470</f>
        <v>nr</v>
      </c>
      <c r="DL9" s="52" t="str">
        <f>'PC LIST'!P470</f>
        <v>No. of properties supplied by a single source</v>
      </c>
      <c r="DM9" s="52">
        <f>'PC LIST'!Q470</f>
        <v>0</v>
      </c>
      <c r="DN9" s="52" t="str">
        <f>'PC LIST'!J470</f>
        <v>Under</v>
      </c>
      <c r="DO9" s="52">
        <f>'PC LIST'!BW470</f>
        <v>48000</v>
      </c>
      <c r="DP9" s="52" t="str">
        <f>'PC LIST'!B502</f>
        <v>PR14YKYWSW_WB3</v>
      </c>
      <c r="DQ9" s="52" t="str">
        <f>'PC LIST'!I502</f>
        <v>WB3: Water use</v>
      </c>
      <c r="DR9" s="52" t="str">
        <f>'PC LIST'!O502</f>
        <v>nr</v>
      </c>
      <c r="DS9" s="52" t="str">
        <f>'PC LIST'!P502</f>
        <v>Litres per head per day (l/h/d)</v>
      </c>
      <c r="DT9" s="52">
        <f>'PC LIST'!Q502</f>
        <v>1</v>
      </c>
      <c r="DU9" s="52" t="str">
        <f>'PC LIST'!J502</f>
        <v>NFI</v>
      </c>
      <c r="DV9" s="52">
        <f>'PC LIST'!BW502</f>
        <v>137.4</v>
      </c>
    </row>
    <row r="10" spans="1:126" ht="15.75" customHeight="1">
      <c r="A10" s="52" t="str">
        <f>'PC LIST'!B10</f>
        <v>PR14AFWWSW_W-C1</v>
      </c>
      <c r="B10" s="52" t="str">
        <f>'PC LIST'!I10</f>
        <v>W-C1: Unplanned interruptions to supply over 12 hours</v>
      </c>
      <c r="C10" s="52" t="str">
        <f>'PC LIST'!O10</f>
        <v>nr</v>
      </c>
      <c r="D10" s="52" t="str">
        <f>'PC LIST'!P10</f>
        <v>No. of properties</v>
      </c>
      <c r="E10" s="52">
        <f>'PC LIST'!Q10</f>
        <v>0</v>
      </c>
      <c r="F10" s="52" t="str">
        <f>'PC LIST'!J10</f>
        <v>Out &amp; under</v>
      </c>
      <c r="G10" s="52">
        <f>'PC LIST'!BW10</f>
        <v>1840</v>
      </c>
      <c r="H10" s="52" t="str">
        <f>'PC LIST'!B23</f>
        <v>PR14ANHWSW_W-D2</v>
      </c>
      <c r="I10" s="52" t="str">
        <f>'PC LIST'!I23</f>
        <v>W-D2: Security of Supply Index (SoSI) - critical period (peak) demand</v>
      </c>
      <c r="J10" s="52" t="str">
        <f>'PC LIST'!O23</f>
        <v>score</v>
      </c>
      <c r="K10" s="52" t="str">
        <f>'PC LIST'!P23</f>
        <v>Security of Supply Index (SOSI)</v>
      </c>
      <c r="L10" s="52">
        <f>'PC LIST'!Q23</f>
        <v>0</v>
      </c>
      <c r="M10" s="52" t="str">
        <f>'PC LIST'!J23</f>
        <v>NFI</v>
      </c>
      <c r="N10" s="610">
        <f>'PC LIST'!BW23</f>
        <v>100</v>
      </c>
      <c r="O10" s="52" t="str">
        <f>'PC LIST'!B62</f>
        <v>PR14BRLWSW_E1</v>
      </c>
      <c r="P10" s="52" t="str">
        <f>'PC LIST'!I62</f>
        <v>E1: Negative water quality contacts</v>
      </c>
      <c r="Q10" s="52" t="str">
        <f>'PC LIST'!O62</f>
        <v>nr</v>
      </c>
      <c r="R10" s="52" t="str">
        <f>'PC LIST'!P62</f>
        <v>No. of contacts per year</v>
      </c>
      <c r="S10" s="52">
        <f>'PC LIST'!Q62</f>
        <v>0</v>
      </c>
      <c r="T10" s="52" t="str">
        <f>'PC LIST'!J62</f>
        <v>Out &amp; under</v>
      </c>
      <c r="U10" s="610">
        <f>'PC LIST'!BW62</f>
        <v>2162</v>
      </c>
      <c r="V10" s="52" t="str">
        <f>'PC LIST'!B83</f>
        <v>PR14DVWWSW_B4</v>
      </c>
      <c r="W10" s="52" t="str">
        <f>'PC LIST'!I83</f>
        <v>B4: Number of bursts</v>
      </c>
      <c r="X10" s="52" t="str">
        <f>'PC LIST'!O83</f>
        <v>nr</v>
      </c>
      <c r="Y10" s="52" t="str">
        <f>'PC LIST'!P83</f>
        <v>No. of burst mains per year</v>
      </c>
      <c r="Z10" s="52">
        <f>'PC LIST'!Q83</f>
        <v>0</v>
      </c>
      <c r="AA10" s="52" t="str">
        <f>'PC LIST'!J83</f>
        <v>Out &amp; under</v>
      </c>
      <c r="AB10" s="610">
        <f>'PC LIST'!BW83</f>
        <v>209</v>
      </c>
      <c r="AC10" s="52" t="str">
        <f>'PC LIST'!B96</f>
        <v>PR14NESWSW_W-C4</v>
      </c>
      <c r="AD10" s="53" t="str">
        <f>'PC LIST'!I96</f>
        <v>W-C4: Leakage (Ml/d) Northumbrian area</v>
      </c>
      <c r="AE10" s="53" t="str">
        <f>'PC LIST'!O96</f>
        <v>nr</v>
      </c>
      <c r="AF10" s="53" t="str">
        <f>'PC LIST'!P96</f>
        <v>Megalitres per day (Ml/d)</v>
      </c>
      <c r="AG10" s="52">
        <f>'PC LIST'!Q96</f>
        <v>2</v>
      </c>
      <c r="AH10" s="52" t="str">
        <f>'PC LIST'!J96</f>
        <v>Out &amp; under</v>
      </c>
      <c r="AI10" s="52">
        <f>'PC LIST'!BW96</f>
        <v>133.82</v>
      </c>
      <c r="AJ10" s="52" t="str">
        <f>'PC LIST'!B140</f>
        <v>PR14PRTWSW_D2</v>
      </c>
      <c r="AK10" s="52" t="str">
        <f>'PC LIST'!I140</f>
        <v>D2: Water Framework Directive (WFD)</v>
      </c>
      <c r="AL10" s="52" t="str">
        <f>'PC LIST'!O140</f>
        <v>text</v>
      </c>
      <c r="AM10" s="52" t="str">
        <f>'PC LIST'!P140</f>
        <v>Programme completion</v>
      </c>
      <c r="AN10" s="52" t="str">
        <f>'PC LIST'!Q140</f>
        <v>na</v>
      </c>
      <c r="AO10" s="52" t="str">
        <f>'PC LIST'!J140</f>
        <v>Out &amp; under</v>
      </c>
      <c r="AP10" s="611" t="str">
        <f>'PC LIST'!BW140</f>
        <v>Progress as planned</v>
      </c>
      <c r="AQ10" s="52" t="str">
        <f>'PC LIST'!B153</f>
        <v>PR14SBWWSW_B6</v>
      </c>
      <c r="AR10" s="52" t="str">
        <f>'PC LIST'!I153</f>
        <v>B6: Reduce per capita consumption (PCC) to 136 litres/head/day by March 2020</v>
      </c>
      <c r="AS10" s="52" t="str">
        <f>'PC LIST'!O153</f>
        <v>nr</v>
      </c>
      <c r="AT10" s="52" t="str">
        <f>'PC LIST'!P153</f>
        <v>Litres per head per day (l/h/d)</v>
      </c>
      <c r="AU10" s="52">
        <f>'PC LIST'!Q153</f>
        <v>1</v>
      </c>
      <c r="AV10" s="52" t="str">
        <f>'PC LIST'!J153</f>
        <v>NFI</v>
      </c>
      <c r="AW10" s="610">
        <f>'PC LIST'!BW153</f>
        <v>143.9</v>
      </c>
      <c r="AX10" s="52" t="str">
        <f>'PC LIST'!B168</f>
        <v>PR14SESWSW_C1</v>
      </c>
      <c r="AY10" s="52" t="str">
        <f>'PC LIST'!I168</f>
        <v>C1: The number of times on average the Company has to impose restrictions on the use of water</v>
      </c>
      <c r="AZ10" s="52" t="str">
        <f>'PC LIST'!O168</f>
        <v>nr</v>
      </c>
      <c r="BA10" s="52" t="str">
        <f>'PC LIST'!P168</f>
        <v>No. of restrictions in last 10 years</v>
      </c>
      <c r="BB10" s="52">
        <f>'PC LIST'!Q168</f>
        <v>0</v>
      </c>
      <c r="BC10" s="52" t="str">
        <f>'PC LIST'!J168</f>
        <v>NFI</v>
      </c>
      <c r="BD10" s="611">
        <f>'PC LIST'!BW168</f>
        <v>0</v>
      </c>
      <c r="BE10" s="52" t="str">
        <f>'PC LIST'!B189</f>
        <v>PR14SEWWSW_F1</v>
      </c>
      <c r="BF10" s="52" t="str">
        <f>'PC LIST'!I189</f>
        <v>F1: Customer satisfaction - water supply is of sufficient pressure</v>
      </c>
      <c r="BG10" s="52" t="str">
        <f>'PC LIST'!O189</f>
        <v>score</v>
      </c>
      <c r="BH10" s="52" t="str">
        <f>'PC LIST'!P189</f>
        <v>Customer satisfaction score out of 5</v>
      </c>
      <c r="BI10" s="52">
        <f>'PC LIST'!Q189</f>
        <v>1</v>
      </c>
      <c r="BJ10" s="52" t="str">
        <f>'PC LIST'!J189</f>
        <v>Out &amp; under</v>
      </c>
      <c r="BK10" s="52">
        <f>'PC LIST'!BW189</f>
        <v>4.2</v>
      </c>
      <c r="BL10" s="52" t="str">
        <f>'PC LIST'!B223</f>
        <v>PR14SRNWSW_7</v>
      </c>
      <c r="BM10" s="52" t="str">
        <f>'PC LIST'!I223</f>
        <v>7: Distribution input</v>
      </c>
      <c r="BN10" s="52" t="str">
        <f>'PC LIST'!O223</f>
        <v>nr</v>
      </c>
      <c r="BO10" s="52" t="str">
        <f>'PC LIST'!P223</f>
        <v>Megalitres per day (Ml/d)</v>
      </c>
      <c r="BP10" s="52">
        <f>'PC LIST'!Q223</f>
        <v>2</v>
      </c>
      <c r="BQ10" s="52" t="str">
        <f>'PC LIST'!J223</f>
        <v>NFI</v>
      </c>
      <c r="BR10" s="52">
        <f>'PC LIST'!BW223</f>
        <v>532.28119807697828</v>
      </c>
      <c r="BS10" s="52" t="str">
        <f>'PC LIST'!B256</f>
        <v>PR14SSCWSW_4.3</v>
      </c>
      <c r="BT10" s="52" t="str">
        <f>'PC LIST'!I256</f>
        <v>4.3: Water efficiency (household per capita consumption (PCC) reported annually, combined company)</v>
      </c>
      <c r="BU10" s="52" t="str">
        <f>'PC LIST'!O256</f>
        <v>nr</v>
      </c>
      <c r="BV10" s="52" t="str">
        <f>'PC LIST'!P256</f>
        <v>Litres per head per day (l/h/d)</v>
      </c>
      <c r="BW10" s="52">
        <f>'PC LIST'!Q256</f>
        <v>2</v>
      </c>
      <c r="BX10" s="52" t="str">
        <f>'PC LIST'!J256</f>
        <v>NFI</v>
      </c>
      <c r="BY10" s="52">
        <f>'PC LIST'!BW256</f>
        <v>129.85</v>
      </c>
      <c r="BZ10" s="52" t="str">
        <f>'PC LIST'!B271</f>
        <v>PR14SVTWSW_W-B4</v>
      </c>
      <c r="CA10" s="52" t="str">
        <f>'PC LIST'!I271</f>
        <v>W-B4: Number of minutes customers go without supply each year (interruptions to supply &gt; 3 hours)</v>
      </c>
      <c r="CB10" s="52" t="str">
        <f>'PC LIST'!O271</f>
        <v>time</v>
      </c>
      <c r="CC10" s="52" t="str">
        <f>'PC LIST'!P271</f>
        <v>Minutes / property / year</v>
      </c>
      <c r="CD10" s="52">
        <f>'PC LIST'!Q271</f>
        <v>2</v>
      </c>
      <c r="CE10" s="52" t="str">
        <f>'PC LIST'!J271</f>
        <v>Out &amp; under</v>
      </c>
      <c r="CF10" s="611">
        <f>'PC LIST'!BW271</f>
        <v>10.130000000000001</v>
      </c>
      <c r="CG10" s="52" t="str">
        <f>'PC LIST'!B316</f>
        <v>PR14SWTWSW_W-B3</v>
      </c>
      <c r="CH10" s="54" t="str">
        <f>'PC LIST'!I316</f>
        <v>W-B3: Leakage levels (megalitres a day, Ml/d)</v>
      </c>
      <c r="CI10" s="54" t="str">
        <f>'PC LIST'!O316</f>
        <v>nr</v>
      </c>
      <c r="CJ10" s="54" t="str">
        <f>'PC LIST'!P316</f>
        <v>Megalitres per day (Ml/d)</v>
      </c>
      <c r="CK10" s="52">
        <f>'PC LIST'!Q316</f>
        <v>0</v>
      </c>
      <c r="CL10" s="52" t="str">
        <f>'PC LIST'!J316</f>
        <v>Out &amp; under</v>
      </c>
      <c r="CM10" s="610">
        <f>'PC LIST'!BW316</f>
        <v>82</v>
      </c>
      <c r="CN10" s="52" t="str">
        <f>'PC LIST'!B358</f>
        <v>PR14TMSWSW_WB3</v>
      </c>
      <c r="CO10" s="52" t="str">
        <f>'PC LIST'!I358</f>
        <v>WB3: Compliance with drinking water quality standards (MZC) - Ofwat/ DWI KPI</v>
      </c>
      <c r="CP10" s="52" t="str">
        <f>'PC LIST'!O358</f>
        <v>%</v>
      </c>
      <c r="CQ10" s="52" t="str">
        <f>'PC LIST'!P358</f>
        <v>Mean zonal compliance (%)</v>
      </c>
      <c r="CR10" s="52">
        <f>'PC LIST'!Q358</f>
        <v>2</v>
      </c>
      <c r="CS10" s="52" t="str">
        <f>'PC LIST'!J358</f>
        <v>Under</v>
      </c>
      <c r="CT10" s="52">
        <f>'PC LIST'!BW358</f>
        <v>99.96</v>
      </c>
      <c r="CU10" s="52" t="str">
        <f>'PC LIST'!B413</f>
        <v>PR14UUWSW_B5</v>
      </c>
      <c r="CV10" s="52" t="str">
        <f>'PC LIST'!I413</f>
        <v>B5: Resilience of impounding reservoirs</v>
      </c>
      <c r="CW10" s="52" t="str">
        <f>'PC LIST'!O413</f>
        <v>nr</v>
      </c>
      <c r="CX10" s="52" t="str">
        <f>'PC LIST'!P413</f>
        <v>Aggregate (cumulative) reduction in risk</v>
      </c>
      <c r="CY10" s="52">
        <f>'PC LIST'!Q413</f>
        <v>2</v>
      </c>
      <c r="CZ10" s="52" t="str">
        <f>'PC LIST'!J413</f>
        <v>Under</v>
      </c>
      <c r="DA10" s="52">
        <f>'PC LIST'!BW413</f>
        <v>164.25</v>
      </c>
      <c r="DB10" s="52" t="str">
        <f>'PC LIST'!B440</f>
        <v>PR14WSHWSW_D5</v>
      </c>
      <c r="DC10" s="52" t="str">
        <f>'PC LIST'!I440</f>
        <v>D5: Earning the trust of customers - % of customers surveyed that say they trust the company</v>
      </c>
      <c r="DD10" s="52" t="str">
        <f>'PC LIST'!O440</f>
        <v>%</v>
      </c>
      <c r="DE10" s="52" t="str">
        <f>'PC LIST'!P440</f>
        <v>% customer satisfaction</v>
      </c>
      <c r="DF10" s="52">
        <f>'PC LIST'!Q440</f>
        <v>0</v>
      </c>
      <c r="DG10" s="52" t="str">
        <f>'PC LIST'!J440</f>
        <v>NFI</v>
      </c>
      <c r="DH10" s="610">
        <f>'PC LIST'!BW440</f>
        <v>85</v>
      </c>
      <c r="DI10" s="52" t="str">
        <f>'PC LIST'!B471</f>
        <v>PR14WSXWSW_D5</v>
      </c>
      <c r="DJ10" s="52" t="str">
        <f>'PC LIST'!I471</f>
        <v>D5: Water main bursts</v>
      </c>
      <c r="DK10" s="52" t="str">
        <f>'PC LIST'!O471</f>
        <v>nr</v>
      </c>
      <c r="DL10" s="52" t="str">
        <f>'PC LIST'!P471</f>
        <v>No. of water main bursts per year</v>
      </c>
      <c r="DM10" s="52">
        <f>'PC LIST'!Q471</f>
        <v>0</v>
      </c>
      <c r="DN10" s="52" t="str">
        <f>'PC LIST'!J471</f>
        <v>Under</v>
      </c>
      <c r="DO10" s="52">
        <f>'PC LIST'!BW471</f>
        <v>1863</v>
      </c>
      <c r="DP10" s="52" t="str">
        <f>'PC LIST'!B503</f>
        <v>PR14YKYWSW_WB4</v>
      </c>
      <c r="DQ10" s="52" t="str">
        <f>'PC LIST'!I503</f>
        <v>WB4: Water network stability and reliability factor</v>
      </c>
      <c r="DR10" s="52" t="str">
        <f>'PC LIST'!O503</f>
        <v>category</v>
      </c>
      <c r="DS10" s="52" t="str">
        <f>'PC LIST'!P503</f>
        <v>Asset health indicator</v>
      </c>
      <c r="DT10" s="52" t="str">
        <f>'PC LIST'!Q503</f>
        <v>na</v>
      </c>
      <c r="DU10" s="52" t="str">
        <f>'PC LIST'!J503</f>
        <v>Under</v>
      </c>
      <c r="DV10" s="52" t="str">
        <f>'PC LIST'!BW503</f>
        <v>Stable</v>
      </c>
    </row>
    <row r="11" spans="1:126" ht="15.75" customHeight="1">
      <c r="A11" s="52" t="str">
        <f>'PC LIST'!B11</f>
        <v>PR14AFWWSW_W-C2</v>
      </c>
      <c r="B11" s="52" t="str">
        <f>'PC LIST'!I11</f>
        <v>W-C2: Number of burst mains</v>
      </c>
      <c r="C11" s="52" t="str">
        <f>'PC LIST'!O11</f>
        <v>nr</v>
      </c>
      <c r="D11" s="52" t="str">
        <f>'PC LIST'!P11</f>
        <v>No. of burst mains per year</v>
      </c>
      <c r="E11" s="52">
        <f>'PC LIST'!Q11</f>
        <v>0</v>
      </c>
      <c r="F11" s="52" t="str">
        <f>'PC LIST'!J11</f>
        <v>Under</v>
      </c>
      <c r="G11" s="52">
        <f>'PC LIST'!BW11</f>
        <v>3077</v>
      </c>
      <c r="H11" s="52" t="str">
        <f>'PC LIST'!B24</f>
        <v>PR14ANHWSW_W-D3</v>
      </c>
      <c r="I11" s="52" t="str">
        <f>'PC LIST'!I24</f>
        <v>W-D3: Per property consumption (PPC) (litres/household/day reduction)</v>
      </c>
      <c r="J11" s="52" t="str">
        <f>'PC LIST'!O24</f>
        <v>nr</v>
      </c>
      <c r="K11" s="52" t="str">
        <f>'PC LIST'!P24</f>
        <v>Litres per household per day (l/hh/d)</v>
      </c>
      <c r="L11" s="52">
        <f>'PC LIST'!Q24</f>
        <v>0</v>
      </c>
      <c r="M11" s="52" t="str">
        <f>'PC LIST'!J24</f>
        <v>Under</v>
      </c>
      <c r="N11" s="610">
        <f>'PC LIST'!BW24</f>
        <v>-2</v>
      </c>
      <c r="O11" s="52" t="str">
        <f>'PC LIST'!B63</f>
        <v>PR14BRLWSW_F1</v>
      </c>
      <c r="P11" s="52" t="str">
        <f>'PC LIST'!I63</f>
        <v>F1: Leakage</v>
      </c>
      <c r="Q11" s="52" t="str">
        <f>'PC LIST'!O63</f>
        <v>nr</v>
      </c>
      <c r="R11" s="52" t="str">
        <f>'PC LIST'!P63</f>
        <v>Megalitres per day (Ml/d)</v>
      </c>
      <c r="S11" s="52">
        <f>'PC LIST'!Q63</f>
        <v>1</v>
      </c>
      <c r="T11" s="52" t="str">
        <f>'PC LIST'!J63</f>
        <v>Out &amp; under</v>
      </c>
      <c r="U11" s="610">
        <f>'PC LIST'!BW63</f>
        <v>47.4</v>
      </c>
      <c r="V11" s="52" t="str">
        <f>'PC LIST'!B84</f>
        <v>PR14DVWWSW_C1</v>
      </c>
      <c r="W11" s="52" t="str">
        <f>'PC LIST'!I84</f>
        <v>C1: Gross operational greenhouse gas emissions</v>
      </c>
      <c r="X11" s="52" t="str">
        <f>'PC LIST'!O84</f>
        <v>nr</v>
      </c>
      <c r="Y11" s="52" t="str">
        <f>'PC LIST'!P84</f>
        <v>tCO2e</v>
      </c>
      <c r="Z11" s="52">
        <f>'PC LIST'!Q84</f>
        <v>0</v>
      </c>
      <c r="AA11" s="52" t="str">
        <f>'PC LIST'!J84</f>
        <v>NFI</v>
      </c>
      <c r="AB11" s="610">
        <f>'PC LIST'!BW84</f>
        <v>8385</v>
      </c>
      <c r="AC11" s="52" t="str">
        <f>'PC LIST'!B97</f>
        <v>PR14NESWSW_W-C5</v>
      </c>
      <c r="AD11" s="53" t="str">
        <f>'PC LIST'!I97</f>
        <v>W-C5: Leakage (Ml/d) Essex &amp; Suffolk area</v>
      </c>
      <c r="AE11" s="53" t="str">
        <f>'PC LIST'!O97</f>
        <v>nr</v>
      </c>
      <c r="AF11" s="53" t="str">
        <f>'PC LIST'!P97</f>
        <v>Megalitres per day (Ml/d)</v>
      </c>
      <c r="AG11" s="52">
        <f>'PC LIST'!Q97</f>
        <v>2</v>
      </c>
      <c r="AH11" s="52" t="str">
        <f>'PC LIST'!J97</f>
        <v>Out &amp; under</v>
      </c>
      <c r="AI11" s="52">
        <f>'PC LIST'!BW97</f>
        <v>68.08</v>
      </c>
      <c r="AJ11" s="52" t="str">
        <f>'PC LIST'!B141</f>
        <v>PR14PRTWSW_D3</v>
      </c>
      <c r="AK11" s="52" t="str">
        <f>'PC LIST'!I141</f>
        <v>D3: Carbon</v>
      </c>
      <c r="AL11" s="52" t="str">
        <f>'PC LIST'!O141</f>
        <v>%</v>
      </c>
      <c r="AM11" s="52" t="str">
        <f>'PC LIST'!P141</f>
        <v>Energy sourced from renewables (% increase)</v>
      </c>
      <c r="AN11" s="52">
        <f>'PC LIST'!Q141</f>
        <v>0</v>
      </c>
      <c r="AO11" s="52" t="str">
        <f>'PC LIST'!J141</f>
        <v>NFI</v>
      </c>
      <c r="AP11" s="611" t="str">
        <f>'PC LIST'!BW141</f>
        <v>&gt; 95%</v>
      </c>
      <c r="AQ11" s="52" t="str">
        <f>'PC LIST'!B154</f>
        <v>PR14SBWWSW_C1</v>
      </c>
      <c r="AR11" s="52" t="str">
        <f>'PC LIST'!I154</f>
        <v>C1: Repair visible leaks</v>
      </c>
      <c r="AS11" s="52" t="str">
        <f>'PC LIST'!O154</f>
        <v>%</v>
      </c>
      <c r="AT11" s="52" t="str">
        <f>'PC LIST'!P154</f>
        <v>% visible leaks repaired within 7 days</v>
      </c>
      <c r="AU11" s="52">
        <f>'PC LIST'!Q154</f>
        <v>1</v>
      </c>
      <c r="AV11" s="52" t="str">
        <f>'PC LIST'!J154</f>
        <v>Under</v>
      </c>
      <c r="AW11" s="610">
        <f>'PC LIST'!BW154</f>
        <v>80</v>
      </c>
      <c r="AX11" s="52" t="str">
        <f>'PC LIST'!B169</f>
        <v>PR14SESWSW_C2</v>
      </c>
      <c r="AY11" s="52" t="str">
        <f>'PC LIST'!I169</f>
        <v>C2: Percentage of properties that are connected to more than one treatment works (resilience measure)</v>
      </c>
      <c r="AZ11" s="52" t="str">
        <f>'PC LIST'!O169</f>
        <v>%</v>
      </c>
      <c r="BA11" s="52" t="str">
        <f>'PC LIST'!P169</f>
        <v>% props can be supplied from &gt;1 WTW</v>
      </c>
      <c r="BB11" s="52">
        <f>'PC LIST'!Q169</f>
        <v>0</v>
      </c>
      <c r="BC11" s="52" t="str">
        <f>'PC LIST'!J169</f>
        <v>Out &amp; under</v>
      </c>
      <c r="BD11" s="611">
        <f>'PC LIST'!BW169</f>
        <v>36</v>
      </c>
      <c r="BE11" s="52" t="str">
        <f>'PC LIST'!B190</f>
        <v>PR14SEWWSW_F2</v>
      </c>
      <c r="BF11" s="52" t="str">
        <f>'PC LIST'!I190</f>
        <v>F2: Number of properties at risk of low pressure, as recorded on the DG2 register</v>
      </c>
      <c r="BG11" s="52" t="str">
        <f>'PC LIST'!O190</f>
        <v>nr</v>
      </c>
      <c r="BH11" s="52" t="str">
        <f>'PC LIST'!P190</f>
        <v>No. of properties on DG2 register</v>
      </c>
      <c r="BI11" s="52">
        <f>'PC LIST'!Q190</f>
        <v>0</v>
      </c>
      <c r="BJ11" s="52" t="str">
        <f>'PC LIST'!J190</f>
        <v>Out &amp; under</v>
      </c>
      <c r="BK11" s="52">
        <f>'PC LIST'!BW190</f>
        <v>49</v>
      </c>
      <c r="BL11" s="52" t="str">
        <f>'PC LIST'!B224</f>
        <v>PR14SRNWSW_8</v>
      </c>
      <c r="BM11" s="52" t="str">
        <f>'PC LIST'!I224</f>
        <v>8: Per capita consumption (PCC) - five-year average target</v>
      </c>
      <c r="BN11" s="52" t="str">
        <f>'PC LIST'!O224</f>
        <v>nr</v>
      </c>
      <c r="BO11" s="52" t="str">
        <f>'PC LIST'!P224</f>
        <v>Litres per head per day (l/h/d)</v>
      </c>
      <c r="BP11" s="52">
        <f>'PC LIST'!Q224</f>
        <v>1</v>
      </c>
      <c r="BQ11" s="52" t="str">
        <f>'PC LIST'!J224</f>
        <v>Out &amp; under</v>
      </c>
      <c r="BR11" s="52">
        <f>'PC LIST'!BW224</f>
        <v>131.29</v>
      </c>
      <c r="BS11" s="52" t="str">
        <f>'PC LIST'!B257</f>
        <v>PR14SSCWSW_4.4</v>
      </c>
      <c r="BT11" s="52" t="str">
        <f>'PC LIST'!I257</f>
        <v>4.4: Biodiversity (cumulative total hectares of land under management per year, combined company)</v>
      </c>
      <c r="BU11" s="52" t="str">
        <f>'PC LIST'!O257</f>
        <v>nr</v>
      </c>
      <c r="BV11" s="52" t="str">
        <f>'PC LIST'!P257</f>
        <v>Cumulative total hectares of land</v>
      </c>
      <c r="BW11" s="52">
        <f>'PC LIST'!Q257</f>
        <v>0</v>
      </c>
      <c r="BX11" s="52" t="str">
        <f>'PC LIST'!J257</f>
        <v>NFI</v>
      </c>
      <c r="BY11" s="52">
        <f>'PC LIST'!BW257</f>
        <v>91.6</v>
      </c>
      <c r="BZ11" s="52" t="str">
        <f>'PC LIST'!B272</f>
        <v>PR14SVTWSW_W-B5</v>
      </c>
      <c r="CA11" s="52" t="str">
        <f>'PC LIST'!I272</f>
        <v>W-B5: % of customers with resilient supplies (those that benefit from a second source of supply)</v>
      </c>
      <c r="CB11" s="52" t="str">
        <f>'PC LIST'!O272</f>
        <v>%</v>
      </c>
      <c r="CC11" s="52" t="str">
        <f>'PC LIST'!P272</f>
        <v>% customers with 2nd supply source</v>
      </c>
      <c r="CD11" s="52">
        <f>'PC LIST'!Q272</f>
        <v>1</v>
      </c>
      <c r="CE11" s="52" t="str">
        <f>'PC LIST'!J272</f>
        <v>Out &amp; under</v>
      </c>
      <c r="CF11" s="611">
        <f>'PC LIST'!BW272</f>
        <v>77</v>
      </c>
      <c r="CG11" s="52" t="str">
        <f>'PC LIST'!B317</f>
        <v>PR14SWTWSW_W-B4</v>
      </c>
      <c r="CH11" s="54" t="str">
        <f>'PC LIST'!I317</f>
        <v>W-B4: Time taken to fix significant leaks (days)</v>
      </c>
      <c r="CI11" s="54" t="str">
        <f>'PC LIST'!O317</f>
        <v>nr</v>
      </c>
      <c r="CJ11" s="54" t="str">
        <f>'PC LIST'!P317</f>
        <v>No. of days taken to fix significant leaks</v>
      </c>
      <c r="CK11" s="52">
        <f>'PC LIST'!Q317</f>
        <v>0</v>
      </c>
      <c r="CL11" s="52" t="str">
        <f>'PC LIST'!J317</f>
        <v>NFI</v>
      </c>
      <c r="CM11" s="610">
        <f>'PC LIST'!BW317</f>
        <v>2.23</v>
      </c>
      <c r="CN11" s="52" t="str">
        <f>'PC LIST'!B359</f>
        <v>PR14TMSWSW_WB4</v>
      </c>
      <c r="CO11" s="52" t="str">
        <f>'PC LIST'!I359</f>
        <v>WB4: Properties experiencing chronic low pressure (DG2)</v>
      </c>
      <c r="CP11" s="52" t="str">
        <f>'PC LIST'!O359</f>
        <v>nr</v>
      </c>
      <c r="CQ11" s="52" t="str">
        <f>'PC LIST'!P359</f>
        <v>No. of properties with low pressure (DG2) at the end of the reporting year</v>
      </c>
      <c r="CR11" s="52">
        <f>'PC LIST'!Q359</f>
        <v>0</v>
      </c>
      <c r="CS11" s="52" t="str">
        <f>'PC LIST'!J359</f>
        <v>NFI</v>
      </c>
      <c r="CT11" s="52">
        <f>'PC LIST'!BW359</f>
        <v>5</v>
      </c>
      <c r="CU11" s="52" t="str">
        <f>'PC LIST'!B414</f>
        <v>PR14UUWSW_B6</v>
      </c>
      <c r="CV11" s="52" t="str">
        <f>'PC LIST'!I414</f>
        <v>B6: Thirlmere transfer into West Cumbria</v>
      </c>
      <c r="CW11" s="52" t="str">
        <f>'PC LIST'!O414</f>
        <v>%</v>
      </c>
      <c r="CX11" s="52" t="str">
        <f>'PC LIST'!P414</f>
        <v>% project complete based on earned value tied to milestones</v>
      </c>
      <c r="CY11" s="52">
        <f>'PC LIST'!Q414</f>
        <v>0</v>
      </c>
      <c r="CZ11" s="52" t="str">
        <f>'PC LIST'!J414</f>
        <v>Out &amp; under</v>
      </c>
      <c r="DA11" s="52">
        <f>'PC LIST'!BW414</f>
        <v>5</v>
      </c>
      <c r="DB11" s="52" t="str">
        <f>'PC LIST'!B441</f>
        <v>PR14WSHWSW_E1</v>
      </c>
      <c r="DC11" s="52" t="str">
        <f>'PC LIST'!I441</f>
        <v>E1: Affordable bills - annual increase</v>
      </c>
      <c r="DD11" s="52" t="str">
        <f>'PC LIST'!O441</f>
        <v>%</v>
      </c>
      <c r="DE11" s="52" t="str">
        <f>'PC LIST'!P441</f>
        <v>% above or below inflation (affordability of bills)</v>
      </c>
      <c r="DF11" s="52">
        <f>'PC LIST'!Q441</f>
        <v>0</v>
      </c>
      <c r="DG11" s="52" t="str">
        <f>'PC LIST'!J441</f>
        <v>NFI</v>
      </c>
      <c r="DH11" s="610">
        <f>'PC LIST'!BW441</f>
        <v>-1</v>
      </c>
      <c r="DI11" s="52" t="str">
        <f>'PC LIST'!B472</f>
        <v>PR14WSXWSW_F1</v>
      </c>
      <c r="DJ11" s="52" t="str">
        <f>'PC LIST'!I472</f>
        <v>F1: Volume of water leaked</v>
      </c>
      <c r="DK11" s="52" t="str">
        <f>'PC LIST'!O472</f>
        <v>nr</v>
      </c>
      <c r="DL11" s="52" t="str">
        <f>'PC LIST'!P472</f>
        <v>Megalitres per day (Ml/d)</v>
      </c>
      <c r="DM11" s="52">
        <f>'PC LIST'!Q472</f>
        <v>1</v>
      </c>
      <c r="DN11" s="52" t="str">
        <f>'PC LIST'!J472</f>
        <v>Out &amp; under</v>
      </c>
      <c r="DO11" s="52">
        <f>'PC LIST'!BW472</f>
        <v>68.3</v>
      </c>
      <c r="DP11" s="52" t="str">
        <f>'PC LIST'!B504</f>
        <v>PR14YKYWSW_WC1</v>
      </c>
      <c r="DQ11" s="52" t="str">
        <f>'PC LIST'!I504</f>
        <v>WC1: Length of river improved (note: PC is part of a total commitment at Appointee level - see also SB4)</v>
      </c>
      <c r="DR11" s="52" t="str">
        <f>'PC LIST'!O504</f>
        <v>nr</v>
      </c>
      <c r="DS11" s="52" t="str">
        <f>'PC LIST'!P504</f>
        <v>Kilometres (km) of river improved (modelled length)</v>
      </c>
      <c r="DT11" s="52">
        <f>'PC LIST'!Q504</f>
        <v>0</v>
      </c>
      <c r="DU11" s="52" t="str">
        <f>'PC LIST'!J504</f>
        <v>Out &amp; under</v>
      </c>
      <c r="DV11" s="52">
        <f>'PC LIST'!BW504</f>
        <v>0</v>
      </c>
    </row>
    <row r="12" spans="1:126" ht="15.75" customHeight="1">
      <c r="A12" s="52" t="str">
        <f>'PC LIST'!B12</f>
        <v>PR14AFWWSW_W-C3</v>
      </c>
      <c r="B12" s="52" t="str">
        <f>'PC LIST'!I12</f>
        <v>W-C3: Affected customers not notified of planned interruptions</v>
      </c>
      <c r="C12" s="52" t="str">
        <f>'PC LIST'!O12</f>
        <v>nr</v>
      </c>
      <c r="D12" s="52" t="str">
        <f>'PC LIST'!P12</f>
        <v>No. of GSS events</v>
      </c>
      <c r="E12" s="52">
        <f>'PC LIST'!Q12</f>
        <v>0</v>
      </c>
      <c r="F12" s="52" t="str">
        <f>'PC LIST'!J12</f>
        <v>NFI</v>
      </c>
      <c r="G12" s="52">
        <f>'PC LIST'!BW12</f>
        <v>111</v>
      </c>
      <c r="H12" s="52" t="str">
        <f>'PC LIST'!B25</f>
        <v>PR14ANHWSW_W-D4</v>
      </c>
      <c r="I12" s="52" t="str">
        <f>'PC LIST'!I25</f>
        <v>W-D4: Leakage - three-year average</v>
      </c>
      <c r="J12" s="52" t="str">
        <f>'PC LIST'!O25</f>
        <v>nr</v>
      </c>
      <c r="K12" s="52" t="str">
        <f>'PC LIST'!P25</f>
        <v>Megalitres per day (Ml/d)</v>
      </c>
      <c r="L12" s="52">
        <f>'PC LIST'!Q25</f>
        <v>0</v>
      </c>
      <c r="M12" s="52" t="str">
        <f>'PC LIST'!J25</f>
        <v>Out &amp; under</v>
      </c>
      <c r="N12" s="610">
        <f>'PC LIST'!BW25</f>
        <v>186</v>
      </c>
      <c r="O12" s="52" t="str">
        <f>'PC LIST'!B64</f>
        <v>PR14BRLWSW_G1</v>
      </c>
      <c r="P12" s="52" t="str">
        <f>'PC LIST'!I64</f>
        <v>G1: Meter penetration</v>
      </c>
      <c r="Q12" s="52" t="str">
        <f>'PC LIST'!O64</f>
        <v>%</v>
      </c>
      <c r="R12" s="52" t="str">
        <f>'PC LIST'!P64</f>
        <v xml:space="preserve">% metered supplies </v>
      </c>
      <c r="S12" s="52">
        <f>'PC LIST'!Q64</f>
        <v>1</v>
      </c>
      <c r="T12" s="52" t="str">
        <f>'PC LIST'!J64</f>
        <v>Out &amp; under</v>
      </c>
      <c r="U12" s="610">
        <f>'PC LIST'!BW64</f>
        <v>49.6</v>
      </c>
      <c r="V12" s="52" t="str">
        <f>'PC LIST'!B85</f>
        <v>PR14DVWWSW_D1</v>
      </c>
      <c r="W12" s="52" t="str">
        <f>'PC LIST'!I85</f>
        <v>D1: Customers’ perception based on market research</v>
      </c>
      <c r="X12" s="52" t="str">
        <f>'PC LIST'!O85</f>
        <v>%</v>
      </c>
      <c r="Y12" s="52" t="str">
        <f>'PC LIST'!P85</f>
        <v>% customer satisfaction</v>
      </c>
      <c r="Z12" s="52" t="str">
        <f>'PC LIST'!Q85</f>
        <v>na</v>
      </c>
      <c r="AA12" s="52" t="str">
        <f>'PC LIST'!J85</f>
        <v>NFI</v>
      </c>
      <c r="AB12" s="610">
        <f>'PC LIST'!BW85</f>
        <v>77</v>
      </c>
      <c r="AC12" s="52" t="str">
        <f>'PC LIST'!B98</f>
        <v>PR14NESWSW_W-D1</v>
      </c>
      <c r="AD12" s="53" t="str">
        <f>'PC LIST'!I98</f>
        <v>W-D1: NWL independent overall customer satisfaction score</v>
      </c>
      <c r="AE12" s="53" t="str">
        <f>'PC LIST'!O98</f>
        <v>score</v>
      </c>
      <c r="AF12" s="53" t="str">
        <f>'PC LIST'!P98</f>
        <v>Score between 0 and 10</v>
      </c>
      <c r="AG12" s="52">
        <f>'PC LIST'!Q98</f>
        <v>1</v>
      </c>
      <c r="AH12" s="52" t="str">
        <f>'PC LIST'!J98</f>
        <v>NFI</v>
      </c>
      <c r="AI12" s="52">
        <f>'PC LIST'!BW98</f>
        <v>8.5</v>
      </c>
      <c r="AJ12" s="52" t="str">
        <f>'PC LIST'!B142</f>
        <v>PR14PRTWSW_E1</v>
      </c>
      <c r="AK12" s="52" t="str">
        <f>'PC LIST'!I142</f>
        <v>E1: RoSPA Health and Safety accreditation</v>
      </c>
      <c r="AL12" s="52" t="str">
        <f>'PC LIST'!O142</f>
        <v>text</v>
      </c>
      <c r="AM12" s="52" t="str">
        <f>'PC LIST'!P142</f>
        <v>RoSPA Gold award</v>
      </c>
      <c r="AN12" s="52" t="str">
        <f>'PC LIST'!Q142</f>
        <v>na</v>
      </c>
      <c r="AO12" s="52" t="str">
        <f>'PC LIST'!J142</f>
        <v>NFI</v>
      </c>
      <c r="AP12" s="611" t="str">
        <f>'PC LIST'!BW142</f>
        <v>Awarded</v>
      </c>
      <c r="AQ12" s="52" t="str">
        <f>'PC LIST'!B155</f>
        <v>PR14SBWWSW_D1</v>
      </c>
      <c r="AR12" s="52" t="str">
        <f>'PC LIST'!I155</f>
        <v>D1: Reduce energy used in water delivery</v>
      </c>
      <c r="AS12" s="52" t="str">
        <f>'PC LIST'!O155</f>
        <v>nr</v>
      </c>
      <c r="AT12" s="52" t="str">
        <f>'PC LIST'!P155</f>
        <v>kWh/Ml (kilowatt hours per megalitre)</v>
      </c>
      <c r="AU12" s="52">
        <f>'PC LIST'!Q155</f>
        <v>2</v>
      </c>
      <c r="AV12" s="52" t="str">
        <f>'PC LIST'!J155</f>
        <v>NFI</v>
      </c>
      <c r="AW12" s="610">
        <f>'PC LIST'!BW155</f>
        <v>650.25</v>
      </c>
      <c r="AX12" s="52" t="str">
        <f>'PC LIST'!B170</f>
        <v>PR14SESWSW_E1</v>
      </c>
      <c r="AY12" s="52" t="str">
        <f>'PC LIST'!I170</f>
        <v>E1: Level of leakage measured in megalitres per day (including customer supply pipe leakage)</v>
      </c>
      <c r="AZ12" s="52" t="str">
        <f>'PC LIST'!O170</f>
        <v>nr</v>
      </c>
      <c r="BA12" s="52" t="str">
        <f>'PC LIST'!P170</f>
        <v>Megalitres per day (Ml/d)</v>
      </c>
      <c r="BB12" s="52">
        <f>'PC LIST'!Q170</f>
        <v>2</v>
      </c>
      <c r="BC12" s="52" t="str">
        <f>'PC LIST'!J170</f>
        <v>Out &amp; under</v>
      </c>
      <c r="BD12" s="611">
        <f>'PC LIST'!BW170</f>
        <v>24.34</v>
      </c>
      <c r="BE12" s="52" t="str">
        <f>'PC LIST'!B191</f>
        <v>PR14SEWWSW_G1</v>
      </c>
      <c r="BF12" s="52" t="str">
        <f>'PC LIST'!I191</f>
        <v>G1: Customer satisfaction - frequency and duration of supply interruptions</v>
      </c>
      <c r="BG12" s="52" t="str">
        <f>'PC LIST'!O191</f>
        <v>score</v>
      </c>
      <c r="BH12" s="52" t="str">
        <f>'PC LIST'!P191</f>
        <v>Customer satisfaction score out of 5</v>
      </c>
      <c r="BI12" s="52">
        <f>'PC LIST'!Q191</f>
        <v>1</v>
      </c>
      <c r="BJ12" s="52" t="str">
        <f>'PC LIST'!J191</f>
        <v>Out &amp; under</v>
      </c>
      <c r="BK12" s="52">
        <f>'PC LIST'!BW191</f>
        <v>4.5999999999999996</v>
      </c>
      <c r="BL12" s="52" t="str">
        <f>'PC LIST'!B225</f>
        <v>PR14SRNWSWW_1</v>
      </c>
      <c r="BM12" s="52" t="str">
        <f>'PC LIST'!I225</f>
        <v>1: Wastewater asset health (sewer collapses, WwTW PE compliance, external flooding - other causes)</v>
      </c>
      <c r="BN12" s="52" t="str">
        <f>'PC LIST'!O225</f>
        <v>category</v>
      </c>
      <c r="BO12" s="52" t="str">
        <f>'PC LIST'!P225</f>
        <v>Asset health indicator</v>
      </c>
      <c r="BP12" s="52" t="str">
        <f>'PC LIST'!Q225</f>
        <v>na</v>
      </c>
      <c r="BQ12" s="52" t="str">
        <f>'PC LIST'!J225</f>
        <v>Under</v>
      </c>
      <c r="BR12" s="52" t="str">
        <f>'PC LIST'!BW225</f>
        <v>Stable</v>
      </c>
      <c r="BS12" s="52" t="str">
        <f>'PC LIST'!B258</f>
        <v>PR14SSCWSW_4.5</v>
      </c>
      <c r="BT12" s="52" t="str">
        <f>'PC LIST'!I258</f>
        <v>4.5: Carbon emissions from power consumption (tonnes, combined company)</v>
      </c>
      <c r="BU12" s="52" t="str">
        <f>'PC LIST'!O258</f>
        <v>nr</v>
      </c>
      <c r="BV12" s="52" t="str">
        <f>'PC LIST'!P258</f>
        <v>tCO2e (tonnes CO2e) in real savings</v>
      </c>
      <c r="BW12" s="52">
        <f>'PC LIST'!Q258</f>
        <v>0</v>
      </c>
      <c r="BX12" s="52" t="str">
        <f>'PC LIST'!J258</f>
        <v>NFI</v>
      </c>
      <c r="BY12" s="52">
        <f>'PC LIST'!BW258</f>
        <v>285</v>
      </c>
      <c r="BZ12" s="52" t="str">
        <f>'PC LIST'!B273</f>
        <v>PR14SVTWSW_W-B6</v>
      </c>
      <c r="CA12" s="52" t="str">
        <f>'PC LIST'!I273</f>
        <v>W-B6: Asset stewardship - mains bursts</v>
      </c>
      <c r="CB12" s="52" t="str">
        <f>'PC LIST'!O273</f>
        <v>nr</v>
      </c>
      <c r="CC12" s="52" t="str">
        <f>'PC LIST'!P273</f>
        <v>No. of burst mains per year</v>
      </c>
      <c r="CD12" s="52">
        <f>'PC LIST'!Q273</f>
        <v>0</v>
      </c>
      <c r="CE12" s="52" t="str">
        <f>'PC LIST'!J273</f>
        <v>Under</v>
      </c>
      <c r="CF12" s="611">
        <f>'PC LIST'!BW273</f>
        <v>5173</v>
      </c>
      <c r="CG12" s="52" t="str">
        <f>'PC LIST'!B318</f>
        <v>PR14SWTWSW_W-B5</v>
      </c>
      <c r="CH12" s="54" t="str">
        <f>'PC LIST'!I318</f>
        <v>W-B5: Security of supply index (SoSI)</v>
      </c>
      <c r="CI12" s="54" t="str">
        <f>'PC LIST'!O318</f>
        <v>score</v>
      </c>
      <c r="CJ12" s="54" t="str">
        <f>'PC LIST'!P318</f>
        <v>Security of Supply Index (SOSI)</v>
      </c>
      <c r="CK12" s="52">
        <f>'PC LIST'!Q318</f>
        <v>0</v>
      </c>
      <c r="CL12" s="52" t="str">
        <f>'PC LIST'!J318</f>
        <v>NFI</v>
      </c>
      <c r="CM12" s="610">
        <f>'PC LIST'!BW318</f>
        <v>100</v>
      </c>
      <c r="CN12" s="52" t="str">
        <f>'PC LIST'!B360</f>
        <v>PR14TMSWSW_WB5</v>
      </c>
      <c r="CO12" s="52" t="str">
        <f>'PC LIST'!I360</f>
        <v>WB5: Average hours lost supply per property served, due to interruptions &gt; 4 hours</v>
      </c>
      <c r="CP12" s="52" t="str">
        <f>'PC LIST'!O360</f>
        <v>time</v>
      </c>
      <c r="CQ12" s="52" t="str">
        <f>'PC LIST'!P360</f>
        <v>Hours lost supply per property served</v>
      </c>
      <c r="CR12" s="52">
        <f>'PC LIST'!Q360</f>
        <v>2</v>
      </c>
      <c r="CS12" s="52" t="str">
        <f>'PC LIST'!J360</f>
        <v>Out &amp; under</v>
      </c>
      <c r="CT12" s="52">
        <f>'PC LIST'!BW360</f>
        <v>0.12</v>
      </c>
      <c r="CU12" s="52" t="str">
        <f>'PC LIST'!B415</f>
        <v>PR14UUWSW_C1</v>
      </c>
      <c r="CV12" s="52" t="str">
        <f>'PC LIST'!I415</f>
        <v>C1: Contribution to rivers improved - water programme (NEP schemes and abstraction changes at 4 AIM sites)</v>
      </c>
      <c r="CW12" s="52" t="str">
        <f>'PC LIST'!O415</f>
        <v>nr</v>
      </c>
      <c r="CX12" s="52" t="str">
        <f>'PC LIST'!P415</f>
        <v>Kilometres (km) of river improved (cumulative)</v>
      </c>
      <c r="CY12" s="52">
        <f>'PC LIST'!Q415</f>
        <v>1</v>
      </c>
      <c r="CZ12" s="52" t="str">
        <f>'PC LIST'!J415</f>
        <v>Out &amp; under</v>
      </c>
      <c r="DA12" s="52">
        <f>'PC LIST'!BW415</f>
        <v>82.55</v>
      </c>
      <c r="DB12" s="52" t="str">
        <f>'PC LIST'!B442</f>
        <v>PR14WSHWSW_F1</v>
      </c>
      <c r="DC12" s="52" t="str">
        <f>'PC LIST'!I442</f>
        <v>F1: Asset serviceability</v>
      </c>
      <c r="DD12" s="52" t="str">
        <f>'PC LIST'!O442</f>
        <v>category</v>
      </c>
      <c r="DE12" s="52" t="str">
        <f>'PC LIST'!P442</f>
        <v>Asset health indicator</v>
      </c>
      <c r="DF12" s="52" t="str">
        <f>'PC LIST'!Q442</f>
        <v>na</v>
      </c>
      <c r="DG12" s="52" t="str">
        <f>'PC LIST'!J442</f>
        <v>Under</v>
      </c>
      <c r="DH12" s="610" t="str">
        <f>'PC LIST'!BW442</f>
        <v>Stable</v>
      </c>
      <c r="DI12" s="52" t="str">
        <f>'PC LIST'!B473</f>
        <v>PR14WSXWSW_F2</v>
      </c>
      <c r="DJ12" s="52" t="str">
        <f>'PC LIST'!I473</f>
        <v>F2: Customer reported leaks fixed within a day</v>
      </c>
      <c r="DK12" s="52" t="str">
        <f>'PC LIST'!O473</f>
        <v>%</v>
      </c>
      <c r="DL12" s="52" t="str">
        <f>'PC LIST'!P473</f>
        <v>% customer reported leaks fixed within a day</v>
      </c>
      <c r="DM12" s="52">
        <f>'PC LIST'!Q473</f>
        <v>0</v>
      </c>
      <c r="DN12" s="52" t="str">
        <f>'PC LIST'!J473</f>
        <v>NFI</v>
      </c>
      <c r="DO12" s="52">
        <f>'PC LIST'!BW473</f>
        <v>70</v>
      </c>
      <c r="DP12" s="52" t="str">
        <f>'PC LIST'!B505</f>
        <v>PR14YKYWSW_WC2</v>
      </c>
      <c r="DQ12" s="52" t="str">
        <f>'PC LIST'!I505</f>
        <v>WC2: Solutions delivered by working with others (note: PC is part of a total commitment at Appointee level - see also SB3)</v>
      </c>
      <c r="DR12" s="52" t="str">
        <f>'PC LIST'!O505</f>
        <v>nr</v>
      </c>
      <c r="DS12" s="52" t="str">
        <f>'PC LIST'!P505</f>
        <v>No. of solutions delivered by working with others</v>
      </c>
      <c r="DT12" s="52">
        <f>'PC LIST'!Q505</f>
        <v>0</v>
      </c>
      <c r="DU12" s="52" t="str">
        <f>'PC LIST'!J505</f>
        <v>Out</v>
      </c>
      <c r="DV12" s="52">
        <f>'PC LIST'!BW505</f>
        <v>5</v>
      </c>
    </row>
    <row r="13" spans="1:126" ht="15.75" customHeight="1">
      <c r="A13" s="52" t="str">
        <f>'PC LIST'!B13</f>
        <v>PR14AFWWSW_W-C4</v>
      </c>
      <c r="B13" s="52" t="str">
        <f>'PC LIST'!I13</f>
        <v>W-C4: Planned work taking longer to complete than notified</v>
      </c>
      <c r="C13" s="52" t="str">
        <f>'PC LIST'!O13</f>
        <v>nr</v>
      </c>
      <c r="D13" s="52" t="str">
        <f>'PC LIST'!P13</f>
        <v>No. of GSS events</v>
      </c>
      <c r="E13" s="52">
        <f>'PC LIST'!Q13</f>
        <v>0</v>
      </c>
      <c r="F13" s="52" t="str">
        <f>'PC LIST'!J13</f>
        <v>NFI</v>
      </c>
      <c r="G13" s="52">
        <f>'PC LIST'!BW13</f>
        <v>436</v>
      </c>
      <c r="H13" s="52" t="str">
        <f>'PC LIST'!B26</f>
        <v>PR14ANHWSW_W-E1</v>
      </c>
      <c r="I13" s="52" t="str">
        <f>'PC LIST'!I26</f>
        <v>W-E1: Percentage of SSSIs (by area) with favourable status</v>
      </c>
      <c r="J13" s="52" t="str">
        <f>'PC LIST'!O26</f>
        <v>%</v>
      </c>
      <c r="K13" s="52" t="str">
        <f>'PC LIST'!P26</f>
        <v>% SSSIs with favourable status</v>
      </c>
      <c r="L13" s="52">
        <f>'PC LIST'!Q26</f>
        <v>0</v>
      </c>
      <c r="M13" s="52" t="str">
        <f>'PC LIST'!J26</f>
        <v>NFI</v>
      </c>
      <c r="N13" s="610">
        <f>'PC LIST'!BW26</f>
        <v>98.83</v>
      </c>
      <c r="O13" s="52" t="str">
        <f>'PC LIST'!B65</f>
        <v>PR14BRLWSW_H1</v>
      </c>
      <c r="P13" s="52" t="str">
        <f>'PC LIST'!I65</f>
        <v>H1: Total carbon emissions</v>
      </c>
      <c r="Q13" s="52" t="str">
        <f>'PC LIST'!O65</f>
        <v>nr</v>
      </c>
      <c r="R13" s="52" t="str">
        <f>'PC LIST'!P65</f>
        <v>kgCO2e per person</v>
      </c>
      <c r="S13" s="52">
        <f>'PC LIST'!Q65</f>
        <v>0</v>
      </c>
      <c r="T13" s="52" t="str">
        <f>'PC LIST'!J65</f>
        <v>NFI</v>
      </c>
      <c r="U13" s="610">
        <f>'PC LIST'!BW65</f>
        <v>31.8</v>
      </c>
      <c r="V13" s="52" t="str">
        <f>'PC LIST'!B86</f>
        <v>PR14DVWNHHR_F1</v>
      </c>
      <c r="W13" s="52" t="str">
        <f>'PC LIST'!I86</f>
        <v>F1: Non-household Service incentive mechanism (SIM)</v>
      </c>
      <c r="X13" s="52" t="str">
        <f>'PC LIST'!O86</f>
        <v>score</v>
      </c>
      <c r="Y13" s="52" t="str">
        <f>'PC LIST'!P86</f>
        <v>Service incentive mechanism (SIM) score</v>
      </c>
      <c r="Z13" s="52">
        <f>'PC LIST'!Q86</f>
        <v>1</v>
      </c>
      <c r="AA13" s="52" t="str">
        <f>'PC LIST'!J86</f>
        <v>Out &amp; under</v>
      </c>
      <c r="AB13" s="610">
        <f>'PC LIST'!BW86</f>
        <v>90.43</v>
      </c>
      <c r="AC13" s="52" t="str">
        <f>'PC LIST'!B99</f>
        <v>PR14NESWSW_W-D2</v>
      </c>
      <c r="AD13" s="53" t="str">
        <f>'PC LIST'!I99</f>
        <v>W-D2: Service incentive mechanism (SIM)</v>
      </c>
      <c r="AE13" s="53" t="str">
        <f>'PC LIST'!O99</f>
        <v>score</v>
      </c>
      <c r="AF13" s="53" t="str">
        <f>'PC LIST'!P99</f>
        <v>Service incentive mechanism (SIM) score</v>
      </c>
      <c r="AG13" s="52">
        <f>'PC LIST'!Q99</f>
        <v>1</v>
      </c>
      <c r="AH13" s="52" t="str">
        <f>'PC LIST'!J99</f>
        <v>Out &amp; under</v>
      </c>
      <c r="AI13" s="52">
        <f>'PC LIST'!BW99</f>
        <v>87.53</v>
      </c>
      <c r="AJ13" s="52" t="str">
        <f>'PC LIST'!B143</f>
        <v>PR14PRTHHR_A1</v>
      </c>
      <c r="AK13" s="52" t="str">
        <f>'PC LIST'!I143</f>
        <v>A1: Service incentive mechanism (SIM)</v>
      </c>
      <c r="AL13" s="52" t="str">
        <f>'PC LIST'!O143</f>
        <v>text</v>
      </c>
      <c r="AM13" s="52" t="str">
        <f>'PC LIST'!P143</f>
        <v>Service incentive mechanism (SIM) score ranking</v>
      </c>
      <c r="AN13" s="52" t="str">
        <f>'PC LIST'!Q143</f>
        <v>na</v>
      </c>
      <c r="AO13" s="52" t="str">
        <f>'PC LIST'!J143</f>
        <v>Out &amp; under</v>
      </c>
      <c r="AP13" s="611">
        <f>'PC LIST'!BW143</f>
        <v>87.68</v>
      </c>
      <c r="AQ13" s="52" t="str">
        <f>'PC LIST'!B156</f>
        <v>PR14SBWWSW_D2</v>
      </c>
      <c r="AR13" s="52" t="str">
        <f>'PC LIST'!I156</f>
        <v>D2: Help support a natural healthy water environment (in addition to NEP statutory obligation work)</v>
      </c>
      <c r="AS13" s="52" t="str">
        <f>'PC LIST'!O156</f>
        <v>text</v>
      </c>
      <c r="AT13" s="52" t="str">
        <f>'PC LIST'!P156</f>
        <v>Annual review of environmental work</v>
      </c>
      <c r="AU13" s="52" t="str">
        <f>'PC LIST'!Q156</f>
        <v>na</v>
      </c>
      <c r="AV13" s="52" t="str">
        <f>'PC LIST'!J156</f>
        <v>NFI</v>
      </c>
      <c r="AW13" s="610" t="str">
        <f>'PC LIST'!BW156</f>
        <v>Met</v>
      </c>
      <c r="AX13" s="52" t="str">
        <f>'PC LIST'!B171</f>
        <v>PR14SESWSW_E2</v>
      </c>
      <c r="AY13" s="52" t="str">
        <f>'PC LIST'!I171</f>
        <v>E2: Per capita consumption (PCC), measured in litres per head per day (l/h/d)</v>
      </c>
      <c r="AZ13" s="52" t="str">
        <f>'PC LIST'!O171</f>
        <v>nr</v>
      </c>
      <c r="BA13" s="52" t="str">
        <f>'PC LIST'!P171</f>
        <v>Litres per head per day (l/h/d)</v>
      </c>
      <c r="BB13" s="52">
        <f>'PC LIST'!Q171</f>
        <v>1</v>
      </c>
      <c r="BC13" s="52" t="str">
        <f>'PC LIST'!J171</f>
        <v>Under</v>
      </c>
      <c r="BD13" s="611">
        <f>'PC LIST'!BW171</f>
        <v>159.72999999999999</v>
      </c>
      <c r="BE13" s="52" t="str">
        <f>'PC LIST'!B192</f>
        <v>PR14SEWWSW_G2</v>
      </c>
      <c r="BF13" s="52" t="str">
        <f>'PC LIST'!I192</f>
        <v>G2: Average time lost per property (measured in minutes, per property served)</v>
      </c>
      <c r="BG13" s="52" t="str">
        <f>'PC LIST'!O192</f>
        <v>time</v>
      </c>
      <c r="BH13" s="52" t="str">
        <f>'PC LIST'!P192</f>
        <v>Minutes / property / year</v>
      </c>
      <c r="BI13" s="52">
        <f>'PC LIST'!Q192</f>
        <v>1</v>
      </c>
      <c r="BJ13" s="52" t="str">
        <f>'PC LIST'!J192</f>
        <v>Out &amp; under</v>
      </c>
      <c r="BK13" s="52">
        <f>'PC LIST'!BW192</f>
        <v>12.9</v>
      </c>
      <c r="BL13" s="52" t="str">
        <f>'PC LIST'!B226</f>
        <v>PR14SRNWSWW_1a</v>
      </c>
      <c r="BM13" s="52" t="str">
        <f>'PC LIST'!I226</f>
        <v>1a: Category 3 pollution incidents (including transferred assets and excluding private pumping stations)</v>
      </c>
      <c r="BN13" s="52" t="str">
        <f>'PC LIST'!O226</f>
        <v>nr</v>
      </c>
      <c r="BO13" s="52" t="str">
        <f>'PC LIST'!P226</f>
        <v>No. of pollution incidents (cat 3)</v>
      </c>
      <c r="BP13" s="52">
        <f>'PC LIST'!Q226</f>
        <v>0</v>
      </c>
      <c r="BQ13" s="52" t="str">
        <f>'PC LIST'!J226</f>
        <v>Under</v>
      </c>
      <c r="BR13" s="52">
        <f>'PC LIST'!BW226</f>
        <v>143</v>
      </c>
      <c r="BS13" s="52" t="str">
        <f>'PC LIST'!B259</f>
        <v>PR14SSCWSW_5.1</v>
      </c>
      <c r="BT13" s="52" t="str">
        <f>'PC LIST'!I259</f>
        <v>5.1: Independent customer surveys of value for money and affordability (combined company)</v>
      </c>
      <c r="BU13" s="52" t="str">
        <f>'PC LIST'!O259</f>
        <v>%</v>
      </c>
      <c r="BV13" s="52" t="str">
        <f>'PC LIST'!P259</f>
        <v>% customers satisfied with vfm &amp; affordability</v>
      </c>
      <c r="BW13" s="52">
        <f>'PC LIST'!Q259</f>
        <v>0</v>
      </c>
      <c r="BX13" s="52" t="str">
        <f>'PC LIST'!J259</f>
        <v>NFI</v>
      </c>
      <c r="BY13" s="52">
        <f>'PC LIST'!BW259</f>
        <v>91</v>
      </c>
      <c r="BZ13" s="52" t="str">
        <f>'PC LIST'!B274</f>
        <v>PR14SVTWSW_W-B7</v>
      </c>
      <c r="CA13" s="52" t="str">
        <f>'PC LIST'!I274</f>
        <v>W-B7: Customers at risk of low pressure</v>
      </c>
      <c r="CB13" s="52" t="str">
        <f>'PC LIST'!O274</f>
        <v>nr</v>
      </c>
      <c r="CC13" s="52" t="str">
        <f>'PC LIST'!P274</f>
        <v>No. customers at risk of low pressure</v>
      </c>
      <c r="CD13" s="52">
        <f>'PC LIST'!Q274</f>
        <v>0</v>
      </c>
      <c r="CE13" s="52" t="str">
        <f>'PC LIST'!J274</f>
        <v>Out &amp; under</v>
      </c>
      <c r="CF13" s="611">
        <f>'PC LIST'!BW274</f>
        <v>187</v>
      </c>
      <c r="CG13" s="52" t="str">
        <f>'PC LIST'!B319</f>
        <v>PR14SWTWSW_W-C1</v>
      </c>
      <c r="CH13" s="54" t="str">
        <f>'PC LIST'!I319</f>
        <v>W-C1: Supplies interrupted due to flooded South West Water sites</v>
      </c>
      <c r="CI13" s="54" t="str">
        <f>'PC LIST'!O319</f>
        <v>nr</v>
      </c>
      <c r="CJ13" s="54" t="str">
        <f>'PC LIST'!P319</f>
        <v>No. of events over AMP6</v>
      </c>
      <c r="CK13" s="52">
        <f>'PC LIST'!Q319</f>
        <v>0</v>
      </c>
      <c r="CL13" s="52" t="str">
        <f>'PC LIST'!J319</f>
        <v>Out &amp; under</v>
      </c>
      <c r="CM13" s="610">
        <f>'PC LIST'!BW319</f>
        <v>0</v>
      </c>
      <c r="CN13" s="52" t="str">
        <f>'PC LIST'!B361</f>
        <v>PR14TMSWSW_WB6</v>
      </c>
      <c r="CO13" s="52" t="str">
        <f>'PC LIST'!I361</f>
        <v>WB6: Security of Supply Index - Ofwat KPI</v>
      </c>
      <c r="CP13" s="52" t="str">
        <f>'PC LIST'!O361</f>
        <v>score</v>
      </c>
      <c r="CQ13" s="52" t="str">
        <f>'PC LIST'!P361</f>
        <v>Security of Supply Index (SOSI)</v>
      </c>
      <c r="CR13" s="52">
        <f>'PC LIST'!Q361</f>
        <v>0</v>
      </c>
      <c r="CS13" s="52" t="str">
        <f>'PC LIST'!J361</f>
        <v>Under</v>
      </c>
      <c r="CT13" s="52">
        <f>'PC LIST'!BW361</f>
        <v>99</v>
      </c>
      <c r="CU13" s="52" t="str">
        <f>'PC LIST'!B416</f>
        <v>PR14UUWSW_D1</v>
      </c>
      <c r="CV13" s="52" t="str">
        <f>'PC LIST'!I416</f>
        <v>D1: Delivering our commitments to developers, local authorities and highway authorities</v>
      </c>
      <c r="CW13" s="52" t="str">
        <f>'PC LIST'!O416</f>
        <v>%</v>
      </c>
      <c r="CX13" s="52" t="str">
        <f>'PC LIST'!P416</f>
        <v>% of jobs completed within response times</v>
      </c>
      <c r="CY13" s="52">
        <f>'PC LIST'!Q416</f>
        <v>0</v>
      </c>
      <c r="CZ13" s="52" t="str">
        <f>'PC LIST'!J416</f>
        <v>NFI</v>
      </c>
      <c r="DA13" s="52">
        <f>'PC LIST'!BW416</f>
        <v>97.52</v>
      </c>
      <c r="DB13" s="52" t="str">
        <f>'PC LIST'!B443</f>
        <v>PR14WSHWSW_F2</v>
      </c>
      <c r="DC13" s="52" t="str">
        <f>'PC LIST'!I443</f>
        <v>F2: Leakage</v>
      </c>
      <c r="DD13" s="52" t="str">
        <f>'PC LIST'!O443</f>
        <v>nr</v>
      </c>
      <c r="DE13" s="52" t="str">
        <f>'PC LIST'!P443</f>
        <v>Megalitres per day (Ml/d)</v>
      </c>
      <c r="DF13" s="52">
        <f>'PC LIST'!Q443</f>
        <v>0</v>
      </c>
      <c r="DG13" s="52" t="str">
        <f>'PC LIST'!J443</f>
        <v>Out &amp; under</v>
      </c>
      <c r="DH13" s="610">
        <f>'PC LIST'!BW443</f>
        <v>175</v>
      </c>
      <c r="DI13" s="52" t="str">
        <f>'PC LIST'!B474</f>
        <v>PR14WSXWSW_G1</v>
      </c>
      <c r="DJ13" s="52" t="str">
        <f>'PC LIST'!I474</f>
        <v>G1: Customer contacts about drinking water quality</v>
      </c>
      <c r="DK13" s="52" t="str">
        <f>'PC LIST'!O474</f>
        <v>nr</v>
      </c>
      <c r="DL13" s="52" t="str">
        <f>'PC LIST'!P474</f>
        <v>No. contacts in the year about drinking water quality</v>
      </c>
      <c r="DM13" s="52">
        <f>'PC LIST'!Q474</f>
        <v>0</v>
      </c>
      <c r="DN13" s="52" t="str">
        <f>'PC LIST'!J474</f>
        <v>Out &amp; under</v>
      </c>
      <c r="DO13" s="52">
        <f>'PC LIST'!BW474</f>
        <v>2172</v>
      </c>
      <c r="DP13" s="52" t="str">
        <f>'PC LIST'!B506</f>
        <v>PR14YKYWSW_WC3</v>
      </c>
      <c r="DQ13" s="52" t="str">
        <f>'PC LIST'!I506</f>
        <v>WC3: Amount of land conserved and enhanced (total cumulative area) (note: PC is part of a total commitment at Appointee level - see also SB5)</v>
      </c>
      <c r="DR13" s="52" t="str">
        <f>'PC LIST'!O506</f>
        <v>nr</v>
      </c>
      <c r="DS13" s="52" t="str">
        <f>'PC LIST'!P506</f>
        <v>No. of hectares of land conserved &amp; enhanced (cumulative)</v>
      </c>
      <c r="DT13" s="52">
        <f>'PC LIST'!Q506</f>
        <v>0</v>
      </c>
      <c r="DU13" s="52" t="str">
        <f>'PC LIST'!J506</f>
        <v>Out &amp; under</v>
      </c>
      <c r="DV13" s="52">
        <f>'PC LIST'!BW506</f>
        <v>11492</v>
      </c>
    </row>
    <row r="14" spans="1:126" ht="15.75" customHeight="1">
      <c r="A14" s="52" t="str">
        <f>'PC LIST'!B14</f>
        <v>PR14AFWHHR_R-A1</v>
      </c>
      <c r="B14" s="52" t="str">
        <f>'PC LIST'!I14</f>
        <v>R-A1: SIM service score</v>
      </c>
      <c r="C14" s="52" t="str">
        <f>'PC LIST'!O14</f>
        <v>score</v>
      </c>
      <c r="D14" s="52" t="str">
        <f>'PC LIST'!P14</f>
        <v>Service incentive mechanism (SIM) score</v>
      </c>
      <c r="E14" s="52">
        <f>'PC LIST'!Q14</f>
        <v>2</v>
      </c>
      <c r="F14" s="52" t="str">
        <f>'PC LIST'!J14</f>
        <v>Out &amp; under</v>
      </c>
      <c r="G14" s="52">
        <f>'PC LIST'!BW14</f>
        <v>78.510000000000005</v>
      </c>
      <c r="H14" s="52" t="str">
        <f>'PC LIST'!B27</f>
        <v>PR14ANHWSW_W-E2</v>
      </c>
      <c r="I14" s="52" t="str">
        <f>'PC LIST'!I27</f>
        <v>W-E2: Environmental compliance (water)</v>
      </c>
      <c r="J14" s="52" t="str">
        <f>'PC LIST'!O27</f>
        <v>nr</v>
      </c>
      <c r="K14" s="52" t="str">
        <f>'PC LIST'!P27</f>
        <v>No. of obligations delivered</v>
      </c>
      <c r="L14" s="52">
        <f>'PC LIST'!Q27</f>
        <v>0</v>
      </c>
      <c r="M14" s="52" t="str">
        <f>'PC LIST'!J27</f>
        <v>Under</v>
      </c>
      <c r="N14" s="610">
        <f>'PC LIST'!BW27</f>
        <v>2</v>
      </c>
      <c r="O14" s="52" t="str">
        <f>'PC LIST'!B66</f>
        <v>PR14BRLWSW_H2</v>
      </c>
      <c r="P14" s="52" t="str">
        <f>'PC LIST'!I66</f>
        <v>H2: Raw water quality of sources</v>
      </c>
      <c r="Q14" s="52" t="str">
        <f>'PC LIST'!O66</f>
        <v>text</v>
      </c>
      <c r="R14" s="52" t="str">
        <f>'PC LIST'!P66</f>
        <v>Raw water quality indicator</v>
      </c>
      <c r="S14" s="52">
        <f>'PC LIST'!Q66</f>
        <v>0</v>
      </c>
      <c r="T14" s="52" t="str">
        <f>'PC LIST'!J66</f>
        <v>NFI</v>
      </c>
      <c r="U14" s="610" t="str">
        <f>'PC LIST'!BW66</f>
        <v>Deteriorating</v>
      </c>
      <c r="V14" s="52" t="str">
        <f>'PC LIST'!B87</f>
        <v>PR14DVWHHR_E1</v>
      </c>
      <c r="W14" s="52" t="str">
        <f>'PC LIST'!I87</f>
        <v>E1: Per capita consumption and water efficiency</v>
      </c>
      <c r="X14" s="52" t="str">
        <f>'PC LIST'!O87</f>
        <v>nr</v>
      </c>
      <c r="Y14" s="52" t="str">
        <f>'PC LIST'!P87</f>
        <v>Litres per capita per day</v>
      </c>
      <c r="Z14" s="52">
        <f>'PC LIST'!Q87</f>
        <v>2</v>
      </c>
      <c r="AA14" s="52" t="str">
        <f>'PC LIST'!J87</f>
        <v>NFI</v>
      </c>
      <c r="AB14" s="610">
        <f>'PC LIST'!BW87</f>
        <v>135.21</v>
      </c>
      <c r="AC14" s="52" t="str">
        <f>'PC LIST'!B100</f>
        <v>PR14NESWSW_W-D3</v>
      </c>
      <c r="AD14" s="53" t="str">
        <f>'PC LIST'!I100</f>
        <v>W-D3: Domestic customer satisfaction, net promoter score</v>
      </c>
      <c r="AE14" s="53" t="str">
        <f>'PC LIST'!O100</f>
        <v>%</v>
      </c>
      <c r="AF14" s="53" t="str">
        <f>'PC LIST'!P100</f>
        <v>% customer satisfaction</v>
      </c>
      <c r="AG14" s="52">
        <f>'PC LIST'!Q100</f>
        <v>0</v>
      </c>
      <c r="AH14" s="52" t="str">
        <f>'PC LIST'!J100</f>
        <v>NFI</v>
      </c>
      <c r="AI14" s="52">
        <f>'PC LIST'!BW100</f>
        <v>46</v>
      </c>
      <c r="AJ14" s="52" t="str">
        <f>'PC LIST'!B144</f>
        <v>PR14PRTHHR_B1</v>
      </c>
      <c r="AK14" s="52" t="str">
        <f>'PC LIST'!I144</f>
        <v>B1: Reducing per capita consumption (PCC)</v>
      </c>
      <c r="AL14" s="52" t="str">
        <f>'PC LIST'!O144</f>
        <v>nr</v>
      </c>
      <c r="AM14" s="52" t="str">
        <f>'PC LIST'!P144</f>
        <v>Litres per head per day (l/h/d)</v>
      </c>
      <c r="AN14" s="52">
        <f>'PC LIST'!Q144</f>
        <v>2</v>
      </c>
      <c r="AO14" s="52" t="str">
        <f>'PC LIST'!J144</f>
        <v>Under</v>
      </c>
      <c r="AP14" s="611">
        <f>'PC LIST'!BW144</f>
        <v>145.1</v>
      </c>
      <c r="AQ14" s="52" t="str">
        <f>'PC LIST'!B157</f>
        <v>PR14SBWWSW_E1</v>
      </c>
      <c r="AR14" s="52" t="str">
        <f>'PC LIST'!I157</f>
        <v>E1: Contribute to our community (increase educational visits to schools, and working days for volunteer and charity work)</v>
      </c>
      <c r="AS14" s="52" t="str">
        <f>'PC LIST'!O157</f>
        <v>nr</v>
      </c>
      <c r="AT14" s="52" t="str">
        <f>'PC LIST'!P157</f>
        <v>No. of working days</v>
      </c>
      <c r="AU14" s="52">
        <f>'PC LIST'!Q157</f>
        <v>0</v>
      </c>
      <c r="AV14" s="52" t="str">
        <f>'PC LIST'!J157</f>
        <v>NFI</v>
      </c>
      <c r="AW14" s="610">
        <f>'PC LIST'!BW157</f>
        <v>80</v>
      </c>
      <c r="AX14" s="52" t="str">
        <f>'PC LIST'!B172</f>
        <v>PR14SESWSW_E3</v>
      </c>
      <c r="AY14" s="52" t="str">
        <f>'PC LIST'!I172</f>
        <v>E3: The number of children and adults engaged in environmental education activities</v>
      </c>
      <c r="AZ14" s="52" t="str">
        <f>'PC LIST'!O172</f>
        <v>nr</v>
      </c>
      <c r="BA14" s="52" t="str">
        <f>'PC LIST'!P172</f>
        <v>No. people the company engages with</v>
      </c>
      <c r="BB14" s="52">
        <f>'PC LIST'!Q172</f>
        <v>0</v>
      </c>
      <c r="BC14" s="52" t="str">
        <f>'PC LIST'!J172</f>
        <v>NFI</v>
      </c>
      <c r="BD14" s="611">
        <f>'PC LIST'!BW172</f>
        <v>10703</v>
      </c>
      <c r="BE14" s="52" t="str">
        <f>'PC LIST'!B193</f>
        <v>PR14SEWWSW_H1</v>
      </c>
      <c r="BF14" s="52" t="str">
        <f>'PC LIST'!I193</f>
        <v>H1: Customer satisfaction - frequency of water use restrictions</v>
      </c>
      <c r="BG14" s="52" t="str">
        <f>'PC LIST'!O193</f>
        <v>score</v>
      </c>
      <c r="BH14" s="52" t="str">
        <f>'PC LIST'!P193</f>
        <v>Customer satisfaction score out of 5</v>
      </c>
      <c r="BI14" s="52">
        <f>'PC LIST'!Q193</f>
        <v>1</v>
      </c>
      <c r="BJ14" s="52" t="str">
        <f>'PC LIST'!J193</f>
        <v>Out &amp; under</v>
      </c>
      <c r="BK14" s="52">
        <f>'PC LIST'!BW193</f>
        <v>4.4000000000000004</v>
      </c>
      <c r="BL14" s="52" t="str">
        <f>'PC LIST'!B227</f>
        <v>PR14SRNWSWW_2</v>
      </c>
      <c r="BM14" s="52" t="str">
        <f>'PC LIST'!I227</f>
        <v>2: Internal flooding incidents</v>
      </c>
      <c r="BN14" s="52" t="str">
        <f>'PC LIST'!O227</f>
        <v>nr</v>
      </c>
      <c r="BO14" s="52" t="str">
        <f>'PC LIST'!P227</f>
        <v>No. of internal sewer flooding incidents</v>
      </c>
      <c r="BP14" s="52">
        <f>'PC LIST'!Q227</f>
        <v>0</v>
      </c>
      <c r="BQ14" s="52" t="str">
        <f>'PC LIST'!J227</f>
        <v>Out &amp; under</v>
      </c>
      <c r="BR14" s="52">
        <f>'PC LIST'!BW227</f>
        <v>448</v>
      </c>
      <c r="BS14" s="52" t="str">
        <f>'PC LIST'!B260</f>
        <v>PR14SSCWSW_5.2</v>
      </c>
      <c r="BT14" s="52" t="str">
        <f>'PC LIST'!I260</f>
        <v>5.2: Support for customers in debt (combined company)</v>
      </c>
      <c r="BU14" s="52" t="str">
        <f>'PC LIST'!O260</f>
        <v>nr</v>
      </c>
      <c r="BV14" s="52" t="str">
        <f>'PC LIST'!P260</f>
        <v>No. of customers engaged with on debt</v>
      </c>
      <c r="BW14" s="52">
        <f>'PC LIST'!Q260</f>
        <v>0</v>
      </c>
      <c r="BX14" s="52" t="str">
        <f>'PC LIST'!J260</f>
        <v>NFI</v>
      </c>
      <c r="BY14" s="52">
        <f>'PC LIST'!BW260</f>
        <v>23895</v>
      </c>
      <c r="BZ14" s="52" t="str">
        <f>'PC LIST'!B275</f>
        <v>PR14SVTWSW_W-B8</v>
      </c>
      <c r="CA14" s="52" t="str">
        <f>'PC LIST'!I275</f>
        <v>W-B8: Restrictions on water use</v>
      </c>
      <c r="CB14" s="52" t="str">
        <f>'PC LIST'!O275</f>
        <v>nr</v>
      </c>
      <c r="CC14" s="52" t="str">
        <f>'PC LIST'!P275</f>
        <v>No. water restrictions in five-year period</v>
      </c>
      <c r="CD14" s="52">
        <f>'PC LIST'!Q275</f>
        <v>0</v>
      </c>
      <c r="CE14" s="52" t="str">
        <f>'PC LIST'!J275</f>
        <v>Out &amp; under</v>
      </c>
      <c r="CF14" s="611">
        <f>'PC LIST'!BW275</f>
        <v>0</v>
      </c>
      <c r="CG14" s="52" t="str">
        <f>'PC LIST'!B320</f>
        <v>PR14SWTWSW_W-D1</v>
      </c>
      <c r="CH14" s="54" t="str">
        <f>'PC LIST'!I320</f>
        <v>W-D1: Operational customer contacts resolved first time (%)</v>
      </c>
      <c r="CI14" s="54" t="str">
        <f>'PC LIST'!O320</f>
        <v>%</v>
      </c>
      <c r="CJ14" s="54" t="str">
        <f>'PC LIST'!P320</f>
        <v>% customer contacts resolved 1st time</v>
      </c>
      <c r="CK14" s="52">
        <f>'PC LIST'!Q320</f>
        <v>1</v>
      </c>
      <c r="CL14" s="52" t="str">
        <f>'PC LIST'!J320</f>
        <v>Out &amp; under</v>
      </c>
      <c r="CM14" s="610">
        <f>'PC LIST'!BW320</f>
        <v>95.5</v>
      </c>
      <c r="CN14" s="52" t="str">
        <f>'PC LIST'!B362</f>
        <v>PR14TMSWSW_WB7</v>
      </c>
      <c r="CO14" s="52" t="str">
        <f>'PC LIST'!I362</f>
        <v>WB7: Compliance with SEMD advice notes (with or without derogation)</v>
      </c>
      <c r="CP14" s="52" t="str">
        <f>'PC LIST'!O362</f>
        <v>%</v>
      </c>
      <c r="CQ14" s="52" t="str">
        <f>'PC LIST'!P362</f>
        <v>% compliance with SEMD advice notes</v>
      </c>
      <c r="CR14" s="52">
        <f>'PC LIST'!Q362</f>
        <v>0</v>
      </c>
      <c r="CS14" s="52" t="str">
        <f>'PC LIST'!J362</f>
        <v>Under</v>
      </c>
      <c r="CT14" s="52" t="str">
        <f>'PC LIST'!BW362</f>
        <v>Not available</v>
      </c>
      <c r="CU14" s="52" t="str">
        <f>'PC LIST'!B417</f>
        <v>PR14UUWSW_E1</v>
      </c>
      <c r="CV14" s="52" t="str">
        <f>'PC LIST'!I417</f>
        <v>E1: Number of free water meters installed</v>
      </c>
      <c r="CW14" s="52" t="str">
        <f>'PC LIST'!O417</f>
        <v>nr</v>
      </c>
      <c r="CX14" s="52" t="str">
        <f>'PC LIST'!P417</f>
        <v>No. of free water meters installed per year</v>
      </c>
      <c r="CY14" s="52">
        <f>'PC LIST'!Q417</f>
        <v>0</v>
      </c>
      <c r="CZ14" s="52" t="str">
        <f>'PC LIST'!J417</f>
        <v>NFI</v>
      </c>
      <c r="DA14" s="52">
        <f>'PC LIST'!BW417</f>
        <v>32447</v>
      </c>
      <c r="DB14" s="52" t="str">
        <f>'PC LIST'!B444</f>
        <v>PR14WSHWSW_F3</v>
      </c>
      <c r="DC14" s="52" t="str">
        <f>'PC LIST'!I444</f>
        <v>F3: Asset resilience - % of critical assets that are resilient against a set of criteria</v>
      </c>
      <c r="DD14" s="52" t="str">
        <f>'PC LIST'!O444</f>
        <v>%</v>
      </c>
      <c r="DE14" s="52" t="str">
        <f>'PC LIST'!P444</f>
        <v>% critical assets that are resilient against a set of criteria</v>
      </c>
      <c r="DF14" s="52">
        <f>'PC LIST'!Q444</f>
        <v>0</v>
      </c>
      <c r="DG14" s="52" t="str">
        <f>'PC LIST'!J444</f>
        <v>Under</v>
      </c>
      <c r="DH14" s="610">
        <f>'PC LIST'!BW444</f>
        <v>89.5</v>
      </c>
      <c r="DI14" s="52" t="str">
        <f>'PC LIST'!B475</f>
        <v>PR14WSXWSW_G2</v>
      </c>
      <c r="DJ14" s="52" t="str">
        <f>'PC LIST'!I475</f>
        <v>G2: Compliance with drinking water standards (MZC)</v>
      </c>
      <c r="DK14" s="52" t="str">
        <f>'PC LIST'!O475</f>
        <v>%</v>
      </c>
      <c r="DL14" s="52" t="str">
        <f>'PC LIST'!P475</f>
        <v>Mean zonal compliance (%)</v>
      </c>
      <c r="DM14" s="52">
        <f>'PC LIST'!Q475</f>
        <v>2</v>
      </c>
      <c r="DN14" s="52" t="str">
        <f>'PC LIST'!J475</f>
        <v>Under</v>
      </c>
      <c r="DO14" s="52">
        <f>'PC LIST'!BW475</f>
        <v>99.95</v>
      </c>
      <c r="DP14" s="52" t="str">
        <f>'PC LIST'!B507</f>
        <v>PR14YKYWSW_WC4</v>
      </c>
      <c r="DQ14" s="52" t="str">
        <f>'PC LIST'!I507</f>
        <v>WC4: Recreational visitor satisfaction</v>
      </c>
      <c r="DR14" s="52" t="str">
        <f>'PC LIST'!O507</f>
        <v>text</v>
      </c>
      <c r="DS14" s="52" t="str">
        <f>'PC LIST'!P507</f>
        <v>Assessment of customer satisfaction (qualitative survey)</v>
      </c>
      <c r="DT14" s="52" t="str">
        <f>'PC LIST'!Q507</f>
        <v>na</v>
      </c>
      <c r="DU14" s="52" t="str">
        <f>'PC LIST'!J507</f>
        <v>NFI</v>
      </c>
      <c r="DV14" s="52" t="str">
        <f>'PC LIST'!BW507</f>
        <v xml:space="preserve">Published </v>
      </c>
    </row>
    <row r="15" spans="1:126" ht="15.75" customHeight="1">
      <c r="A15" s="52" t="str">
        <f>'PC LIST'!B15</f>
        <v>PR14AFWHHR_R-A2</v>
      </c>
      <c r="B15" s="52" t="str">
        <f>'PC LIST'!I15</f>
        <v>R-A2: Value for money survey</v>
      </c>
      <c r="C15" s="52" t="str">
        <f>'PC LIST'!O15</f>
        <v>score</v>
      </c>
      <c r="D15" s="52" t="str">
        <f>'PC LIST'!P15</f>
        <v>Score out of 100</v>
      </c>
      <c r="E15" s="52">
        <f>'PC LIST'!Q15</f>
        <v>1</v>
      </c>
      <c r="F15" s="52" t="str">
        <f>'PC LIST'!J15</f>
        <v>NFI</v>
      </c>
      <c r="G15" s="52">
        <f>'PC LIST'!BW15</f>
        <v>69.599999999999994</v>
      </c>
      <c r="H15" s="52" t="str">
        <f>'PC LIST'!B28</f>
        <v>PR14ANHWSW_W-F1</v>
      </c>
      <c r="I15" s="52" t="str">
        <f>'PC LIST'!I28</f>
        <v>W-F1: Operational carbon (% reduction from 2015 baseline)</v>
      </c>
      <c r="J15" s="52" t="str">
        <f>'PC LIST'!O28</f>
        <v>%</v>
      </c>
      <c r="K15" s="52" t="str">
        <f>'PC LIST'!P28</f>
        <v>% reduction from 2015 baseline</v>
      </c>
      <c r="L15" s="52">
        <f>'PC LIST'!Q28</f>
        <v>0</v>
      </c>
      <c r="M15" s="52" t="str">
        <f>'PC LIST'!J28</f>
        <v>NFI</v>
      </c>
      <c r="N15" s="610">
        <f>'PC LIST'!BW28</f>
        <v>11</v>
      </c>
      <c r="O15" s="52" t="str">
        <f>'PC LIST'!B67</f>
        <v>PR14BRLWSW_H3</v>
      </c>
      <c r="P15" s="52" t="str">
        <f>'PC LIST'!I67</f>
        <v>H3: Biodiversity index</v>
      </c>
      <c r="Q15" s="52" t="str">
        <f>'PC LIST'!O67</f>
        <v>nr</v>
      </c>
      <c r="R15" s="52" t="str">
        <f>'PC LIST'!P67</f>
        <v>Biodiversity index</v>
      </c>
      <c r="S15" s="52">
        <f>'PC LIST'!Q67</f>
        <v>0</v>
      </c>
      <c r="T15" s="52" t="str">
        <f>'PC LIST'!J67</f>
        <v>NFI</v>
      </c>
      <c r="U15" s="610" t="str">
        <f>'PC LIST'!BW67</f>
        <v>Improving</v>
      </c>
      <c r="V15" s="52" t="str">
        <f>'PC LIST'!B88</f>
        <v>PR14DVWHHR_E2</v>
      </c>
      <c r="W15" s="52" t="str">
        <f>'PC LIST'!I88</f>
        <v>E2: Service incentive mechanism (SIM)</v>
      </c>
      <c r="X15" s="52" t="str">
        <f>'PC LIST'!O88</f>
        <v>score</v>
      </c>
      <c r="Y15" s="52" t="str">
        <f>'PC LIST'!P88</f>
        <v>Service incentive mechanism (SIM) score</v>
      </c>
      <c r="Z15" s="52">
        <f>'PC LIST'!Q88</f>
        <v>1</v>
      </c>
      <c r="AA15" s="52" t="str">
        <f>'PC LIST'!J88</f>
        <v>Out &amp; under</v>
      </c>
      <c r="AB15" s="610">
        <f>'PC LIST'!BW88</f>
        <v>85.98</v>
      </c>
      <c r="AC15" s="52" t="str">
        <f>'PC LIST'!B101</f>
        <v>PR14NESWSW_W-E1</v>
      </c>
      <c r="AD15" s="53" t="str">
        <f>'PC LIST'!I101</f>
        <v>W-E1: NWL independent survey on keeping customers informed</v>
      </c>
      <c r="AE15" s="53" t="str">
        <f>'PC LIST'!O101</f>
        <v>%</v>
      </c>
      <c r="AF15" s="53" t="str">
        <f>'PC LIST'!P101</f>
        <v>% customer satisfaction</v>
      </c>
      <c r="AG15" s="52" t="str">
        <f>'PC LIST'!Q101</f>
        <v>TBC</v>
      </c>
      <c r="AH15" s="52" t="str">
        <f>'PC LIST'!J101</f>
        <v>NFI</v>
      </c>
      <c r="AI15" s="52">
        <f>'PC LIST'!BW101</f>
        <v>94</v>
      </c>
      <c r="AJ15" s="52" t="str">
        <f>'PC LIST'!B145</f>
        <v>PR14PRTHHR_C1</v>
      </c>
      <c r="AK15" s="52" t="str">
        <f>'PC LIST'!I145</f>
        <v>C1: Survey of developers</v>
      </c>
      <c r="AL15" s="52" t="str">
        <f>'PC LIST'!O145</f>
        <v>%</v>
      </c>
      <c r="AM15" s="52" t="str">
        <f>'PC LIST'!P145</f>
        <v>Satisfaction rate (%)</v>
      </c>
      <c r="AN15" s="52">
        <f>'PC LIST'!Q145</f>
        <v>0</v>
      </c>
      <c r="AO15" s="52" t="str">
        <f>'PC LIST'!J145</f>
        <v>NFI</v>
      </c>
      <c r="AP15" s="611">
        <f>'PC LIST'!BW145</f>
        <v>85</v>
      </c>
      <c r="AQ15" s="52" t="str">
        <f>'PC LIST'!B158</f>
        <v>PR14SBWHHR_A1</v>
      </c>
      <c r="AR15" s="52" t="str">
        <f>'PC LIST'!I158</f>
        <v>A1: Service incentive mechanism (SIM)</v>
      </c>
      <c r="AS15" s="52" t="str">
        <f>'PC LIST'!O158</f>
        <v>score</v>
      </c>
      <c r="AT15" s="52" t="str">
        <f>'PC LIST'!P158</f>
        <v>Service incentive mechanism (SIM) score (average)</v>
      </c>
      <c r="AU15" s="52">
        <f>'PC LIST'!Q158</f>
        <v>1</v>
      </c>
      <c r="AV15" s="52" t="str">
        <f>'PC LIST'!J158</f>
        <v>Out &amp; under</v>
      </c>
      <c r="AW15" s="610">
        <f>'PC LIST'!BW158</f>
        <v>86.49</v>
      </c>
      <c r="AX15" s="52" t="str">
        <f>'PC LIST'!B173</f>
        <v>PR14SESWSW_E4</v>
      </c>
      <c r="AY15" s="52" t="str">
        <f>'PC LIST'!I173</f>
        <v>E4: Greenhouse gas emissions per million litres of water supplied</v>
      </c>
      <c r="AZ15" s="52" t="str">
        <f>'PC LIST'!O173</f>
        <v>nr</v>
      </c>
      <c r="BA15" s="52" t="str">
        <f>'PC LIST'!P173</f>
        <v>kgCO2e/Ml</v>
      </c>
      <c r="BB15" s="52">
        <f>'PC LIST'!Q173</f>
        <v>0</v>
      </c>
      <c r="BC15" s="52" t="str">
        <f>'PC LIST'!J173</f>
        <v>NFI</v>
      </c>
      <c r="BD15" s="611">
        <f>'PC LIST'!BW173</f>
        <v>420</v>
      </c>
      <c r="BE15" s="52" t="str">
        <f>'PC LIST'!B194</f>
        <v>PR14SEWWSW_H2</v>
      </c>
      <c r="BF15" s="52" t="str">
        <f>'PC LIST'!I194</f>
        <v>H2: Meeting the water resource deficit</v>
      </c>
      <c r="BG15" s="52" t="str">
        <f>'PC LIST'!O194</f>
        <v>nr</v>
      </c>
      <c r="BH15" s="52" t="str">
        <f>'PC LIST'!P194</f>
        <v>Megalitres per day (Ml/d)</v>
      </c>
      <c r="BI15" s="52">
        <f>'PC LIST'!Q194</f>
        <v>0</v>
      </c>
      <c r="BJ15" s="52" t="str">
        <f>'PC LIST'!J194</f>
        <v>Under</v>
      </c>
      <c r="BK15" s="52">
        <f>'PC LIST'!BW194</f>
        <v>0</v>
      </c>
      <c r="BL15" s="52" t="str">
        <f>'PC LIST'!B228</f>
        <v>PR14SRNWSWW_3</v>
      </c>
      <c r="BM15" s="52" t="str">
        <f>'PC LIST'!I228</f>
        <v>3: External flooding incidents</v>
      </c>
      <c r="BN15" s="52" t="str">
        <f>'PC LIST'!O228</f>
        <v>nr</v>
      </c>
      <c r="BO15" s="52" t="str">
        <f>'PC LIST'!P228</f>
        <v>No. of external sewer flooding incidents</v>
      </c>
      <c r="BP15" s="52">
        <f>'PC LIST'!Q228</f>
        <v>0</v>
      </c>
      <c r="BQ15" s="52" t="str">
        <f>'PC LIST'!J228</f>
        <v>NFI</v>
      </c>
      <c r="BR15" s="52">
        <f>'PC LIST'!BW228</f>
        <v>8009</v>
      </c>
      <c r="BS15" s="52" t="str">
        <f>'PC LIST'!B261</f>
        <v>PR14SSCHHR_3.1</v>
      </c>
      <c r="BT15" s="52" t="str">
        <f>'PC LIST'!I261</f>
        <v>3.1: Service incentive mechanism (SIM, combined company)</v>
      </c>
      <c r="BU15" s="52" t="str">
        <f>'PC LIST'!O261</f>
        <v>score</v>
      </c>
      <c r="BV15" s="52" t="str">
        <f>'PC LIST'!P261</f>
        <v>Service incentive mechanism (SIM) score</v>
      </c>
      <c r="BW15" s="52">
        <f>'PC LIST'!Q261</f>
        <v>1</v>
      </c>
      <c r="BX15" s="52" t="str">
        <f>'PC LIST'!J261</f>
        <v>Out &amp; under</v>
      </c>
      <c r="BY15" s="52">
        <f>'PC LIST'!BW261</f>
        <v>84.4</v>
      </c>
      <c r="BZ15" s="52" t="str">
        <f>'PC LIST'!B276</f>
        <v>PR14SVTWSW_W-B9</v>
      </c>
      <c r="CA15" s="52" t="str">
        <f>'PC LIST'!I276</f>
        <v>W-B9: Timing delays on Birmingham resilience scheme</v>
      </c>
      <c r="CB15" s="52" t="str">
        <f>'PC LIST'!O276</f>
        <v>text</v>
      </c>
      <c r="CC15" s="52" t="str">
        <f>'PC LIST'!P276</f>
        <v>Scheme delivery (3 components)</v>
      </c>
      <c r="CD15" s="52" t="str">
        <f>'PC LIST'!Q276</f>
        <v>na</v>
      </c>
      <c r="CE15" s="52" t="str">
        <f>'PC LIST'!J276</f>
        <v>Under</v>
      </c>
      <c r="CF15" s="611" t="str">
        <f>'PC LIST'!BW276</f>
        <v>On track</v>
      </c>
      <c r="CG15" s="52" t="str">
        <f>'PC LIST'!B321</f>
        <v>PR14SWTWSW_W-E1</v>
      </c>
      <c r="CH15" s="54" t="str">
        <f>'PC LIST'!I321</f>
        <v>W-E1: Sustainable abstractions (EA/WFD classification)</v>
      </c>
      <c r="CI15" s="54" t="str">
        <f>'PC LIST'!O321</f>
        <v>nr</v>
      </c>
      <c r="CJ15" s="54" t="str">
        <f>'PC LIST'!P321</f>
        <v>No. sites where improvement required</v>
      </c>
      <c r="CK15" s="52">
        <f>'PC LIST'!Q321</f>
        <v>0</v>
      </c>
      <c r="CL15" s="52" t="str">
        <f>'PC LIST'!J321</f>
        <v>NFI</v>
      </c>
      <c r="CM15" s="610">
        <f>'PC LIST'!BW321</f>
        <v>0</v>
      </c>
      <c r="CN15" s="52" t="str">
        <f>'PC LIST'!B363</f>
        <v>PR14TMSWSW_WB8</v>
      </c>
      <c r="CO15" s="52" t="str">
        <f>'PC LIST'!I363</f>
        <v>WB8: Ml/d of sites made resilient to future extreme rainfall events</v>
      </c>
      <c r="CP15" s="52" t="str">
        <f>'PC LIST'!O363</f>
        <v>nr</v>
      </c>
      <c r="CQ15" s="52" t="str">
        <f>'PC LIST'!P363</f>
        <v>Ml/d of WTWs made resilient</v>
      </c>
      <c r="CR15" s="52">
        <f>'PC LIST'!Q363</f>
        <v>0</v>
      </c>
      <c r="CS15" s="52" t="str">
        <f>'PC LIST'!J363</f>
        <v>Out &amp; under</v>
      </c>
      <c r="CT15" s="52">
        <f>'PC LIST'!BW363</f>
        <v>0</v>
      </c>
      <c r="CU15" s="52" t="str">
        <f>'PC LIST'!B418</f>
        <v>PR14UUWSWW_S-A1</v>
      </c>
      <c r="CV15" s="52" t="str">
        <f>'PC LIST'!I418</f>
        <v>S-A1: Private sewers service index</v>
      </c>
      <c r="CW15" s="52" t="str">
        <f>'PC LIST'!O418</f>
        <v>score</v>
      </c>
      <c r="CX15" s="52" t="str">
        <f>'PC LIST'!P418</f>
        <v>Private sewers service index (UU bespoke)</v>
      </c>
      <c r="CY15" s="52">
        <f>'PC LIST'!Q418</f>
        <v>2</v>
      </c>
      <c r="CZ15" s="52" t="str">
        <f>'PC LIST'!J418</f>
        <v>Out &amp; under</v>
      </c>
      <c r="DA15" s="52">
        <f>'PC LIST'!BW418</f>
        <v>91.9</v>
      </c>
      <c r="DB15" s="52" t="str">
        <f>'PC LIST'!B445</f>
        <v>PR14WSHWSWW_B2</v>
      </c>
      <c r="DC15" s="52" t="str">
        <f>'PC LIST'!I445</f>
        <v>B2: Treating used water - % compliance of WwTW</v>
      </c>
      <c r="DD15" s="52" t="str">
        <f>'PC LIST'!O445</f>
        <v>%</v>
      </c>
      <c r="DE15" s="52" t="str">
        <f>'PC LIST'!P445</f>
        <v>% compliance against WwTW discharge permits</v>
      </c>
      <c r="DF15" s="52">
        <f>'PC LIST'!Q445</f>
        <v>1</v>
      </c>
      <c r="DG15" s="52" t="str">
        <f>'PC LIST'!J445</f>
        <v>NFI</v>
      </c>
      <c r="DH15" s="610">
        <f>'PC LIST'!BW445</f>
        <v>99.47</v>
      </c>
      <c r="DI15" s="52" t="str">
        <f>'PC LIST'!B476</f>
        <v>PR14WSXWSWW_A1</v>
      </c>
      <c r="DJ15" s="52" t="str">
        <f>'PC LIST'!I476</f>
        <v>A1: Agreed schemes delivered (named outputs with bathing water drivers in the NEP)</v>
      </c>
      <c r="DK15" s="52" t="str">
        <f>'PC LIST'!O476</f>
        <v>%</v>
      </c>
      <c r="DL15" s="52" t="str">
        <f>'PC LIST'!P476</f>
        <v>% of agreed schemes delivered (NEP bathing water)</v>
      </c>
      <c r="DM15" s="52">
        <f>'PC LIST'!Q476</f>
        <v>0</v>
      </c>
      <c r="DN15" s="52" t="str">
        <f>'PC LIST'!J476</f>
        <v>Under</v>
      </c>
      <c r="DO15" s="52">
        <f>'PC LIST'!BW476</f>
        <v>100</v>
      </c>
      <c r="DP15" s="52" t="str">
        <f>'PC LIST'!B508</f>
        <v>PR14YKYWSW_WD1</v>
      </c>
      <c r="DQ15" s="52" t="str">
        <f>'PC LIST'!I508</f>
        <v>WD1: Proportion of energy use generated by renewable technology (note: PC is part of a total commitment at Appointee level - see also SC1 and RC1)</v>
      </c>
      <c r="DR15" s="52" t="str">
        <f>'PC LIST'!O508</f>
        <v>%</v>
      </c>
      <c r="DS15" s="52" t="str">
        <f>'PC LIST'!P508</f>
        <v>% of energy use generated by renewable technology</v>
      </c>
      <c r="DT15" s="52">
        <f>'PC LIST'!Q508</f>
        <v>0</v>
      </c>
      <c r="DU15" s="52" t="str">
        <f>'PC LIST'!J508</f>
        <v>NFI</v>
      </c>
      <c r="DV15" s="52">
        <f>'PC LIST'!BW508</f>
        <v>10.44</v>
      </c>
    </row>
    <row r="16" spans="1:126" ht="15.75" customHeight="1">
      <c r="H16" s="52" t="str">
        <f>'PC LIST'!B29</f>
        <v>PR14ANHWSW_W-F2</v>
      </c>
      <c r="I16" s="52" t="str">
        <f>'PC LIST'!I29</f>
        <v>W-F2: Embodied carbon (% reduction from 2010 baseline)</v>
      </c>
      <c r="J16" s="52" t="str">
        <f>'PC LIST'!O29</f>
        <v>%</v>
      </c>
      <c r="K16" s="52" t="str">
        <f>'PC LIST'!P29</f>
        <v>% reduction from 2010 baseline</v>
      </c>
      <c r="L16" s="52">
        <f>'PC LIST'!Q29</f>
        <v>0</v>
      </c>
      <c r="M16" s="52" t="str">
        <f>'PC LIST'!J29</f>
        <v>NFI</v>
      </c>
      <c r="N16" s="610">
        <f>'PC LIST'!BW29</f>
        <v>55</v>
      </c>
      <c r="O16" s="52" t="str">
        <f>'PC LIST'!B68</f>
        <v>PR14BRLWSW_H4</v>
      </c>
      <c r="P16" s="52" t="str">
        <f>'PC LIST'!I68</f>
        <v>H4: Waste disposal compliance</v>
      </c>
      <c r="Q16" s="52" t="str">
        <f>'PC LIST'!O68</f>
        <v>%</v>
      </c>
      <c r="R16" s="52" t="str">
        <f>'PC LIST'!P68</f>
        <v>% waste disposal compliance</v>
      </c>
      <c r="S16" s="52">
        <f>'PC LIST'!Q68</f>
        <v>0</v>
      </c>
      <c r="T16" s="52" t="str">
        <f>'PC LIST'!J68</f>
        <v>NFI</v>
      </c>
      <c r="U16" s="610">
        <f>'PC LIST'!BW68</f>
        <v>95.83</v>
      </c>
      <c r="V16" s="52"/>
      <c r="W16" s="52"/>
      <c r="X16" s="52"/>
      <c r="Y16" s="52"/>
      <c r="AC16" s="52" t="str">
        <f>'PC LIST'!B102</f>
        <v>PR14NESWSW_W-F1</v>
      </c>
      <c r="AD16" s="53" t="str">
        <f>'PC LIST'!I102</f>
        <v>W-F1: Greenhouse gas emissions</v>
      </c>
      <c r="AE16" s="53" t="str">
        <f>'PC LIST'!O102</f>
        <v>nr</v>
      </c>
      <c r="AF16" s="53" t="str">
        <f>'PC LIST'!P102</f>
        <v>ktCO2e</v>
      </c>
      <c r="AG16" s="52">
        <f>'PC LIST'!Q102</f>
        <v>0</v>
      </c>
      <c r="AH16" s="52" t="str">
        <f>'PC LIST'!J102</f>
        <v>NFI</v>
      </c>
      <c r="AI16" s="52">
        <f>'PC LIST'!BW102</f>
        <v>187.7</v>
      </c>
      <c r="AJ16" s="52"/>
      <c r="AK16" s="52"/>
      <c r="AQ16" s="52" t="str">
        <f>'PC LIST'!B159</f>
        <v>PR14SBWHHR_A2</v>
      </c>
      <c r="AR16" s="52" t="str">
        <f>'PC LIST'!I159</f>
        <v>A2: New customer relationship management (CRM) system</v>
      </c>
      <c r="AS16" s="52" t="str">
        <f>'PC LIST'!O159</f>
        <v>£m</v>
      </c>
      <c r="AT16" s="52" t="str">
        <f>'PC LIST'!P159</f>
        <v>£ million cumulative depreciation</v>
      </c>
      <c r="AU16" s="52">
        <f>'PC LIST'!Q159</f>
        <v>2</v>
      </c>
      <c r="AV16" s="52" t="str">
        <f>'PC LIST'!J159</f>
        <v>Under</v>
      </c>
      <c r="AW16" s="610">
        <f>'PC LIST'!BW159</f>
        <v>0.68300000000000005</v>
      </c>
      <c r="AX16" s="52" t="str">
        <f>'PC LIST'!B174</f>
        <v>PR14SESWSW_E5</v>
      </c>
      <c r="AY16" s="52" t="str">
        <f>'PC LIST'!I174</f>
        <v>E5: Number of severe pollution incidents (category 3 or worse, as reported by the Environment Agency)</v>
      </c>
      <c r="AZ16" s="52" t="str">
        <f>'PC LIST'!O174</f>
        <v>nr</v>
      </c>
      <c r="BA16" s="52" t="str">
        <f>'PC LIST'!P174</f>
        <v>No. of pollution incidents (cats 1, 2 and 3)</v>
      </c>
      <c r="BB16" s="52">
        <f>'PC LIST'!Q174</f>
        <v>1</v>
      </c>
      <c r="BC16" s="52" t="str">
        <f>'PC LIST'!J174</f>
        <v>NFI</v>
      </c>
      <c r="BD16" s="611">
        <f>'PC LIST'!BW174</f>
        <v>0.3</v>
      </c>
      <c r="BE16" s="52" t="str">
        <f>'PC LIST'!B195</f>
        <v>PR14SEWWSW_I1</v>
      </c>
      <c r="BF16" s="52" t="str">
        <f>'PC LIST'!I195</f>
        <v>I1: Mean zonal compliance (MZC)</v>
      </c>
      <c r="BG16" s="52" t="str">
        <f>'PC LIST'!O195</f>
        <v>%</v>
      </c>
      <c r="BH16" s="52" t="str">
        <f>'PC LIST'!P195</f>
        <v>Mean zonal compliance (%)</v>
      </c>
      <c r="BI16" s="52">
        <f>'PC LIST'!Q195</f>
        <v>2</v>
      </c>
      <c r="BJ16" s="52" t="str">
        <f>'PC LIST'!J195</f>
        <v>Under</v>
      </c>
      <c r="BK16" s="52">
        <f>'PC LIST'!BW195</f>
        <v>99.95</v>
      </c>
      <c r="BL16" s="52" t="str">
        <f>'PC LIST'!B229</f>
        <v>PR14SRNWSWW_4</v>
      </c>
      <c r="BM16" s="52" t="str">
        <f>'PC LIST'!I229</f>
        <v>4: Sewer blockages</v>
      </c>
      <c r="BN16" s="52" t="str">
        <f>'PC LIST'!O229</f>
        <v>nr</v>
      </c>
      <c r="BO16" s="52" t="str">
        <f>'PC LIST'!P229</f>
        <v>No. of sewer blockages per km</v>
      </c>
      <c r="BP16" s="52">
        <f>'PC LIST'!Q229</f>
        <v>2</v>
      </c>
      <c r="BQ16" s="52" t="str">
        <f>'PC LIST'!J229</f>
        <v>Under</v>
      </c>
      <c r="BR16" s="52">
        <f>'PC LIST'!BW229</f>
        <v>0.55000000000000004</v>
      </c>
      <c r="BS16" s="52" t="str">
        <f>'PC LIST'!B262</f>
        <v>PR14SSCHHR_3.2</v>
      </c>
      <c r="BT16" s="52" t="str">
        <f>'PC LIST'!I262</f>
        <v>3.2: Customer satisfaction surveys (combined company)</v>
      </c>
      <c r="BU16" s="52" t="str">
        <f>'PC LIST'!O262</f>
        <v>%</v>
      </c>
      <c r="BV16" s="52" t="str">
        <f>'PC LIST'!P262</f>
        <v>% customer satisfaction</v>
      </c>
      <c r="BW16" s="52">
        <f>'PC LIST'!Q262</f>
        <v>0</v>
      </c>
      <c r="BX16" s="52" t="str">
        <f>'PC LIST'!J262</f>
        <v>NFI</v>
      </c>
      <c r="BY16" s="52">
        <f>'PC LIST'!BW262</f>
        <v>99</v>
      </c>
      <c r="BZ16" s="52" t="str">
        <f>'PC LIST'!B277</f>
        <v>PR14SVTWSW_W-B10</v>
      </c>
      <c r="CA16" s="52" t="str">
        <f>'PC LIST'!I277</f>
        <v>W-B10: Non-delivery of the outcome of the Birmingham resilience scheme</v>
      </c>
      <c r="CB16" s="52" t="str">
        <f>'PC LIST'!O277</f>
        <v>text</v>
      </c>
      <c r="CC16" s="52" t="str">
        <f>'PC LIST'!P277</f>
        <v>Scheme delivery (3 components)</v>
      </c>
      <c r="CD16" s="52" t="str">
        <f>'PC LIST'!Q277</f>
        <v>na</v>
      </c>
      <c r="CE16" s="52" t="str">
        <f>'PC LIST'!J277</f>
        <v>Under</v>
      </c>
      <c r="CF16" s="611" t="str">
        <f>'PC LIST'!BW277</f>
        <v>On track</v>
      </c>
      <c r="CG16" s="52" t="str">
        <f>'PC LIST'!B322</f>
        <v>PR14SWTWSW_W-E2</v>
      </c>
      <c r="CH16" s="54" t="str">
        <f>'PC LIST'!I322</f>
        <v>W-E2: Sustainable abstractions (Environment Agency water stress status)</v>
      </c>
      <c r="CI16" s="54" t="str">
        <f>'PC LIST'!O322</f>
        <v>category</v>
      </c>
      <c r="CJ16" s="54" t="str">
        <f>'PC LIST'!P322</f>
        <v>Water scarcity status (defined by EA)</v>
      </c>
      <c r="CK16" s="52" t="str">
        <f>'PC LIST'!Q322</f>
        <v>na</v>
      </c>
      <c r="CL16" s="52" t="str">
        <f>'PC LIST'!J322</f>
        <v>Under</v>
      </c>
      <c r="CM16" s="610" t="str">
        <f>'PC LIST'!BW322</f>
        <v>Moderate</v>
      </c>
      <c r="CN16" s="52" t="str">
        <f>'PC LIST'!B364</f>
        <v>PR14TMSWSW_WC1</v>
      </c>
      <c r="CO16" s="52" t="str">
        <f>'PC LIST'!I364</f>
        <v>WC1: Greenhouse gas emissions from water operations</v>
      </c>
      <c r="CP16" s="52" t="str">
        <f>'PC LIST'!O364</f>
        <v>nr</v>
      </c>
      <c r="CQ16" s="52" t="str">
        <f>'PC LIST'!P364</f>
        <v>ktCO2e</v>
      </c>
      <c r="CR16" s="52">
        <f>'PC LIST'!Q364</f>
        <v>1</v>
      </c>
      <c r="CS16" s="52" t="str">
        <f>'PC LIST'!J364</f>
        <v>NFI</v>
      </c>
      <c r="CT16" s="52">
        <f>'PC LIST'!BW364</f>
        <v>160.69999999999999</v>
      </c>
      <c r="CU16" s="52" t="str">
        <f>'PC LIST'!B419</f>
        <v>PR14UUWSWW_S-A2</v>
      </c>
      <c r="CV16" s="52" t="str">
        <f>'PC LIST'!I419</f>
        <v>S-A2: Wastewater network performance index</v>
      </c>
      <c r="CW16" s="52" t="str">
        <f>'PC LIST'!O419</f>
        <v>score</v>
      </c>
      <c r="CX16" s="52" t="str">
        <f>'PC LIST'!P419</f>
        <v>Wastewater network performance index (UU bespoke)</v>
      </c>
      <c r="CY16" s="52">
        <f>'PC LIST'!Q419</f>
        <v>2</v>
      </c>
      <c r="CZ16" s="52" t="str">
        <f>'PC LIST'!J419</f>
        <v>Under</v>
      </c>
      <c r="DA16" s="52">
        <f>'PC LIST'!BW419</f>
        <v>89.47</v>
      </c>
      <c r="DB16" s="52" t="str">
        <f>'PC LIST'!B446</f>
        <v>PR14WSHWSWW_B3</v>
      </c>
      <c r="DC16" s="52" t="str">
        <f>'PC LIST'!I446</f>
        <v>B3: Preventing pollution - number of category 3 pollution incidents</v>
      </c>
      <c r="DD16" s="52" t="str">
        <f>'PC LIST'!O446</f>
        <v>nr</v>
      </c>
      <c r="DE16" s="52" t="str">
        <f>'PC LIST'!P446</f>
        <v>No. of pollution incidents (cat 3)</v>
      </c>
      <c r="DF16" s="52">
        <f>'PC LIST'!Q446</f>
        <v>0</v>
      </c>
      <c r="DG16" s="52" t="str">
        <f>'PC LIST'!J446</f>
        <v>Out &amp; under</v>
      </c>
      <c r="DH16" s="610">
        <f>'PC LIST'!BW446</f>
        <v>111</v>
      </c>
      <c r="DI16" s="52" t="str">
        <f>'PC LIST'!B477</f>
        <v>PR14WSXWSWW_A2</v>
      </c>
      <c r="DJ16" s="52" t="str">
        <f>'PC LIST'!I477</f>
        <v>A2: Beaches passing EU standards</v>
      </c>
      <c r="DK16" s="52" t="str">
        <f>'PC LIST'!O477</f>
        <v>%</v>
      </c>
      <c r="DL16" s="52" t="str">
        <f>'PC LIST'!P477</f>
        <v>% bathing waters meeting the revised BWD standards</v>
      </c>
      <c r="DM16" s="52">
        <f>'PC LIST'!Q477</f>
        <v>0</v>
      </c>
      <c r="DN16" s="52" t="str">
        <f>'PC LIST'!J477</f>
        <v>NFI</v>
      </c>
      <c r="DO16" s="52">
        <f>'PC LIST'!BW477</f>
        <v>98</v>
      </c>
      <c r="DP16" s="52" t="str">
        <f>'PC LIST'!B509</f>
        <v>PR14YKYWSW_WD2</v>
      </c>
      <c r="DQ16" s="52" t="str">
        <f>'PC LIST'!I509</f>
        <v>WD2: Proportion of waste diverted from landfill (re-used and recycled) (note: PC is part of a total commitment at Appointee level - see also SC2 and RC2)</v>
      </c>
      <c r="DR16" s="52" t="str">
        <f>'PC LIST'!O509</f>
        <v>%</v>
      </c>
      <c r="DS16" s="52" t="str">
        <f>'PC LIST'!P509</f>
        <v>% of waste diverted from landfill (re-used and recycled)</v>
      </c>
      <c r="DT16" s="52">
        <f>'PC LIST'!Q509</f>
        <v>0</v>
      </c>
      <c r="DU16" s="52" t="str">
        <f>'PC LIST'!J509</f>
        <v>NFI</v>
      </c>
      <c r="DV16" s="52">
        <f>'PC LIST'!BW509</f>
        <v>99.3</v>
      </c>
    </row>
    <row r="17" spans="8:126" ht="15.75" customHeight="1">
      <c r="H17" s="52" t="str">
        <f>'PC LIST'!B30</f>
        <v>PR14ANHWSW_W-G1</v>
      </c>
      <c r="I17" s="52" t="str">
        <f>'PC LIST'!I30</f>
        <v>W-G1: Survey of community perception</v>
      </c>
      <c r="J17" s="52" t="str">
        <f>'PC LIST'!O30</f>
        <v>%</v>
      </c>
      <c r="K17" s="52" t="str">
        <f>'PC LIST'!P30</f>
        <v>% customer satisfaction</v>
      </c>
      <c r="L17" s="52" t="str">
        <f>'PC LIST'!Q30</f>
        <v>na</v>
      </c>
      <c r="M17" s="52" t="str">
        <f>'PC LIST'!J30</f>
        <v>NFI</v>
      </c>
      <c r="N17" s="610">
        <f>'PC LIST'!BW30</f>
        <v>52</v>
      </c>
      <c r="O17" s="52" t="str">
        <f>'PC LIST'!B69</f>
        <v>PR14BRLHHR_G2</v>
      </c>
      <c r="P17" s="52" t="str">
        <f>'PC LIST'!I69</f>
        <v>G2: Per capita consumption (PCC), measured as litres per head per day (l/h/d)</v>
      </c>
      <c r="Q17" s="52" t="str">
        <f>'PC LIST'!O69</f>
        <v>nr</v>
      </c>
      <c r="R17" s="52" t="str">
        <f>'PC LIST'!P69</f>
        <v>Litres per head per day (l/h/d)</v>
      </c>
      <c r="S17" s="52">
        <f>'PC LIST'!Q69</f>
        <v>1</v>
      </c>
      <c r="T17" s="52" t="str">
        <f>'PC LIST'!J69</f>
        <v>NFI</v>
      </c>
      <c r="U17" s="610">
        <f>'PC LIST'!BW69</f>
        <v>144.1</v>
      </c>
      <c r="X17" s="47"/>
      <c r="Y17" s="47"/>
      <c r="Z17" s="47"/>
      <c r="AA17" s="47"/>
      <c r="AB17" s="47"/>
      <c r="AC17" s="52" t="str">
        <f>'PC LIST'!B103</f>
        <v>PR14NESWSW_W-F2</v>
      </c>
      <c r="AD17" s="53" t="str">
        <f>'PC LIST'!I103</f>
        <v>W-F2: Annual environmental performance report</v>
      </c>
      <c r="AE17" s="53" t="str">
        <f>'PC LIST'!O103</f>
        <v>text</v>
      </c>
      <c r="AF17" s="53" t="str">
        <f>'PC LIST'!P103</f>
        <v>CRAG report publication</v>
      </c>
      <c r="AG17" s="52" t="str">
        <f>'PC LIST'!Q103</f>
        <v>na</v>
      </c>
      <c r="AH17" s="52" t="str">
        <f>'PC LIST'!J103</f>
        <v>NFI</v>
      </c>
      <c r="AI17" s="52" t="str">
        <f>'PC LIST'!BW103</f>
        <v>Report published</v>
      </c>
      <c r="AQ17" s="52" t="str">
        <f>'PC LIST'!B160</f>
        <v>PR14SBWHHR_B1</v>
      </c>
      <c r="AR17" s="52" t="str">
        <f>'PC LIST'!I160</f>
        <v>B1: Fair customer bills (efficient debt management: % of average bill)</v>
      </c>
      <c r="AS17" s="52" t="str">
        <f>'PC LIST'!O160</f>
        <v>%</v>
      </c>
      <c r="AT17" s="52" t="str">
        <f>'PC LIST'!P160</f>
        <v>% of average bill</v>
      </c>
      <c r="AU17" s="52">
        <f>'PC LIST'!Q160</f>
        <v>2</v>
      </c>
      <c r="AV17" s="52" t="str">
        <f>'PC LIST'!J160</f>
        <v>NFI</v>
      </c>
      <c r="AW17" s="610">
        <f>'PC LIST'!BW160</f>
        <v>3.23</v>
      </c>
      <c r="AX17" s="52" t="str">
        <f>'PC LIST'!B175</f>
        <v>PR14SESWSW_E6</v>
      </c>
      <c r="AY17" s="52" t="str">
        <f>'PC LIST'!I175</f>
        <v>E6: Environmental investigations or catchment management schemes carried out as part of the NEP</v>
      </c>
      <c r="AZ17" s="52" t="str">
        <f>'PC LIST'!O175</f>
        <v>nr</v>
      </c>
      <c r="BA17" s="52" t="str">
        <f>'PC LIST'!P175</f>
        <v>No. of NEP schemes</v>
      </c>
      <c r="BB17" s="52">
        <f>'PC LIST'!Q175</f>
        <v>0</v>
      </c>
      <c r="BC17" s="52" t="str">
        <f>'PC LIST'!J175</f>
        <v>NFI</v>
      </c>
      <c r="BD17" s="611">
        <f>'PC LIST'!BW175</f>
        <v>0</v>
      </c>
      <c r="BE17" s="52" t="str">
        <f>'PC LIST'!B196</f>
        <v>PR14SEWWSW_J1</v>
      </c>
      <c r="BF17" s="52" t="str">
        <f>'PC LIST'!I196</f>
        <v>J1: Number of breaches of abstraction licences, discharge consents and environmental permits</v>
      </c>
      <c r="BG17" s="52" t="str">
        <f>'PC LIST'!O196</f>
        <v>nr</v>
      </c>
      <c r="BH17" s="52" t="str">
        <f>'PC LIST'!P196</f>
        <v>No. of breaches</v>
      </c>
      <c r="BI17" s="52">
        <f>'PC LIST'!Q196</f>
        <v>0</v>
      </c>
      <c r="BJ17" s="52" t="str">
        <f>'PC LIST'!J196</f>
        <v>NFI</v>
      </c>
      <c r="BK17" s="52">
        <f>'PC LIST'!BW196</f>
        <v>5</v>
      </c>
      <c r="BL17" s="52" t="str">
        <f>'PC LIST'!B230</f>
        <v>PR14SRNWSWW_5</v>
      </c>
      <c r="BM17" s="52" t="str">
        <f>'PC LIST'!I230</f>
        <v>5: Odour complaints (Portswood and Tonbridge treatment works)</v>
      </c>
      <c r="BN17" s="52" t="str">
        <f>'PC LIST'!O230</f>
        <v>nr</v>
      </c>
      <c r="BO17" s="52" t="str">
        <f>'PC LIST'!P230</f>
        <v>No. of odour complaints</v>
      </c>
      <c r="BP17" s="52">
        <f>'PC LIST'!Q230</f>
        <v>0</v>
      </c>
      <c r="BQ17" s="52" t="str">
        <f>'PC LIST'!J230</f>
        <v>Under</v>
      </c>
      <c r="BR17" s="52" t="str">
        <f>'PC LIST'!BW230</f>
        <v>N/A</v>
      </c>
      <c r="BS17" s="52" t="str">
        <f>'PC LIST'!B263</f>
        <v>PR14SSCHHR_3.3</v>
      </c>
      <c r="BT17" s="52" t="str">
        <f>'PC LIST'!I263</f>
        <v>3.3: Community engagement (combined company)</v>
      </c>
      <c r="BU17" s="52" t="str">
        <f>'PC LIST'!O263</f>
        <v>nr</v>
      </c>
      <c r="BV17" s="52" t="str">
        <f>'PC LIST'!P263</f>
        <v>No. of employee days per year</v>
      </c>
      <c r="BW17" s="52">
        <f>'PC LIST'!Q263</f>
        <v>0</v>
      </c>
      <c r="BX17" s="52" t="str">
        <f>'PC LIST'!J263</f>
        <v>NFI</v>
      </c>
      <c r="BY17" s="52">
        <f>'PC LIST'!BW263</f>
        <v>222</v>
      </c>
      <c r="BZ17" s="52" t="str">
        <f>'PC LIST'!B278</f>
        <v>PR14SVTWSW_W-B11</v>
      </c>
      <c r="CA17" s="52" t="str">
        <f>'PC LIST'!I278</f>
        <v>W-B11: Timing delays on community risk schemes</v>
      </c>
      <c r="CB17" s="52" t="str">
        <f>'PC LIST'!O278</f>
        <v>text</v>
      </c>
      <c r="CC17" s="52" t="str">
        <f>'PC LIST'!P278</f>
        <v>Scheme delivery (3 components)</v>
      </c>
      <c r="CD17" s="52" t="str">
        <f>'PC LIST'!Q278</f>
        <v>na</v>
      </c>
      <c r="CE17" s="52" t="str">
        <f>'PC LIST'!J278</f>
        <v>Under</v>
      </c>
      <c r="CF17" s="611" t="str">
        <f>'PC LIST'!BW278</f>
        <v>On track</v>
      </c>
      <c r="CG17" s="52" t="str">
        <f>'PC LIST'!B323</f>
        <v>PR14SWTWSW_W-E3a</v>
      </c>
      <c r="CH17" s="54" t="str">
        <f>'PC LIST'!I323</f>
        <v>W-E3a: Catchment management (number of acres)</v>
      </c>
      <c r="CI17" s="54" t="str">
        <f>'PC LIST'!O323</f>
        <v>nr</v>
      </c>
      <c r="CJ17" s="54" t="str">
        <f>'PC LIST'!P323</f>
        <v>No. of acres (cumulative)</v>
      </c>
      <c r="CK17" s="52">
        <f>'PC LIST'!Q323</f>
        <v>0</v>
      </c>
      <c r="CL17" s="52" t="str">
        <f>'PC LIST'!J323</f>
        <v>NFI</v>
      </c>
      <c r="CM17" s="610">
        <f>'PC LIST'!BW323</f>
        <v>7568</v>
      </c>
      <c r="CN17" s="52" t="str">
        <f>'PC LIST'!B365</f>
        <v>PR14TMSWSW_WC2</v>
      </c>
      <c r="CO17" s="52" t="str">
        <f>'PC LIST'!I365</f>
        <v>WC2: Leakage</v>
      </c>
      <c r="CP17" s="52" t="str">
        <f>'PC LIST'!O365</f>
        <v>nr</v>
      </c>
      <c r="CQ17" s="52" t="str">
        <f>'PC LIST'!P365</f>
        <v>Megalitres per day (Ml/d) (annual average)</v>
      </c>
      <c r="CR17" s="52">
        <f>'PC LIST'!Q365</f>
        <v>0</v>
      </c>
      <c r="CS17" s="52" t="str">
        <f>'PC LIST'!J365</f>
        <v>Out &amp; under</v>
      </c>
      <c r="CT17" s="52">
        <f>'PC LIST'!BW365</f>
        <v>677</v>
      </c>
      <c r="CU17" s="52" t="str">
        <f>'PC LIST'!B420</f>
        <v>PR14UUWSWW_S-B1</v>
      </c>
      <c r="CV17" s="52" t="str">
        <f>'PC LIST'!I420</f>
        <v>S-B1: Future flood risk</v>
      </c>
      <c r="CW17" s="52" t="str">
        <f>'PC LIST'!O420</f>
        <v>nr</v>
      </c>
      <c r="CX17" s="52" t="str">
        <f>'PC LIST'!P420</f>
        <v>No. of properties at risk</v>
      </c>
      <c r="CY17" s="52">
        <f>'PC LIST'!Q420</f>
        <v>0</v>
      </c>
      <c r="CZ17" s="52" t="str">
        <f>'PC LIST'!J420</f>
        <v>NFI</v>
      </c>
      <c r="DA17" s="52">
        <f>'PC LIST'!BW420</f>
        <v>16418</v>
      </c>
      <c r="DB17" s="52" t="str">
        <f>'PC LIST'!B447</f>
        <v>PR14WSHWSWW_C1</v>
      </c>
      <c r="DC17" s="52" t="str">
        <f>'PC LIST'!I447</f>
        <v>C1: Adapting to climate change - the volume of surface water removed from the system, expressed in number of properties equivalent</v>
      </c>
      <c r="DD17" s="52" t="str">
        <f>'PC LIST'!O447</f>
        <v>nr</v>
      </c>
      <c r="DE17" s="52" t="str">
        <f>'PC LIST'!P447</f>
        <v>Surface water removed expressed in no. props equivalent (cumulative)</v>
      </c>
      <c r="DF17" s="52">
        <f>'PC LIST'!Q447</f>
        <v>0</v>
      </c>
      <c r="DG17" s="52" t="str">
        <f>'PC LIST'!J447</f>
        <v>Under</v>
      </c>
      <c r="DH17" s="610">
        <f>'PC LIST'!BW447</f>
        <v>13661</v>
      </c>
      <c r="DI17" s="52" t="str">
        <f>'PC LIST'!B478</f>
        <v>PR14WSXWSWW_B1</v>
      </c>
      <c r="DJ17" s="52" t="str">
        <f>'PC LIST'!I478</f>
        <v>B1: The EA’s Environmental Performance Assessment (ODI based on pollution incidents)</v>
      </c>
      <c r="DK17" s="52" t="str">
        <f>'PC LIST'!O478</f>
        <v>text</v>
      </c>
      <c r="DL17" s="52" t="str">
        <f>'PC LIST'!P478</f>
        <v>EA’s Environmental Performance Assessment standing</v>
      </c>
      <c r="DM17" s="52" t="str">
        <f>'PC LIST'!Q478</f>
        <v>na</v>
      </c>
      <c r="DN17" s="52" t="str">
        <f>'PC LIST'!J478</f>
        <v>Out &amp; under</v>
      </c>
      <c r="DO17" s="52" t="str">
        <f>'PC LIST'!BW478</f>
        <v>Industry leading</v>
      </c>
      <c r="DP17" s="52" t="str">
        <f>'PC LIST'!B510</f>
        <v>PR14YKYWSWW_SA1</v>
      </c>
      <c r="DQ17" s="52" t="str">
        <f>'PC LIST'!I510</f>
        <v>SA1: Internal sewer flooding incidents</v>
      </c>
      <c r="DR17" s="52" t="str">
        <f>'PC LIST'!O510</f>
        <v>nr</v>
      </c>
      <c r="DS17" s="52" t="str">
        <f>'PC LIST'!P510</f>
        <v>No. of internal sewer flooding incidents</v>
      </c>
      <c r="DT17" s="52">
        <f>'PC LIST'!Q510</f>
        <v>0</v>
      </c>
      <c r="DU17" s="52" t="str">
        <f>'PC LIST'!J510</f>
        <v>Out &amp; under</v>
      </c>
      <c r="DV17" s="52">
        <f>'PC LIST'!BW510</f>
        <v>1769</v>
      </c>
    </row>
    <row r="18" spans="8:126" ht="15.75" customHeight="1">
      <c r="H18" s="52" t="str">
        <f>'PC LIST'!B31</f>
        <v>PR14ANHWSW_W-H1</v>
      </c>
      <c r="I18" s="52" t="str">
        <f>'PC LIST'!I31</f>
        <v>W-H1: Water infrastructure</v>
      </c>
      <c r="J18" s="52" t="str">
        <f>'PC LIST'!O31</f>
        <v>category</v>
      </c>
      <c r="K18" s="52" t="str">
        <f>'PC LIST'!P31</f>
        <v>Asset health indicator (RAG)</v>
      </c>
      <c r="L18" s="52" t="str">
        <f>'PC LIST'!Q31</f>
        <v>na</v>
      </c>
      <c r="M18" s="52" t="str">
        <f>'PC LIST'!J31</f>
        <v>Under</v>
      </c>
      <c r="N18" s="610" t="str">
        <f>'PC LIST'!BW31</f>
        <v>Amber</v>
      </c>
      <c r="O18" s="52" t="str">
        <f>'PC LIST'!B70</f>
        <v>PR14BRLHHR_I1</v>
      </c>
      <c r="P18" s="52" t="str">
        <f>'PC LIST'!I70</f>
        <v>I1: Percentage of customers in water poverty</v>
      </c>
      <c r="Q18" s="52" t="str">
        <f>'PC LIST'!O70</f>
        <v>%</v>
      </c>
      <c r="R18" s="52" t="str">
        <f>'PC LIST'!P70</f>
        <v>% customers in water poverty</v>
      </c>
      <c r="S18" s="52">
        <f>'PC LIST'!Q70</f>
        <v>1</v>
      </c>
      <c r="T18" s="52" t="str">
        <f>'PC LIST'!J70</f>
        <v>NFI</v>
      </c>
      <c r="U18" s="610">
        <f>'PC LIST'!BW70</f>
        <v>0.94</v>
      </c>
      <c r="X18" s="47"/>
      <c r="Y18" s="47"/>
      <c r="Z18" s="47"/>
      <c r="AA18" s="47"/>
      <c r="AB18" s="47"/>
      <c r="AC18" s="52" t="str">
        <f>'PC LIST'!B104</f>
        <v>PR14NESWSWW_S-A1</v>
      </c>
      <c r="AD18" s="53" t="str">
        <f>'PC LIST'!I104</f>
        <v>S-A1: Asset health measures - wastewater</v>
      </c>
      <c r="AE18" s="53" t="str">
        <f>'PC LIST'!O104</f>
        <v>N/A</v>
      </c>
      <c r="AF18" s="53" t="str">
        <f>'PC LIST'!P104</f>
        <v>N/A (measured in separate PCs)</v>
      </c>
      <c r="AG18" s="52" t="str">
        <f>'PC LIST'!Q104</f>
        <v>na</v>
      </c>
      <c r="AH18" s="52" t="str">
        <f>'PC LIST'!J104</f>
        <v>NFI</v>
      </c>
      <c r="AI18" s="52" t="str">
        <f>'PC LIST'!BW104</f>
        <v>n/a</v>
      </c>
      <c r="AQ18" s="52"/>
      <c r="AR18" s="52"/>
      <c r="AX18" s="52" t="str">
        <f>'PC LIST'!B176</f>
        <v>PR14SESHHR_B1</v>
      </c>
      <c r="AY18" s="52" t="str">
        <f>'PC LIST'!I176</f>
        <v>B1: Number of customers that are in water poverty and receiving assistance</v>
      </c>
      <c r="AZ18" s="52" t="str">
        <f>'PC LIST'!O176</f>
        <v>nr</v>
      </c>
      <c r="BA18" s="52" t="str">
        <f>'PC LIST'!P176</f>
        <v>No. of customers</v>
      </c>
      <c r="BB18" s="52">
        <f>'PC LIST'!Q176</f>
        <v>0</v>
      </c>
      <c r="BC18" s="52" t="str">
        <f>'PC LIST'!J176</f>
        <v>NFI</v>
      </c>
      <c r="BD18" s="611">
        <f>'PC LIST'!BW176</f>
        <v>5809</v>
      </c>
      <c r="BE18" s="52" t="str">
        <f>'PC LIST'!B197</f>
        <v>PR14SEWWSW_J2</v>
      </c>
      <c r="BF18" s="52" t="str">
        <f>'PC LIST'!I197</f>
        <v>J2: Number of pollution incidents (category 1-2)</v>
      </c>
      <c r="BG18" s="52" t="str">
        <f>'PC LIST'!O197</f>
        <v>nr</v>
      </c>
      <c r="BH18" s="52" t="str">
        <f>'PC LIST'!P197</f>
        <v>No. of pollution incidents (cat 1 and 2)</v>
      </c>
      <c r="BI18" s="52">
        <f>'PC LIST'!Q197</f>
        <v>0</v>
      </c>
      <c r="BJ18" s="52" t="str">
        <f>'PC LIST'!J197</f>
        <v>NFI</v>
      </c>
      <c r="BK18" s="52">
        <f>'PC LIST'!BW197</f>
        <v>2</v>
      </c>
      <c r="BL18" s="52" t="str">
        <f>'PC LIST'!B231</f>
        <v>PR14SRNWSWW_6</v>
      </c>
      <c r="BM18" s="52" t="str">
        <f>'PC LIST'!I231</f>
        <v>6: Wastewater treatment works numeric compliance</v>
      </c>
      <c r="BN18" s="52" t="str">
        <f>'PC LIST'!O231</f>
        <v>%</v>
      </c>
      <c r="BO18" s="52" t="str">
        <f>'PC LIST'!P231</f>
        <v>% compliance with WwTW regulations</v>
      </c>
      <c r="BP18" s="52">
        <f>'PC LIST'!Q231</f>
        <v>1</v>
      </c>
      <c r="BQ18" s="52" t="str">
        <f>'PC LIST'!J231</f>
        <v>Under</v>
      </c>
      <c r="BR18" s="52">
        <f>'PC LIST'!BW231</f>
        <v>99.32</v>
      </c>
      <c r="BS18" s="52"/>
      <c r="BT18" s="52"/>
      <c r="BU18" s="52"/>
      <c r="BV18" s="52"/>
      <c r="BZ18" s="52" t="str">
        <f>'PC LIST'!B279</f>
        <v>PR14SVTWSW_W-B12</v>
      </c>
      <c r="CA18" s="52" t="str">
        <f>'PC LIST'!I279</f>
        <v>W-B12: Non-delivery of the community risk schemes</v>
      </c>
      <c r="CB18" s="52" t="str">
        <f>'PC LIST'!O279</f>
        <v>text</v>
      </c>
      <c r="CC18" s="52" t="str">
        <f>'PC LIST'!P279</f>
        <v>Scheme delivery (3 components)</v>
      </c>
      <c r="CD18" s="52" t="str">
        <f>'PC LIST'!Q279</f>
        <v>na</v>
      </c>
      <c r="CE18" s="52" t="str">
        <f>'PC LIST'!J279</f>
        <v>Under</v>
      </c>
      <c r="CF18" s="611" t="str">
        <f>'PC LIST'!BW279</f>
        <v>On track</v>
      </c>
      <c r="CG18" s="52" t="str">
        <f>'PC LIST'!B324</f>
        <v>PR14SWTWSW_W-E3b</v>
      </c>
      <c r="CH18" s="54" t="str">
        <f>'PC LIST'!I324</f>
        <v>W-E3b: Catchment management (number of farms)</v>
      </c>
      <c r="CI18" s="54" t="str">
        <f>'PC LIST'!O324</f>
        <v>nr</v>
      </c>
      <c r="CJ18" s="54" t="str">
        <f>'PC LIST'!P324</f>
        <v>No. of farms (cumulative)</v>
      </c>
      <c r="CK18" s="52">
        <f>'PC LIST'!Q324</f>
        <v>0</v>
      </c>
      <c r="CL18" s="52" t="str">
        <f>'PC LIST'!J324</f>
        <v>NFI</v>
      </c>
      <c r="CM18" s="610">
        <f>'PC LIST'!BW324</f>
        <v>1056</v>
      </c>
      <c r="CN18" s="52" t="str">
        <f>'PC LIST'!B366</f>
        <v>PR14TMSWSW_WC3</v>
      </c>
      <c r="CO18" s="52" t="str">
        <f>'PC LIST'!I366</f>
        <v xml:space="preserve">WC3: Abstraction Incentive Mechanism (AIM) </v>
      </c>
      <c r="CP18" s="52" t="str">
        <f>'PC LIST'!O366</f>
        <v>nr</v>
      </c>
      <c r="CQ18" s="52" t="str">
        <f>'PC LIST'!P366</f>
        <v>Megalitres per day (Ml/d) abstracted at the relevant site</v>
      </c>
      <c r="CR18" s="52">
        <f>'PC LIST'!Q366</f>
        <v>2</v>
      </c>
      <c r="CS18" s="52" t="str">
        <f>'PC LIST'!J366</f>
        <v>NFI</v>
      </c>
      <c r="CT18" s="52" t="str">
        <f>'PC LIST'!BW366</f>
        <v>0 (refer to APR table 3C)</v>
      </c>
      <c r="CU18" s="52" t="str">
        <f>'PC LIST'!B421</f>
        <v>PR14UUWSWW_S-B2</v>
      </c>
      <c r="CV18" s="52" t="str">
        <f>'PC LIST'!I421</f>
        <v>S-B2: Sewer flooding index</v>
      </c>
      <c r="CW18" s="52" t="str">
        <f>'PC LIST'!O421</f>
        <v>score</v>
      </c>
      <c r="CX18" s="52" t="str">
        <f>'PC LIST'!P421</f>
        <v>Sewer flooding index (UU bespoke)</v>
      </c>
      <c r="CY18" s="52">
        <f>'PC LIST'!Q421</f>
        <v>1</v>
      </c>
      <c r="CZ18" s="52" t="str">
        <f>'PC LIST'!J421</f>
        <v>Out &amp; under</v>
      </c>
      <c r="DA18" s="52">
        <f>'PC LIST'!BW421</f>
        <v>94.4</v>
      </c>
      <c r="DB18" s="52" t="str">
        <f>'PC LIST'!B448</f>
        <v>PR14WSHWSWW_C2</v>
      </c>
      <c r="DC18" s="52" t="str">
        <f>'PC LIST'!I448</f>
        <v>C2: Carbon footprint - gigawatt-hours (GWh) of renewable energy generated</v>
      </c>
      <c r="DD18" s="52" t="str">
        <f>'PC LIST'!O448</f>
        <v>nr</v>
      </c>
      <c r="DE18" s="52" t="str">
        <f>'PC LIST'!P448</f>
        <v>GWh (gigawatt-hours)</v>
      </c>
      <c r="DF18" s="52">
        <f>'PC LIST'!Q448</f>
        <v>2</v>
      </c>
      <c r="DG18" s="52" t="str">
        <f>'PC LIST'!J448</f>
        <v>NFI</v>
      </c>
      <c r="DH18" s="610">
        <f>'PC LIST'!BW448</f>
        <v>49.01</v>
      </c>
      <c r="DI18" s="52" t="str">
        <f>'PC LIST'!B479</f>
        <v>PR14WSXWSWW_B2</v>
      </c>
      <c r="DJ18" s="52" t="str">
        <f>'PC LIST'!I479</f>
        <v>B2: Monitoring CSOs</v>
      </c>
      <c r="DK18" s="52" t="str">
        <f>'PC LIST'!O479</f>
        <v>%</v>
      </c>
      <c r="DL18" s="52" t="str">
        <f>'PC LIST'!P479</f>
        <v>% CSOs presenting environmental risk with EDM installed</v>
      </c>
      <c r="DM18" s="52">
        <f>'PC LIST'!Q479</f>
        <v>0</v>
      </c>
      <c r="DN18" s="52" t="str">
        <f>'PC LIST'!J479</f>
        <v>Under</v>
      </c>
      <c r="DO18" s="52">
        <f>'PC LIST'!BW479</f>
        <v>50</v>
      </c>
      <c r="DP18" s="52" t="str">
        <f>'PC LIST'!B511</f>
        <v>PR14YKYWSWW_SA2</v>
      </c>
      <c r="DQ18" s="52" t="str">
        <f>'PC LIST'!I511</f>
        <v>SA2: External sewer flooding incidents</v>
      </c>
      <c r="DR18" s="52" t="str">
        <f>'PC LIST'!O511</f>
        <v>nr</v>
      </c>
      <c r="DS18" s="52" t="str">
        <f>'PC LIST'!P511</f>
        <v>No. of external sewer flooding incidents</v>
      </c>
      <c r="DT18" s="52">
        <f>'PC LIST'!Q511</f>
        <v>0</v>
      </c>
      <c r="DU18" s="52" t="str">
        <f>'PC LIST'!J511</f>
        <v>NFI</v>
      </c>
      <c r="DV18" s="52">
        <f>'PC LIST'!BW511</f>
        <v>9145</v>
      </c>
    </row>
    <row r="19" spans="8:126" ht="15.75" customHeight="1">
      <c r="H19" s="52" t="str">
        <f>'PC LIST'!B32</f>
        <v>PR14ANHWSW_W-H2</v>
      </c>
      <c r="I19" s="52" t="str">
        <f>'PC LIST'!I32</f>
        <v>W-H2: Water non-infrastructure</v>
      </c>
      <c r="J19" s="52" t="str">
        <f>'PC LIST'!O32</f>
        <v>category</v>
      </c>
      <c r="K19" s="52" t="str">
        <f>'PC LIST'!P32</f>
        <v>Asset health indicator (RAG)</v>
      </c>
      <c r="L19" s="52" t="str">
        <f>'PC LIST'!Q32</f>
        <v>na</v>
      </c>
      <c r="M19" s="52" t="str">
        <f>'PC LIST'!J32</f>
        <v>Under</v>
      </c>
      <c r="N19" s="610" t="str">
        <f>'PC LIST'!BW32</f>
        <v>Green</v>
      </c>
      <c r="O19" s="52" t="str">
        <f>'PC LIST'!B71</f>
        <v>PR14BRLHHR_J1</v>
      </c>
      <c r="P19" s="52" t="str">
        <f>'PC LIST'!I71</f>
        <v>J1: Service incentive mechanism (SIM)</v>
      </c>
      <c r="Q19" s="52" t="str">
        <f>'PC LIST'!O71</f>
        <v>text</v>
      </c>
      <c r="R19" s="52" t="str">
        <f>'PC LIST'!P71</f>
        <v>Service incentive mechanism (SIM) score ranking</v>
      </c>
      <c r="S19" s="52" t="str">
        <f>'PC LIST'!Q71</f>
        <v>na</v>
      </c>
      <c r="T19" s="52" t="str">
        <f>'PC LIST'!J71</f>
        <v>Out &amp; under</v>
      </c>
      <c r="U19" s="610">
        <f>'PC LIST'!BW71</f>
        <v>85.9</v>
      </c>
      <c r="X19" s="47"/>
      <c r="Y19" s="47"/>
      <c r="Z19" s="47"/>
      <c r="AA19" s="47"/>
      <c r="AB19" s="47"/>
      <c r="AC19" s="52" t="str">
        <f>'PC LIST'!B105</f>
        <v>PR14NESWSWW_S-B1</v>
      </c>
      <c r="AD19" s="53" t="str">
        <f>'PC LIST'!I105</f>
        <v>S-B1: Properties flooded externally</v>
      </c>
      <c r="AE19" s="53" t="str">
        <f>'PC LIST'!O105</f>
        <v>nr</v>
      </c>
      <c r="AF19" s="53" t="str">
        <f>'PC LIST'!P105</f>
        <v>No. of properties per year</v>
      </c>
      <c r="AG19" s="52">
        <f>'PC LIST'!Q105</f>
        <v>0</v>
      </c>
      <c r="AH19" s="52" t="str">
        <f>'PC LIST'!J105</f>
        <v>Out &amp; under</v>
      </c>
      <c r="AI19" s="52">
        <f>'PC LIST'!BW105</f>
        <v>839</v>
      </c>
      <c r="AX19" s="52" t="str">
        <f>'PC LIST'!B177</f>
        <v>PR14SESHHR_B2</v>
      </c>
      <c r="AY19" s="52" t="str">
        <f>'PC LIST'!I177</f>
        <v>B2: Effectiveness of bad debt recovery (bad debt expressed as a percentage of turnover)</v>
      </c>
      <c r="AZ19" s="52" t="str">
        <f>'PC LIST'!O177</f>
        <v>%</v>
      </c>
      <c r="BA19" s="52" t="str">
        <f>'PC LIST'!P177</f>
        <v>Bad debt as % of total turnover</v>
      </c>
      <c r="BB19" s="52">
        <f>'PC LIST'!Q177</f>
        <v>2</v>
      </c>
      <c r="BC19" s="52" t="str">
        <f>'PC LIST'!J177</f>
        <v>NFI</v>
      </c>
      <c r="BD19" s="611">
        <f>'PC LIST'!BW177</f>
        <v>0.67</v>
      </c>
      <c r="BE19" s="52" t="str">
        <f>'PC LIST'!B198</f>
        <v>PR14SEWWSW_K1</v>
      </c>
      <c r="BF19" s="52" t="str">
        <f>'PC LIST'!I198</f>
        <v>K1: Number of breaches of health and safety regulations, as defined by the Health and Safety Executive</v>
      </c>
      <c r="BG19" s="52" t="str">
        <f>'PC LIST'!O198</f>
        <v>nr</v>
      </c>
      <c r="BH19" s="52" t="str">
        <f>'PC LIST'!P198</f>
        <v>No. of H&amp;S regulation breaches</v>
      </c>
      <c r="BI19" s="52">
        <f>'PC LIST'!Q198</f>
        <v>0</v>
      </c>
      <c r="BJ19" s="52" t="str">
        <f>'PC LIST'!J198</f>
        <v>NFI</v>
      </c>
      <c r="BK19" s="52">
        <f>'PC LIST'!BW198</f>
        <v>0</v>
      </c>
      <c r="BL19" s="52" t="str">
        <f>'PC LIST'!B232</f>
        <v>PR14SRNWSWW_7</v>
      </c>
      <c r="BM19" s="52" t="str">
        <f>'PC LIST'!I232</f>
        <v>7: Proportion of energy from renewable sources</v>
      </c>
      <c r="BN19" s="52" t="str">
        <f>'PC LIST'!O232</f>
        <v>%</v>
      </c>
      <c r="BO19" s="52" t="str">
        <f>'PC LIST'!P232</f>
        <v>% energy from renewable sources</v>
      </c>
      <c r="BP19" s="52">
        <f>'PC LIST'!Q232</f>
        <v>1</v>
      </c>
      <c r="BQ19" s="52" t="str">
        <f>'PC LIST'!J232</f>
        <v>NFI</v>
      </c>
      <c r="BR19" s="52">
        <f>'PC LIST'!BW232</f>
        <v>17.03</v>
      </c>
      <c r="BU19" s="47"/>
      <c r="BV19" s="47"/>
      <c r="BW19" s="47"/>
      <c r="BX19" s="47"/>
      <c r="BY19" s="47"/>
      <c r="BZ19" s="52" t="str">
        <f>'PC LIST'!B280</f>
        <v>PR14SVTWSW_W-B13</v>
      </c>
      <c r="CA19" s="52" t="str">
        <f>'PC LIST'!I280</f>
        <v xml:space="preserve">W-B13: Timing delays on Elan Valley Aqueduct (EVA) maintenance </v>
      </c>
      <c r="CB19" s="52" t="str">
        <f>'PC LIST'!O280</f>
        <v>text</v>
      </c>
      <c r="CC19" s="52" t="str">
        <f>'PC LIST'!P280</f>
        <v>Scheme delivery</v>
      </c>
      <c r="CD19" s="52" t="str">
        <f>'PC LIST'!Q280</f>
        <v>na</v>
      </c>
      <c r="CE19" s="52" t="str">
        <f>'PC LIST'!J280</f>
        <v>Under</v>
      </c>
      <c r="CF19" s="611" t="str">
        <f>'PC LIST'!BW280</f>
        <v>Milestone complete</v>
      </c>
      <c r="CG19" s="52" t="str">
        <f>'PC LIST'!B325</f>
        <v>PR14SWTWSW_W-E4</v>
      </c>
      <c r="CH19" s="54" t="str">
        <f>'PC LIST'!I325</f>
        <v>W-E4: Pollution incidents (category 1 and 2)</v>
      </c>
      <c r="CI19" s="54" t="str">
        <f>'PC LIST'!O325</f>
        <v>nr</v>
      </c>
      <c r="CJ19" s="54" t="str">
        <f>'PC LIST'!P325</f>
        <v>No. of pollution incidents (cats 1 and 2)</v>
      </c>
      <c r="CK19" s="52">
        <f>'PC LIST'!Q325</f>
        <v>0</v>
      </c>
      <c r="CL19" s="52" t="str">
        <f>'PC LIST'!J325</f>
        <v>Under</v>
      </c>
      <c r="CM19" s="610">
        <f>'PC LIST'!BW325</f>
        <v>0</v>
      </c>
      <c r="CN19" s="52" t="str">
        <f>'PC LIST'!B367</f>
        <v>PR14TMSWSW_WC4</v>
      </c>
      <c r="CO19" s="52" t="str">
        <f>'PC LIST'!I367</f>
        <v>WC4: We will educate our existing and future customers</v>
      </c>
      <c r="CP19" s="52" t="str">
        <f>'PC LIST'!O367</f>
        <v>nr</v>
      </c>
      <c r="CQ19" s="52" t="str">
        <f>'PC LIST'!P367</f>
        <v>No. of children directly engaged</v>
      </c>
      <c r="CR19" s="52">
        <f>'PC LIST'!Q367</f>
        <v>0</v>
      </c>
      <c r="CS19" s="52" t="str">
        <f>'PC LIST'!J367</f>
        <v>NFI</v>
      </c>
      <c r="CT19" s="52">
        <f>'PC LIST'!BW367</f>
        <v>20898</v>
      </c>
      <c r="CU19" s="52" t="str">
        <f>'PC LIST'!B422</f>
        <v>PR14UUWSWW_S-C1</v>
      </c>
      <c r="CV19" s="52" t="str">
        <f>'PC LIST'!I422</f>
        <v>S-C1: Contribution to bathing waters improved (includes NEP phase 3&amp;4 bathing water intermittent discharge projects)</v>
      </c>
      <c r="CW19" s="52" t="str">
        <f>'PC LIST'!O422</f>
        <v>nr</v>
      </c>
      <c r="CX19" s="52" t="str">
        <f>'PC LIST'!P422</f>
        <v>Bathing water equivalent (BWE)</v>
      </c>
      <c r="CY19" s="52">
        <f>'PC LIST'!Q422</f>
        <v>2</v>
      </c>
      <c r="CZ19" s="52" t="str">
        <f>'PC LIST'!J422</f>
        <v>Under</v>
      </c>
      <c r="DA19" s="52">
        <f>'PC LIST'!BW422</f>
        <v>0.66</v>
      </c>
      <c r="DB19" s="52" t="str">
        <f>'PC LIST'!B449</f>
        <v>PR14WSHWSWW_D1</v>
      </c>
      <c r="DC19" s="52" t="str">
        <f>'PC LIST'!I449</f>
        <v>D1: Service incentive mechanism (SIM)</v>
      </c>
      <c r="DD19" s="52" t="str">
        <f>'PC LIST'!O449</f>
        <v>text</v>
      </c>
      <c r="DE19" s="52" t="str">
        <f>'PC LIST'!P449</f>
        <v>Service incentive mechanism (SIM) score ranking</v>
      </c>
      <c r="DF19" s="52" t="str">
        <f>'PC LIST'!Q449</f>
        <v>na</v>
      </c>
      <c r="DG19" s="52" t="str">
        <f>'PC LIST'!J449</f>
        <v>Out &amp; under</v>
      </c>
      <c r="DH19" s="610">
        <f>'PC LIST'!BW449</f>
        <v>82.86</v>
      </c>
      <c r="DI19" s="52" t="str">
        <f>'PC LIST'!B480</f>
        <v>PR14WSXWSWW_B3</v>
      </c>
      <c r="DJ19" s="52" t="str">
        <f>'PC LIST'!I480</f>
        <v>B3: River water quality improved</v>
      </c>
      <c r="DK19" s="52" t="str">
        <f>'PC LIST'!O480</f>
        <v>nr</v>
      </c>
      <c r="DL19" s="52" t="str">
        <f>'PC LIST'!P480</f>
        <v>No. water bodies improved through WwTW investments</v>
      </c>
      <c r="DM19" s="52">
        <f>'PC LIST'!Q480</f>
        <v>0</v>
      </c>
      <c r="DN19" s="52" t="str">
        <f>'PC LIST'!J480</f>
        <v>Out &amp; under</v>
      </c>
      <c r="DO19" s="52">
        <f>'PC LIST'!BW480</f>
        <v>8</v>
      </c>
      <c r="DP19" s="52" t="str">
        <f>'PC LIST'!B512</f>
        <v>PR14YKYWSWW_SA3a</v>
      </c>
      <c r="DQ19" s="52" t="str">
        <f>'PC LIST'!I512</f>
        <v>SA3a: Pollution incidents - category 1 and 2</v>
      </c>
      <c r="DR19" s="52" t="str">
        <f>'PC LIST'!O512</f>
        <v>nr</v>
      </c>
      <c r="DS19" s="52" t="str">
        <f>'PC LIST'!P512</f>
        <v>No. of pollution incidents (cats 1 and 2)</v>
      </c>
      <c r="DT19" s="52">
        <f>'PC LIST'!Q512</f>
        <v>0</v>
      </c>
      <c r="DU19" s="52" t="str">
        <f>'PC LIST'!J512</f>
        <v>NFI</v>
      </c>
      <c r="DV19" s="52">
        <f>'PC LIST'!BW512</f>
        <v>4</v>
      </c>
    </row>
    <row r="20" spans="8:126" ht="15.75" customHeight="1">
      <c r="H20" s="52" t="str">
        <f>'PC LIST'!B33</f>
        <v>PR14ANHWSW_W-I1</v>
      </c>
      <c r="I20" s="52" t="str">
        <f>'PC LIST'!I33</f>
        <v>W-I1: Mean zonal compliance (MZC)</v>
      </c>
      <c r="J20" s="52" t="str">
        <f>'PC LIST'!O33</f>
        <v>%</v>
      </c>
      <c r="K20" s="52" t="str">
        <f>'PC LIST'!P33</f>
        <v>Mean zonal compliance (%)</v>
      </c>
      <c r="L20" s="52">
        <f>'PC LIST'!Q33</f>
        <v>2</v>
      </c>
      <c r="M20" s="52" t="str">
        <f>'PC LIST'!J33</f>
        <v>Under</v>
      </c>
      <c r="N20" s="610">
        <f>'PC LIST'!BW33</f>
        <v>99.97</v>
      </c>
      <c r="O20" s="52" t="str">
        <f>'PC LIST'!B72</f>
        <v>PR14BRLHHR_J2</v>
      </c>
      <c r="P20" s="52" t="str">
        <f>'PC LIST'!I72</f>
        <v>J2: General satisfaction from surveys</v>
      </c>
      <c r="Q20" s="52" t="str">
        <f>'PC LIST'!O72</f>
        <v>%</v>
      </c>
      <c r="R20" s="52" t="str">
        <f>'PC LIST'!P72</f>
        <v>% customer satisfaction</v>
      </c>
      <c r="S20" s="52">
        <f>'PC LIST'!Q72</f>
        <v>0</v>
      </c>
      <c r="T20" s="52" t="str">
        <f>'PC LIST'!J72</f>
        <v>NFI</v>
      </c>
      <c r="U20" s="610">
        <f>'PC LIST'!BW72</f>
        <v>86</v>
      </c>
      <c r="AC20" s="52" t="str">
        <f>'PC LIST'!B106</f>
        <v>PR14NESWSWW_S-B2</v>
      </c>
      <c r="AD20" s="53" t="str">
        <f>'PC LIST'!I106</f>
        <v>S-B2: Properties flooded internally</v>
      </c>
      <c r="AE20" s="53" t="str">
        <f>'PC LIST'!O106</f>
        <v>nr</v>
      </c>
      <c r="AF20" s="53" t="str">
        <f>'PC LIST'!P106</f>
        <v>No. of properties flooded internally per year</v>
      </c>
      <c r="AG20" s="52">
        <f>'PC LIST'!Q106</f>
        <v>0</v>
      </c>
      <c r="AH20" s="52" t="str">
        <f>'PC LIST'!J106</f>
        <v>Out &amp; under</v>
      </c>
      <c r="AI20" s="52">
        <f>'PC LIST'!BW106</f>
        <v>119</v>
      </c>
      <c r="AX20" s="52" t="str">
        <f>'PC LIST'!B178</f>
        <v>PR14SESHHR_B3</v>
      </c>
      <c r="AY20" s="52" t="str">
        <f>'PC LIST'!I178</f>
        <v>B3: Customer perception of value for money</v>
      </c>
      <c r="AZ20" s="52" t="str">
        <f>'PC LIST'!O178</f>
        <v>%</v>
      </c>
      <c r="BA20" s="52" t="str">
        <f>'PC LIST'!P178</f>
        <v>% customer satisfaction</v>
      </c>
      <c r="BB20" s="52">
        <f>'PC LIST'!Q178</f>
        <v>0</v>
      </c>
      <c r="BC20" s="52" t="str">
        <f>'PC LIST'!J178</f>
        <v>NFI</v>
      </c>
      <c r="BD20" s="611">
        <f>'PC LIST'!BW178</f>
        <v>6.3</v>
      </c>
      <c r="BE20" s="52" t="str">
        <f>'PC LIST'!B199</f>
        <v>PR14SEWWSW_L1</v>
      </c>
      <c r="BF20" s="52" t="str">
        <f>'PC LIST'!I199</f>
        <v>L1: Number of breaches of National Security obligations (Security and Emergency Measures Direction)</v>
      </c>
      <c r="BG20" s="52" t="str">
        <f>'PC LIST'!O199</f>
        <v>nr</v>
      </c>
      <c r="BH20" s="52" t="str">
        <f>'PC LIST'!P199</f>
        <v>No. of SEMD compliance breaches</v>
      </c>
      <c r="BI20" s="52">
        <f>'PC LIST'!Q199</f>
        <v>0</v>
      </c>
      <c r="BJ20" s="52" t="str">
        <f>'PC LIST'!J199</f>
        <v>NFI</v>
      </c>
      <c r="BK20" s="52">
        <f>'PC LIST'!BW199</f>
        <v>0</v>
      </c>
      <c r="BL20" s="52" t="str">
        <f>'PC LIST'!B233</f>
        <v>PR14SRNWSWW_8</v>
      </c>
      <c r="BM20" s="52" t="str">
        <f>'PC LIST'!I233</f>
        <v>8: Bathing waters with ‘excellent’ water quality (part 1)</v>
      </c>
      <c r="BN20" s="52" t="str">
        <f>'PC LIST'!O233</f>
        <v>nr</v>
      </c>
      <c r="BO20" s="52" t="str">
        <f>'PC LIST'!P233</f>
        <v>No. of bathing waters</v>
      </c>
      <c r="BP20" s="52">
        <f>'PC LIST'!Q233</f>
        <v>0</v>
      </c>
      <c r="BQ20" s="52" t="str">
        <f>'PC LIST'!J233</f>
        <v>Out &amp; under</v>
      </c>
      <c r="BR20" s="52">
        <f>'PC LIST'!BW233</f>
        <v>51</v>
      </c>
      <c r="BU20" s="47"/>
      <c r="BV20" s="47"/>
      <c r="BW20" s="47"/>
      <c r="BX20" s="47"/>
      <c r="BY20" s="47"/>
      <c r="BZ20" s="52" t="str">
        <f>'PC LIST'!B281</f>
        <v>PR14SVTWSW_W-B14</v>
      </c>
      <c r="CA20" s="52" t="str">
        <f>'PC LIST'!I281</f>
        <v>W-B14: Non-delivery of the Elan Valley Aqueduct (EVA) maintenance</v>
      </c>
      <c r="CB20" s="52" t="str">
        <f>'PC LIST'!O281</f>
        <v>text</v>
      </c>
      <c r="CC20" s="52" t="str">
        <f>'PC LIST'!P281</f>
        <v>Scheme delivery</v>
      </c>
      <c r="CD20" s="52" t="str">
        <f>'PC LIST'!Q281</f>
        <v>na</v>
      </c>
      <c r="CE20" s="52" t="str">
        <f>'PC LIST'!J281</f>
        <v>Under</v>
      </c>
      <c r="CF20" s="611" t="str">
        <f>'PC LIST'!BW281</f>
        <v>Milestone complete</v>
      </c>
      <c r="CG20" s="52" t="str">
        <f>'PC LIST'!B326</f>
        <v>PR14SWTWSW_W-E5</v>
      </c>
      <c r="CH20" s="54" t="str">
        <f>'PC LIST'!I326</f>
        <v>W-E5: Pollution incidents (category 3 and 4)</v>
      </c>
      <c r="CI20" s="54" t="str">
        <f>'PC LIST'!O326</f>
        <v>nr</v>
      </c>
      <c r="CJ20" s="54" t="str">
        <f>'PC LIST'!P326</f>
        <v>No. of pollution incidents (cats 3 and 4)</v>
      </c>
      <c r="CK20" s="52">
        <f>'PC LIST'!Q326</f>
        <v>0</v>
      </c>
      <c r="CL20" s="52" t="str">
        <f>'PC LIST'!J326</f>
        <v>Under</v>
      </c>
      <c r="CM20" s="610">
        <f>'PC LIST'!BW326</f>
        <v>9</v>
      </c>
      <c r="CN20" s="52" t="str">
        <f>'PC LIST'!B368</f>
        <v>PR14TMSWSW_WC5</v>
      </c>
      <c r="CO20" s="52" t="str">
        <f>'PC LIST'!I368</f>
        <v>WC5: Deliver 100% of agreed measures to meet new environmental regulations</v>
      </c>
      <c r="CP20" s="52" t="str">
        <f>'PC LIST'!O368</f>
        <v>%</v>
      </c>
      <c r="CQ20" s="52" t="str">
        <f>'PC LIST'!P368</f>
        <v>% of agreed schemes completed</v>
      </c>
      <c r="CR20" s="52">
        <f>'PC LIST'!Q368</f>
        <v>0</v>
      </c>
      <c r="CS20" s="52" t="str">
        <f>'PC LIST'!J368</f>
        <v>Under</v>
      </c>
      <c r="CT20" s="52">
        <f>'PC LIST'!BW368</f>
        <v>0</v>
      </c>
      <c r="CU20" s="52" t="str">
        <f>'PC LIST'!B423</f>
        <v>PR14UUWSWW_S-D1</v>
      </c>
      <c r="CV20" s="52" t="str">
        <f>'PC LIST'!I423</f>
        <v>S-D1: Protecting rivers from deterioration due to population growth (includes Davyhulme non-delivery penalty)</v>
      </c>
      <c r="CW20" s="52" t="str">
        <f>'PC LIST'!O423</f>
        <v>nr</v>
      </c>
      <c r="CX20" s="52" t="str">
        <f>'PC LIST'!P423</f>
        <v>Kilometers (km) rivers protected from deterioration</v>
      </c>
      <c r="CY20" s="52">
        <f>'PC LIST'!Q423</f>
        <v>1</v>
      </c>
      <c r="CZ20" s="52" t="str">
        <f>'PC LIST'!J423</f>
        <v>Under</v>
      </c>
      <c r="DA20" s="52">
        <f>'PC LIST'!BW423</f>
        <v>48.02</v>
      </c>
      <c r="DB20" s="52" t="str">
        <f>'PC LIST'!B450</f>
        <v>PR14WSHWSWW_D2</v>
      </c>
      <c r="DC20" s="52" t="str">
        <f>'PC LIST'!I450</f>
        <v>D2: ‘At risk’ customer services - number of customers who have experienced poor service</v>
      </c>
      <c r="DD20" s="52" t="str">
        <f>'PC LIST'!O450</f>
        <v>nr</v>
      </c>
      <c r="DE20" s="52" t="str">
        <f>'PC LIST'!P450</f>
        <v>No. of properties/ incidents on the internal 'at risk' register</v>
      </c>
      <c r="DF20" s="52">
        <f>'PC LIST'!Q450</f>
        <v>0</v>
      </c>
      <c r="DG20" s="52" t="str">
        <f>'PC LIST'!J450</f>
        <v>NFI</v>
      </c>
      <c r="DH20" s="610">
        <f>'PC LIST'!BW450</f>
        <v>575</v>
      </c>
      <c r="DI20" s="52" t="str">
        <f>'PC LIST'!B481</f>
        <v>PR14WSXWSWW_C1</v>
      </c>
      <c r="DJ20" s="52" t="str">
        <f>'PC LIST'!I481</f>
        <v>C1: Internal flooding incidents</v>
      </c>
      <c r="DK20" s="52" t="str">
        <f>'PC LIST'!O481</f>
        <v>nr</v>
      </c>
      <c r="DL20" s="52" t="str">
        <f>'PC LIST'!P481</f>
        <v>No. of internal sewer flooding incidents / 10,000 properties</v>
      </c>
      <c r="DM20" s="52">
        <f>'PC LIST'!Q481</f>
        <v>2</v>
      </c>
      <c r="DN20" s="52" t="str">
        <f>'PC LIST'!J481</f>
        <v>Out &amp; under</v>
      </c>
      <c r="DO20" s="52">
        <f>'PC LIST'!BW481</f>
        <v>1.2</v>
      </c>
      <c r="DP20" s="52" t="str">
        <f>'PC LIST'!B513</f>
        <v>PR14YKYWSWW_SA3b</v>
      </c>
      <c r="DQ20" s="52" t="str">
        <f>'PC LIST'!I513</f>
        <v>SA3b: Pollution incidents - category 3</v>
      </c>
      <c r="DR20" s="52" t="str">
        <f>'PC LIST'!O513</f>
        <v>nr</v>
      </c>
      <c r="DS20" s="52" t="str">
        <f>'PC LIST'!P513</f>
        <v>No. of pollution incidents (cat 3)</v>
      </c>
      <c r="DT20" s="52">
        <f>'PC LIST'!Q513</f>
        <v>0</v>
      </c>
      <c r="DU20" s="52" t="str">
        <f>'PC LIST'!J513</f>
        <v>Out &amp; under</v>
      </c>
      <c r="DV20" s="52">
        <f>'PC LIST'!BW513</f>
        <v>207</v>
      </c>
    </row>
    <row r="21" spans="8:126" ht="15.75" customHeight="1">
      <c r="H21" s="52" t="str">
        <f>'PC LIST'!B34</f>
        <v>PR14ANHWSWW_S-A2</v>
      </c>
      <c r="I21" s="52" t="str">
        <f>'PC LIST'!I34</f>
        <v>S-A2: Properties flooded internally from sewers - three-year average (reduction)</v>
      </c>
      <c r="J21" s="52" t="str">
        <f>'PC LIST'!O34</f>
        <v>nr</v>
      </c>
      <c r="K21" s="52" t="str">
        <f>'PC LIST'!P34</f>
        <v>No. of properties flooded internally (reduction)</v>
      </c>
      <c r="L21" s="52">
        <f>'PC LIST'!Q34</f>
        <v>0</v>
      </c>
      <c r="M21" s="52" t="str">
        <f>'PC LIST'!J34</f>
        <v>Out &amp; under</v>
      </c>
      <c r="N21" s="610">
        <f>'PC LIST'!BW34</f>
        <v>45</v>
      </c>
      <c r="O21" s="52" t="str">
        <f>'PC LIST'!B73</f>
        <v>PR14BRLHHR_J3</v>
      </c>
      <c r="P21" s="52" t="str">
        <f>'PC LIST'!I73</f>
        <v>J3: Value for money</v>
      </c>
      <c r="Q21" s="52" t="str">
        <f>'PC LIST'!O73</f>
        <v>%</v>
      </c>
      <c r="R21" s="52" t="str">
        <f>'PC LIST'!P73</f>
        <v>% customer satisfaction</v>
      </c>
      <c r="S21" s="52">
        <f>'PC LIST'!Q73</f>
        <v>0</v>
      </c>
      <c r="T21" s="52" t="str">
        <f>'PC LIST'!J73</f>
        <v>NFI</v>
      </c>
      <c r="U21" s="610">
        <f>'PC LIST'!BW73</f>
        <v>72</v>
      </c>
      <c r="AC21" s="52" t="str">
        <f>'PC LIST'!B107</f>
        <v>PR14NESWSWW_S-B3</v>
      </c>
      <c r="AD21" s="53" t="str">
        <f>'PC LIST'!I107</f>
        <v>S-B3: Repeat sewer flooding (3-year average)</v>
      </c>
      <c r="AE21" s="53" t="str">
        <f>'PC LIST'!O107</f>
        <v>nr</v>
      </c>
      <c r="AF21" s="53" t="str">
        <f>'PC LIST'!P107</f>
        <v>No. of properties per year</v>
      </c>
      <c r="AG21" s="52">
        <f>'PC LIST'!Q107</f>
        <v>0</v>
      </c>
      <c r="AH21" s="52" t="str">
        <f>'PC LIST'!J107</f>
        <v>Out &amp; under</v>
      </c>
      <c r="AI21" s="52">
        <f>'PC LIST'!BW107</f>
        <v>82</v>
      </c>
      <c r="AX21" s="52" t="str">
        <f>'PC LIST'!B179</f>
        <v>PR14SESHHR_D1</v>
      </c>
      <c r="AY21" s="52" t="str">
        <f>'PC LIST'!I179</f>
        <v>D1: Customer satisfaction (level of satisfaction in response to the tracker survey (overall quality score))</v>
      </c>
      <c r="AZ21" s="52" t="str">
        <f>'PC LIST'!O179</f>
        <v>%</v>
      </c>
      <c r="BA21" s="52" t="str">
        <f>'PC LIST'!P179</f>
        <v>% customer satisfaction</v>
      </c>
      <c r="BB21" s="52">
        <f>'PC LIST'!Q179</f>
        <v>1</v>
      </c>
      <c r="BC21" s="52" t="str">
        <f>'PC LIST'!J179</f>
        <v>NFI</v>
      </c>
      <c r="BD21" s="611">
        <f>'PC LIST'!BW179</f>
        <v>92.3</v>
      </c>
      <c r="BE21" s="52" t="str">
        <f>'PC LIST'!B200</f>
        <v>PR14SEWWSW_M1</v>
      </c>
      <c r="BF21" s="52" t="str">
        <f>'PC LIST'!I200</f>
        <v>M1: Number of compliance breaches with statutory obligations and licence conditions, not already reported in performance on outcomes I through to K</v>
      </c>
      <c r="BG21" s="52" t="str">
        <f>'PC LIST'!O200</f>
        <v>nr</v>
      </c>
      <c r="BH21" s="52" t="str">
        <f>'PC LIST'!P200</f>
        <v>No. of other compliance breaches</v>
      </c>
      <c r="BI21" s="52">
        <f>'PC LIST'!Q200</f>
        <v>0</v>
      </c>
      <c r="BJ21" s="52" t="str">
        <f>'PC LIST'!J200</f>
        <v>NFI</v>
      </c>
      <c r="BK21" s="52">
        <f>'PC LIST'!BW200</f>
        <v>1</v>
      </c>
      <c r="BL21" s="52" t="str">
        <f>'PC LIST'!B234</f>
        <v>PR14SRNWSWW_9</v>
      </c>
      <c r="BM21" s="52" t="str">
        <f>'PC LIST'!I234</f>
        <v>9: Bathing waters with ‘excellent’ water quality (part 2)</v>
      </c>
      <c r="BN21" s="52" t="str">
        <f>'PC LIST'!O234</f>
        <v>nr</v>
      </c>
      <c r="BO21" s="52" t="str">
        <f>'PC LIST'!P234</f>
        <v>No. of bathing waters</v>
      </c>
      <c r="BP21" s="52">
        <f>'PC LIST'!Q234</f>
        <v>0</v>
      </c>
      <c r="BQ21" s="52" t="str">
        <f>'PC LIST'!J234</f>
        <v>Out &amp; under</v>
      </c>
      <c r="BR21" s="52">
        <f>'PC LIST'!BW234</f>
        <v>0</v>
      </c>
      <c r="BU21" s="47"/>
      <c r="BV21" s="47"/>
      <c r="BW21" s="47"/>
      <c r="BX21" s="47"/>
      <c r="BY21" s="47"/>
      <c r="BZ21" s="52" t="str">
        <f>'PC LIST'!B282</f>
        <v>PR14SVTWSW_W-C1</v>
      </c>
      <c r="CA21" s="52" t="str">
        <f>'PC LIST'!I282</f>
        <v>W-C1: Customers rating our services as good value for money (based on tracker survey)</v>
      </c>
      <c r="CB21" s="52" t="str">
        <f>'PC LIST'!O282</f>
        <v>%</v>
      </c>
      <c r="CC21" s="52" t="str">
        <f>'PC LIST'!P282</f>
        <v>% customer satisfaction</v>
      </c>
      <c r="CD21" s="52">
        <f>'PC LIST'!Q282</f>
        <v>0</v>
      </c>
      <c r="CE21" s="52" t="str">
        <f>'PC LIST'!J282</f>
        <v>Out &amp; under</v>
      </c>
      <c r="CF21" s="611">
        <f>'PC LIST'!BW282</f>
        <v>58</v>
      </c>
      <c r="CG21" s="52" t="str">
        <f>'PC LIST'!B327</f>
        <v>PR14SWTWSW_W-E6</v>
      </c>
      <c r="CH21" s="54" t="str">
        <f>'PC LIST'!I327</f>
        <v>W-E6: Operational carbon emissions (ktCO2e)</v>
      </c>
      <c r="CI21" s="54" t="str">
        <f>'PC LIST'!O327</f>
        <v>nr</v>
      </c>
      <c r="CJ21" s="54" t="str">
        <f>'PC LIST'!P327</f>
        <v>ktCO2e</v>
      </c>
      <c r="CK21" s="52">
        <f>'PC LIST'!Q327</f>
        <v>1</v>
      </c>
      <c r="CL21" s="52" t="str">
        <f>'PC LIST'!J327</f>
        <v>NFI</v>
      </c>
      <c r="CM21" s="610">
        <f>'PC LIST'!BW327</f>
        <v>67.2</v>
      </c>
      <c r="CN21" s="52" t="str">
        <f>'PC LIST'!B369</f>
        <v>PR14TMSWSW_WD1</v>
      </c>
      <c r="CO21" s="52" t="str">
        <f>'PC LIST'!I369</f>
        <v>WD1: Energy imported less energy exported</v>
      </c>
      <c r="CP21" s="52" t="str">
        <f>'PC LIST'!O369</f>
        <v>nr</v>
      </c>
      <c r="CQ21" s="52" t="str">
        <f>'PC LIST'!P369</f>
        <v>GWh (gigawatt-hours)</v>
      </c>
      <c r="CR21" s="52">
        <f>'PC LIST'!Q369</f>
        <v>0</v>
      </c>
      <c r="CS21" s="52" t="str">
        <f>'PC LIST'!J369</f>
        <v>NFI</v>
      </c>
      <c r="CT21" s="52">
        <f>'PC LIST'!BW369</f>
        <v>490.5</v>
      </c>
      <c r="CU21" s="52" t="str">
        <f>'PC LIST'!B424</f>
        <v>PR14UUWSWW_S-D2</v>
      </c>
      <c r="CV21" s="52" t="str">
        <f>'PC LIST'!I424</f>
        <v>S-D2: Maintaining our wastewater treatment works (includes Oldham and Royton WwTWs special cost factor claims)</v>
      </c>
      <c r="CW21" s="52" t="str">
        <f>'PC LIST'!O424</f>
        <v>score</v>
      </c>
      <c r="CX21" s="52" t="str">
        <f>'PC LIST'!P424</f>
        <v>Maintaining WwTWs index (UU bespoke)</v>
      </c>
      <c r="CY21" s="52">
        <f>'PC LIST'!Q424</f>
        <v>4</v>
      </c>
      <c r="CZ21" s="52" t="str">
        <f>'PC LIST'!J424</f>
        <v>Under</v>
      </c>
      <c r="DA21" s="52">
        <f>'PC LIST'!BW424</f>
        <v>58.708199999999998</v>
      </c>
      <c r="DB21" s="52" t="str">
        <f>'PC LIST'!B451</f>
        <v>PR14WSHWSWW_D3</v>
      </c>
      <c r="DC21" s="52" t="str">
        <f>'PC LIST'!I451</f>
        <v>D3: Internal sewer flooding - properties flooded in the year</v>
      </c>
      <c r="DD21" s="52" t="str">
        <f>'PC LIST'!O451</f>
        <v>nr</v>
      </c>
      <c r="DE21" s="52" t="str">
        <f>'PC LIST'!P451</f>
        <v>No. of properties subjected to internal sewer flooding</v>
      </c>
      <c r="DF21" s="52">
        <f>'PC LIST'!Q451</f>
        <v>0</v>
      </c>
      <c r="DG21" s="52" t="str">
        <f>'PC LIST'!J451</f>
        <v>Out &amp; under</v>
      </c>
      <c r="DH21" s="610">
        <f>'PC LIST'!BW451</f>
        <v>242</v>
      </c>
      <c r="DI21" s="52" t="str">
        <f>'PC LIST'!B482</f>
        <v>PR14WSXWSWW_C2</v>
      </c>
      <c r="DJ21" s="52" t="str">
        <f>'PC LIST'!I482</f>
        <v>C2: Risk of flooding from public sewers due to hydraulic inadequacy</v>
      </c>
      <c r="DK21" s="52" t="str">
        <f>'PC LIST'!O482</f>
        <v>nr</v>
      </c>
      <c r="DL21" s="52" t="str">
        <f>'PC LIST'!P482</f>
        <v>Flooding risk as measured by sewer flooding risk grid</v>
      </c>
      <c r="DM21" s="52">
        <f>'PC LIST'!Q482</f>
        <v>0</v>
      </c>
      <c r="DN21" s="52" t="str">
        <f>'PC LIST'!J482</f>
        <v>Out &amp; under</v>
      </c>
      <c r="DO21" s="52">
        <f>'PC LIST'!BW482</f>
        <v>51125</v>
      </c>
      <c r="DP21" s="52" t="str">
        <f>'PC LIST'!B514</f>
        <v>PR14YKYWSWW_SA4</v>
      </c>
      <c r="DQ21" s="52" t="str">
        <f>'PC LIST'!I514</f>
        <v>SA4: Sewer network stability and reliability factor</v>
      </c>
      <c r="DR21" s="52" t="str">
        <f>'PC LIST'!O514</f>
        <v>category</v>
      </c>
      <c r="DS21" s="52" t="str">
        <f>'PC LIST'!P514</f>
        <v>Asset health indicator</v>
      </c>
      <c r="DT21" s="52" t="str">
        <f>'PC LIST'!Q514</f>
        <v>na</v>
      </c>
      <c r="DU21" s="52" t="str">
        <f>'PC LIST'!J514</f>
        <v>Under</v>
      </c>
      <c r="DV21" s="52" t="str">
        <f>'PC LIST'!BW514</f>
        <v xml:space="preserve">Stable </v>
      </c>
    </row>
    <row r="22" spans="8:126" ht="15.75" customHeight="1">
      <c r="H22" s="52" t="str">
        <f>'PC LIST'!B35</f>
        <v>PR14ANHWSWW_S-A3</v>
      </c>
      <c r="I22" s="52" t="str">
        <f>'PC LIST'!I35</f>
        <v>S-A3: Properties flooded externally from sewers - three-year average (reduction)</v>
      </c>
      <c r="J22" s="52" t="str">
        <f>'PC LIST'!O35</f>
        <v>nr</v>
      </c>
      <c r="K22" s="52" t="str">
        <f>'PC LIST'!P35</f>
        <v>No. of properties flooded externally (reduction)</v>
      </c>
      <c r="L22" s="52">
        <f>'PC LIST'!Q35</f>
        <v>0</v>
      </c>
      <c r="M22" s="52" t="str">
        <f>'PC LIST'!J35</f>
        <v>Under</v>
      </c>
      <c r="N22" s="610">
        <f>'PC LIST'!BW35</f>
        <v>717</v>
      </c>
      <c r="O22" s="52" t="str">
        <f>'PC LIST'!B74</f>
        <v>PR14BRLHHR_K1</v>
      </c>
      <c r="P22" s="52" t="str">
        <f>'PC LIST'!I74</f>
        <v>K1: Ease of contact from surveys</v>
      </c>
      <c r="Q22" s="52" t="str">
        <f>'PC LIST'!O74</f>
        <v>%</v>
      </c>
      <c r="R22" s="52" t="str">
        <f>'PC LIST'!P74</f>
        <v>% customer satisfaction</v>
      </c>
      <c r="S22" s="52">
        <f>'PC LIST'!Q74</f>
        <v>1</v>
      </c>
      <c r="T22" s="52" t="str">
        <f>'PC LIST'!J74</f>
        <v>NFI</v>
      </c>
      <c r="U22" s="610">
        <f>'PC LIST'!BW74</f>
        <v>94.4</v>
      </c>
      <c r="AC22" s="52" t="str">
        <f>'PC LIST'!B108</f>
        <v>PR14NESWSWW_S-B4</v>
      </c>
      <c r="AD22" s="53" t="str">
        <f>'PC LIST'!I108</f>
        <v>S-B4: Sewer collapses (3-year average)</v>
      </c>
      <c r="AE22" s="53" t="str">
        <f>'PC LIST'!O108</f>
        <v>nr</v>
      </c>
      <c r="AF22" s="53" t="str">
        <f>'PC LIST'!P108</f>
        <v>No. of sewer collapses per year - excluding TDSs</v>
      </c>
      <c r="AG22" s="52">
        <f>'PC LIST'!Q108</f>
        <v>0</v>
      </c>
      <c r="AH22" s="52" t="str">
        <f>'PC LIST'!J108</f>
        <v>Under</v>
      </c>
      <c r="AI22" s="52">
        <f>'PC LIST'!BW108</f>
        <v>49</v>
      </c>
      <c r="AX22" s="52" t="str">
        <f>'PC LIST'!B180</f>
        <v>PR14SESHHR_D2</v>
      </c>
      <c r="AY22" s="52" t="str">
        <f>'PC LIST'!I180</f>
        <v>D2: Service incentive mechanism (SIM)</v>
      </c>
      <c r="AZ22" s="52" t="str">
        <f>'PC LIST'!O180</f>
        <v>score</v>
      </c>
      <c r="BA22" s="52" t="str">
        <f>'PC LIST'!P180</f>
        <v>Service incentive mechanism (SIM) score</v>
      </c>
      <c r="BB22" s="52">
        <f>'PC LIST'!Q180</f>
        <v>1</v>
      </c>
      <c r="BC22" s="52" t="str">
        <f>'PC LIST'!J180</f>
        <v>Out &amp; under</v>
      </c>
      <c r="BD22" s="611">
        <f>'PC LIST'!BW180</f>
        <v>79.599999999999994</v>
      </c>
      <c r="BE22" s="52" t="str">
        <f>'PC LIST'!B201</f>
        <v>PR14SEWWSW_N1</v>
      </c>
      <c r="BF22" s="52" t="str">
        <f>'PC LIST'!I201</f>
        <v>N1: Discolouration contacts</v>
      </c>
      <c r="BG22" s="52" t="str">
        <f>'PC LIST'!O201</f>
        <v>nr</v>
      </c>
      <c r="BH22" s="52" t="str">
        <f>'PC LIST'!P201</f>
        <v>No. per 1,000 population</v>
      </c>
      <c r="BI22" s="52">
        <f>'PC LIST'!Q201</f>
        <v>2</v>
      </c>
      <c r="BJ22" s="52" t="str">
        <f>'PC LIST'!J201</f>
        <v>Out &amp; under</v>
      </c>
      <c r="BK22" s="52">
        <f>'PC LIST'!BW201</f>
        <v>0.96</v>
      </c>
      <c r="BL22" s="52" t="str">
        <f>'PC LIST'!B235</f>
        <v>PR14SRNWSWW_10</v>
      </c>
      <c r="BM22" s="52" t="str">
        <f>'PC LIST'!I235</f>
        <v>10: Bathing waters with ‘excellent’ water quality (part 3)</v>
      </c>
      <c r="BN22" s="52" t="str">
        <f>'PC LIST'!O235</f>
        <v>£m</v>
      </c>
      <c r="BO22" s="52" t="str">
        <f>'PC LIST'!P235</f>
        <v>£ million estimated scheme costs</v>
      </c>
      <c r="BP22" s="52">
        <f>'PC LIST'!Q235</f>
        <v>1</v>
      </c>
      <c r="BQ22" s="52" t="str">
        <f>'PC LIST'!J235</f>
        <v>Under</v>
      </c>
      <c r="BR22" s="52" t="str">
        <f>'PC LIST'!BW235</f>
        <v>N/A</v>
      </c>
      <c r="BU22" s="47"/>
      <c r="BV22" s="47"/>
      <c r="BW22" s="47"/>
      <c r="BX22" s="47"/>
      <c r="BY22" s="47"/>
      <c r="BZ22" s="52" t="str">
        <f>'PC LIST'!B283</f>
        <v>PR14SVTWSW_W-D1</v>
      </c>
      <c r="CA22" s="52" t="str">
        <f>'PC LIST'!I283</f>
        <v>W-D1: Improvements in river water quality against WFD criteria</v>
      </c>
      <c r="CB22" s="52" t="str">
        <f>'PC LIST'!O283</f>
        <v>nr</v>
      </c>
      <c r="CC22" s="52" t="str">
        <f>'PC LIST'!P283</f>
        <v>No. WFD classification improvements</v>
      </c>
      <c r="CD22" s="52">
        <f>'PC LIST'!Q283</f>
        <v>0</v>
      </c>
      <c r="CE22" s="52" t="str">
        <f>'PC LIST'!J283</f>
        <v>Out &amp; under</v>
      </c>
      <c r="CF22" s="611">
        <f>'PC LIST'!BW283</f>
        <v>7</v>
      </c>
      <c r="CG22" s="52" t="str">
        <f>'PC LIST'!B328</f>
        <v>PR14SWTWSW_W-E7</v>
      </c>
      <c r="CH22" s="54" t="str">
        <f>'PC LIST'!I328</f>
        <v>W-E7: Energy from renewable sources (%)</v>
      </c>
      <c r="CI22" s="54" t="str">
        <f>'PC LIST'!O328</f>
        <v>%</v>
      </c>
      <c r="CJ22" s="54" t="str">
        <f>'PC LIST'!P328</f>
        <v>% energy from renewable sources</v>
      </c>
      <c r="CK22" s="52">
        <f>'PC LIST'!Q328</f>
        <v>2</v>
      </c>
      <c r="CL22" s="52" t="str">
        <f>'PC LIST'!J328</f>
        <v>NFI</v>
      </c>
      <c r="CM22" s="610">
        <f>'PC LIST'!BW328</f>
        <v>5.61</v>
      </c>
      <c r="CN22" s="52" t="str">
        <f>'PC LIST'!B370</f>
        <v>PR14TMSWSWW_SA1</v>
      </c>
      <c r="CO22" s="52" t="str">
        <f>'PC LIST'!I370</f>
        <v>SA1: Improve handling of written complaints by increasing first time resolution</v>
      </c>
      <c r="CP22" s="52" t="str">
        <f>'PC LIST'!O370</f>
        <v>%</v>
      </c>
      <c r="CQ22" s="52" t="str">
        <f>'PC LIST'!P370</f>
        <v>% written complaints resolved 1st time</v>
      </c>
      <c r="CR22" s="52">
        <f>'PC LIST'!Q370</f>
        <v>0</v>
      </c>
      <c r="CS22" s="52" t="str">
        <f>'PC LIST'!J370</f>
        <v>NFI</v>
      </c>
      <c r="CT22" s="52">
        <f>'PC LIST'!BW370</f>
        <v>93.49</v>
      </c>
      <c r="CU22" s="52" t="str">
        <f>'PC LIST'!B425</f>
        <v>PR14UUWSWW_S-D3</v>
      </c>
      <c r="CV22" s="52" t="str">
        <f>'PC LIST'!I425</f>
        <v>S-D3: Contribution to rivers improved - wastewater programme (includes Oldham, Royton and Windermere)</v>
      </c>
      <c r="CW22" s="52" t="str">
        <f>'PC LIST'!O425</f>
        <v>nr</v>
      </c>
      <c r="CX22" s="52" t="str">
        <f>'PC LIST'!P425</f>
        <v>Kilometres (km) of river improved (cumulative)</v>
      </c>
      <c r="CY22" s="52">
        <f>'PC LIST'!Q425</f>
        <v>2</v>
      </c>
      <c r="CZ22" s="52" t="str">
        <f>'PC LIST'!J425</f>
        <v>Out &amp; under</v>
      </c>
      <c r="DA22" s="52">
        <f>'PC LIST'!BW425</f>
        <v>45.62</v>
      </c>
      <c r="DB22" s="52" t="str">
        <f>'PC LIST'!B452</f>
        <v>PR14WSHWSWW_D5</v>
      </c>
      <c r="DC22" s="52" t="str">
        <f>'PC LIST'!I452</f>
        <v>D5: Earning the trust of customers  - % of customers surveyed that say they trust the company</v>
      </c>
      <c r="DD22" s="52" t="str">
        <f>'PC LIST'!O452</f>
        <v>%</v>
      </c>
      <c r="DE22" s="52" t="str">
        <f>'PC LIST'!P452</f>
        <v>% customer satisfaction</v>
      </c>
      <c r="DF22" s="52">
        <f>'PC LIST'!Q452</f>
        <v>0</v>
      </c>
      <c r="DG22" s="52" t="str">
        <f>'PC LIST'!J452</f>
        <v>NFI</v>
      </c>
      <c r="DH22" s="610">
        <f>'PC LIST'!BW452</f>
        <v>85</v>
      </c>
      <c r="DI22" s="52" t="str">
        <f>'PC LIST'!B483</f>
        <v>PR14WSXWSWW_C3a</v>
      </c>
      <c r="DJ22" s="52" t="str">
        <f>'PC LIST'!I483</f>
        <v>C3a: North Bristol Sewer Scheme - Frome catchment</v>
      </c>
      <c r="DK22" s="52" t="str">
        <f>'PC LIST'!O483</f>
        <v>text</v>
      </c>
      <c r="DL22" s="52" t="str">
        <f>'PC LIST'!P483</f>
        <v>Scheme delivery - Frome catchment</v>
      </c>
      <c r="DM22" s="52" t="str">
        <f>'PC LIST'!Q483</f>
        <v>na</v>
      </c>
      <c r="DN22" s="52" t="str">
        <f>'PC LIST'!J483</f>
        <v>Under</v>
      </c>
      <c r="DO22" s="52" t="str">
        <f>'PC LIST'!BW483</f>
        <v>-</v>
      </c>
      <c r="DP22" s="52" t="str">
        <f>'PC LIST'!B515</f>
        <v>PR14YKYWSWW_SB1</v>
      </c>
      <c r="DQ22" s="52" t="str">
        <f>'PC LIST'!I515</f>
        <v>SB1: Number of Yorkshire's designated bathing waters that exceed the required quality standard</v>
      </c>
      <c r="DR22" s="52" t="str">
        <f>'PC LIST'!O515</f>
        <v>nr</v>
      </c>
      <c r="DS22" s="52" t="str">
        <f>'PC LIST'!P515</f>
        <v>No. of bathing waters exceeding required standard</v>
      </c>
      <c r="DT22" s="52">
        <f>'PC LIST'!Q515</f>
        <v>0</v>
      </c>
      <c r="DU22" s="52" t="str">
        <f>'PC LIST'!J515</f>
        <v>NFI</v>
      </c>
      <c r="DV22" s="52">
        <f>'PC LIST'!BW515</f>
        <v>17</v>
      </c>
    </row>
    <row r="23" spans="8:126" ht="15.75" customHeight="1">
      <c r="H23" s="52" t="str">
        <f>'PC LIST'!B36</f>
        <v>PR14ANHWSWW_S-A4</v>
      </c>
      <c r="I23" s="52" t="str">
        <f>'PC LIST'!I36</f>
        <v>S-A4: Percentage of sewerage capacity schemes incorporating sustainable solutions</v>
      </c>
      <c r="J23" s="52" t="str">
        <f>'PC LIST'!O36</f>
        <v>%</v>
      </c>
      <c r="K23" s="52" t="str">
        <f>'PC LIST'!P36</f>
        <v>% sustainable sewerage capacity schemes</v>
      </c>
      <c r="L23" s="52">
        <f>'PC LIST'!Q36</f>
        <v>0</v>
      </c>
      <c r="M23" s="52" t="str">
        <f>'PC LIST'!J36</f>
        <v>NFI</v>
      </c>
      <c r="N23" s="610">
        <f>'PC LIST'!BW36</f>
        <v>25</v>
      </c>
      <c r="O23" s="52" t="str">
        <f>'PC LIST'!B75</f>
        <v>PR14BRLHHR_L1</v>
      </c>
      <c r="P23" s="52" t="str">
        <f>'PC LIST'!I75</f>
        <v>L1: Negative billing contacts</v>
      </c>
      <c r="Q23" s="52" t="str">
        <f>'PC LIST'!O75</f>
        <v>nr</v>
      </c>
      <c r="R23" s="52" t="str">
        <f>'PC LIST'!P75</f>
        <v>No. of contacts per year</v>
      </c>
      <c r="S23" s="52">
        <f>'PC LIST'!Q75</f>
        <v>0</v>
      </c>
      <c r="T23" s="52" t="str">
        <f>'PC LIST'!J75</f>
        <v>NFI</v>
      </c>
      <c r="U23" s="610">
        <f>'PC LIST'!BW75</f>
        <v>3096</v>
      </c>
      <c r="AC23" s="52" t="str">
        <f>'PC LIST'!B109</f>
        <v>PR14NESWSWW_S-B5</v>
      </c>
      <c r="AD23" s="53" t="str">
        <f>'PC LIST'!I109</f>
        <v>S-B5: Transferred drains and sewers - internal sewer flooding</v>
      </c>
      <c r="AE23" s="53" t="str">
        <f>'PC LIST'!O109</f>
        <v>nr</v>
      </c>
      <c r="AF23" s="53" t="str">
        <f>'PC LIST'!P109</f>
        <v>No. of properties per year</v>
      </c>
      <c r="AG23" s="52">
        <f>'PC LIST'!Q109</f>
        <v>0</v>
      </c>
      <c r="AH23" s="52" t="str">
        <f>'PC LIST'!J109</f>
        <v>Out &amp; under</v>
      </c>
      <c r="AI23" s="52">
        <f>'PC LIST'!BW109</f>
        <v>215</v>
      </c>
      <c r="AX23" s="52" t="str">
        <f>'PC LIST'!B181</f>
        <v>PR14SESHHR_D3</v>
      </c>
      <c r="AY23" s="52" t="str">
        <f>'PC LIST'!I181</f>
        <v>D3: Total number of complaints</v>
      </c>
      <c r="AZ23" s="52" t="str">
        <f>'PC LIST'!O181</f>
        <v>nr</v>
      </c>
      <c r="BA23" s="52" t="str">
        <f>'PC LIST'!P181</f>
        <v>No. per 1,000 billed properties</v>
      </c>
      <c r="BB23" s="52">
        <f>'PC LIST'!Q181</f>
        <v>1</v>
      </c>
      <c r="BC23" s="52" t="str">
        <f>'PC LIST'!J181</f>
        <v>NFI</v>
      </c>
      <c r="BD23" s="611">
        <f>'PC LIST'!BW181</f>
        <v>11.3</v>
      </c>
      <c r="BE23" s="52" t="str">
        <f>'PC LIST'!B202</f>
        <v>PR14SEWWSW_N2</v>
      </c>
      <c r="BF23" s="52" t="str">
        <f>'PC LIST'!I202</f>
        <v>N2: Above ground asset performance assessment</v>
      </c>
      <c r="BG23" s="52" t="str">
        <f>'PC LIST'!O202</f>
        <v>category</v>
      </c>
      <c r="BH23" s="52" t="str">
        <f>'PC LIST'!P202</f>
        <v>Asset health indicator</v>
      </c>
      <c r="BI23" s="52" t="str">
        <f>'PC LIST'!Q202</f>
        <v>na</v>
      </c>
      <c r="BJ23" s="52" t="str">
        <f>'PC LIST'!J202</f>
        <v>Under</v>
      </c>
      <c r="BK23" s="52" t="str">
        <f>'PC LIST'!BW202</f>
        <v>Stable</v>
      </c>
      <c r="BL23" s="52" t="str">
        <f>'PC LIST'!B236</f>
        <v>PR14SRNWSWW_11</v>
      </c>
      <c r="BM23" s="52" t="str">
        <f>'PC LIST'!I236</f>
        <v>11: Serious pollution incidents (category 1 and 2 pollution incidents, as reported by the EA on MD109)</v>
      </c>
      <c r="BN23" s="52" t="str">
        <f>'PC LIST'!O236</f>
        <v>nr</v>
      </c>
      <c r="BO23" s="52" t="str">
        <f>'PC LIST'!P236</f>
        <v>No. of pollution incidents (cats 1 and 2)</v>
      </c>
      <c r="BP23" s="52">
        <f>'PC LIST'!Q236</f>
        <v>0</v>
      </c>
      <c r="BQ23" s="52" t="str">
        <f>'PC LIST'!J236</f>
        <v>NFI</v>
      </c>
      <c r="BR23" s="52">
        <f>'PC LIST'!BW236</f>
        <v>3</v>
      </c>
      <c r="BZ23" s="52" t="str">
        <f>'PC LIST'!B284</f>
        <v>PR14SVTWSW_W-D2</v>
      </c>
      <c r="CA23" s="52" t="str">
        <f>'PC LIST'!I284</f>
        <v>W-D2: Asset stewardship - environmental compliance</v>
      </c>
      <c r="CB23" s="52" t="str">
        <f>'PC LIST'!O284</f>
        <v>%</v>
      </c>
      <c r="CC23" s="52" t="str">
        <f>'PC LIST'!P284</f>
        <v>% environmental compliance</v>
      </c>
      <c r="CD23" s="52">
        <f>'PC LIST'!Q284</f>
        <v>0</v>
      </c>
      <c r="CE23" s="52" t="str">
        <f>'PC LIST'!J284</f>
        <v>NFI</v>
      </c>
      <c r="CF23" s="611">
        <f>'PC LIST'!BW284</f>
        <v>97.988160870777804</v>
      </c>
      <c r="CG23" s="52" t="str">
        <f>'PC LIST'!B329</f>
        <v>PR14SWTWSW_W-F1</v>
      </c>
      <c r="CH23" s="54" t="str">
        <f>'PC LIST'!I329</f>
        <v>W-F1: Customers paying a metered bill</v>
      </c>
      <c r="CI23" s="54" t="str">
        <f>'PC LIST'!O329</f>
        <v>%</v>
      </c>
      <c r="CJ23" s="54" t="str">
        <f>'PC LIST'!P329</f>
        <v>% domestic customers with metered bill</v>
      </c>
      <c r="CK23" s="52">
        <f>'PC LIST'!Q329</f>
        <v>1</v>
      </c>
      <c r="CL23" s="52" t="str">
        <f>'PC LIST'!J329</f>
        <v>Under</v>
      </c>
      <c r="CM23" s="610">
        <f>'PC LIST'!BW329</f>
        <v>80.8</v>
      </c>
      <c r="CN23" s="52" t="str">
        <f>'PC LIST'!B371</f>
        <v>PR14TMSWSWW_SA2</v>
      </c>
      <c r="CO23" s="52" t="str">
        <f>'PC LIST'!I371</f>
        <v>SA2: Number of written complaints per 10,000 connected properties</v>
      </c>
      <c r="CP23" s="52" t="str">
        <f>'PC LIST'!O371</f>
        <v>nr</v>
      </c>
      <c r="CQ23" s="52" t="str">
        <f>'PC LIST'!P371</f>
        <v>No. written complaints / 10,000 properties</v>
      </c>
      <c r="CR23" s="52">
        <f>'PC LIST'!Q371</f>
        <v>2</v>
      </c>
      <c r="CS23" s="52" t="str">
        <f>'PC LIST'!J371</f>
        <v>NFI</v>
      </c>
      <c r="CT23" s="52">
        <f>'PC LIST'!BW371</f>
        <v>6.2140513602011351</v>
      </c>
      <c r="CU23" s="52" t="str">
        <f>'PC LIST'!B426</f>
        <v>PR14UUWSWW_S-D4a</v>
      </c>
      <c r="CV23" s="52" t="str">
        <f>'PC LIST'!I426</f>
        <v>S-D4a: Wastewater serious (category 1 and 2) pollution incidents</v>
      </c>
      <c r="CW23" s="52" t="str">
        <f>'PC LIST'!O426</f>
        <v>nr</v>
      </c>
      <c r="CX23" s="52" t="str">
        <f>'PC LIST'!P426</f>
        <v>No. of pollution incidents (cats 1 and 2)</v>
      </c>
      <c r="CY23" s="52">
        <f>'PC LIST'!Q426</f>
        <v>0</v>
      </c>
      <c r="CZ23" s="52" t="str">
        <f>'PC LIST'!J426</f>
        <v>Under</v>
      </c>
      <c r="DA23" s="52">
        <f>'PC LIST'!BW426</f>
        <v>2</v>
      </c>
      <c r="DB23" s="52" t="str">
        <f>'PC LIST'!B453</f>
        <v>PR14WSHWSWW_E1</v>
      </c>
      <c r="DC23" s="52" t="str">
        <f>'PC LIST'!I453</f>
        <v>E1: Affordable bills - annual increase</v>
      </c>
      <c r="DD23" s="52" t="str">
        <f>'PC LIST'!O453</f>
        <v>%</v>
      </c>
      <c r="DE23" s="52" t="str">
        <f>'PC LIST'!P453</f>
        <v>% above or below inflation (affordability of bills)</v>
      </c>
      <c r="DF23" s="52">
        <f>'PC LIST'!Q453</f>
        <v>0</v>
      </c>
      <c r="DG23" s="52" t="str">
        <f>'PC LIST'!J453</f>
        <v>NFI</v>
      </c>
      <c r="DH23" s="610">
        <f>'PC LIST'!BW453</f>
        <v>-1</v>
      </c>
      <c r="DI23" s="52" t="str">
        <f>'PC LIST'!B484</f>
        <v>PR14WSXWSWW_C3b</v>
      </c>
      <c r="DJ23" s="52" t="str">
        <f>'PC LIST'!I484</f>
        <v>C3b: North Bristol Sewer Scheme - Trym catchment</v>
      </c>
      <c r="DK23" s="52" t="str">
        <f>'PC LIST'!O484</f>
        <v>text</v>
      </c>
      <c r="DL23" s="52" t="str">
        <f>'PC LIST'!P484</f>
        <v>Scheme delivery - Trym catchment</v>
      </c>
      <c r="DM23" s="52" t="str">
        <f>'PC LIST'!Q484</f>
        <v>na</v>
      </c>
      <c r="DN23" s="52" t="str">
        <f>'PC LIST'!J484</f>
        <v>Under</v>
      </c>
      <c r="DO23" s="52" t="str">
        <f>'PC LIST'!BW484</f>
        <v>-</v>
      </c>
      <c r="DP23" s="52" t="str">
        <f>'PC LIST'!B516</f>
        <v>PR14YKYWSWW_SB2</v>
      </c>
      <c r="DQ23" s="52" t="str">
        <f>'PC LIST'!I516</f>
        <v>SB2: Wastewater quality stability and reliability factor</v>
      </c>
      <c r="DR23" s="52" t="str">
        <f>'PC LIST'!O516</f>
        <v>category</v>
      </c>
      <c r="DS23" s="52" t="str">
        <f>'PC LIST'!P516</f>
        <v>Asset health indicator</v>
      </c>
      <c r="DT23" s="52" t="str">
        <f>'PC LIST'!Q516</f>
        <v>na</v>
      </c>
      <c r="DU23" s="52" t="str">
        <f>'PC LIST'!J516</f>
        <v>Under</v>
      </c>
      <c r="DV23" s="52" t="str">
        <f>'PC LIST'!BW516</f>
        <v xml:space="preserve">Stable </v>
      </c>
    </row>
    <row r="24" spans="8:126" ht="15.75" customHeight="1">
      <c r="H24" s="52" t="str">
        <f>'PC LIST'!B37</f>
        <v>PR14ANHWSWW_S-B1</v>
      </c>
      <c r="I24" s="52" t="str">
        <f>'PC LIST'!I37</f>
        <v>S-B1: Value for money perception variation from baseline against WaSCs (wastewater)</v>
      </c>
      <c r="J24" s="52" t="str">
        <f>'PC LIST'!O37</f>
        <v>%</v>
      </c>
      <c r="K24" s="52" t="str">
        <f>'PC LIST'!P37</f>
        <v>% variation from WaSC baseline</v>
      </c>
      <c r="L24" s="52">
        <f>'PC LIST'!Q37</f>
        <v>0</v>
      </c>
      <c r="M24" s="52" t="str">
        <f>'PC LIST'!J37</f>
        <v>Out &amp; under</v>
      </c>
      <c r="N24" s="610">
        <f>'PC LIST'!BW37</f>
        <v>1</v>
      </c>
      <c r="O24" s="52"/>
      <c r="P24" s="52"/>
      <c r="Q24" s="52"/>
      <c r="R24" s="52"/>
      <c r="T24" s="52"/>
      <c r="U24" s="52"/>
      <c r="AC24" s="52" t="str">
        <f>'PC LIST'!B110</f>
        <v>PR14NESWSWW_S-B6</v>
      </c>
      <c r="AD24" s="53" t="str">
        <f>'PC LIST'!I110</f>
        <v>S-B6: Transferred drains and sewers - external sewer flooding</v>
      </c>
      <c r="AE24" s="53" t="str">
        <f>'PC LIST'!O110</f>
        <v>nr</v>
      </c>
      <c r="AF24" s="53" t="str">
        <f>'PC LIST'!P110</f>
        <v>No. of properties per year</v>
      </c>
      <c r="AG24" s="52">
        <f>'PC LIST'!Q110</f>
        <v>0</v>
      </c>
      <c r="AH24" s="52" t="str">
        <f>'PC LIST'!J110</f>
        <v>Out &amp; under</v>
      </c>
      <c r="AI24" s="52">
        <f>'PC LIST'!BW110</f>
        <v>2730</v>
      </c>
      <c r="AX24" s="52"/>
      <c r="AY24" s="52"/>
      <c r="AZ24" s="52"/>
      <c r="BA24" s="52"/>
      <c r="BE24" s="52" t="str">
        <f>'PC LIST'!B203</f>
        <v>PR14SEWWSW_N3</v>
      </c>
      <c r="BF24" s="52" t="str">
        <f>'PC LIST'!I203</f>
        <v>N3: Number of company sites at risk of flooding</v>
      </c>
      <c r="BG24" s="52" t="str">
        <f>'PC LIST'!O203</f>
        <v>nr</v>
      </c>
      <c r="BH24" s="52" t="str">
        <f>'PC LIST'!P203</f>
        <v>No. of SEW sites at risk of flooding</v>
      </c>
      <c r="BI24" s="52">
        <f>'PC LIST'!Q203</f>
        <v>0</v>
      </c>
      <c r="BJ24" s="52" t="str">
        <f>'PC LIST'!J203</f>
        <v>NFI</v>
      </c>
      <c r="BK24" s="52">
        <f>'PC LIST'!BW203</f>
        <v>33</v>
      </c>
      <c r="BL24" s="52" t="str">
        <f>'PC LIST'!B237</f>
        <v>PR14SRNWSWW_12</v>
      </c>
      <c r="BM24" s="52" t="str">
        <f>'PC LIST'!I237</f>
        <v>12: Avoiding blocked drains</v>
      </c>
      <c r="BN24" s="52" t="str">
        <f>'PC LIST'!O237</f>
        <v>%</v>
      </c>
      <c r="BO24" s="52" t="str">
        <f>'PC LIST'!P237</f>
        <v>% customers aware of avoidance measures</v>
      </c>
      <c r="BP24" s="52">
        <f>'PC LIST'!Q237</f>
        <v>0</v>
      </c>
      <c r="BQ24" s="52" t="str">
        <f>'PC LIST'!J237</f>
        <v>NFI</v>
      </c>
      <c r="BR24" s="52">
        <f>'PC LIST'!BW237</f>
        <v>79</v>
      </c>
      <c r="BZ24" s="52" t="str">
        <f>'PC LIST'!B285</f>
        <v>PR14SVTWSW_W-D3</v>
      </c>
      <c r="CA24" s="52" t="str">
        <f>'PC LIST'!I285</f>
        <v>W-D3: Biodiversity</v>
      </c>
      <c r="CB24" s="52" t="str">
        <f>'PC LIST'!O285</f>
        <v>nr</v>
      </c>
      <c r="CC24" s="52" t="str">
        <f>'PC LIST'!P285</f>
        <v>No. of hectares improved</v>
      </c>
      <c r="CD24" s="52">
        <f>'PC LIST'!Q285</f>
        <v>0</v>
      </c>
      <c r="CE24" s="52" t="str">
        <f>'PC LIST'!J285</f>
        <v>NFI</v>
      </c>
      <c r="CF24" s="611">
        <f>'PC LIST'!BW285</f>
        <v>293</v>
      </c>
      <c r="CG24" s="52" t="str">
        <f>'PC LIST'!B330</f>
        <v>PR14SWTWSWW_S-A1</v>
      </c>
      <c r="CH24" s="54" t="str">
        <f>'PC LIST'!I330</f>
        <v>S-A1: Internal sewer flooding incidents</v>
      </c>
      <c r="CI24" s="54" t="str">
        <f>'PC LIST'!O330</f>
        <v>nr</v>
      </c>
      <c r="CJ24" s="54" t="str">
        <f>'PC LIST'!P330</f>
        <v>No. of internal sewer flooding incidents</v>
      </c>
      <c r="CK24" s="52">
        <f>'PC LIST'!Q330</f>
        <v>0</v>
      </c>
      <c r="CL24" s="52" t="str">
        <f>'PC LIST'!J330</f>
        <v>Out &amp; under</v>
      </c>
      <c r="CM24" s="610">
        <f>'PC LIST'!BW330</f>
        <v>165</v>
      </c>
      <c r="CN24" s="52" t="str">
        <f>'PC LIST'!B372</f>
        <v>PR14TMSWSWW_SA3</v>
      </c>
      <c r="CO24" s="52" t="str">
        <f>'PC LIST'!I372</f>
        <v>SA3: Customer satisfaction surveys (internal CSAT monitor)</v>
      </c>
      <c r="CP24" s="52" t="str">
        <f>'PC LIST'!O372</f>
        <v>score</v>
      </c>
      <c r="CQ24" s="52" t="str">
        <f>'PC LIST'!P372</f>
        <v>TW internal Customer satisfaction score (mean score out of 5)</v>
      </c>
      <c r="CR24" s="52">
        <f>'PC LIST'!Q372</f>
        <v>2</v>
      </c>
      <c r="CS24" s="52" t="str">
        <f>'PC LIST'!J372</f>
        <v>NFI</v>
      </c>
      <c r="CT24" s="52">
        <f>'PC LIST'!BW372</f>
        <v>4.5690574498919911</v>
      </c>
      <c r="CU24" s="52" t="str">
        <f>'PC LIST'!B427</f>
        <v>PR14UUWSWW_S-D4b</v>
      </c>
      <c r="CV24" s="52" t="str">
        <f>'PC LIST'!I427</f>
        <v>S-D4b: Wastewater category 3 pollution incidents</v>
      </c>
      <c r="CW24" s="52" t="str">
        <f>'PC LIST'!O427</f>
        <v>nr</v>
      </c>
      <c r="CX24" s="52" t="str">
        <f>'PC LIST'!P427</f>
        <v>No. of pollution incidents (cat 3)</v>
      </c>
      <c r="CY24" s="52">
        <f>'PC LIST'!Q427</f>
        <v>0</v>
      </c>
      <c r="CZ24" s="52" t="str">
        <f>'PC LIST'!J427</f>
        <v>Out &amp; under</v>
      </c>
      <c r="DA24" s="52">
        <f>'PC LIST'!BW427</f>
        <v>150</v>
      </c>
      <c r="DB24" s="52" t="str">
        <f>'PC LIST'!B454</f>
        <v>PR14WSHWSWW_F1</v>
      </c>
      <c r="DC24" s="52" t="str">
        <f>'PC LIST'!I454</f>
        <v>F1: Asset serviceability</v>
      </c>
      <c r="DD24" s="52" t="str">
        <f>'PC LIST'!O454</f>
        <v>category</v>
      </c>
      <c r="DE24" s="52" t="str">
        <f>'PC LIST'!P454</f>
        <v>Asset health indicator</v>
      </c>
      <c r="DF24" s="52" t="str">
        <f>'PC LIST'!Q454</f>
        <v>na</v>
      </c>
      <c r="DG24" s="52" t="str">
        <f>'PC LIST'!J454</f>
        <v>Under</v>
      </c>
      <c r="DH24" s="610" t="str">
        <f>'PC LIST'!BW454</f>
        <v>Stable</v>
      </c>
      <c r="DI24" s="52" t="str">
        <f>'PC LIST'!B485</f>
        <v>PR14WSXWSWW_D1</v>
      </c>
      <c r="DJ24" s="52" t="str">
        <f>'PC LIST'!I485</f>
        <v>D1: Collapses and bursts on sewer network</v>
      </c>
      <c r="DK24" s="52" t="str">
        <f>'PC LIST'!O485</f>
        <v>nr</v>
      </c>
      <c r="DL24" s="52" t="str">
        <f>'PC LIST'!P485</f>
        <v>No. of sewer collapses and rising main bursts</v>
      </c>
      <c r="DM24" s="52">
        <f>'PC LIST'!Q485</f>
        <v>0</v>
      </c>
      <c r="DN24" s="52" t="str">
        <f>'PC LIST'!J485</f>
        <v>Under</v>
      </c>
      <c r="DO24" s="52">
        <f>'PC LIST'!BW485</f>
        <v>264</v>
      </c>
      <c r="DP24" s="52" t="str">
        <f>'PC LIST'!B517</f>
        <v>PR14YKYWSWW_SB3</v>
      </c>
      <c r="DQ24" s="52" t="str">
        <f>'PC LIST'!I517</f>
        <v>SB3: Solutions delivered by working with others (note: PC is part of a total commitment at Appointee level - see also WC2)</v>
      </c>
      <c r="DR24" s="52" t="str">
        <f>'PC LIST'!O517</f>
        <v>nr</v>
      </c>
      <c r="DS24" s="52" t="str">
        <f>'PC LIST'!P517</f>
        <v>No. of solutions delivered by working with others</v>
      </c>
      <c r="DT24" s="52">
        <f>'PC LIST'!Q517</f>
        <v>0</v>
      </c>
      <c r="DU24" s="52" t="str">
        <f>'PC LIST'!J517</f>
        <v>Out</v>
      </c>
      <c r="DV24" s="52">
        <f>'PC LIST'!BW517</f>
        <v>5</v>
      </c>
    </row>
    <row r="25" spans="8:126" ht="15.75" customHeight="1">
      <c r="H25" s="52" t="str">
        <f>'PC LIST'!B38</f>
        <v>PR14ANHWSWW_S-C1</v>
      </c>
      <c r="I25" s="52" t="str">
        <f>'PC LIST'!I38</f>
        <v>S-C1: Percentage of bathing waters attaining excellent status</v>
      </c>
      <c r="J25" s="52" t="str">
        <f>'PC LIST'!O38</f>
        <v>%</v>
      </c>
      <c r="K25" s="52" t="str">
        <f>'PC LIST'!P38</f>
        <v>% bathing waters - excellent status</v>
      </c>
      <c r="L25" s="52">
        <f>'PC LIST'!Q38</f>
        <v>0</v>
      </c>
      <c r="M25" s="52" t="str">
        <f>'PC LIST'!J38</f>
        <v>Out &amp; under</v>
      </c>
      <c r="N25" s="610">
        <f>'PC LIST'!BW38</f>
        <v>65</v>
      </c>
      <c r="Q25" s="47"/>
      <c r="R25" s="47"/>
      <c r="S25" s="47"/>
      <c r="T25" s="52"/>
      <c r="U25" s="52"/>
      <c r="AC25" s="52" t="str">
        <f>'PC LIST'!B111</f>
        <v>PR14NESWSWW_S-B7</v>
      </c>
      <c r="AD25" s="53" t="str">
        <f>'PC LIST'!I111</f>
        <v>S-B7: Transferred drains and sewers - sewer collapses</v>
      </c>
      <c r="AE25" s="53" t="str">
        <f>'PC LIST'!O111</f>
        <v>nr</v>
      </c>
      <c r="AF25" s="53" t="str">
        <f>'PC LIST'!P111</f>
        <v>No. of sewer collapses per year - TDSs</v>
      </c>
      <c r="AG25" s="52">
        <f>'PC LIST'!Q111</f>
        <v>0</v>
      </c>
      <c r="AH25" s="52" t="str">
        <f>'PC LIST'!J111</f>
        <v>NFI</v>
      </c>
      <c r="AI25" s="52">
        <f>'PC LIST'!BW111</f>
        <v>72</v>
      </c>
      <c r="AZ25" s="47"/>
      <c r="BA25" s="47"/>
      <c r="BB25" s="47"/>
      <c r="BC25" s="47"/>
      <c r="BD25" s="47"/>
      <c r="BE25" s="52" t="str">
        <f>'PC LIST'!B204</f>
        <v>PR14SEWWSW_N4</v>
      </c>
      <c r="BF25" s="52" t="str">
        <f>'PC LIST'!I204</f>
        <v>N4: Water mains bursts</v>
      </c>
      <c r="BG25" s="52" t="str">
        <f>'PC LIST'!O204</f>
        <v>nr</v>
      </c>
      <c r="BH25" s="52" t="str">
        <f>'PC LIST'!P204</f>
        <v>No. of burst mains per year</v>
      </c>
      <c r="BI25" s="52">
        <f>'PC LIST'!Q204</f>
        <v>0</v>
      </c>
      <c r="BJ25" s="52" t="str">
        <f>'PC LIST'!J204</f>
        <v>Under</v>
      </c>
      <c r="BK25" s="52">
        <f>'PC LIST'!BW204</f>
        <v>3032</v>
      </c>
      <c r="BL25" s="52" t="str">
        <f>'PC LIST'!B238</f>
        <v>PR14SRNWSWW_13</v>
      </c>
      <c r="BM25" s="52" t="str">
        <f>'PC LIST'!I238</f>
        <v>13: Thanet sewers</v>
      </c>
      <c r="BN25" s="52" t="str">
        <f>'PC LIST'!O238</f>
        <v>text</v>
      </c>
      <c r="BO25" s="52" t="str">
        <f>'PC LIST'!P238</f>
        <v>Scheme delivery</v>
      </c>
      <c r="BP25" s="52" t="str">
        <f>'PC LIST'!Q238</f>
        <v>na</v>
      </c>
      <c r="BQ25" s="52" t="str">
        <f>'PC LIST'!J238</f>
        <v>Under</v>
      </c>
      <c r="BR25" s="52" t="str">
        <f>'PC LIST'!BW238</f>
        <v>N/A</v>
      </c>
      <c r="BZ25" s="52" t="str">
        <f>'PC LIST'!B286</f>
        <v>PR14SVTWSW_W-D4</v>
      </c>
      <c r="CA25" s="52" t="str">
        <f>'PC LIST'!I286</f>
        <v>W-D4: Sites with eel protection at intakes</v>
      </c>
      <c r="CB25" s="52" t="str">
        <f>'PC LIST'!O286</f>
        <v>nr</v>
      </c>
      <c r="CC25" s="52" t="str">
        <f>'PC LIST'!P286</f>
        <v>No. sites with eel protection at intakes</v>
      </c>
      <c r="CD25" s="52">
        <f>'PC LIST'!Q286</f>
        <v>0</v>
      </c>
      <c r="CE25" s="52" t="str">
        <f>'PC LIST'!J286</f>
        <v>NFI</v>
      </c>
      <c r="CF25" s="611">
        <f>'PC LIST'!BW286</f>
        <v>0</v>
      </c>
      <c r="CG25" s="52" t="str">
        <f>'PC LIST'!B331</f>
        <v>PR14SWTWSWW_S-A2</v>
      </c>
      <c r="CH25" s="54" t="str">
        <f>'PC LIST'!I331</f>
        <v>S-A2: External sewer flooding incidents</v>
      </c>
      <c r="CI25" s="54" t="str">
        <f>'PC LIST'!O331</f>
        <v>nr</v>
      </c>
      <c r="CJ25" s="54" t="str">
        <f>'PC LIST'!P331</f>
        <v>No. of external sewer flooding incidents</v>
      </c>
      <c r="CK25" s="52">
        <f>'PC LIST'!Q331</f>
        <v>0</v>
      </c>
      <c r="CL25" s="52" t="str">
        <f>'PC LIST'!J331</f>
        <v>Out &amp; under</v>
      </c>
      <c r="CM25" s="610">
        <f>'PC LIST'!BW331</f>
        <v>3504</v>
      </c>
      <c r="CN25" s="52" t="str">
        <f>'PC LIST'!B373</f>
        <v>PR14TMSWSWW_SB1</v>
      </c>
      <c r="CO25" s="52" t="str">
        <f>'PC LIST'!I373</f>
        <v>SB1: Asset health wastewater non-infrastructure</v>
      </c>
      <c r="CP25" s="52" t="str">
        <f>'PC LIST'!O373</f>
        <v>category</v>
      </c>
      <c r="CQ25" s="52" t="str">
        <f>'PC LIST'!P373</f>
        <v>Asset health indicator</v>
      </c>
      <c r="CR25" s="52" t="str">
        <f>'PC LIST'!Q373</f>
        <v>na</v>
      </c>
      <c r="CS25" s="52" t="str">
        <f>'PC LIST'!J373</f>
        <v>Under</v>
      </c>
      <c r="CT25" s="52" t="str">
        <f>'PC LIST'!BW373</f>
        <v>Stable</v>
      </c>
      <c r="CU25" s="52" t="str">
        <f>'PC LIST'!B428</f>
        <v>PR14UUWSWW_S-D5</v>
      </c>
      <c r="CV25" s="52" t="str">
        <f>'PC LIST'!I428</f>
        <v>S-D5: Satisfactory sludge disposal</v>
      </c>
      <c r="CW25" s="52" t="str">
        <f>'PC LIST'!O428</f>
        <v>%</v>
      </c>
      <c r="CX25" s="52" t="str">
        <f>'PC LIST'!P428</f>
        <v>% satisfactory sludge disposal compliance</v>
      </c>
      <c r="CY25" s="52">
        <f>'PC LIST'!Q428</f>
        <v>2</v>
      </c>
      <c r="CZ25" s="52" t="str">
        <f>'PC LIST'!J428</f>
        <v>Under</v>
      </c>
      <c r="DA25" s="52">
        <f>'PC LIST'!BW428</f>
        <v>100</v>
      </c>
      <c r="DB25" s="52" t="str">
        <f>'PC LIST'!B455</f>
        <v>PR14WSHWSWW_F3</v>
      </c>
      <c r="DC25" s="52" t="str">
        <f>'PC LIST'!I455</f>
        <v>F3: Asset resilience - % of critical assets that are resilient against a set of criteria</v>
      </c>
      <c r="DD25" s="52" t="str">
        <f>'PC LIST'!O455</f>
        <v>%</v>
      </c>
      <c r="DE25" s="52" t="str">
        <f>'PC LIST'!P455</f>
        <v>% critical assets that are resilient against a set of criteria</v>
      </c>
      <c r="DF25" s="52">
        <f>'PC LIST'!Q455</f>
        <v>0</v>
      </c>
      <c r="DG25" s="52" t="str">
        <f>'PC LIST'!J455</f>
        <v>Under</v>
      </c>
      <c r="DH25" s="610">
        <f>'PC LIST'!BW455</f>
        <v>73.599999999999994</v>
      </c>
      <c r="DI25" s="52" t="str">
        <f>'PC LIST'!B486</f>
        <v>PR14WSXWSWW_E1</v>
      </c>
      <c r="DJ25" s="52" t="str">
        <f>'PC LIST'!I486</f>
        <v>E1: Greenhouse gas emissions (annual greenhouse gas emissions from operational services)</v>
      </c>
      <c r="DK25" s="52" t="str">
        <f>'PC LIST'!O486</f>
        <v>nr</v>
      </c>
      <c r="DL25" s="52" t="str">
        <f>'PC LIST'!P486</f>
        <v>ktCO2e</v>
      </c>
      <c r="DM25" s="52">
        <f>'PC LIST'!Q486</f>
        <v>0</v>
      </c>
      <c r="DN25" s="52" t="str">
        <f>'PC LIST'!J486</f>
        <v>NFI</v>
      </c>
      <c r="DO25" s="52">
        <f>'PC LIST'!BW486</f>
        <v>123</v>
      </c>
      <c r="DP25" s="52" t="str">
        <f>'PC LIST'!B518</f>
        <v>PR14YKYWSWW_SB4</v>
      </c>
      <c r="DQ25" s="52" t="str">
        <f>'PC LIST'!I518</f>
        <v>SB4: Length of river improved (against WFD component measures) (note: PC is part of a total commitment at Appointee level - see also WC1)</v>
      </c>
      <c r="DR25" s="52" t="str">
        <f>'PC LIST'!O518</f>
        <v>nr</v>
      </c>
      <c r="DS25" s="52" t="str">
        <f>'PC LIST'!P518</f>
        <v>Kilometres (km) of river improved (modelled length)</v>
      </c>
      <c r="DT25" s="52">
        <f>'PC LIST'!Q518</f>
        <v>0</v>
      </c>
      <c r="DU25" s="52" t="str">
        <f>'PC LIST'!J518</f>
        <v>Out &amp; under</v>
      </c>
      <c r="DV25" s="52">
        <f>'PC LIST'!BW518</f>
        <v>0</v>
      </c>
    </row>
    <row r="26" spans="8:126" ht="15.75" customHeight="1">
      <c r="H26" s="52" t="str">
        <f>'PC LIST'!B39</f>
        <v>PR14ANHWSWW_S-C2</v>
      </c>
      <c r="I26" s="52" t="str">
        <f>'PC LIST'!I39</f>
        <v>S-C2: Percentage of SSSIs (by area) with favourable status</v>
      </c>
      <c r="J26" s="52" t="str">
        <f>'PC LIST'!O39</f>
        <v>%</v>
      </c>
      <c r="K26" s="52" t="str">
        <f>'PC LIST'!P39</f>
        <v>% SSSIs with favourable status</v>
      </c>
      <c r="L26" s="52">
        <f>'PC LIST'!Q39</f>
        <v>0</v>
      </c>
      <c r="M26" s="52" t="str">
        <f>'PC LIST'!J39</f>
        <v>NFI</v>
      </c>
      <c r="N26" s="610">
        <f>'PC LIST'!BW39</f>
        <v>98.83</v>
      </c>
      <c r="T26" s="52"/>
      <c r="U26" s="52"/>
      <c r="AC26" s="52" t="str">
        <f>'PC LIST'!B112</f>
        <v>PR14NESWSWW_S-C1</v>
      </c>
      <c r="AD26" s="53" t="str">
        <f>'PC LIST'!I112</f>
        <v>S-C1: Sewage treatment works discharge compliance (3-year average)</v>
      </c>
      <c r="AE26" s="53" t="str">
        <f>'PC LIST'!O112</f>
        <v>nr</v>
      </c>
      <c r="AF26" s="53" t="str">
        <f>'PC LIST'!P112</f>
        <v>No. discharge permit condition failures per year</v>
      </c>
      <c r="AG26" s="52">
        <f>'PC LIST'!Q112</f>
        <v>2</v>
      </c>
      <c r="AH26" s="52" t="str">
        <f>'PC LIST'!J112</f>
        <v>Under</v>
      </c>
      <c r="AI26" s="52">
        <f>'PC LIST'!BW112</f>
        <v>0.67</v>
      </c>
      <c r="AZ26" s="47"/>
      <c r="BA26" s="47"/>
      <c r="BB26" s="47"/>
      <c r="BC26" s="47"/>
      <c r="BD26" s="47"/>
      <c r="BE26" s="52" t="str">
        <f>'PC LIST'!B205</f>
        <v>PR14SEWWSW_O1</v>
      </c>
      <c r="BF26" s="52" t="str">
        <f>'PC LIST'!I205</f>
        <v>O1: Kg of carbon emissions per customer per year</v>
      </c>
      <c r="BG26" s="52" t="str">
        <f>'PC LIST'!O205</f>
        <v>nr</v>
      </c>
      <c r="BH26" s="52" t="str">
        <f>'PC LIST'!P205</f>
        <v>Kg of carbon emissions per customer per year</v>
      </c>
      <c r="BI26" s="52">
        <f>'PC LIST'!Q205</f>
        <v>1</v>
      </c>
      <c r="BJ26" s="52" t="str">
        <f>'PC LIST'!J205</f>
        <v>NFI</v>
      </c>
      <c r="BK26" s="52">
        <f>'PC LIST'!BW205</f>
        <v>37.200000000000003</v>
      </c>
      <c r="BL26" s="52" t="str">
        <f>'PC LIST'!B239</f>
        <v>PR14SRNWSWW_14</v>
      </c>
      <c r="BM26" s="52" t="str">
        <f>'PC LIST'!I239</f>
        <v>14: Woolston STW</v>
      </c>
      <c r="BN26" s="52" t="str">
        <f>'PC LIST'!O239</f>
        <v>text</v>
      </c>
      <c r="BO26" s="52" t="str">
        <f>'PC LIST'!P239</f>
        <v>Scheme delivery</v>
      </c>
      <c r="BP26" s="52" t="str">
        <f>'PC LIST'!Q239</f>
        <v>na</v>
      </c>
      <c r="BQ26" s="52" t="str">
        <f>'PC LIST'!J239</f>
        <v>Under</v>
      </c>
      <c r="BR26" s="52" t="str">
        <f>'PC LIST'!BW239</f>
        <v>N/A</v>
      </c>
      <c r="BZ26" s="52" t="str">
        <f>'PC LIST'!B287</f>
        <v>PR14SVTWSW_W-E1</v>
      </c>
      <c r="CA26" s="52" t="str">
        <f>'PC LIST'!I287</f>
        <v>W-E1: Size of our carbon footprint</v>
      </c>
      <c r="CB26" s="52" t="str">
        <f>'PC LIST'!O287</f>
        <v>nr</v>
      </c>
      <c r="CC26" s="52" t="str">
        <f>'PC LIST'!P287</f>
        <v>ktCO2e</v>
      </c>
      <c r="CD26" s="52">
        <f>'PC LIST'!Q287</f>
        <v>3</v>
      </c>
      <c r="CE26" s="52" t="str">
        <f>'PC LIST'!J287</f>
        <v>Out &amp; under</v>
      </c>
      <c r="CF26" s="611">
        <f>'PC LIST'!BW287</f>
        <v>250</v>
      </c>
      <c r="CG26" s="52" t="str">
        <f>'PC LIST'!B332</f>
        <v>PR14SWTWSWW_S-A3</v>
      </c>
      <c r="CH26" s="54" t="str">
        <f>'PC LIST'!I332</f>
        <v>S-A3: Odour contacts (wastewater treatment works)</v>
      </c>
      <c r="CI26" s="54" t="str">
        <f>'PC LIST'!O332</f>
        <v>nr</v>
      </c>
      <c r="CJ26" s="54" t="str">
        <f>'PC LIST'!P332</f>
        <v>No. of odour contacts (WwTWs)</v>
      </c>
      <c r="CK26" s="52">
        <f>'PC LIST'!Q332</f>
        <v>0</v>
      </c>
      <c r="CL26" s="52" t="str">
        <f>'PC LIST'!J332</f>
        <v>Out &amp; under</v>
      </c>
      <c r="CM26" s="610">
        <f>'PC LIST'!BW332</f>
        <v>278</v>
      </c>
      <c r="CN26" s="52" t="str">
        <f>'PC LIST'!B374</f>
        <v>PR14TMSWSWW_SB2</v>
      </c>
      <c r="CO26" s="52" t="str">
        <f>'PC LIST'!I374</f>
        <v>SB2: Asset health wastewater infrastructure</v>
      </c>
      <c r="CP26" s="52" t="str">
        <f>'PC LIST'!O374</f>
        <v>category</v>
      </c>
      <c r="CQ26" s="52" t="str">
        <f>'PC LIST'!P374</f>
        <v>Asset health indicator</v>
      </c>
      <c r="CR26" s="52" t="str">
        <f>'PC LIST'!Q374</f>
        <v>na</v>
      </c>
      <c r="CS26" s="52" t="str">
        <f>'PC LIST'!J374</f>
        <v>Under</v>
      </c>
      <c r="CT26" s="52" t="str">
        <f>'PC LIST'!BW374</f>
        <v>Stable</v>
      </c>
      <c r="CU26" s="52" t="str">
        <f>'PC LIST'!B429</f>
        <v>PR14UUHHR_A-1</v>
      </c>
      <c r="CV26" s="52" t="str">
        <f>'PC LIST'!I429</f>
        <v>A-1: Service incentive mechanism (SIM)</v>
      </c>
      <c r="CW26" s="52" t="str">
        <f>'PC LIST'!O429</f>
        <v>text</v>
      </c>
      <c r="CX26" s="52" t="str">
        <f>'PC LIST'!P429</f>
        <v>Service incentive mechanism (SIM) score ranking</v>
      </c>
      <c r="CY26" s="52" t="str">
        <f>'PC LIST'!Q429</f>
        <v>na</v>
      </c>
      <c r="CZ26" s="52" t="str">
        <f>'PC LIST'!J429</f>
        <v>Out &amp; under</v>
      </c>
      <c r="DA26" s="52">
        <f>'PC LIST'!BW429</f>
        <v>85.44</v>
      </c>
      <c r="DB26" s="52" t="str">
        <f>'PC LIST'!B456</f>
        <v>PR14WSHNHHR_D1</v>
      </c>
      <c r="DC26" s="52" t="str">
        <f>'PC LIST'!I456</f>
        <v>D1: Service incentive mechanism (SIM)</v>
      </c>
      <c r="DD26" s="52" t="str">
        <f>'PC LIST'!O456</f>
        <v>text</v>
      </c>
      <c r="DE26" s="52" t="str">
        <f>'PC LIST'!P456</f>
        <v>Service incentive mechanism (SIM) score ranking</v>
      </c>
      <c r="DF26" s="52" t="str">
        <f>'PC LIST'!Q456</f>
        <v>na</v>
      </c>
      <c r="DG26" s="52" t="str">
        <f>'PC LIST'!J456</f>
        <v>Out &amp; under</v>
      </c>
      <c r="DH26" s="610">
        <f>'PC LIST'!BW456</f>
        <v>1152</v>
      </c>
      <c r="DI26" s="52" t="str">
        <f>'PC LIST'!B487</f>
        <v>PR14WSXWSWW_E2</v>
      </c>
      <c r="DJ26" s="52" t="str">
        <f>'PC LIST'!I487</f>
        <v>E2: Proportion of energy self-generated</v>
      </c>
      <c r="DK26" s="52" t="str">
        <f>'PC LIST'!O487</f>
        <v>%</v>
      </c>
      <c r="DL26" s="52" t="str">
        <f>'PC LIST'!P487</f>
        <v>% of energy (electricity and gas) self-generated</v>
      </c>
      <c r="DM26" s="52">
        <f>'PC LIST'!Q487</f>
        <v>0</v>
      </c>
      <c r="DN26" s="52" t="str">
        <f>'PC LIST'!J487</f>
        <v>Under</v>
      </c>
      <c r="DO26" s="52">
        <f>'PC LIST'!BW487</f>
        <v>29</v>
      </c>
      <c r="DP26" s="52" t="str">
        <f>'PC LIST'!B519</f>
        <v>PR14YKYWSWW_SB5</v>
      </c>
      <c r="DQ26" s="52" t="str">
        <f>'PC LIST'!I519</f>
        <v>SB5: Amount of land conserved and enhanced (total cumulative area) (note: PC is part of a total commitment at Appointee level - see also WC3)</v>
      </c>
      <c r="DR26" s="52" t="str">
        <f>'PC LIST'!O519</f>
        <v>nr</v>
      </c>
      <c r="DS26" s="52" t="str">
        <f>'PC LIST'!P519</f>
        <v>No. of hectares of land conserved &amp; enhanced (cumulative)</v>
      </c>
      <c r="DT26" s="52">
        <f>'PC LIST'!Q519</f>
        <v>0</v>
      </c>
      <c r="DU26" s="52" t="str">
        <f>'PC LIST'!J519</f>
        <v>Out &amp; under</v>
      </c>
      <c r="DV26" s="52">
        <f>'PC LIST'!BW519</f>
        <v>11492</v>
      </c>
    </row>
    <row r="27" spans="8:126" ht="15.75" customHeight="1">
      <c r="H27" s="52" t="str">
        <f>'PC LIST'!B40</f>
        <v>PR14ANHWSWW_S-C3</v>
      </c>
      <c r="I27" s="52" t="str">
        <f>'PC LIST'!I40</f>
        <v>S-C3: Pollution incidents (category 3)</v>
      </c>
      <c r="J27" s="52" t="str">
        <f>'PC LIST'!O40</f>
        <v>nr</v>
      </c>
      <c r="K27" s="52" t="str">
        <f>'PC LIST'!P40</f>
        <v>No. of pollution incidents (cat 3)</v>
      </c>
      <c r="L27" s="52">
        <f>'PC LIST'!Q40</f>
        <v>0</v>
      </c>
      <c r="M27" s="52" t="str">
        <f>'PC LIST'!J40</f>
        <v>Out &amp; under</v>
      </c>
      <c r="N27" s="610">
        <f>'PC LIST'!BW40</f>
        <v>217</v>
      </c>
      <c r="T27" s="52"/>
      <c r="U27" s="52"/>
      <c r="AC27" s="52" t="str">
        <f>'PC LIST'!B113</f>
        <v>PR14NESWSWW_S-C2</v>
      </c>
      <c r="AD27" s="53" t="str">
        <f>'PC LIST'!I113</f>
        <v>S-C2: Pollution incidents - category 3 (3-year average)</v>
      </c>
      <c r="AE27" s="53" t="str">
        <f>'PC LIST'!O113</f>
        <v>nr</v>
      </c>
      <c r="AF27" s="53" t="str">
        <f>'PC LIST'!P113</f>
        <v>No. of pollution incidents (cat 3)</v>
      </c>
      <c r="AG27" s="52">
        <f>'PC LIST'!Q113</f>
        <v>0</v>
      </c>
      <c r="AH27" s="52" t="str">
        <f>'PC LIST'!J113</f>
        <v>Out &amp; under</v>
      </c>
      <c r="AI27" s="52">
        <f>'PC LIST'!BW113</f>
        <v>115</v>
      </c>
      <c r="AZ27" s="47"/>
      <c r="BA27" s="47"/>
      <c r="BB27" s="47"/>
      <c r="BC27" s="47"/>
      <c r="BD27" s="47"/>
      <c r="BE27" s="52" t="str">
        <f>'PC LIST'!B206</f>
        <v>PR14SEWWSW_O2</v>
      </c>
      <c r="BF27" s="52" t="str">
        <f>'PC LIST'!I206</f>
        <v>O2: We will monitor our abstractions at low flows at environmentally sensitive sites (in line with AIM)</v>
      </c>
      <c r="BG27" s="52" t="str">
        <f>'PC LIST'!O206</f>
        <v>TBC</v>
      </c>
      <c r="BH27" s="52" t="str">
        <f>'PC LIST'!P206</f>
        <v>TBC (in line with AIM)</v>
      </c>
      <c r="BI27" s="52" t="str">
        <f>'PC LIST'!Q206</f>
        <v>TBC</v>
      </c>
      <c r="BJ27" s="52" t="str">
        <f>'PC LIST'!J206</f>
        <v>NFI</v>
      </c>
      <c r="BK27" s="52">
        <f>'PC LIST'!BW206</f>
        <v>-0.18</v>
      </c>
      <c r="BL27" s="52" t="str">
        <f>'PC LIST'!B240</f>
        <v>PR14SRNWSWW_15</v>
      </c>
      <c r="BM27" s="52" t="str">
        <f>'PC LIST'!I240</f>
        <v>15: Millbrook sludge</v>
      </c>
      <c r="BN27" s="52" t="str">
        <f>'PC LIST'!O240</f>
        <v>nr</v>
      </c>
      <c r="BO27" s="52" t="str">
        <f>'PC LIST'!P240</f>
        <v>Tonnes of dry solids removed</v>
      </c>
      <c r="BP27" s="52">
        <f>'PC LIST'!Q240</f>
        <v>0</v>
      </c>
      <c r="BQ27" s="52" t="str">
        <f>'PC LIST'!J240</f>
        <v>Under</v>
      </c>
      <c r="BR27" s="52" t="str">
        <f>'PC LIST'!BW240</f>
        <v>N/A</v>
      </c>
      <c r="BZ27" s="52" t="str">
        <f>'PC LIST'!B288</f>
        <v>PR14SVTWSW_W-F1</v>
      </c>
      <c r="CA27" s="52" t="str">
        <f>'PC LIST'!I288</f>
        <v>W-F1: Improved understanding of our services through education</v>
      </c>
      <c r="CB27" s="52" t="str">
        <f>'PC LIST'!O288</f>
        <v>nr</v>
      </c>
      <c r="CC27" s="52" t="str">
        <f>'PC LIST'!P288</f>
        <v>No. of people - education programme</v>
      </c>
      <c r="CD27" s="52">
        <f>'PC LIST'!Q288</f>
        <v>0</v>
      </c>
      <c r="CE27" s="52" t="str">
        <f>'PC LIST'!J288</f>
        <v>NFI</v>
      </c>
      <c r="CF27" s="611">
        <f>'PC LIST'!BW288</f>
        <v>167024</v>
      </c>
      <c r="CG27" s="52" t="str">
        <f>'PC LIST'!B333</f>
        <v>PR14SWTWSWW_S-A4</v>
      </c>
      <c r="CH27" s="54" t="str">
        <f>'PC LIST'!I333</f>
        <v>S-A4: Asset reliability (pipes)</v>
      </c>
      <c r="CI27" s="54" t="str">
        <f>'PC LIST'!O333</f>
        <v>category</v>
      </c>
      <c r="CJ27" s="54" t="str">
        <f>'PC LIST'!P333</f>
        <v>Asset health indicator</v>
      </c>
      <c r="CK27" s="52" t="str">
        <f>'PC LIST'!Q333</f>
        <v>na</v>
      </c>
      <c r="CL27" s="52" t="str">
        <f>'PC LIST'!J333</f>
        <v>Under</v>
      </c>
      <c r="CM27" s="610" t="str">
        <f>'PC LIST'!BW333</f>
        <v>Stable</v>
      </c>
      <c r="CN27" s="52" t="str">
        <f>'PC LIST'!B375</f>
        <v>PR14TMSWSWW_SB3</v>
      </c>
      <c r="CO27" s="52" t="str">
        <f>'PC LIST'!I375</f>
        <v>SB3: Properties protected from flooding due to rainfall (including Counters Creek project)</v>
      </c>
      <c r="CP27" s="52" t="str">
        <f>'PC LIST'!O375</f>
        <v>nr</v>
      </c>
      <c r="CQ27" s="52" t="str">
        <f>'PC LIST'!P375</f>
        <v>No. properties protected from flooding due to rainfall</v>
      </c>
      <c r="CR27" s="52">
        <f>'PC LIST'!Q375</f>
        <v>0</v>
      </c>
      <c r="CS27" s="52" t="str">
        <f>'PC LIST'!J375</f>
        <v>Out &amp; under</v>
      </c>
      <c r="CT27" s="52" t="str">
        <f>'PC LIST'!BW375</f>
        <v>Not available</v>
      </c>
      <c r="CU27" s="52" t="str">
        <f>'PC LIST'!B430</f>
        <v>PR14UUHHR_R-A2</v>
      </c>
      <c r="CV27" s="52" t="str">
        <f>'PC LIST'!I430</f>
        <v>R-A2: Customer experience programme</v>
      </c>
      <c r="CW27" s="52" t="str">
        <f>'PC LIST'!O430</f>
        <v>£m</v>
      </c>
      <c r="CX27" s="52" t="str">
        <f>'PC LIST'!P430</f>
        <v>£ million cumulative depreciation</v>
      </c>
      <c r="CY27" s="52">
        <f>'PC LIST'!Q430</f>
        <v>3</v>
      </c>
      <c r="CZ27" s="52" t="str">
        <f>'PC LIST'!J430</f>
        <v>Under</v>
      </c>
      <c r="DA27" s="52">
        <f>'PC LIST'!BW430</f>
        <v>0.36328700000000003</v>
      </c>
      <c r="DB27" s="52" t="str">
        <f>'PC LIST'!B457</f>
        <v>PR14WSHNHHR_D4</v>
      </c>
      <c r="DC27" s="52" t="str">
        <f>'PC LIST'!I457</f>
        <v>D4: Business customer satisfaction</v>
      </c>
      <c r="DD27" s="52" t="str">
        <f>'PC LIST'!O457</f>
        <v>%</v>
      </c>
      <c r="DE27" s="52" t="str">
        <f>'PC LIST'!P457</f>
        <v>% customer satisfaction</v>
      </c>
      <c r="DF27" s="52">
        <f>'PC LIST'!Q457</f>
        <v>0</v>
      </c>
      <c r="DG27" s="52" t="str">
        <f>'PC LIST'!J457</f>
        <v>Under</v>
      </c>
      <c r="DH27" s="610">
        <f>'PC LIST'!BW457</f>
        <v>89</v>
      </c>
      <c r="DI27" s="52" t="str">
        <f>'PC LIST'!B488</f>
        <v>PR14WSXHHR_A1</v>
      </c>
      <c r="DJ27" s="52" t="str">
        <f>'PC LIST'!I488</f>
        <v>A1: SIM service score</v>
      </c>
      <c r="DK27" s="52" t="str">
        <f>'PC LIST'!O488</f>
        <v>score</v>
      </c>
      <c r="DL27" s="52" t="str">
        <f>'PC LIST'!P488</f>
        <v>Service incentive mechanism (SIM) score</v>
      </c>
      <c r="DM27" s="52">
        <f>'PC LIST'!Q488</f>
        <v>0</v>
      </c>
      <c r="DN27" s="52" t="str">
        <f>'PC LIST'!J488</f>
        <v>Out &amp; under</v>
      </c>
      <c r="DO27" s="52">
        <f>'PC LIST'!BW488</f>
        <v>88</v>
      </c>
      <c r="DP27" s="52" t="str">
        <f>'PC LIST'!B520</f>
        <v>PR14YKYWSWW_SC1</v>
      </c>
      <c r="DQ27" s="52" t="str">
        <f>'PC LIST'!I520</f>
        <v>SC1: Proportion of energy use generated by renewable technology (note: PC is part of a total commitment at Appointee level - see also WD1 and RC1)</v>
      </c>
      <c r="DR27" s="52" t="str">
        <f>'PC LIST'!O520</f>
        <v>%</v>
      </c>
      <c r="DS27" s="52" t="str">
        <f>'PC LIST'!P520</f>
        <v>% of energy use generated by renewable technology</v>
      </c>
      <c r="DT27" s="52">
        <f>'PC LIST'!Q520</f>
        <v>0</v>
      </c>
      <c r="DU27" s="52" t="str">
        <f>'PC LIST'!J520</f>
        <v>NFI</v>
      </c>
      <c r="DV27" s="52">
        <f>'PC LIST'!BW520</f>
        <v>10</v>
      </c>
    </row>
    <row r="28" spans="8:126" ht="15.75" customHeight="1">
      <c r="H28" s="52" t="str">
        <f>'PC LIST'!B41</f>
        <v>PR14ANHWSWW_S-C4</v>
      </c>
      <c r="I28" s="52" t="str">
        <f>'PC LIST'!I41</f>
        <v>S-C4: Environmental compliance (wastewater)</v>
      </c>
      <c r="J28" s="52" t="str">
        <f>'PC LIST'!O41</f>
        <v>nr</v>
      </c>
      <c r="K28" s="52" t="str">
        <f>'PC LIST'!P41</f>
        <v>No. of obligations delivered</v>
      </c>
      <c r="L28" s="52">
        <f>'PC LIST'!Q41</f>
        <v>0</v>
      </c>
      <c r="M28" s="52" t="str">
        <f>'PC LIST'!J41</f>
        <v>Under</v>
      </c>
      <c r="N28" s="610">
        <f>'PC LIST'!BW41</f>
        <v>3</v>
      </c>
      <c r="T28" s="52"/>
      <c r="U28" s="52"/>
      <c r="AC28" s="52" t="str">
        <f>'PC LIST'!B114</f>
        <v>PR14NESWSWW_S-C3</v>
      </c>
      <c r="AD28" s="53" t="str">
        <f>'PC LIST'!I114</f>
        <v>S-C3: Bathing water compliance</v>
      </c>
      <c r="AE28" s="53" t="str">
        <f>'PC LIST'!O114</f>
        <v>nr</v>
      </c>
      <c r="AF28" s="53" t="str">
        <f>'PC LIST'!P114</f>
        <v>No. of bathing waters per year</v>
      </c>
      <c r="AG28" s="52">
        <f>'PC LIST'!Q114</f>
        <v>0</v>
      </c>
      <c r="AH28" s="52" t="str">
        <f>'PC LIST'!J114</f>
        <v>Under</v>
      </c>
      <c r="AI28" s="52">
        <f>'PC LIST'!BW114</f>
        <v>34</v>
      </c>
      <c r="AZ28" s="47"/>
      <c r="BA28" s="47"/>
      <c r="BB28" s="47"/>
      <c r="BC28" s="47"/>
      <c r="BD28" s="47"/>
      <c r="BE28" s="52" t="str">
        <f>'PC LIST'!B207</f>
        <v>PR14SEWHHR_A1</v>
      </c>
      <c r="BF28" s="52" t="str">
        <f>'PC LIST'!I207</f>
        <v>A1: Customer satisfaction - appearance of water</v>
      </c>
      <c r="BG28" s="52" t="str">
        <f>'PC LIST'!O207</f>
        <v>score</v>
      </c>
      <c r="BH28" s="52" t="str">
        <f>'PC LIST'!P207</f>
        <v>Customer satisfaction score out of 5</v>
      </c>
      <c r="BI28" s="52">
        <f>'PC LIST'!Q207</f>
        <v>1</v>
      </c>
      <c r="BJ28" s="52" t="str">
        <f>'PC LIST'!J207</f>
        <v>Out &amp; under</v>
      </c>
      <c r="BK28" s="52">
        <f>'PC LIST'!BW207</f>
        <v>4.5</v>
      </c>
      <c r="BL28" s="52" t="str">
        <f>'PC LIST'!B241</f>
        <v>PR14SRNHHR_1</v>
      </c>
      <c r="BM28" s="52" t="str">
        <f>'PC LIST'!I241</f>
        <v>1: First time resolution of customer contacts</v>
      </c>
      <c r="BN28" s="52" t="str">
        <f>'PC LIST'!O241</f>
        <v>%</v>
      </c>
      <c r="BO28" s="52" t="str">
        <f>'PC LIST'!P241</f>
        <v>% customer contacts resolved 1st time</v>
      </c>
      <c r="BP28" s="52">
        <f>'PC LIST'!Q241</f>
        <v>0</v>
      </c>
      <c r="BQ28" s="52" t="str">
        <f>'PC LIST'!J241</f>
        <v>NFI</v>
      </c>
      <c r="BR28" s="52">
        <f>'PC LIST'!BW241</f>
        <v>67</v>
      </c>
      <c r="BZ28" s="52" t="str">
        <f>'PC LIST'!B289</f>
        <v>PR14SVTWSWW_S-A1</v>
      </c>
      <c r="CA28" s="52" t="str">
        <f>'PC LIST'!I289</f>
        <v>S-A1: Number of internal sewer flooding incidents</v>
      </c>
      <c r="CB28" s="52" t="str">
        <f>'PC LIST'!O289</f>
        <v>nr</v>
      </c>
      <c r="CC28" s="52" t="str">
        <f>'PC LIST'!P289</f>
        <v>No. of internal sewer flooding incidents</v>
      </c>
      <c r="CD28" s="52">
        <f>'PC LIST'!Q289</f>
        <v>0</v>
      </c>
      <c r="CE28" s="52" t="str">
        <f>'PC LIST'!J289</f>
        <v>Out &amp; under</v>
      </c>
      <c r="CF28" s="611">
        <f>'PC LIST'!BW289</f>
        <v>901</v>
      </c>
      <c r="CG28" s="52" t="str">
        <f>'PC LIST'!B334</f>
        <v>PR14SWTWSWW_S-A5</v>
      </c>
      <c r="CH28" s="54" t="str">
        <f>'PC LIST'!I334</f>
        <v>S-A5: Asset reliability (process)</v>
      </c>
      <c r="CI28" s="54" t="str">
        <f>'PC LIST'!O334</f>
        <v>category</v>
      </c>
      <c r="CJ28" s="54" t="str">
        <f>'PC LIST'!P334</f>
        <v>Asset health indicator</v>
      </c>
      <c r="CK28" s="52" t="str">
        <f>'PC LIST'!Q334</f>
        <v>na</v>
      </c>
      <c r="CL28" s="52" t="str">
        <f>'PC LIST'!J334</f>
        <v>Under</v>
      </c>
      <c r="CM28" s="610" t="str">
        <f>'PC LIST'!BW334</f>
        <v>Stable</v>
      </c>
      <c r="CN28" s="52" t="str">
        <f>'PC LIST'!B376</f>
        <v>PR14TMSWSWW_SB4</v>
      </c>
      <c r="CO28" s="52" t="str">
        <f>'PC LIST'!I376</f>
        <v>SB4: Number of internal flooding incidents, excluding those due to overloaded sewers (SFOC)</v>
      </c>
      <c r="CP28" s="52" t="str">
        <f>'PC LIST'!O376</f>
        <v>nr</v>
      </c>
      <c r="CQ28" s="52" t="str">
        <f>'PC LIST'!P376</f>
        <v>No. of internal sewer flooding (other causes) incidents</v>
      </c>
      <c r="CR28" s="52">
        <f>'PC LIST'!Q376</f>
        <v>0</v>
      </c>
      <c r="CS28" s="52" t="str">
        <f>'PC LIST'!J376</f>
        <v>Out &amp; under</v>
      </c>
      <c r="CT28" s="52">
        <f>'PC LIST'!BW376</f>
        <v>1214</v>
      </c>
      <c r="CU28" s="52" t="str">
        <f>'PC LIST'!B431</f>
        <v>PR14UUHHR_B1</v>
      </c>
      <c r="CV28" s="52" t="str">
        <f>'PC LIST'!I431</f>
        <v>B1: Customers saying that we offer value for money</v>
      </c>
      <c r="CW28" s="52" t="str">
        <f>'PC LIST'!O431</f>
        <v>%</v>
      </c>
      <c r="CX28" s="52" t="str">
        <f>'PC LIST'!P431</f>
        <v>% customer satisfaction</v>
      </c>
      <c r="CY28" s="52">
        <f>'PC LIST'!Q431</f>
        <v>0</v>
      </c>
      <c r="CZ28" s="52" t="str">
        <f>'PC LIST'!J431</f>
        <v>NFI</v>
      </c>
      <c r="DA28" s="52">
        <f>'PC LIST'!BW431</f>
        <v>52</v>
      </c>
      <c r="DB28" s="52" t="str">
        <f>'PC LIST'!B458</f>
        <v>PR14WSHNHHR_D5</v>
      </c>
      <c r="DC28" s="52" t="str">
        <f>'PC LIST'!I458</f>
        <v>D5: Earning the trust of customers - % of customers surveyed that say they trust the company</v>
      </c>
      <c r="DD28" s="52" t="str">
        <f>'PC LIST'!O458</f>
        <v>%</v>
      </c>
      <c r="DE28" s="52" t="str">
        <f>'PC LIST'!P458</f>
        <v>% customer satisfaction</v>
      </c>
      <c r="DF28" s="52">
        <f>'PC LIST'!Q458</f>
        <v>0</v>
      </c>
      <c r="DG28" s="52" t="str">
        <f>'PC LIST'!J458</f>
        <v>NFI</v>
      </c>
      <c r="DH28" s="610">
        <f>'PC LIST'!BW458</f>
        <v>85</v>
      </c>
      <c r="DI28" s="52" t="str">
        <f>'PC LIST'!B489</f>
        <v>PR14WSXHHR_A2</v>
      </c>
      <c r="DJ28" s="52" t="str">
        <f>'PC LIST'!I489</f>
        <v>A2: Percentage rating service good/very good</v>
      </c>
      <c r="DK28" s="52" t="str">
        <f>'PC LIST'!O489</f>
        <v>%</v>
      </c>
      <c r="DL28" s="52" t="str">
        <f>'PC LIST'!P489</f>
        <v>% customer satisfaction</v>
      </c>
      <c r="DM28" s="52">
        <f>'PC LIST'!Q489</f>
        <v>0</v>
      </c>
      <c r="DN28" s="52" t="str">
        <f>'PC LIST'!J489</f>
        <v>NFI</v>
      </c>
      <c r="DO28" s="52">
        <f>'PC LIST'!BW489</f>
        <v>96</v>
      </c>
      <c r="DP28" s="52" t="str">
        <f>'PC LIST'!B521</f>
        <v>PR14YKYWSWW_SC2</v>
      </c>
      <c r="DQ28" s="52" t="str">
        <f>'PC LIST'!I521</f>
        <v>SC2: Proportion of waste diverted from landfill (re-used and recycled) (note: PC is part of a total commitment at Appointee level - see also WD2 and RC2)</v>
      </c>
      <c r="DR28" s="52" t="str">
        <f>'PC LIST'!O521</f>
        <v>%</v>
      </c>
      <c r="DS28" s="52" t="str">
        <f>'PC LIST'!P521</f>
        <v>% of waste diverted from landfill (re-used and recycled)</v>
      </c>
      <c r="DT28" s="52">
        <f>'PC LIST'!Q521</f>
        <v>0</v>
      </c>
      <c r="DU28" s="52" t="str">
        <f>'PC LIST'!J521</f>
        <v>NFI</v>
      </c>
      <c r="DV28" s="52">
        <f>'PC LIST'!BW521</f>
        <v>99</v>
      </c>
    </row>
    <row r="29" spans="8:126" ht="15.75" customHeight="1">
      <c r="H29" s="52" t="str">
        <f>'PC LIST'!B42</f>
        <v>PR14ANHWSWW_S-D1</v>
      </c>
      <c r="I29" s="52" t="str">
        <f>'PC LIST'!I42</f>
        <v>S-D1: Operational carbon (% reduction from 2015 baseline)</v>
      </c>
      <c r="J29" s="52" t="str">
        <f>'PC LIST'!O42</f>
        <v>%</v>
      </c>
      <c r="K29" s="52" t="str">
        <f>'PC LIST'!P42</f>
        <v>% reduction from 2015 baseline</v>
      </c>
      <c r="L29" s="52">
        <f>'PC LIST'!Q42</f>
        <v>0</v>
      </c>
      <c r="M29" s="52" t="str">
        <f>'PC LIST'!J42</f>
        <v>NFI</v>
      </c>
      <c r="N29" s="610">
        <f>'PC LIST'!BW42</f>
        <v>11</v>
      </c>
      <c r="T29" s="52"/>
      <c r="U29" s="52"/>
      <c r="AC29" s="52" t="str">
        <f>'PC LIST'!B115</f>
        <v>PR14NESWSWW_S-C4</v>
      </c>
      <c r="AD29" s="53" t="str">
        <f>'PC LIST'!I115</f>
        <v>S-C4: Whitburn combined sewer overflow (CSO) scheme</v>
      </c>
      <c r="AE29" s="53" t="str">
        <f>'PC LIST'!O115</f>
        <v>text</v>
      </c>
      <c r="AF29" s="53" t="str">
        <f>'PC LIST'!P115</f>
        <v>Delivery / non-delivery</v>
      </c>
      <c r="AG29" s="52" t="str">
        <f>'PC LIST'!Q115</f>
        <v>na</v>
      </c>
      <c r="AH29" s="52" t="str">
        <f>'PC LIST'!J115</f>
        <v>Under</v>
      </c>
      <c r="AI29" s="52" t="str">
        <f>'PC LIST'!BW115</f>
        <v>n/a</v>
      </c>
      <c r="AZ29" s="47"/>
      <c r="BA29" s="47"/>
      <c r="BB29" s="47"/>
      <c r="BC29" s="47"/>
      <c r="BD29" s="47"/>
      <c r="BE29" s="52" t="str">
        <f>'PC LIST'!B208</f>
        <v>PR14SEWHHR_B1</v>
      </c>
      <c r="BF29" s="52" t="str">
        <f>'PC LIST'!I208</f>
        <v>B1: Customer satisfaction - taste and odour of water</v>
      </c>
      <c r="BG29" s="52" t="str">
        <f>'PC LIST'!O208</f>
        <v>score</v>
      </c>
      <c r="BH29" s="52" t="str">
        <f>'PC LIST'!P208</f>
        <v>Customer satisfaction score out of 5</v>
      </c>
      <c r="BI29" s="52">
        <f>'PC LIST'!Q208</f>
        <v>1</v>
      </c>
      <c r="BJ29" s="52" t="str">
        <f>'PC LIST'!J208</f>
        <v>Out &amp; under</v>
      </c>
      <c r="BK29" s="52">
        <f>'PC LIST'!BW208</f>
        <v>4.2</v>
      </c>
      <c r="BL29" s="52" t="str">
        <f>'PC LIST'!B242</f>
        <v>PR14SRNHHR_2</v>
      </c>
      <c r="BM29" s="52" t="str">
        <f>'PC LIST'!I242</f>
        <v>2: Dealing with customers’ individual needs</v>
      </c>
      <c r="BN29" s="52" t="str">
        <f>'PC LIST'!O242</f>
        <v>%</v>
      </c>
      <c r="BO29" s="52" t="str">
        <f>'PC LIST'!P242</f>
        <v>% customers agreeing with survey statement</v>
      </c>
      <c r="BP29" s="52" t="str">
        <f>'PC LIST'!Q242</f>
        <v>0</v>
      </c>
      <c r="BQ29" s="52" t="str">
        <f>'PC LIST'!J242</f>
        <v>NFI</v>
      </c>
      <c r="BR29" s="52">
        <f>'PC LIST'!BW242</f>
        <v>66.2</v>
      </c>
      <c r="BZ29" s="52" t="str">
        <f>'PC LIST'!B290</f>
        <v>PR14SVTWSWW_S-A2</v>
      </c>
      <c r="CA29" s="52" t="str">
        <f>'PC LIST'!I290</f>
        <v>S-A2: Number of external sewer flooding incidents</v>
      </c>
      <c r="CB29" s="52" t="str">
        <f>'PC LIST'!O290</f>
        <v>nr</v>
      </c>
      <c r="CC29" s="52" t="str">
        <f>'PC LIST'!P290</f>
        <v>No. of external sewer flooding incidents</v>
      </c>
      <c r="CD29" s="52">
        <f>'PC LIST'!Q290</f>
        <v>0</v>
      </c>
      <c r="CE29" s="52" t="str">
        <f>'PC LIST'!J290</f>
        <v>Out &amp; under</v>
      </c>
      <c r="CF29" s="611">
        <f>'PC LIST'!BW290</f>
        <v>5801</v>
      </c>
      <c r="CG29" s="52" t="str">
        <f>'PC LIST'!B335</f>
        <v>PR14SWTWSWW_S-A6</v>
      </c>
      <c r="CH29" s="54" t="str">
        <f>'PC LIST'!I335</f>
        <v>S-A6: Compliance with sludge standard (%)</v>
      </c>
      <c r="CI29" s="54" t="str">
        <f>'PC LIST'!O335</f>
        <v>%</v>
      </c>
      <c r="CJ29" s="54" t="str">
        <f>'PC LIST'!P335</f>
        <v>% satisfactory sludge disposal compliance</v>
      </c>
      <c r="CK29" s="52" t="str">
        <f>'PC LIST'!Q335</f>
        <v>na</v>
      </c>
      <c r="CL29" s="52" t="str">
        <f>'PC LIST'!J335</f>
        <v>NFI</v>
      </c>
      <c r="CM29" s="610">
        <f>'PC LIST'!BW335</f>
        <v>100</v>
      </c>
      <c r="CN29" s="52" t="str">
        <f>'PC LIST'!B377</f>
        <v>PR14TMSWSWW_SB5</v>
      </c>
      <c r="CO29" s="52" t="str">
        <f>'PC LIST'!I377</f>
        <v>SB5: Contributing area disconnected from combined sewers by retrofitting sustainable drainage</v>
      </c>
      <c r="CP29" s="52" t="str">
        <f>'PC LIST'!O377</f>
        <v>nr</v>
      </c>
      <c r="CQ29" s="52" t="str">
        <f>'PC LIST'!P377</f>
        <v>No. of hectares (cumulative)</v>
      </c>
      <c r="CR29" s="52">
        <f>'PC LIST'!Q377</f>
        <v>0</v>
      </c>
      <c r="CS29" s="52" t="str">
        <f>'PC LIST'!J377</f>
        <v>Out &amp; under</v>
      </c>
      <c r="CT29" s="52">
        <f>'PC LIST'!BW377</f>
        <v>0</v>
      </c>
      <c r="CU29" s="52" t="str">
        <f>'PC LIST'!B432</f>
        <v>PR14UUHHR_B2</v>
      </c>
      <c r="CV29" s="52" t="str">
        <f>'PC LIST'!I432</f>
        <v>B2: Per household consumption</v>
      </c>
      <c r="CW29" s="52" t="str">
        <f>'PC LIST'!O432</f>
        <v>nr</v>
      </c>
      <c r="CX29" s="52" t="str">
        <f>'PC LIST'!P432</f>
        <v>Litres per household per day (l/hh/d)</v>
      </c>
      <c r="CY29" s="52">
        <f>'PC LIST'!Q432</f>
        <v>0</v>
      </c>
      <c r="CZ29" s="52" t="str">
        <f>'PC LIST'!J432</f>
        <v>NFI</v>
      </c>
      <c r="DA29" s="52">
        <f>'PC LIST'!BW432</f>
        <v>305</v>
      </c>
      <c r="DB29" s="52" t="str">
        <f>'PC LIST'!B459</f>
        <v>PR14WSHNHHR_E1</v>
      </c>
      <c r="DC29" s="52" t="str">
        <f>'PC LIST'!I459</f>
        <v>E1: Affordable bills - annual increase</v>
      </c>
      <c r="DD29" s="52" t="str">
        <f>'PC LIST'!O459</f>
        <v>%</v>
      </c>
      <c r="DE29" s="52" t="str">
        <f>'PC LIST'!P459</f>
        <v>% above or below inflation (affordability of bills)</v>
      </c>
      <c r="DF29" s="52">
        <f>'PC LIST'!Q459</f>
        <v>0</v>
      </c>
      <c r="DG29" s="52" t="str">
        <f>'PC LIST'!J459</f>
        <v>NFI</v>
      </c>
      <c r="DH29" s="610">
        <f>'PC LIST'!BW459</f>
        <v>-1</v>
      </c>
      <c r="DI29" s="52" t="str">
        <f>'PC LIST'!B490</f>
        <v>PR14WSXHHR_A3</v>
      </c>
      <c r="DJ29" s="52" t="str">
        <f>'PC LIST'!I490</f>
        <v>A3: Percentage rating good value for money</v>
      </c>
      <c r="DK29" s="52" t="str">
        <f>'PC LIST'!O490</f>
        <v>%</v>
      </c>
      <c r="DL29" s="52" t="str">
        <f>'PC LIST'!P490</f>
        <v>% customer satisfaction</v>
      </c>
      <c r="DM29" s="52">
        <f>'PC LIST'!Q490</f>
        <v>0</v>
      </c>
      <c r="DN29" s="52" t="str">
        <f>'PC LIST'!J490</f>
        <v>NFI</v>
      </c>
      <c r="DO29" s="52">
        <f>'PC LIST'!BW490</f>
        <v>84</v>
      </c>
      <c r="DP29" s="52" t="str">
        <f>'PC LIST'!B522</f>
        <v>PR14YKYHHR_RA1</v>
      </c>
      <c r="DQ29" s="52" t="str">
        <f>'PC LIST'!I522</f>
        <v>RA1: Service incentive mechanism (SIM)</v>
      </c>
      <c r="DR29" s="52" t="str">
        <f>'PC LIST'!O522</f>
        <v>score</v>
      </c>
      <c r="DS29" s="52" t="str">
        <f>'PC LIST'!P522</f>
        <v>Service incentive mechanism (SIM) score</v>
      </c>
      <c r="DT29" s="52">
        <f>'PC LIST'!Q522</f>
        <v>1</v>
      </c>
      <c r="DU29" s="52" t="str">
        <f>'PC LIST'!J522</f>
        <v>Out &amp; under</v>
      </c>
      <c r="DV29" s="52">
        <f>'PC LIST'!BW522</f>
        <v>83.4</v>
      </c>
    </row>
    <row r="30" spans="8:126" ht="15.75" customHeight="1">
      <c r="H30" s="52" t="str">
        <f>'PC LIST'!B43</f>
        <v>PR14ANHWSWW_S-D2</v>
      </c>
      <c r="I30" s="52" t="str">
        <f>'PC LIST'!I43</f>
        <v>S-D2: Embodied carbon (% reduction from 2010 baseline)</v>
      </c>
      <c r="J30" s="52" t="str">
        <f>'PC LIST'!O43</f>
        <v>%</v>
      </c>
      <c r="K30" s="52" t="str">
        <f>'PC LIST'!P43</f>
        <v>% reduction from 2010 baseline</v>
      </c>
      <c r="L30" s="52">
        <f>'PC LIST'!Q43</f>
        <v>0</v>
      </c>
      <c r="M30" s="52" t="str">
        <f>'PC LIST'!J43</f>
        <v>NFI</v>
      </c>
      <c r="N30" s="610">
        <f>'PC LIST'!BW43</f>
        <v>55</v>
      </c>
      <c r="T30" s="52"/>
      <c r="U30" s="52"/>
      <c r="AC30" s="52" t="str">
        <f>'PC LIST'!B116</f>
        <v>PR14NESWSWW_S-D1</v>
      </c>
      <c r="AD30" s="53" t="str">
        <f>'PC LIST'!I116</f>
        <v>S-D1: NWL independent overall customer satisfaction score</v>
      </c>
      <c r="AE30" s="53" t="str">
        <f>'PC LIST'!O116</f>
        <v>score</v>
      </c>
      <c r="AF30" s="53" t="str">
        <f>'PC LIST'!P116</f>
        <v>Customer satisfaction score out of 10</v>
      </c>
      <c r="AG30" s="52">
        <f>'PC LIST'!Q116</f>
        <v>1</v>
      </c>
      <c r="AH30" s="52" t="str">
        <f>'PC LIST'!J116</f>
        <v>NFI</v>
      </c>
      <c r="AI30" s="52">
        <f>'PC LIST'!BW116</f>
        <v>8.5</v>
      </c>
      <c r="AZ30" s="47"/>
      <c r="BA30" s="47"/>
      <c r="BB30" s="47"/>
      <c r="BC30" s="47"/>
      <c r="BD30" s="47"/>
      <c r="BE30" s="52" t="str">
        <f>'PC LIST'!B209</f>
        <v>PR14SEWHHR_C1</v>
      </c>
      <c r="BF30" s="52" t="str">
        <f>'PC LIST'!I209</f>
        <v>C1: Customer satisfaction - level of leakage</v>
      </c>
      <c r="BG30" s="52" t="str">
        <f>'PC LIST'!O209</f>
        <v>score</v>
      </c>
      <c r="BH30" s="52" t="str">
        <f>'PC LIST'!P209</f>
        <v>Customer satisfaction score out of 5</v>
      </c>
      <c r="BI30" s="52">
        <f>'PC LIST'!Q209</f>
        <v>1</v>
      </c>
      <c r="BJ30" s="52" t="str">
        <f>'PC LIST'!J209</f>
        <v>Out &amp; under</v>
      </c>
      <c r="BK30" s="52">
        <f>'PC LIST'!BW209</f>
        <v>3.8</v>
      </c>
      <c r="BL30" s="52" t="str">
        <f>'PC LIST'!B243</f>
        <v>PR14SRNHHR_3</v>
      </c>
      <c r="BM30" s="52" t="str">
        <f>'PC LIST'!I243</f>
        <v>3: Awareness of water hardness measures</v>
      </c>
      <c r="BN30" s="52" t="str">
        <f>'PC LIST'!O243</f>
        <v>%</v>
      </c>
      <c r="BO30" s="52" t="str">
        <f>'PC LIST'!P243</f>
        <v>% customers aware of water hardness measures</v>
      </c>
      <c r="BP30" s="52" t="str">
        <f>'PC LIST'!Q243</f>
        <v>0</v>
      </c>
      <c r="BQ30" s="52" t="str">
        <f>'PC LIST'!J243</f>
        <v>NFI</v>
      </c>
      <c r="BR30" s="52">
        <f>'PC LIST'!BW243</f>
        <v>55.7</v>
      </c>
      <c r="BZ30" s="52" t="str">
        <f>'PC LIST'!B291</f>
        <v>PR14SVTWSWW_S-A3</v>
      </c>
      <c r="CA30" s="52" t="str">
        <f>'PC LIST'!I291</f>
        <v>S-A3: Partnership working</v>
      </c>
      <c r="CB30" s="52" t="str">
        <f>'PC LIST'!O291</f>
        <v>nr</v>
      </c>
      <c r="CC30" s="52" t="str">
        <f>'PC LIST'!P291</f>
        <v>No. of partnership working projects</v>
      </c>
      <c r="CD30" s="52">
        <f>'PC LIST'!Q291</f>
        <v>0</v>
      </c>
      <c r="CE30" s="52" t="str">
        <f>'PC LIST'!J291</f>
        <v>Out &amp; under</v>
      </c>
      <c r="CF30" s="611">
        <f>'PC LIST'!BW291</f>
        <v>0</v>
      </c>
      <c r="CG30" s="52" t="str">
        <f>'PC LIST'!B336</f>
        <v>PR14SWTWSWW_S-B1</v>
      </c>
      <c r="CH30" s="54" t="str">
        <f>'PC LIST'!I336</f>
        <v>S-B1: Operational customer contacts resolved first time (%)</v>
      </c>
      <c r="CI30" s="54" t="str">
        <f>'PC LIST'!O336</f>
        <v>%</v>
      </c>
      <c r="CJ30" s="54" t="str">
        <f>'PC LIST'!P336</f>
        <v>% customer contacts resolved 1st time</v>
      </c>
      <c r="CK30" s="52">
        <f>'PC LIST'!Q336</f>
        <v>1</v>
      </c>
      <c r="CL30" s="52" t="str">
        <f>'PC LIST'!J336</f>
        <v>Out &amp; under</v>
      </c>
      <c r="CM30" s="610">
        <f>'PC LIST'!BW336</f>
        <v>89.9</v>
      </c>
      <c r="CN30" s="52" t="str">
        <f>'PC LIST'!B378</f>
        <v>PR14TMSWSWW_SB6</v>
      </c>
      <c r="CO30" s="52" t="str">
        <f>'PC LIST'!I378</f>
        <v>SB6: Compliance with SEMD advice notes (with or without derogation)</v>
      </c>
      <c r="CP30" s="52" t="str">
        <f>'PC LIST'!O378</f>
        <v>%</v>
      </c>
      <c r="CQ30" s="52" t="str">
        <f>'PC LIST'!P378</f>
        <v>% compliance with SEMD advice notes</v>
      </c>
      <c r="CR30" s="52">
        <f>'PC LIST'!Q378</f>
        <v>0</v>
      </c>
      <c r="CS30" s="52" t="str">
        <f>'PC LIST'!J378</f>
        <v>Under</v>
      </c>
      <c r="CT30" s="52" t="str">
        <f>'PC LIST'!BW378</f>
        <v>Not available</v>
      </c>
      <c r="CU30" s="52"/>
      <c r="CV30" s="52"/>
      <c r="CW30" s="52"/>
      <c r="CX30" s="52"/>
      <c r="DB30" s="52" t="str">
        <f>'PC LIST'!B460</f>
        <v>PR14WSHHHR_D1</v>
      </c>
      <c r="DC30" s="52" t="str">
        <f>'PC LIST'!I460</f>
        <v>D1: Service incentive mechanism (SIM)</v>
      </c>
      <c r="DD30" s="52" t="str">
        <f>'PC LIST'!O460</f>
        <v>text</v>
      </c>
      <c r="DE30" s="52" t="str">
        <f>'PC LIST'!P460</f>
        <v>Service incentive mechanism (SIM) score ranking</v>
      </c>
      <c r="DF30" s="52" t="str">
        <f>'PC LIST'!Q460</f>
        <v>na</v>
      </c>
      <c r="DG30" s="52" t="str">
        <f>'PC LIST'!J460</f>
        <v>Out &amp; under</v>
      </c>
      <c r="DH30" s="610">
        <f>'PC LIST'!BW460</f>
        <v>82.86</v>
      </c>
      <c r="DI30" s="52" t="str">
        <f>'PC LIST'!B491</f>
        <v>PR14WSXHHR_A4</v>
      </c>
      <c r="DJ30" s="52" t="str">
        <f>'PC LIST'!I491</f>
        <v>A4: Percentage rating ease of resolution</v>
      </c>
      <c r="DK30" s="52" t="str">
        <f>'PC LIST'!O491</f>
        <v>%</v>
      </c>
      <c r="DL30" s="52" t="str">
        <f>'PC LIST'!P491</f>
        <v>% customer satisfaction</v>
      </c>
      <c r="DM30" s="52">
        <f>'PC LIST'!Q491</f>
        <v>0</v>
      </c>
      <c r="DN30" s="52" t="str">
        <f>'PC LIST'!J491</f>
        <v>NFI</v>
      </c>
      <c r="DO30" s="52">
        <f>'PC LIST'!BW491</f>
        <v>75</v>
      </c>
      <c r="DP30" s="52" t="str">
        <f>'PC LIST'!B523</f>
        <v>PR14YKYHHR_RA2</v>
      </c>
      <c r="DQ30" s="52" t="str">
        <f>'PC LIST'!I523</f>
        <v>RA2: Service commitment failures</v>
      </c>
      <c r="DR30" s="52" t="str">
        <f>'PC LIST'!O523</f>
        <v>nr</v>
      </c>
      <c r="DS30" s="52" t="str">
        <f>'PC LIST'!P523</f>
        <v>No. of GSS (Guaranteed Standards of Service) events</v>
      </c>
      <c r="DT30" s="52">
        <f>'PC LIST'!Q523</f>
        <v>0</v>
      </c>
      <c r="DU30" s="52" t="str">
        <f>'PC LIST'!J523</f>
        <v>NFI</v>
      </c>
      <c r="DV30" s="52">
        <f>'PC LIST'!BW523</f>
        <v>10356</v>
      </c>
    </row>
    <row r="31" spans="8:126" ht="15.75" customHeight="1">
      <c r="H31" s="52" t="str">
        <f>'PC LIST'!B44</f>
        <v>PR14ANHWSWW_S-E1</v>
      </c>
      <c r="I31" s="52" t="str">
        <f>'PC LIST'!I44</f>
        <v>S-E1: Survey of community perception</v>
      </c>
      <c r="J31" s="52" t="str">
        <f>'PC LIST'!O44</f>
        <v>%</v>
      </c>
      <c r="K31" s="52" t="str">
        <f>'PC LIST'!P44</f>
        <v>% customer satisfaction</v>
      </c>
      <c r="L31" s="52" t="str">
        <f>'PC LIST'!Q44</f>
        <v>na</v>
      </c>
      <c r="M31" s="52" t="str">
        <f>'PC LIST'!J44</f>
        <v>NFI</v>
      </c>
      <c r="N31" s="610">
        <f>'PC LIST'!BW44</f>
        <v>52</v>
      </c>
      <c r="T31" s="52"/>
      <c r="U31" s="52"/>
      <c r="AC31" s="52" t="str">
        <f>'PC LIST'!B117</f>
        <v>PR14NESWSWW_S-D2</v>
      </c>
      <c r="AD31" s="53" t="str">
        <f>'PC LIST'!I117</f>
        <v>S-D2: Service incentive mechanism (SIM)</v>
      </c>
      <c r="AE31" s="53" t="str">
        <f>'PC LIST'!O117</f>
        <v>score</v>
      </c>
      <c r="AF31" s="53" t="str">
        <f>'PC LIST'!P117</f>
        <v>Service incentive mechanism (SIM) score</v>
      </c>
      <c r="AG31" s="52">
        <f>'PC LIST'!Q117</f>
        <v>1</v>
      </c>
      <c r="AH31" s="52" t="str">
        <f>'PC LIST'!J117</f>
        <v>Out &amp; under</v>
      </c>
      <c r="AI31" s="52">
        <f>'PC LIST'!BW117</f>
        <v>87.53</v>
      </c>
      <c r="BE31" s="52" t="str">
        <f>'PC LIST'!B210</f>
        <v>PR14SEWHHR_D1</v>
      </c>
      <c r="BF31" s="52" t="str">
        <f>'PC LIST'!I210</f>
        <v>D1: Customer satisfaction - direct interaction experience</v>
      </c>
      <c r="BG31" s="52" t="str">
        <f>'PC LIST'!O210</f>
        <v>score</v>
      </c>
      <c r="BH31" s="52" t="str">
        <f>'PC LIST'!P210</f>
        <v>Customer satisfaction score out of 5</v>
      </c>
      <c r="BI31" s="52">
        <f>'PC LIST'!Q210</f>
        <v>1</v>
      </c>
      <c r="BJ31" s="52" t="str">
        <f>'PC LIST'!J210</f>
        <v>Out &amp; under</v>
      </c>
      <c r="BK31" s="52">
        <f>'PC LIST'!BW210</f>
        <v>4.3</v>
      </c>
      <c r="BL31" s="52" t="str">
        <f>'PC LIST'!B244</f>
        <v>PR14SRNHHR_4</v>
      </c>
      <c r="BM31" s="52" t="str">
        <f>'PC LIST'!I244</f>
        <v>4: Where your money goes</v>
      </c>
      <c r="BN31" s="52" t="str">
        <f>'PC LIST'!O244</f>
        <v>%</v>
      </c>
      <c r="BO31" s="52" t="str">
        <f>'PC LIST'!P244</f>
        <v>% customers aware of where money goes</v>
      </c>
      <c r="BP31" s="52" t="str">
        <f>'PC LIST'!Q244</f>
        <v>0</v>
      </c>
      <c r="BQ31" s="52" t="str">
        <f>'PC LIST'!J244</f>
        <v>NFI</v>
      </c>
      <c r="BR31" s="52">
        <f>'PC LIST'!BW244</f>
        <v>56.5</v>
      </c>
      <c r="BZ31" s="52" t="str">
        <f>'PC LIST'!B292</f>
        <v>PR14SVTWSWW_S-A4</v>
      </c>
      <c r="CA31" s="52" t="str">
        <f>'PC LIST'!I292</f>
        <v>S-A4: Asset stewardship - blockages</v>
      </c>
      <c r="CB31" s="52" t="str">
        <f>'PC LIST'!O292</f>
        <v>nr</v>
      </c>
      <c r="CC31" s="52" t="str">
        <f>'PC LIST'!P292</f>
        <v>No. of sewer blockages per year</v>
      </c>
      <c r="CD31" s="52">
        <f>'PC LIST'!Q292</f>
        <v>0</v>
      </c>
      <c r="CE31" s="52" t="str">
        <f>'PC LIST'!J292</f>
        <v>Under</v>
      </c>
      <c r="CF31" s="611">
        <f>'PC LIST'!BW292</f>
        <v>45240</v>
      </c>
      <c r="CG31" s="52" t="str">
        <f>'PC LIST'!B337</f>
        <v>PR14SWTWSWW_S-C1</v>
      </c>
      <c r="CH31" s="54" t="str">
        <f>'PC LIST'!I337</f>
        <v>S-C1: Wastewater treatment numeric compliance (%)</v>
      </c>
      <c r="CI31" s="54" t="str">
        <f>'PC LIST'!O337</f>
        <v>%</v>
      </c>
      <c r="CJ31" s="54" t="str">
        <f>'PC LIST'!P337</f>
        <v>% wastewater treatment numeric compliance</v>
      </c>
      <c r="CK31" s="52">
        <f>'PC LIST'!Q337</f>
        <v>1</v>
      </c>
      <c r="CL31" s="52" t="str">
        <f>'PC LIST'!J337</f>
        <v>Under</v>
      </c>
      <c r="CM31" s="610">
        <f>'PC LIST'!BW337</f>
        <v>98.4</v>
      </c>
      <c r="CN31" s="52" t="str">
        <f>'PC LIST'!B379</f>
        <v>PR14TMSWSWW_SB7</v>
      </c>
      <c r="CO31" s="52" t="str">
        <f>'PC LIST'!I379</f>
        <v>SB7: Population equivalent of sites made resilient to future extreme rainfall events</v>
      </c>
      <c r="CP31" s="52" t="str">
        <f>'PC LIST'!O379</f>
        <v>nr</v>
      </c>
      <c r="CQ31" s="52" t="str">
        <f>'PC LIST'!P379</f>
        <v>Population equivalent (cumulative)</v>
      </c>
      <c r="CR31" s="52">
        <f>'PC LIST'!Q379</f>
        <v>0</v>
      </c>
      <c r="CS31" s="52" t="str">
        <f>'PC LIST'!J379</f>
        <v>Under</v>
      </c>
      <c r="CT31" s="52">
        <f>'PC LIST'!BW379</f>
        <v>0</v>
      </c>
      <c r="CW31" s="47"/>
      <c r="CX31" s="47"/>
      <c r="CY31" s="47"/>
      <c r="CZ31" s="47"/>
      <c r="DA31" s="47"/>
      <c r="DB31" s="52" t="str">
        <f>'PC LIST'!B461</f>
        <v>PR14WSHHHR_D5</v>
      </c>
      <c r="DC31" s="52" t="str">
        <f>'PC LIST'!I461</f>
        <v>D5: Earning the trust of customers - % of customers surveyed that say they trust the company</v>
      </c>
      <c r="DD31" s="52" t="str">
        <f>'PC LIST'!O461</f>
        <v>%</v>
      </c>
      <c r="DE31" s="52" t="str">
        <f>'PC LIST'!P461</f>
        <v>% customer satisfaction</v>
      </c>
      <c r="DF31" s="52">
        <f>'PC LIST'!Q461</f>
        <v>0</v>
      </c>
      <c r="DG31" s="52" t="str">
        <f>'PC LIST'!J461</f>
        <v>NFI</v>
      </c>
      <c r="DH31" s="610">
        <f>'PC LIST'!BW461</f>
        <v>85</v>
      </c>
      <c r="DI31" s="52" t="str">
        <f>'PC LIST'!B492</f>
        <v>PR14WSXHHR_A5</v>
      </c>
      <c r="DJ31" s="52" t="str">
        <f>'PC LIST'!I492</f>
        <v>A5: Accessible communications</v>
      </c>
      <c r="DK31" s="52" t="str">
        <f>'PC LIST'!O492</f>
        <v>text</v>
      </c>
      <c r="DL31" s="52" t="str">
        <f>'PC LIST'!P492</f>
        <v>Meet best practice</v>
      </c>
      <c r="DM31" s="52" t="str">
        <f>'PC LIST'!Q492</f>
        <v>na</v>
      </c>
      <c r="DN31" s="52" t="str">
        <f>'PC LIST'!J492</f>
        <v>NFI</v>
      </c>
      <c r="DO31" s="52" t="str">
        <f>'PC LIST'!BW492</f>
        <v>BS18477 &amp; Customer Service Excellence Award</v>
      </c>
      <c r="DP31" s="52" t="str">
        <f>'PC LIST'!B524</f>
        <v>PR14YKYHHR_RA3</v>
      </c>
      <c r="DQ31" s="52" t="str">
        <f>'PC LIST'!I524</f>
        <v>RA3: Overall customer satisfaction (CCWater annual tracking survey)</v>
      </c>
      <c r="DR31" s="52" t="str">
        <f>'PC LIST'!O524</f>
        <v>%</v>
      </c>
      <c r="DS31" s="52" t="str">
        <f>'PC LIST'!P524</f>
        <v>% overall customer satisfaction (CCWater tracking survey)</v>
      </c>
      <c r="DT31" s="52">
        <f>'PC LIST'!Q524</f>
        <v>0</v>
      </c>
      <c r="DU31" s="52" t="str">
        <f>'PC LIST'!J524</f>
        <v>NFI</v>
      </c>
      <c r="DV31" s="52" t="str">
        <f>'PC LIST'!BW524</f>
        <v>93% (water), 91% (wastewater)</v>
      </c>
    </row>
    <row r="32" spans="8:126" ht="15.75" customHeight="1">
      <c r="H32" s="52" t="str">
        <f>'PC LIST'!B45</f>
        <v>PR14ANHWSWW_S-F1</v>
      </c>
      <c r="I32" s="52" t="str">
        <f>'PC LIST'!I45</f>
        <v>S-F1: Sewerage infrastructure</v>
      </c>
      <c r="J32" s="52" t="str">
        <f>'PC LIST'!O45</f>
        <v>category</v>
      </c>
      <c r="K32" s="52" t="str">
        <f>'PC LIST'!P45</f>
        <v>Asset health indicator (RAG)</v>
      </c>
      <c r="L32" s="52" t="str">
        <f>'PC LIST'!Q45</f>
        <v>na</v>
      </c>
      <c r="M32" s="52" t="str">
        <f>'PC LIST'!J45</f>
        <v>Under</v>
      </c>
      <c r="N32" s="610" t="str">
        <f>'PC LIST'!BW45</f>
        <v>Green</v>
      </c>
      <c r="T32" s="52"/>
      <c r="U32" s="52"/>
      <c r="AC32" s="52" t="str">
        <f>'PC LIST'!B118</f>
        <v>PR14NESWSWW_S-D3</v>
      </c>
      <c r="AD32" s="53" t="str">
        <f>'PC LIST'!I118</f>
        <v>S-D3: Domestic customer satisfaction, net promoter score</v>
      </c>
      <c r="AE32" s="53" t="str">
        <f>'PC LIST'!O118</f>
        <v>%</v>
      </c>
      <c r="AF32" s="53" t="str">
        <f>'PC LIST'!P118</f>
        <v>% customer satisfaction</v>
      </c>
      <c r="AG32" s="52">
        <f>'PC LIST'!Q118</f>
        <v>0</v>
      </c>
      <c r="AH32" s="52" t="str">
        <f>'PC LIST'!J118</f>
        <v>NFI</v>
      </c>
      <c r="AI32" s="52">
        <f>'PC LIST'!BW118</f>
        <v>46</v>
      </c>
      <c r="BE32" s="52" t="str">
        <f>'PC LIST'!B211</f>
        <v>PR14SEWHHR_D2</v>
      </c>
      <c r="BF32" s="52" t="str">
        <f>'PC LIST'!I211</f>
        <v>D2: Service Incentive Mechanism (SIM)</v>
      </c>
      <c r="BG32" s="52" t="str">
        <f>'PC LIST'!O211</f>
        <v>score</v>
      </c>
      <c r="BH32" s="52" t="str">
        <f>'PC LIST'!P211</f>
        <v>Service incentive mechanism (SIM) score</v>
      </c>
      <c r="BI32" s="52">
        <f>'PC LIST'!Q211</f>
        <v>1</v>
      </c>
      <c r="BJ32" s="52" t="str">
        <f>'PC LIST'!J211</f>
        <v>Out &amp; under</v>
      </c>
      <c r="BK32" s="52">
        <f>'PC LIST'!BW211</f>
        <v>84.6</v>
      </c>
      <c r="BL32" s="52" t="str">
        <f>'PC LIST'!B245</f>
        <v>PR14SRNHHR_5</v>
      </c>
      <c r="BM32" s="52" t="str">
        <f>'PC LIST'!I245</f>
        <v>5: Billing queries</v>
      </c>
      <c r="BN32" s="52" t="str">
        <f>'PC LIST'!O245</f>
        <v>nr</v>
      </c>
      <c r="BO32" s="52" t="str">
        <f>'PC LIST'!P245</f>
        <v>No. of billing queries</v>
      </c>
      <c r="BP32" s="52">
        <f>'PC LIST'!Q245</f>
        <v>0</v>
      </c>
      <c r="BQ32" s="52" t="str">
        <f>'PC LIST'!J245</f>
        <v>NFI</v>
      </c>
      <c r="BR32" s="52">
        <f>'PC LIST'!BW245</f>
        <v>145962</v>
      </c>
      <c r="BZ32" s="52" t="str">
        <f>'PC LIST'!B293</f>
        <v>PR14SVTWSWW_S-A5</v>
      </c>
      <c r="CA32" s="52" t="str">
        <f>'PC LIST'!I293</f>
        <v>S-A5: Statutory obligations (Section 101A schemes)</v>
      </c>
      <c r="CB32" s="52" t="str">
        <f>'PC LIST'!O293</f>
        <v>nr</v>
      </c>
      <c r="CC32" s="52" t="str">
        <f>'PC LIST'!P293</f>
        <v>No. of connectable properties, identified as polluting or likely to pollute, associated with new Section 101A schemes</v>
      </c>
      <c r="CD32" s="52">
        <f>'PC LIST'!Q293</f>
        <v>0</v>
      </c>
      <c r="CE32" s="52" t="str">
        <f>'PC LIST'!J293</f>
        <v>NFI</v>
      </c>
      <c r="CF32" s="611">
        <f>'PC LIST'!BW293</f>
        <v>14</v>
      </c>
      <c r="CG32" s="52" t="str">
        <f>'PC LIST'!B338</f>
        <v>PR14SWTWSWW_S-C2</v>
      </c>
      <c r="CH32" s="54" t="str">
        <f>'PC LIST'!I338</f>
        <v>S-C2: Wastewater population equivalent sanitary compliance (%)</v>
      </c>
      <c r="CI32" s="54" t="str">
        <f>'PC LIST'!O338</f>
        <v>%</v>
      </c>
      <c r="CJ32" s="54" t="str">
        <f>'PC LIST'!P338</f>
        <v>% wastewater p.e. sanitary compliance</v>
      </c>
      <c r="CK32" s="52">
        <f>'PC LIST'!Q338</f>
        <v>1</v>
      </c>
      <c r="CL32" s="52" t="str">
        <f>'PC LIST'!J338</f>
        <v>NFI</v>
      </c>
      <c r="CM32" s="610">
        <f>'PC LIST'!BW338</f>
        <v>99.9</v>
      </c>
      <c r="CN32" s="52" t="str">
        <f>'PC LIST'!B380</f>
        <v>PR14TMSWSWW_SB8</v>
      </c>
      <c r="CO32" s="52" t="str">
        <f>'PC LIST'!I380</f>
        <v>SB8: Lee Tunnel including Shaft G</v>
      </c>
      <c r="CP32" s="52" t="str">
        <f>'PC LIST'!O380</f>
        <v>text</v>
      </c>
      <c r="CQ32" s="52" t="str">
        <f>'PC LIST'!P380</f>
        <v>Scheme delivery</v>
      </c>
      <c r="CR32" s="52" t="str">
        <f>'PC LIST'!Q380</f>
        <v>na</v>
      </c>
      <c r="CS32" s="52" t="str">
        <f>'PC LIST'!J380</f>
        <v>Under</v>
      </c>
      <c r="CT32" s="52" t="str">
        <f>'PC LIST'!BW380</f>
        <v>Scheme delivered 2015-16</v>
      </c>
      <c r="CW32" s="47"/>
      <c r="CX32" s="47"/>
      <c r="CY32" s="47"/>
      <c r="CZ32" s="47"/>
      <c r="DA32" s="47"/>
      <c r="DB32" s="52" t="str">
        <f>'PC LIST'!B462</f>
        <v>PR14WSHHHR_E1</v>
      </c>
      <c r="DC32" s="52" t="str">
        <f>'PC LIST'!I462</f>
        <v>E1: Affordable bills - annual increase</v>
      </c>
      <c r="DD32" s="52" t="str">
        <f>'PC LIST'!O462</f>
        <v>%</v>
      </c>
      <c r="DE32" s="52" t="str">
        <f>'PC LIST'!P462</f>
        <v>% above or below inflation (affordability of bills)</v>
      </c>
      <c r="DF32" s="52">
        <f>'PC LIST'!Q462</f>
        <v>0</v>
      </c>
      <c r="DG32" s="52" t="str">
        <f>'PC LIST'!J462</f>
        <v>NFI</v>
      </c>
      <c r="DH32" s="610">
        <f>'PC LIST'!BW462</f>
        <v>-1</v>
      </c>
      <c r="DI32" s="52" t="str">
        <f>'PC LIST'!B493</f>
        <v>PR14WSXHHR_B1a</v>
      </c>
      <c r="DJ32" s="52" t="str">
        <f>'PC LIST'!I493</f>
        <v>B1a: Volume of water used per person</v>
      </c>
      <c r="DK32" s="52" t="str">
        <f>'PC LIST'!O493</f>
        <v>nr</v>
      </c>
      <c r="DL32" s="52" t="str">
        <f>'PC LIST'!P493</f>
        <v>Litres per person per day (l/p/d)</v>
      </c>
      <c r="DM32" s="52">
        <f>'PC LIST'!Q493</f>
        <v>0</v>
      </c>
      <c r="DN32" s="52" t="str">
        <f>'PC LIST'!J493</f>
        <v>NFI</v>
      </c>
      <c r="DO32" s="52">
        <f>'PC LIST'!BW493</f>
        <v>141.19999999999999</v>
      </c>
      <c r="DP32" s="52" t="str">
        <f>'PC LIST'!B525</f>
        <v>PR14YKYHHR_RB1</v>
      </c>
      <c r="DQ32" s="52" t="str">
        <f>'PC LIST'!I525</f>
        <v>RB1: Cost of bad debt to customers (expressed as proportion of bill)</v>
      </c>
      <c r="DR32" s="52" t="str">
        <f>'PC LIST'!O525</f>
        <v>%</v>
      </c>
      <c r="DS32" s="52" t="str">
        <f>'PC LIST'!P525</f>
        <v>Cost of bad debt as % of average annual bill</v>
      </c>
      <c r="DT32" s="52">
        <f>'PC LIST'!Q525</f>
        <v>2</v>
      </c>
      <c r="DU32" s="52" t="str">
        <f>'PC LIST'!J525</f>
        <v>NFI</v>
      </c>
      <c r="DV32" s="52">
        <f>'PC LIST'!BW525</f>
        <v>2.94</v>
      </c>
    </row>
    <row r="33" spans="8:126" ht="15.75" customHeight="1">
      <c r="H33" s="52" t="str">
        <f>'PC LIST'!B46</f>
        <v>PR14ANHWSWW_S-F2</v>
      </c>
      <c r="I33" s="52" t="str">
        <f>'PC LIST'!I46</f>
        <v>S-F2: Sewerage non-infrastructure</v>
      </c>
      <c r="J33" s="52" t="str">
        <f>'PC LIST'!O46</f>
        <v>category</v>
      </c>
      <c r="K33" s="52" t="str">
        <f>'PC LIST'!P46</f>
        <v>Asset health indicator (RAG)</v>
      </c>
      <c r="L33" s="52" t="str">
        <f>'PC LIST'!Q46</f>
        <v>na</v>
      </c>
      <c r="M33" s="52" t="str">
        <f>'PC LIST'!J46</f>
        <v>Under</v>
      </c>
      <c r="N33" s="610" t="str">
        <f>'PC LIST'!BW46</f>
        <v>Green</v>
      </c>
      <c r="T33" s="52"/>
      <c r="U33" s="52"/>
      <c r="AC33" s="52" t="str">
        <f>'PC LIST'!B119</f>
        <v>PR14NESWSWW_S-E1</v>
      </c>
      <c r="AD33" s="53" t="str">
        <f>'PC LIST'!I119</f>
        <v>S-E1: NWL independent survey on keeping customers informed</v>
      </c>
      <c r="AE33" s="53" t="str">
        <f>'PC LIST'!O119</f>
        <v>%</v>
      </c>
      <c r="AF33" s="53" t="str">
        <f>'PC LIST'!P119</f>
        <v>% customer satisfaction</v>
      </c>
      <c r="AG33" s="52" t="str">
        <f>'PC LIST'!Q119</f>
        <v>TBC</v>
      </c>
      <c r="AH33" s="52" t="str">
        <f>'PC LIST'!J119</f>
        <v>NFI</v>
      </c>
      <c r="AI33" s="52">
        <f>'PC LIST'!BW119</f>
        <v>94</v>
      </c>
      <c r="BE33" s="52" t="str">
        <f>'PC LIST'!B212</f>
        <v>PR14SEWHHR_E1</v>
      </c>
      <c r="BF33" s="52" t="str">
        <f>'PC LIST'!I212</f>
        <v>E1: Customer satisfaction - bills are value for money and affordable</v>
      </c>
      <c r="BG33" s="52" t="str">
        <f>'PC LIST'!O212</f>
        <v>%</v>
      </c>
      <c r="BH33" s="52" t="str">
        <f>'PC LIST'!P212</f>
        <v>% customer satisfaction</v>
      </c>
      <c r="BI33" s="52">
        <f>'PC LIST'!Q212</f>
        <v>0</v>
      </c>
      <c r="BJ33" s="52" t="str">
        <f>'PC LIST'!J212</f>
        <v>NFI</v>
      </c>
      <c r="BK33" s="52">
        <f>'PC LIST'!BW212</f>
        <v>74</v>
      </c>
      <c r="BL33" s="52" t="str">
        <f>'PC LIST'!B246</f>
        <v>PR14SRNHHR_6</v>
      </c>
      <c r="BM33" s="52" t="str">
        <f>'PC LIST'!I246</f>
        <v>6: Take up of assistance schemes (number of customers who are receiving support through one of our financial assistance schemes)</v>
      </c>
      <c r="BN33" s="52" t="str">
        <f>'PC LIST'!O246</f>
        <v>nr</v>
      </c>
      <c r="BO33" s="52" t="str">
        <f>'PC LIST'!P246</f>
        <v>No. of assistance scheme customers</v>
      </c>
      <c r="BP33" s="52">
        <f>'PC LIST'!Q246</f>
        <v>0</v>
      </c>
      <c r="BQ33" s="52" t="str">
        <f>'PC LIST'!J246</f>
        <v>NFI</v>
      </c>
      <c r="BR33" s="52">
        <f>'PC LIST'!BW246</f>
        <v>194726</v>
      </c>
      <c r="BZ33" s="52" t="str">
        <f>'PC LIST'!B294</f>
        <v>PR14SVTWSWW_S-B1</v>
      </c>
      <c r="CA33" s="52" t="str">
        <f>'PC LIST'!I294</f>
        <v>S-B1: Customers rating our services as good value for money (based on tracker survey)</v>
      </c>
      <c r="CB33" s="52" t="str">
        <f>'PC LIST'!O294</f>
        <v>%</v>
      </c>
      <c r="CC33" s="52" t="str">
        <f>'PC LIST'!P294</f>
        <v>% customer satisfaction</v>
      </c>
      <c r="CD33" s="52">
        <f>'PC LIST'!Q294</f>
        <v>0</v>
      </c>
      <c r="CE33" s="52" t="str">
        <f>'PC LIST'!J294</f>
        <v>Out &amp; under</v>
      </c>
      <c r="CF33" s="611">
        <f>'PC LIST'!BW294</f>
        <v>58</v>
      </c>
      <c r="CG33" s="52" t="str">
        <f>'PC LIST'!B339</f>
        <v>PR14SWTWSWW_S-C3</v>
      </c>
      <c r="CH33" s="54" t="str">
        <f>'PC LIST'!I339</f>
        <v>S-C3: Wastewater descriptive works permit compliance (%)</v>
      </c>
      <c r="CI33" s="54" t="str">
        <f>'PC LIST'!O339</f>
        <v>%</v>
      </c>
      <c r="CJ33" s="54" t="str">
        <f>'PC LIST'!P339</f>
        <v>% wastewater desc works permit compliance</v>
      </c>
      <c r="CK33" s="52">
        <f>'PC LIST'!Q339</f>
        <v>1</v>
      </c>
      <c r="CL33" s="52" t="str">
        <f>'PC LIST'!J339</f>
        <v>Under</v>
      </c>
      <c r="CM33" s="610">
        <f>'PC LIST'!BW339</f>
        <v>99.4</v>
      </c>
      <c r="CN33" s="52" t="str">
        <f>'PC LIST'!B381</f>
        <v>PR14TMSWSWW_SB9</v>
      </c>
      <c r="CO33" s="52" t="str">
        <f>'PC LIST'!I381</f>
        <v>SB9: Deephams Wastewater Treatment Works</v>
      </c>
      <c r="CP33" s="52" t="str">
        <f>'PC LIST'!O381</f>
        <v>text</v>
      </c>
      <c r="CQ33" s="52" t="str">
        <f>'PC LIST'!P381</f>
        <v>Scheme delivery</v>
      </c>
      <c r="CR33" s="52" t="str">
        <f>'PC LIST'!Q381</f>
        <v>na</v>
      </c>
      <c r="CS33" s="52" t="str">
        <f>'PC LIST'!J381</f>
        <v>Under</v>
      </c>
      <c r="CT33" s="52" t="str">
        <f>'PC LIST'!BW381</f>
        <v>Performance commitment delivered</v>
      </c>
      <c r="CW33" s="47"/>
      <c r="CX33" s="47"/>
      <c r="CY33" s="47"/>
      <c r="CZ33" s="47"/>
      <c r="DA33" s="47"/>
      <c r="DB33" s="52" t="str">
        <f>'PC LIST'!B463</f>
        <v>PR14WSHHHR_E2</v>
      </c>
      <c r="DC33" s="52" t="str">
        <f>'PC LIST'!I463</f>
        <v>E2: Help for disadvantaged customers (customers benefiting from social tariffs)</v>
      </c>
      <c r="DD33" s="52" t="str">
        <f>'PC LIST'!O463</f>
        <v>nr</v>
      </c>
      <c r="DE33" s="52" t="str">
        <f>'PC LIST'!P463</f>
        <v>No. of customers benefiting from social tariffs</v>
      </c>
      <c r="DF33" s="52">
        <f>'PC LIST'!Q463</f>
        <v>0</v>
      </c>
      <c r="DG33" s="52" t="str">
        <f>'PC LIST'!J463</f>
        <v>NFI</v>
      </c>
      <c r="DH33" s="610">
        <f>'PC LIST'!BW463</f>
        <v>65461</v>
      </c>
      <c r="DI33" s="52" t="str">
        <f>'PC LIST'!B494</f>
        <v>PR14WSXHHR_B1b</v>
      </c>
      <c r="DJ33" s="52" t="str">
        <f>'PC LIST'!I494</f>
        <v>B1b: Volume of water saved by water efficiency promotion</v>
      </c>
      <c r="DK33" s="52" t="str">
        <f>'PC LIST'!O494</f>
        <v>nr</v>
      </c>
      <c r="DL33" s="52" t="str">
        <f>'PC LIST'!P494</f>
        <v>Litres per person per day (l/p/d)</v>
      </c>
      <c r="DM33" s="52">
        <f>'PC LIST'!Q494</f>
        <v>2</v>
      </c>
      <c r="DN33" s="52" t="str">
        <f>'PC LIST'!J494</f>
        <v>Under</v>
      </c>
      <c r="DO33" s="52">
        <f>'PC LIST'!BW494</f>
        <v>1.56</v>
      </c>
      <c r="DP33" s="52" t="str">
        <f>'PC LIST'!B526</f>
        <v>PR14YKYHHR_RB2</v>
      </c>
      <c r="DQ33" s="52" t="str">
        <f>'PC LIST'!I526</f>
        <v>RB2: Number of people who we help to pay their bill</v>
      </c>
      <c r="DR33" s="52" t="str">
        <f>'PC LIST'!O526</f>
        <v>nr</v>
      </c>
      <c r="DS33" s="52" t="str">
        <f>'PC LIST'!P526</f>
        <v>No. of customers who are assisted to pay their bill</v>
      </c>
      <c r="DT33" s="52">
        <f>'PC LIST'!Q526</f>
        <v>0</v>
      </c>
      <c r="DU33" s="52" t="str">
        <f>'PC LIST'!J526</f>
        <v>NFI</v>
      </c>
      <c r="DV33" s="52">
        <f>'PC LIST'!BW526</f>
        <v>26902</v>
      </c>
    </row>
    <row r="34" spans="8:126" ht="15.75" customHeight="1">
      <c r="H34" s="52" t="str">
        <f>'PC LIST'!B47</f>
        <v>PR14ANHHHR_R-A1</v>
      </c>
      <c r="I34" s="52" t="str">
        <f>'PC LIST'!I47</f>
        <v>R-A1: Qualitative service incentive mechanism (SIM) score</v>
      </c>
      <c r="J34" s="52" t="str">
        <f>'PC LIST'!O47</f>
        <v>text</v>
      </c>
      <c r="K34" s="52" t="str">
        <f>'PC LIST'!P47</f>
        <v>Service incentive mechanism (SIM) score ranking (WaSCs)</v>
      </c>
      <c r="L34" s="52" t="str">
        <f>'PC LIST'!Q47</f>
        <v>na</v>
      </c>
      <c r="M34" s="52" t="str">
        <f>'PC LIST'!J47</f>
        <v>NFI</v>
      </c>
      <c r="N34" s="610" t="str">
        <f>'PC LIST'!BW47</f>
        <v>6th among the 10 WaSCs</v>
      </c>
      <c r="T34" s="52"/>
      <c r="U34" s="52"/>
      <c r="AC34" s="52" t="str">
        <f>'PC LIST'!B120</f>
        <v>PR14NESWSWW_S-F1</v>
      </c>
      <c r="AD34" s="53" t="str">
        <f>'PC LIST'!I120</f>
        <v>S-F1: Greenhouse gas emissions</v>
      </c>
      <c r="AE34" s="53" t="str">
        <f>'PC LIST'!O120</f>
        <v>nr</v>
      </c>
      <c r="AF34" s="53" t="str">
        <f>'PC LIST'!P120</f>
        <v>ktCO2e</v>
      </c>
      <c r="AG34" s="52">
        <f>'PC LIST'!Q120</f>
        <v>0</v>
      </c>
      <c r="AH34" s="52" t="str">
        <f>'PC LIST'!J120</f>
        <v>NFI</v>
      </c>
      <c r="AI34" s="52">
        <f>'PC LIST'!BW120</f>
        <v>187.7</v>
      </c>
      <c r="BE34" s="52" t="str">
        <f>'PC LIST'!B213</f>
        <v>PR14SEWHHR_F1</v>
      </c>
      <c r="BF34" s="52" t="str">
        <f>'PC LIST'!I213</f>
        <v>F1: Customer satisfaction - water supply is of sufficient pressure</v>
      </c>
      <c r="BG34" s="52" t="str">
        <f>'PC LIST'!O213</f>
        <v>score</v>
      </c>
      <c r="BH34" s="52" t="str">
        <f>'PC LIST'!P213</f>
        <v>Customer satisfaction score out of 5</v>
      </c>
      <c r="BI34" s="52">
        <f>'PC LIST'!Q213</f>
        <v>1</v>
      </c>
      <c r="BJ34" s="52" t="str">
        <f>'PC LIST'!J213</f>
        <v>Out &amp; under</v>
      </c>
      <c r="BK34" s="52">
        <f>'PC LIST'!BW213</f>
        <v>4.2</v>
      </c>
      <c r="BL34" s="52" t="str">
        <f>'PC LIST'!B247</f>
        <v>PR14SRNHHR_7</v>
      </c>
      <c r="BM34" s="52" t="str">
        <f>'PC LIST'!I247</f>
        <v>7: Value-for-money</v>
      </c>
      <c r="BN34" s="52" t="str">
        <f>'PC LIST'!O247</f>
        <v>%</v>
      </c>
      <c r="BO34" s="52" t="str">
        <f>'PC LIST'!P247</f>
        <v>% of customers who feel they get vfm</v>
      </c>
      <c r="BP34" s="52">
        <f>'PC LIST'!Q247</f>
        <v>0</v>
      </c>
      <c r="BQ34" s="52" t="str">
        <f>'PC LIST'!J247</f>
        <v>NFI</v>
      </c>
      <c r="BR34" s="52">
        <f>'PC LIST'!BW247</f>
        <v>57.3</v>
      </c>
      <c r="BZ34" s="52" t="str">
        <f>'PC LIST'!B295</f>
        <v>PR14SVTWSWW_S-C1</v>
      </c>
      <c r="CA34" s="52" t="str">
        <f>'PC LIST'!I295</f>
        <v>S-C1: Improvements in river water quality against WFD criteria</v>
      </c>
      <c r="CB34" s="52" t="str">
        <f>'PC LIST'!O295</f>
        <v>nr</v>
      </c>
      <c r="CC34" s="52" t="str">
        <f>'PC LIST'!P295</f>
        <v>No. of WFD classification improvements</v>
      </c>
      <c r="CD34" s="52">
        <f>'PC LIST'!Q295</f>
        <v>0</v>
      </c>
      <c r="CE34" s="52" t="str">
        <f>'PC LIST'!J295</f>
        <v>Out &amp; under</v>
      </c>
      <c r="CF34" s="611">
        <f>'PC LIST'!BW295</f>
        <v>8</v>
      </c>
      <c r="CG34" s="52" t="str">
        <f>'PC LIST'!B340</f>
        <v>PR14SWTWSWW_S-C4</v>
      </c>
      <c r="CH34" s="54" t="str">
        <f>'PC LIST'!I340</f>
        <v>S-C4: Pollution incidents (category 1 and 2)</v>
      </c>
      <c r="CI34" s="54" t="str">
        <f>'PC LIST'!O340</f>
        <v>nr</v>
      </c>
      <c r="CJ34" s="54" t="str">
        <f>'PC LIST'!P340</f>
        <v>No. of pollution incidents (cats 1 and 2)</v>
      </c>
      <c r="CK34" s="52">
        <f>'PC LIST'!Q340</f>
        <v>0</v>
      </c>
      <c r="CL34" s="52" t="str">
        <f>'PC LIST'!J340</f>
        <v>Under</v>
      </c>
      <c r="CM34" s="610">
        <f>'PC LIST'!BW340</f>
        <v>4</v>
      </c>
      <c r="CN34" s="52" t="str">
        <f>'PC LIST'!B382</f>
        <v>PR14TMSWSWW_SC1</v>
      </c>
      <c r="CO34" s="52" t="str">
        <f>'PC LIST'!I382</f>
        <v>SC1: Greenhouse gas emissions from wastewater operations</v>
      </c>
      <c r="CP34" s="52" t="str">
        <f>'PC LIST'!O382</f>
        <v>nr</v>
      </c>
      <c r="CQ34" s="52" t="str">
        <f>'PC LIST'!P382</f>
        <v>ktCO2e</v>
      </c>
      <c r="CR34" s="52">
        <f>'PC LIST'!Q382</f>
        <v>1</v>
      </c>
      <c r="CS34" s="52" t="str">
        <f>'PC LIST'!J382</f>
        <v>NFI</v>
      </c>
      <c r="CT34" s="52">
        <f>'PC LIST'!BW382</f>
        <v>346.7</v>
      </c>
      <c r="CW34" s="47"/>
      <c r="CX34" s="47"/>
      <c r="CY34" s="47"/>
      <c r="CZ34" s="47"/>
      <c r="DA34" s="47"/>
      <c r="DD34" s="47"/>
      <c r="DE34" s="47"/>
      <c r="DI34" s="52" t="str">
        <f>'PC LIST'!B495</f>
        <v>PR14WSXHHR_B2</v>
      </c>
      <c r="DJ34" s="52" t="str">
        <f>'PC LIST'!I495</f>
        <v>B2: Bill as a proportion of disposable income</v>
      </c>
      <c r="DK34" s="52" t="str">
        <f>'PC LIST'!O495</f>
        <v>%</v>
      </c>
      <c r="DL34" s="52" t="str">
        <f>'PC LIST'!P495</f>
        <v>Bill as a proportion (%) of disposable income</v>
      </c>
      <c r="DM34" s="52">
        <f>'PC LIST'!Q495</f>
        <v>1</v>
      </c>
      <c r="DN34" s="52" t="str">
        <f>'PC LIST'!J495</f>
        <v>NFI</v>
      </c>
      <c r="DO34" s="52">
        <f>'PC LIST'!BW495</f>
        <v>1.4</v>
      </c>
      <c r="DP34" s="52" t="str">
        <f>'PC LIST'!B527</f>
        <v>PR14YKYHHR_RB3</v>
      </c>
      <c r="DQ34" s="52" t="str">
        <f>'PC LIST'!I527</f>
        <v>RB3: Value for money (CCWater annual tracking survey)</v>
      </c>
      <c r="DR34" s="52" t="str">
        <f>'PC LIST'!O527</f>
        <v>%</v>
      </c>
      <c r="DS34" s="52" t="str">
        <f>'PC LIST'!P527</f>
        <v>% customer satisfaction (CCWater tracking survey)</v>
      </c>
      <c r="DT34" s="52">
        <f>'PC LIST'!Q527</f>
        <v>0</v>
      </c>
      <c r="DU34" s="52" t="str">
        <f>'PC LIST'!J527</f>
        <v>NFI</v>
      </c>
      <c r="DV34" s="52" t="str">
        <f>'PC LIST'!BW527</f>
        <v>79% (water), 82% (wastewater)</v>
      </c>
    </row>
    <row r="35" spans="8:126" ht="15.75" customHeight="1">
      <c r="H35" s="52" t="str">
        <f>'PC LIST'!B48</f>
        <v>PR14ANHHHR_R-A2</v>
      </c>
      <c r="I35" s="52" t="str">
        <f>'PC LIST'!I48</f>
        <v>R-A2: Service incentive mechanism (SIM)</v>
      </c>
      <c r="J35" s="52" t="str">
        <f>'PC LIST'!O48</f>
        <v>score</v>
      </c>
      <c r="K35" s="52" t="str">
        <f>'PC LIST'!P48</f>
        <v>Service incentive mechanism (SIM) score</v>
      </c>
      <c r="L35" s="52">
        <f>'PC LIST'!Q48</f>
        <v>0</v>
      </c>
      <c r="M35" s="52" t="str">
        <f>'PC LIST'!J48</f>
        <v>Out &amp; under</v>
      </c>
      <c r="N35" s="610">
        <f>'PC LIST'!BW48</f>
        <v>86</v>
      </c>
      <c r="T35" s="52"/>
      <c r="U35" s="52"/>
      <c r="AC35" s="52" t="str">
        <f>'PC LIST'!B121</f>
        <v>PR14NESWSWW_S-F2</v>
      </c>
      <c r="AD35" s="53" t="str">
        <f>'PC LIST'!I121</f>
        <v>S-F2: Annual environmental performance report</v>
      </c>
      <c r="AE35" s="53" t="str">
        <f>'PC LIST'!O121</f>
        <v>text</v>
      </c>
      <c r="AF35" s="53" t="str">
        <f>'PC LIST'!P121</f>
        <v>CRAG report publication</v>
      </c>
      <c r="AG35" s="52" t="str">
        <f>'PC LIST'!Q121</f>
        <v>na</v>
      </c>
      <c r="AH35" s="52" t="str">
        <f>'PC LIST'!J121</f>
        <v>NFI</v>
      </c>
      <c r="AI35" s="52" t="str">
        <f>'PC LIST'!BW121</f>
        <v>Report published</v>
      </c>
      <c r="BE35" s="52" t="str">
        <f>'PC LIST'!B214</f>
        <v>PR14SEWHHR_G1</v>
      </c>
      <c r="BF35" s="52" t="str">
        <f>'PC LIST'!I214</f>
        <v>G1: Customer satisfaction - frequency and duration of supply interruptions</v>
      </c>
      <c r="BG35" s="52" t="str">
        <f>'PC LIST'!O214</f>
        <v>score</v>
      </c>
      <c r="BH35" s="52" t="str">
        <f>'PC LIST'!P214</f>
        <v>Customer satisfaction score out of 5</v>
      </c>
      <c r="BI35" s="52">
        <f>'PC LIST'!Q214</f>
        <v>1</v>
      </c>
      <c r="BJ35" s="52" t="str">
        <f>'PC LIST'!J214</f>
        <v>Out &amp; under</v>
      </c>
      <c r="BK35" s="52">
        <f>'PC LIST'!BW214</f>
        <v>4.5999999999999996</v>
      </c>
      <c r="BL35" s="52" t="str">
        <f>'PC LIST'!B248</f>
        <v>PR14SRNHHR_8</v>
      </c>
      <c r="BM35" s="52" t="str">
        <f>'PC LIST'!I248</f>
        <v>8: Service Incentive Mechanism (SIM)</v>
      </c>
      <c r="BN35" s="52" t="str">
        <f>'PC LIST'!O248</f>
        <v>score</v>
      </c>
      <c r="BO35" s="52" t="str">
        <f>'PC LIST'!P248</f>
        <v>Service incentive mechanism (SIM) score</v>
      </c>
      <c r="BP35" s="52">
        <f>'PC LIST'!Q248</f>
        <v>0</v>
      </c>
      <c r="BQ35" s="52" t="str">
        <f>'PC LIST'!J248</f>
        <v>Out &amp; under</v>
      </c>
      <c r="BR35" s="52">
        <f>'PC LIST'!BW248</f>
        <v>78.13</v>
      </c>
      <c r="BZ35" s="52" t="str">
        <f>'PC LIST'!B296</f>
        <v>PR14SVTWSWW_S-C2</v>
      </c>
      <c r="CA35" s="52" t="str">
        <f>'PC LIST'!I296</f>
        <v>S-C2: The number of category 3 pollution incidents</v>
      </c>
      <c r="CB35" s="52" t="str">
        <f>'PC LIST'!O296</f>
        <v>nr</v>
      </c>
      <c r="CC35" s="52" t="str">
        <f>'PC LIST'!P296</f>
        <v>No. of pollution incidents (cat 3)</v>
      </c>
      <c r="CD35" s="52">
        <f>'PC LIST'!Q296</f>
        <v>0</v>
      </c>
      <c r="CE35" s="52" t="str">
        <f>'PC LIST'!J296</f>
        <v>Out &amp; under</v>
      </c>
      <c r="CF35" s="611">
        <f>'PC LIST'!BW296</f>
        <v>301</v>
      </c>
      <c r="CG35" s="52" t="str">
        <f>'PC LIST'!B341</f>
        <v>PR14SWTWSWW_S-C5</v>
      </c>
      <c r="CH35" s="54" t="str">
        <f>'PC LIST'!I341</f>
        <v>S-C5: Pollution incidents (category 3 and 4)</v>
      </c>
      <c r="CI35" s="54" t="str">
        <f>'PC LIST'!O341</f>
        <v>nr</v>
      </c>
      <c r="CJ35" s="54" t="str">
        <f>'PC LIST'!P341</f>
        <v>No. of pollution incidents (cats 3 and 4)</v>
      </c>
      <c r="CK35" s="52">
        <f>'PC LIST'!Q341</f>
        <v>0</v>
      </c>
      <c r="CL35" s="52" t="str">
        <f>'PC LIST'!J341</f>
        <v>Under</v>
      </c>
      <c r="CM35" s="610">
        <f>'PC LIST'!BW341</f>
        <v>252</v>
      </c>
      <c r="CN35" s="52" t="str">
        <f>'PC LIST'!B383</f>
        <v>PR14TMSWSWW_SC2</v>
      </c>
      <c r="CO35" s="52" t="str">
        <f>'PC LIST'!I383</f>
        <v>SC2: Total category 1-3 pollution incidents from sewage related premises</v>
      </c>
      <c r="CP35" s="52" t="str">
        <f>'PC LIST'!O383</f>
        <v>nr</v>
      </c>
      <c r="CQ35" s="52" t="str">
        <f>'PC LIST'!P383</f>
        <v>No. of pollution incidents (cats 1, 2 and 3)</v>
      </c>
      <c r="CR35" s="52">
        <f>'PC LIST'!Q383</f>
        <v>0</v>
      </c>
      <c r="CS35" s="52" t="str">
        <f>'PC LIST'!J383</f>
        <v>Out &amp; under</v>
      </c>
      <c r="CT35" s="52">
        <f>'PC LIST'!BW383</f>
        <v>315</v>
      </c>
      <c r="DD35" s="47"/>
      <c r="DE35" s="47"/>
      <c r="DF35" s="47"/>
      <c r="DG35" s="47"/>
      <c r="DH35" s="47"/>
      <c r="DK35" s="47"/>
      <c r="DL35" s="47"/>
      <c r="DO35" s="52"/>
      <c r="DP35" s="52" t="str">
        <f>'PC LIST'!B528</f>
        <v>PR14YKYHHR_RC1</v>
      </c>
      <c r="DQ35" s="52" t="str">
        <f>'PC LIST'!I528</f>
        <v>RC1: Proportion of energy use generated by renewable technology (note: PC is part of a total commitment at Appointee level - see also WD1 and SC1)</v>
      </c>
      <c r="DR35" s="52" t="str">
        <f>'PC LIST'!O528</f>
        <v>%</v>
      </c>
      <c r="DS35" s="52" t="str">
        <f>'PC LIST'!P528</f>
        <v>% of energy use generated by renewable technology</v>
      </c>
      <c r="DT35" s="52">
        <f>'PC LIST'!Q528</f>
        <v>0</v>
      </c>
      <c r="DU35" s="52" t="str">
        <f>'PC LIST'!J528</f>
        <v>NFI</v>
      </c>
      <c r="DV35" s="52">
        <f>'PC LIST'!BW528</f>
        <v>10</v>
      </c>
    </row>
    <row r="36" spans="8:126" ht="15.75" customHeight="1">
      <c r="H36" s="52" t="str">
        <f>'PC LIST'!B49</f>
        <v>PR14ANHHHR_R-A3</v>
      </c>
      <c r="I36" s="52" t="str">
        <f>'PC LIST'!I49</f>
        <v>R-A3: Customer Satisfaction Index prepared by UK Institute of Customer Service</v>
      </c>
      <c r="J36" s="52" t="str">
        <f>'PC LIST'!O49</f>
        <v>rank</v>
      </c>
      <c r="K36" s="52" t="str">
        <f>'PC LIST'!P49</f>
        <v>UK ICS Customer Satisfaction Index score ranking among utility companies</v>
      </c>
      <c r="L36" s="52" t="str">
        <f>'PC LIST'!Q49</f>
        <v>na</v>
      </c>
      <c r="M36" s="52" t="str">
        <f>'PC LIST'!J49</f>
        <v>NFI</v>
      </c>
      <c r="N36" s="610" t="str">
        <f>'PC LIST'!BW49</f>
        <v>9/23</v>
      </c>
      <c r="T36" s="52"/>
      <c r="U36" s="52"/>
      <c r="AC36" s="52" t="str">
        <f>'PC LIST'!B122</f>
        <v>PR14NESHHR_R-B1</v>
      </c>
      <c r="AD36" s="53" t="str">
        <f>'PC LIST'!I122</f>
        <v>R-B1: NWL independent overall customer satisfaction score</v>
      </c>
      <c r="AE36" s="53" t="str">
        <f>'PC LIST'!O122</f>
        <v>score</v>
      </c>
      <c r="AF36" s="53" t="str">
        <f>'PC LIST'!P122</f>
        <v>Customer satisfaction score out of 10</v>
      </c>
      <c r="AG36" s="52">
        <f>'PC LIST'!Q122</f>
        <v>1</v>
      </c>
      <c r="AH36" s="52" t="str">
        <f>'PC LIST'!J122</f>
        <v>NFI</v>
      </c>
      <c r="AI36" s="52">
        <f>'PC LIST'!BW122</f>
        <v>8.5</v>
      </c>
      <c r="BE36" s="52" t="str">
        <f>'PC LIST'!B215</f>
        <v>PR14SEWHHR_H1</v>
      </c>
      <c r="BF36" s="52" t="str">
        <f>'PC LIST'!I215</f>
        <v>H1: Customer satisfaction - frequency of water use restrictions</v>
      </c>
      <c r="BG36" s="52" t="str">
        <f>'PC LIST'!O215</f>
        <v>score</v>
      </c>
      <c r="BH36" s="52" t="str">
        <f>'PC LIST'!P215</f>
        <v>Customer satisfaction score out of 5</v>
      </c>
      <c r="BI36" s="52">
        <f>'PC LIST'!Q215</f>
        <v>1</v>
      </c>
      <c r="BJ36" s="52" t="str">
        <f>'PC LIST'!J215</f>
        <v>Out &amp; under</v>
      </c>
      <c r="BK36" s="52">
        <f>'PC LIST'!BW215</f>
        <v>4.4000000000000004</v>
      </c>
      <c r="BL36" s="52"/>
      <c r="BM36" s="52"/>
      <c r="BN36" s="52"/>
      <c r="BO36" s="52"/>
      <c r="BZ36" s="52" t="str">
        <f>'PC LIST'!B297</f>
        <v>PR14SVTWSWW_S-C3</v>
      </c>
      <c r="CA36" s="52" t="str">
        <f>'PC LIST'!I297</f>
        <v>S-C3: Asset stewardship - environmental compliance (basket of measures)</v>
      </c>
      <c r="CB36" s="52" t="str">
        <f>'PC LIST'!O297</f>
        <v>%</v>
      </c>
      <c r="CC36" s="52" t="str">
        <f>'PC LIST'!P297</f>
        <v>% compliance with WwTW regulations</v>
      </c>
      <c r="CD36" s="52">
        <f>'PC LIST'!Q297</f>
        <v>2</v>
      </c>
      <c r="CE36" s="52" t="str">
        <f>'PC LIST'!J297</f>
        <v>Under</v>
      </c>
      <c r="CF36" s="611">
        <f>'PC LIST'!BW297</f>
        <v>97.988160870777804</v>
      </c>
      <c r="CG36" s="52" t="str">
        <f>'PC LIST'!B342</f>
        <v>PR14SWTWSWW_S-C6</v>
      </c>
      <c r="CH36" s="54" t="str">
        <f>'PC LIST'!I342</f>
        <v>S-C6: Operational carbon emissions (ktCO2e)</v>
      </c>
      <c r="CI36" s="54" t="str">
        <f>'PC LIST'!O342</f>
        <v>nr</v>
      </c>
      <c r="CJ36" s="54" t="str">
        <f>'PC LIST'!P342</f>
        <v>ktCO2e</v>
      </c>
      <c r="CK36" s="52">
        <f>'PC LIST'!Q342</f>
        <v>1</v>
      </c>
      <c r="CL36" s="52" t="str">
        <f>'PC LIST'!J342</f>
        <v>NFI</v>
      </c>
      <c r="CM36" s="610">
        <f>'PC LIST'!BW342</f>
        <v>85.9</v>
      </c>
      <c r="CN36" s="52" t="str">
        <f>'PC LIST'!B384</f>
        <v>PR14TMSWSWW_SC3</v>
      </c>
      <c r="CO36" s="52" t="str">
        <f>'PC LIST'!I384</f>
        <v>SC3: Sewage treatment works discharge compliance</v>
      </c>
      <c r="CP36" s="52" t="str">
        <f>'PC LIST'!O384</f>
        <v>%</v>
      </c>
      <c r="CQ36" s="52" t="str">
        <f>'PC LIST'!P384</f>
        <v>% WwTW discharge compliance</v>
      </c>
      <c r="CR36" s="52">
        <f>'PC LIST'!Q384</f>
        <v>2</v>
      </c>
      <c r="CS36" s="52" t="str">
        <f>'PC LIST'!J384</f>
        <v>Under</v>
      </c>
      <c r="CT36" s="52">
        <f>'PC LIST'!BW384</f>
        <v>98.28</v>
      </c>
      <c r="DD36" s="47"/>
      <c r="DE36" s="47"/>
      <c r="DF36" s="47"/>
      <c r="DG36" s="47"/>
      <c r="DH36" s="47"/>
      <c r="DK36" s="47"/>
      <c r="DL36" s="47"/>
      <c r="DM36" s="47"/>
      <c r="DN36" s="47"/>
      <c r="DO36" s="52"/>
      <c r="DP36" s="52" t="str">
        <f>'PC LIST'!B529</f>
        <v>PR14YKYHHR_RC2</v>
      </c>
      <c r="DQ36" s="52" t="str">
        <f>'PC LIST'!I529</f>
        <v>RC2: Proportion of waste diverted from landfill (re-used and recycled) (note: PC is part of a total commitment at Appointee level - see also WD2 and SC2)</v>
      </c>
      <c r="DR36" s="52" t="str">
        <f>'PC LIST'!O529</f>
        <v>%</v>
      </c>
      <c r="DS36" s="52" t="str">
        <f>'PC LIST'!P529</f>
        <v>% of waste diverted from landfill (re-used and recycled)</v>
      </c>
      <c r="DT36" s="52">
        <f>'PC LIST'!Q529</f>
        <v>0</v>
      </c>
      <c r="DU36" s="52" t="str">
        <f>'PC LIST'!J529</f>
        <v>NFI</v>
      </c>
      <c r="DV36" s="52">
        <f>'PC LIST'!BW529</f>
        <v>99</v>
      </c>
    </row>
    <row r="37" spans="8:126" ht="15.75" customHeight="1">
      <c r="H37" s="52" t="str">
        <f>'PC LIST'!B50</f>
        <v>PR14ANHHHR_R-B1</v>
      </c>
      <c r="I37" s="52" t="str">
        <f>'PC LIST'!I50</f>
        <v>R-B1: Fairness of bills perception - variation from baseline against WaSCs</v>
      </c>
      <c r="J37" s="52" t="str">
        <f>'PC LIST'!O50</f>
        <v>%</v>
      </c>
      <c r="K37" s="52" t="str">
        <f>'PC LIST'!P50</f>
        <v>% variation from WaSC baseline</v>
      </c>
      <c r="L37" s="52">
        <f>'PC LIST'!Q50</f>
        <v>0</v>
      </c>
      <c r="M37" s="52" t="str">
        <f>'PC LIST'!J50</f>
        <v>Out &amp; under</v>
      </c>
      <c r="N37" s="610">
        <f>'PC LIST'!BW50</f>
        <v>3</v>
      </c>
      <c r="T37" s="52"/>
      <c r="U37" s="52"/>
      <c r="AC37" s="52" t="str">
        <f>'PC LIST'!B123</f>
        <v>PR14NESHHR_R-B2</v>
      </c>
      <c r="AD37" s="53" t="str">
        <f>'PC LIST'!I123</f>
        <v>R-B2: Service incentive mechanism (SIM)</v>
      </c>
      <c r="AE37" s="53" t="str">
        <f>'PC LIST'!O123</f>
        <v>score</v>
      </c>
      <c r="AF37" s="53" t="str">
        <f>'PC LIST'!P123</f>
        <v>Service incentive mechanism (SIM) score</v>
      </c>
      <c r="AG37" s="52">
        <f>'PC LIST'!Q123</f>
        <v>1</v>
      </c>
      <c r="AH37" s="52" t="str">
        <f>'PC LIST'!J123</f>
        <v>Out &amp; under</v>
      </c>
      <c r="AI37" s="52">
        <f>'PC LIST'!BW123</f>
        <v>87.53</v>
      </c>
      <c r="BE37" s="52"/>
      <c r="BF37" s="52"/>
      <c r="BG37" s="52"/>
      <c r="BH37" s="52"/>
      <c r="BJ37" s="52"/>
      <c r="BK37" s="52"/>
      <c r="BN37" s="47"/>
      <c r="BO37" s="47"/>
      <c r="BP37" s="47"/>
      <c r="BQ37" s="47"/>
      <c r="BR37" s="47"/>
      <c r="BZ37" s="52" t="str">
        <f>'PC LIST'!B298</f>
        <v>PR14SVTWSWW_S-C4</v>
      </c>
      <c r="CA37" s="52" t="str">
        <f>'PC LIST'!I298</f>
        <v>S-C4: Biodiversity</v>
      </c>
      <c r="CB37" s="52" t="str">
        <f>'PC LIST'!O298</f>
        <v>nr</v>
      </c>
      <c r="CC37" s="52" t="str">
        <f>'PC LIST'!P298</f>
        <v>No. of hectares improved</v>
      </c>
      <c r="CD37" s="52">
        <f>'PC LIST'!Q298</f>
        <v>0</v>
      </c>
      <c r="CE37" s="52" t="str">
        <f>'PC LIST'!J298</f>
        <v>Out &amp; under</v>
      </c>
      <c r="CF37" s="611">
        <f>'PC LIST'!BW298</f>
        <v>293</v>
      </c>
      <c r="CG37" s="52" t="str">
        <f>'PC LIST'!B343</f>
        <v>PR14SWTWSWW_S-C7</v>
      </c>
      <c r="CH37" s="54" t="str">
        <f>'PC LIST'!I343</f>
        <v>S-C7: Energy from renewable sources (%)</v>
      </c>
      <c r="CI37" s="54" t="str">
        <f>'PC LIST'!O343</f>
        <v>%</v>
      </c>
      <c r="CJ37" s="54" t="str">
        <f>'PC LIST'!P343</f>
        <v>% energy from renewable sources</v>
      </c>
      <c r="CK37" s="52">
        <f>'PC LIST'!Q343</f>
        <v>2</v>
      </c>
      <c r="CL37" s="52" t="str">
        <f>'PC LIST'!J343</f>
        <v>NFI</v>
      </c>
      <c r="CM37" s="610">
        <f>'PC LIST'!BW343</f>
        <v>2.75</v>
      </c>
      <c r="CN37" s="52" t="str">
        <f>'PC LIST'!B385</f>
        <v>PR14TMSWSWW_SC4</v>
      </c>
      <c r="CO37" s="52" t="str">
        <f>'PC LIST'!I385</f>
        <v>SC4: Water bodies improved or protected from deterioration as a result of Thames Water's activities</v>
      </c>
      <c r="CP37" s="52" t="str">
        <f>'PC LIST'!O385</f>
        <v>nr</v>
      </c>
      <c r="CQ37" s="52" t="str">
        <f>'PC LIST'!P385</f>
        <v>No. of water bodies improved or protected by catchment management</v>
      </c>
      <c r="CR37" s="52">
        <f>'PC LIST'!Q385</f>
        <v>0</v>
      </c>
      <c r="CS37" s="52" t="str">
        <f>'PC LIST'!J385</f>
        <v>NFI</v>
      </c>
      <c r="CT37" s="52">
        <f>'PC LIST'!BW385</f>
        <v>0</v>
      </c>
      <c r="DD37" s="47"/>
      <c r="DE37" s="47"/>
      <c r="DF37" s="47"/>
      <c r="DG37" s="47"/>
      <c r="DH37" s="47"/>
      <c r="DI37" s="52"/>
      <c r="DJ37" s="52"/>
      <c r="DK37" s="52"/>
      <c r="DL37" s="52"/>
      <c r="DM37" s="52"/>
      <c r="DN37" s="52"/>
      <c r="DO37" s="52"/>
      <c r="DV37" s="52"/>
    </row>
    <row r="38" spans="8:126" ht="15.75" customHeight="1">
      <c r="H38" s="52" t="str">
        <f>'PC LIST'!B51</f>
        <v>PR14ANHHHR_R-B2</v>
      </c>
      <c r="I38" s="52" t="str">
        <f>'PC LIST'!I51</f>
        <v>R-B2: Affordability perception - variation from baseline against WaSCs</v>
      </c>
      <c r="J38" s="52" t="str">
        <f>'PC LIST'!O51</f>
        <v>%</v>
      </c>
      <c r="K38" s="52" t="str">
        <f>'PC LIST'!P51</f>
        <v>% variation from WaSC baseline</v>
      </c>
      <c r="L38" s="52">
        <f>'PC LIST'!Q51</f>
        <v>0</v>
      </c>
      <c r="M38" s="52" t="str">
        <f>'PC LIST'!J51</f>
        <v>Out &amp; under</v>
      </c>
      <c r="N38" s="610">
        <f>'PC LIST'!BW51</f>
        <v>4</v>
      </c>
      <c r="T38" s="52"/>
      <c r="U38" s="52"/>
      <c r="AC38" s="52" t="str">
        <f>'PC LIST'!B124</f>
        <v>PR14NESHHR_R-B3</v>
      </c>
      <c r="AD38" s="53" t="str">
        <f>'PC LIST'!I124</f>
        <v>R-B3: Domestic customer satisfaction, net promoter score</v>
      </c>
      <c r="AE38" s="53" t="str">
        <f>'PC LIST'!O124</f>
        <v>%</v>
      </c>
      <c r="AF38" s="53" t="str">
        <f>'PC LIST'!P124</f>
        <v>% customer satisfaction</v>
      </c>
      <c r="AG38" s="52">
        <f>'PC LIST'!Q124</f>
        <v>0</v>
      </c>
      <c r="AH38" s="52" t="str">
        <f>'PC LIST'!J124</f>
        <v>NFI</v>
      </c>
      <c r="AI38" s="52">
        <f>'PC LIST'!BW124</f>
        <v>46</v>
      </c>
      <c r="BG38" s="47"/>
      <c r="BH38" s="47"/>
      <c r="BI38" s="47"/>
      <c r="BJ38" s="52"/>
      <c r="BK38" s="52"/>
      <c r="BN38" s="47"/>
      <c r="BO38" s="47"/>
      <c r="BP38" s="47"/>
      <c r="BQ38" s="47"/>
      <c r="BR38" s="47"/>
      <c r="BZ38" s="52" t="str">
        <f>'PC LIST'!B299</f>
        <v>PR14SVTWSWW_S-C5</v>
      </c>
      <c r="CA38" s="52" t="str">
        <f>'PC LIST'!I299</f>
        <v>S-C5: Sustainable sewage treatment</v>
      </c>
      <c r="CB38" s="52" t="str">
        <f>'PC LIST'!O299</f>
        <v>nr</v>
      </c>
      <c r="CC38" s="52" t="str">
        <f>'PC LIST'!P299</f>
        <v>No. of WwTWs avoiding investment</v>
      </c>
      <c r="CD38" s="52">
        <f>'PC LIST'!Q299</f>
        <v>0</v>
      </c>
      <c r="CE38" s="52" t="str">
        <f>'PC LIST'!J299</f>
        <v>Out</v>
      </c>
      <c r="CF38" s="611">
        <f>'PC LIST'!BW299</f>
        <v>0</v>
      </c>
      <c r="CG38" s="52" t="str">
        <f>'PC LIST'!B344</f>
        <v>PR14SWTWSWW_S-D1</v>
      </c>
      <c r="CH38" s="54" t="str">
        <f>'PC LIST'!I344</f>
        <v>S-D1: Bathing water quality</v>
      </c>
      <c r="CI38" s="54" t="str">
        <f>'PC LIST'!O344</f>
        <v>nr</v>
      </c>
      <c r="CJ38" s="54" t="str">
        <f>'PC LIST'!P344</f>
        <v>No. of bathing waters meeting or exceeding agreed standard</v>
      </c>
      <c r="CK38" s="52">
        <f>'PC LIST'!Q344</f>
        <v>0</v>
      </c>
      <c r="CL38" s="52" t="str">
        <f>'PC LIST'!J344</f>
        <v>Out &amp; under</v>
      </c>
      <c r="CM38" s="610">
        <f>'PC LIST'!BW344</f>
        <v>0</v>
      </c>
      <c r="CN38" s="52" t="str">
        <f>'PC LIST'!B386</f>
        <v>PR14TMSWSWW_SC5</v>
      </c>
      <c r="CO38" s="52" t="str">
        <f>'PC LIST'!I386</f>
        <v>SC5: Satisfactory sludge disposal compliance</v>
      </c>
      <c r="CP38" s="52" t="str">
        <f>'PC LIST'!O386</f>
        <v>%</v>
      </c>
      <c r="CQ38" s="52" t="str">
        <f>'PC LIST'!P386</f>
        <v>% satisfactory sludge disposal compliance</v>
      </c>
      <c r="CR38" s="52">
        <f>'PC LIST'!Q386</f>
        <v>0</v>
      </c>
      <c r="CS38" s="52" t="str">
        <f>'PC LIST'!J386</f>
        <v>NFI</v>
      </c>
      <c r="CT38" s="52">
        <f>'PC LIST'!BW386</f>
        <v>100</v>
      </c>
      <c r="DD38" s="47"/>
      <c r="DE38" s="47"/>
      <c r="DF38" s="47"/>
      <c r="DG38" s="47"/>
      <c r="DH38" s="47"/>
      <c r="DI38" s="52"/>
      <c r="DJ38" s="52"/>
      <c r="DK38" s="52"/>
      <c r="DL38" s="52"/>
      <c r="DM38" s="52"/>
      <c r="DN38" s="52"/>
      <c r="DO38" s="52"/>
      <c r="DV38" s="52"/>
    </row>
    <row r="39" spans="8:126" ht="15.75" customHeight="1">
      <c r="H39" s="52" t="str">
        <f>'PC LIST'!B52</f>
        <v>PR14ANHHHR_R-C1</v>
      </c>
      <c r="I39" s="52" t="str">
        <f>'PC LIST'!I52</f>
        <v>R-C1: Operational carbon (% reduction from 2015 baseline)</v>
      </c>
      <c r="J39" s="52" t="str">
        <f>'PC LIST'!O52</f>
        <v>%</v>
      </c>
      <c r="K39" s="52" t="str">
        <f>'PC LIST'!P52</f>
        <v>% reduction from 2015 baseline</v>
      </c>
      <c r="L39" s="52">
        <f>'PC LIST'!Q52</f>
        <v>0</v>
      </c>
      <c r="M39" s="52" t="str">
        <f>'PC LIST'!J52</f>
        <v>NFI</v>
      </c>
      <c r="N39" s="610">
        <f>'PC LIST'!BW52</f>
        <v>11</v>
      </c>
      <c r="T39" s="52"/>
      <c r="U39" s="52"/>
      <c r="AC39" s="52" t="str">
        <f>'PC LIST'!B125</f>
        <v>PR14NESHHR_R-C1</v>
      </c>
      <c r="AD39" s="53" t="str">
        <f>'PC LIST'!I125</f>
        <v>R-C1: NWL independent value for money survey</v>
      </c>
      <c r="AE39" s="53" t="str">
        <f>'PC LIST'!O125</f>
        <v>score</v>
      </c>
      <c r="AF39" s="53" t="str">
        <f>'PC LIST'!P125</f>
        <v>Customer satisfaction score out of 10</v>
      </c>
      <c r="AG39" s="52">
        <f>'PC LIST'!Q125</f>
        <v>1</v>
      </c>
      <c r="AH39" s="52" t="str">
        <f>'PC LIST'!J125</f>
        <v>NFI</v>
      </c>
      <c r="AI39" s="52">
        <f>'PC LIST'!BW125</f>
        <v>8.1999999999999993</v>
      </c>
      <c r="BG39" s="47"/>
      <c r="BH39" s="47"/>
      <c r="BI39" s="47"/>
      <c r="BJ39" s="52"/>
      <c r="BK39" s="52"/>
      <c r="BN39" s="47"/>
      <c r="BO39" s="47"/>
      <c r="BP39" s="47"/>
      <c r="BQ39" s="47"/>
      <c r="BR39" s="47"/>
      <c r="BZ39" s="52" t="str">
        <f>'PC LIST'!B300</f>
        <v>PR14SVTWSWW_S-C6</v>
      </c>
      <c r="CA39" s="52" t="str">
        <f>'PC LIST'!I300</f>
        <v>S-C6: Serious pollution incidents</v>
      </c>
      <c r="CB39" s="52" t="str">
        <f>'PC LIST'!O300</f>
        <v>nr</v>
      </c>
      <c r="CC39" s="52" t="str">
        <f>'PC LIST'!P300</f>
        <v>No. of pollution incidents (cats 1 and 2)</v>
      </c>
      <c r="CD39" s="52">
        <f>'PC LIST'!Q300</f>
        <v>0</v>
      </c>
      <c r="CE39" s="52" t="str">
        <f>'PC LIST'!J300</f>
        <v>NFI</v>
      </c>
      <c r="CF39" s="611">
        <f>'PC LIST'!BW300</f>
        <v>7</v>
      </c>
      <c r="CG39" s="52" t="str">
        <f>'PC LIST'!B345</f>
        <v>PR14SWTWSWW_S-D2</v>
      </c>
      <c r="CH39" s="54" t="str">
        <f>'PC LIST'!I345</f>
        <v>S-D2: Combined sewer overflow spills (number)</v>
      </c>
      <c r="CI39" s="54" t="str">
        <f>'PC LIST'!O345</f>
        <v>nr</v>
      </c>
      <c r="CJ39" s="54" t="str">
        <f>'PC LIST'!P345</f>
        <v>No. of combined sewer overflow (CSO) spills per year</v>
      </c>
      <c r="CK39" s="52">
        <f>'PC LIST'!Q345</f>
        <v>0</v>
      </c>
      <c r="CL39" s="52" t="str">
        <f>'PC LIST'!J345</f>
        <v>NFI</v>
      </c>
      <c r="CM39" s="610" t="str">
        <f>'PC LIST'!BW345</f>
        <v>N/A</v>
      </c>
      <c r="CN39" s="52" t="str">
        <f>'PC LIST'!B387</f>
        <v>PR14TMSWSWW_SC6</v>
      </c>
      <c r="CO39" s="52" t="str">
        <f>'PC LIST'!I387</f>
        <v>SC6: We will educate our existing and future customers</v>
      </c>
      <c r="CP39" s="52" t="str">
        <f>'PC LIST'!O387</f>
        <v>nr</v>
      </c>
      <c r="CQ39" s="52" t="str">
        <f>'PC LIST'!P387</f>
        <v>No. of children directly engaged</v>
      </c>
      <c r="CR39" s="52">
        <f>'PC LIST'!Q387</f>
        <v>0</v>
      </c>
      <c r="CS39" s="52" t="str">
        <f>'PC LIST'!J387</f>
        <v>NFI</v>
      </c>
      <c r="CT39" s="52">
        <f>'PC LIST'!BW387</f>
        <v>20898</v>
      </c>
      <c r="DD39" s="47"/>
      <c r="DE39" s="47"/>
      <c r="DF39" s="47"/>
      <c r="DG39" s="47"/>
      <c r="DH39" s="47"/>
      <c r="DK39" s="47"/>
      <c r="DL39" s="47"/>
      <c r="DM39" s="47"/>
      <c r="DN39" s="47"/>
      <c r="DO39" s="52"/>
      <c r="DV39" s="52"/>
    </row>
    <row r="40" spans="8:126" ht="15.75" customHeight="1">
      <c r="H40" s="52" t="str">
        <f>'PC LIST'!B53</f>
        <v>PR14ANHHHR_R-C2</v>
      </c>
      <c r="I40" s="52" t="str">
        <f>'PC LIST'!I53</f>
        <v>R-C2: Embodied carbon (% reduction from 2010 baseline)</v>
      </c>
      <c r="J40" s="52" t="str">
        <f>'PC LIST'!O53</f>
        <v>%</v>
      </c>
      <c r="K40" s="52" t="str">
        <f>'PC LIST'!P53</f>
        <v>% reduction from 2010 baseline</v>
      </c>
      <c r="L40" s="52">
        <f>'PC LIST'!Q53</f>
        <v>0</v>
      </c>
      <c r="M40" s="52" t="str">
        <f>'PC LIST'!J53</f>
        <v>NFI</v>
      </c>
      <c r="N40" s="610">
        <f>'PC LIST'!BW53</f>
        <v>55</v>
      </c>
      <c r="T40" s="52"/>
      <c r="U40" s="52"/>
      <c r="AC40" s="52" t="str">
        <f>'PC LIST'!B126</f>
        <v>PR14NESHHR_R-C2</v>
      </c>
      <c r="AD40" s="53" t="str">
        <f>'PC LIST'!I126</f>
        <v>R-C2: Satisfied with value for money of water services - Northumbrian region (CCWater research)</v>
      </c>
      <c r="AE40" s="53" t="str">
        <f>'PC LIST'!O126</f>
        <v>%</v>
      </c>
      <c r="AF40" s="53" t="str">
        <f>'PC LIST'!P126</f>
        <v>% customer satisfaction</v>
      </c>
      <c r="AG40" s="52">
        <f>'PC LIST'!Q126</f>
        <v>0</v>
      </c>
      <c r="AH40" s="52" t="str">
        <f>'PC LIST'!J126</f>
        <v>NFI</v>
      </c>
      <c r="AI40" s="52">
        <f>'PC LIST'!BW126</f>
        <v>84</v>
      </c>
      <c r="BG40" s="47"/>
      <c r="BH40" s="47"/>
      <c r="BI40" s="47"/>
      <c r="BJ40" s="52"/>
      <c r="BK40" s="52"/>
      <c r="BN40" s="47"/>
      <c r="BO40" s="47"/>
      <c r="BP40" s="47"/>
      <c r="BQ40" s="47"/>
      <c r="BR40" s="47"/>
      <c r="BZ40" s="52" t="str">
        <f>'PC LIST'!B301</f>
        <v>PR14SVTWSWW_S-C7</v>
      </c>
      <c r="CA40" s="52" t="str">
        <f>'PC LIST'!I301</f>
        <v>S-C7: Overall environmental performance (basket of environmental measures)</v>
      </c>
      <c r="CB40" s="52" t="str">
        <f>'PC LIST'!O301</f>
        <v>nr</v>
      </c>
      <c r="CC40" s="52" t="str">
        <f>'PC LIST'!P301</f>
        <v>No. of environmental targets met</v>
      </c>
      <c r="CD40" s="52">
        <f>'PC LIST'!Q301</f>
        <v>0</v>
      </c>
      <c r="CE40" s="52" t="str">
        <f>'PC LIST'!J301</f>
        <v>Out &amp; under</v>
      </c>
      <c r="CF40" s="611" t="str">
        <f>'PC LIST'!BW301</f>
        <v>Cannot be calculated until APR19</v>
      </c>
      <c r="CG40" s="52" t="str">
        <f>'PC LIST'!B346</f>
        <v>PR14SWTWSWW_S-D3</v>
      </c>
      <c r="CH40" s="54" t="str">
        <f>'PC LIST'!I346</f>
        <v>S-D3: River water quality improved (km)</v>
      </c>
      <c r="CI40" s="54" t="str">
        <f>'PC LIST'!O346</f>
        <v>nr</v>
      </c>
      <c r="CJ40" s="54" t="str">
        <f>'PC LIST'!P346</f>
        <v>Kilometres (km) of river water quality improved</v>
      </c>
      <c r="CK40" s="52">
        <f>'PC LIST'!Q346</f>
        <v>0</v>
      </c>
      <c r="CL40" s="52" t="str">
        <f>'PC LIST'!J346</f>
        <v>NFI</v>
      </c>
      <c r="CM40" s="610">
        <f>'PC LIST'!BW346</f>
        <v>68</v>
      </c>
      <c r="CN40" s="52" t="str">
        <f>'PC LIST'!B388</f>
        <v>PR14TMSWSWW_SC7</v>
      </c>
      <c r="CO40" s="52" t="str">
        <f>'PC LIST'!I388</f>
        <v>SC7: Modelled reduction in properties affected by odour</v>
      </c>
      <c r="CP40" s="52" t="str">
        <f>'PC LIST'!O388</f>
        <v>nr</v>
      </c>
      <c r="CQ40" s="52" t="str">
        <f>'PC LIST'!P388</f>
        <v>No. of properties (modelled cumulative reduction)</v>
      </c>
      <c r="CR40" s="52">
        <f>'PC LIST'!Q388</f>
        <v>0</v>
      </c>
      <c r="CS40" s="52" t="str">
        <f>'PC LIST'!J388</f>
        <v>Out &amp; under</v>
      </c>
      <c r="CT40" s="52">
        <f>'PC LIST'!BW388</f>
        <v>1305</v>
      </c>
      <c r="DD40" s="47"/>
      <c r="DE40" s="47"/>
      <c r="DF40" s="47"/>
      <c r="DG40" s="47"/>
      <c r="DH40" s="47"/>
      <c r="DK40" s="47"/>
      <c r="DL40" s="47"/>
      <c r="DM40" s="47"/>
      <c r="DN40" s="47"/>
      <c r="DO40" s="52"/>
      <c r="DV40" s="52"/>
    </row>
    <row r="41" spans="8:126" ht="15.75" customHeight="1">
      <c r="H41" s="52" t="str">
        <f>'PC LIST'!B54</f>
        <v>PR14ANHHHR_R-D1</v>
      </c>
      <c r="I41" s="52" t="str">
        <f>'PC LIST'!I54</f>
        <v>R-D1: Survey of community perception</v>
      </c>
      <c r="J41" s="52" t="str">
        <f>'PC LIST'!O54</f>
        <v>%</v>
      </c>
      <c r="K41" s="52" t="str">
        <f>'PC LIST'!P54</f>
        <v>% customer satisfaction</v>
      </c>
      <c r="L41" s="52" t="str">
        <f>'PC LIST'!Q54</f>
        <v>na</v>
      </c>
      <c r="M41" s="52" t="str">
        <f>'PC LIST'!J54</f>
        <v>NFI</v>
      </c>
      <c r="N41" s="610">
        <f>'PC LIST'!BW54</f>
        <v>52</v>
      </c>
      <c r="T41" s="52"/>
      <c r="U41" s="52"/>
      <c r="AC41" s="52" t="str">
        <f>'PC LIST'!B127</f>
        <v>PR14NESHHR_R-C3</v>
      </c>
      <c r="AD41" s="53" t="str">
        <f>'PC LIST'!I127</f>
        <v>R-C3: Satisfied with value for money of sewerage services - Northumbrian region (CCWater research)</v>
      </c>
      <c r="AE41" s="53" t="str">
        <f>'PC LIST'!O127</f>
        <v>%</v>
      </c>
      <c r="AF41" s="53" t="str">
        <f>'PC LIST'!P127</f>
        <v>% customer satisfaction</v>
      </c>
      <c r="AG41" s="52">
        <f>'PC LIST'!Q127</f>
        <v>0</v>
      </c>
      <c r="AH41" s="52" t="str">
        <f>'PC LIST'!J127</f>
        <v>NFI</v>
      </c>
      <c r="AI41" s="52">
        <f>'PC LIST'!BW127</f>
        <v>84</v>
      </c>
      <c r="BG41" s="47"/>
      <c r="BH41" s="47"/>
      <c r="BI41" s="47"/>
      <c r="BJ41" s="52"/>
      <c r="BK41" s="52"/>
      <c r="BN41" s="47"/>
      <c r="BO41" s="47"/>
      <c r="BP41" s="47"/>
      <c r="BQ41" s="47"/>
      <c r="BR41" s="47"/>
      <c r="BZ41" s="52" t="str">
        <f>'PC LIST'!B302</f>
        <v>PR14SVTWSWW_S-C8</v>
      </c>
      <c r="CA41" s="52" t="str">
        <f>'PC LIST'!I302</f>
        <v>S-C8: The number of category 4 pollution incidents</v>
      </c>
      <c r="CB41" s="52" t="str">
        <f>'PC LIST'!O302</f>
        <v>nr</v>
      </c>
      <c r="CC41" s="52" t="str">
        <f>'PC LIST'!P302</f>
        <v>No. of pollution incidents (cat 4)</v>
      </c>
      <c r="CD41" s="52">
        <f>'PC LIST'!Q302</f>
        <v>0</v>
      </c>
      <c r="CE41" s="52" t="str">
        <f>'PC LIST'!J302</f>
        <v>NFI</v>
      </c>
      <c r="CF41" s="611">
        <f>'PC LIST'!BW302</f>
        <v>239</v>
      </c>
      <c r="CG41" s="52" t="str">
        <f>'PC LIST'!B347</f>
        <v>PR14SWTHHR_R-A1</v>
      </c>
      <c r="CH41" s="54" t="str">
        <f>'PC LIST'!I347</f>
        <v>R-A1: Customer overall satisfaction (%)</v>
      </c>
      <c r="CI41" s="54" t="str">
        <f>'PC LIST'!O347</f>
        <v>%</v>
      </c>
      <c r="CJ41" s="54" t="str">
        <f>'PC LIST'!P347</f>
        <v>% customer satisfaction</v>
      </c>
      <c r="CK41" s="52">
        <f>'PC LIST'!Q347</f>
        <v>1</v>
      </c>
      <c r="CL41" s="52" t="str">
        <f>'PC LIST'!J347</f>
        <v>NFI</v>
      </c>
      <c r="CM41" s="610">
        <f>'PC LIST'!BW347</f>
        <v>89</v>
      </c>
      <c r="CN41" s="52" t="str">
        <f>'PC LIST'!B389</f>
        <v>PR14TMSWSWW_SC8</v>
      </c>
      <c r="CO41" s="52" t="str">
        <f>'PC LIST'!I389</f>
        <v>SC8: Deliver 100% of agreed measures to meet new environmental regulations</v>
      </c>
      <c r="CP41" s="52" t="str">
        <f>'PC LIST'!O389</f>
        <v>%</v>
      </c>
      <c r="CQ41" s="52" t="str">
        <f>'PC LIST'!P389</f>
        <v>% of agreed schemes completed</v>
      </c>
      <c r="CR41" s="52">
        <f>'PC LIST'!Q389</f>
        <v>0</v>
      </c>
      <c r="CS41" s="52" t="str">
        <f>'PC LIST'!J389</f>
        <v>Under</v>
      </c>
      <c r="CT41" s="52">
        <f>'PC LIST'!BW389</f>
        <v>0</v>
      </c>
      <c r="DD41" s="47"/>
      <c r="DE41" s="47"/>
      <c r="DF41" s="47"/>
      <c r="DG41" s="47"/>
      <c r="DH41" s="47"/>
      <c r="DK41" s="47"/>
      <c r="DL41" s="47"/>
      <c r="DM41" s="47"/>
      <c r="DN41" s="47"/>
      <c r="DO41" s="52"/>
      <c r="DV41" s="52"/>
    </row>
    <row r="42" spans="8:126" ht="15.75" customHeight="1">
      <c r="H42" s="52"/>
      <c r="I42" s="52"/>
      <c r="J42" s="52"/>
      <c r="K42" s="52"/>
      <c r="M42" s="52"/>
      <c r="N42" s="52"/>
      <c r="T42" s="52"/>
      <c r="U42" s="52"/>
      <c r="AC42" s="52" t="str">
        <f>'PC LIST'!B128</f>
        <v>PR14NESHHR_R-C4</v>
      </c>
      <c r="AD42" s="53" t="str">
        <f>'PC LIST'!I128</f>
        <v>R-C4: Satisfied with value for money of water services - Essex &amp; Suffolk region (CCWater research)</v>
      </c>
      <c r="AE42" s="53" t="str">
        <f>'PC LIST'!O128</f>
        <v>%</v>
      </c>
      <c r="AF42" s="53" t="str">
        <f>'PC LIST'!P128</f>
        <v>% customer satisfaction</v>
      </c>
      <c r="AG42" s="52">
        <f>'PC LIST'!Q128</f>
        <v>0</v>
      </c>
      <c r="AH42" s="52" t="str">
        <f>'PC LIST'!J128</f>
        <v>NFI</v>
      </c>
      <c r="AI42" s="52">
        <f>'PC LIST'!BW128</f>
        <v>67</v>
      </c>
      <c r="BG42" s="47"/>
      <c r="BH42" s="47"/>
      <c r="BI42" s="47"/>
      <c r="BJ42" s="52"/>
      <c r="BK42" s="52"/>
      <c r="BN42" s="47"/>
      <c r="BO42" s="47"/>
      <c r="BP42" s="47"/>
      <c r="BQ42" s="47"/>
      <c r="BR42" s="47"/>
      <c r="BZ42" s="52" t="str">
        <f>'PC LIST'!B303</f>
        <v>PR14SVTWSWW_S-D1</v>
      </c>
      <c r="CA42" s="52" t="str">
        <f>'PC LIST'!I303</f>
        <v>S-D1: Size of our carbon footprint</v>
      </c>
      <c r="CB42" s="52" t="str">
        <f>'PC LIST'!O303</f>
        <v>nr</v>
      </c>
      <c r="CC42" s="52" t="str">
        <f>'PC LIST'!P303</f>
        <v>ktCO2e</v>
      </c>
      <c r="CD42" s="52">
        <f>'PC LIST'!Q303</f>
        <v>3</v>
      </c>
      <c r="CE42" s="52" t="str">
        <f>'PC LIST'!J303</f>
        <v>Out &amp; under</v>
      </c>
      <c r="CF42" s="611">
        <f>'PC LIST'!BW303</f>
        <v>207</v>
      </c>
      <c r="CG42" s="52" t="str">
        <f>'PC LIST'!B348</f>
        <v>PR14SWTHHR_R-A2</v>
      </c>
      <c r="CH42" s="54" t="str">
        <f>'PC LIST'!I348</f>
        <v>R-A2: Service incentive mechanism (SIM)</v>
      </c>
      <c r="CI42" s="54" t="str">
        <f>'PC LIST'!O348</f>
        <v>score</v>
      </c>
      <c r="CJ42" s="54" t="str">
        <f>'PC LIST'!P348</f>
        <v>Service incentive mechanism (SIM) score</v>
      </c>
      <c r="CK42" s="52">
        <f>'PC LIST'!Q348</f>
        <v>1</v>
      </c>
      <c r="CL42" s="52" t="str">
        <f>'PC LIST'!J348</f>
        <v>Out &amp; under</v>
      </c>
      <c r="CM42" s="610">
        <f>'PC LIST'!BW348</f>
        <v>81.599999999999994</v>
      </c>
      <c r="CN42" s="52" t="str">
        <f>'PC LIST'!B390</f>
        <v>PR14TMSWSWW_SC9</v>
      </c>
      <c r="CO42" s="52" t="str">
        <f>'PC LIST'!I390</f>
        <v>SC9: Reduce the amount of phosphorus entering rivers to help improve aquatic plant and wildlife</v>
      </c>
      <c r="CP42" s="52" t="str">
        <f>'PC LIST'!O390</f>
        <v>nr</v>
      </c>
      <c r="CQ42" s="52" t="str">
        <f>'PC LIST'!P390</f>
        <v>Kilograms of phosphorus removed per day</v>
      </c>
      <c r="CR42" s="52">
        <f>'PC LIST'!Q390</f>
        <v>1</v>
      </c>
      <c r="CS42" s="52" t="str">
        <f>'PC LIST'!J390</f>
        <v>Out &amp; under</v>
      </c>
      <c r="CT42" s="52">
        <f>'PC LIST'!BW390</f>
        <v>0</v>
      </c>
      <c r="DD42" s="47"/>
      <c r="DE42" s="47"/>
      <c r="DF42" s="47"/>
      <c r="DG42" s="47"/>
      <c r="DH42" s="47"/>
      <c r="DK42" s="47"/>
      <c r="DL42" s="47"/>
      <c r="DM42" s="47"/>
      <c r="DN42" s="47"/>
      <c r="DO42" s="52"/>
      <c r="DV42" s="52"/>
    </row>
    <row r="43" spans="8:126" ht="15.75" customHeight="1">
      <c r="J43" s="47"/>
      <c r="K43" s="47"/>
      <c r="L43" s="47"/>
      <c r="M43" s="52"/>
      <c r="N43" s="52"/>
      <c r="T43" s="52"/>
      <c r="U43" s="52"/>
      <c r="AC43" s="52" t="str">
        <f>'PC LIST'!B129</f>
        <v>PR14NESHHR_R-D1</v>
      </c>
      <c r="AD43" s="53" t="str">
        <f>'PC LIST'!I129</f>
        <v>R-D1: NWL independent survey on keeping customers informed</v>
      </c>
      <c r="AE43" s="53" t="str">
        <f>'PC LIST'!O129</f>
        <v>%</v>
      </c>
      <c r="AF43" s="53" t="str">
        <f>'PC LIST'!P129</f>
        <v>% customer satisfaction</v>
      </c>
      <c r="AG43" s="52" t="str">
        <f>'PC LIST'!Q129</f>
        <v>TBC</v>
      </c>
      <c r="AH43" s="52" t="str">
        <f>'PC LIST'!J129</f>
        <v>NFI</v>
      </c>
      <c r="AI43" s="52">
        <f>'PC LIST'!BW129</f>
        <v>94</v>
      </c>
      <c r="BG43" s="47"/>
      <c r="BH43" s="47"/>
      <c r="BI43" s="47"/>
      <c r="BJ43" s="52"/>
      <c r="BK43" s="52"/>
      <c r="BN43" s="47"/>
      <c r="BO43" s="47"/>
      <c r="BP43" s="47"/>
      <c r="BQ43" s="47"/>
      <c r="BR43" s="47"/>
      <c r="BZ43" s="52" t="str">
        <f>'PC LIST'!B304</f>
        <v>PR14SVTWSWW_S-E1</v>
      </c>
      <c r="CA43" s="52" t="str">
        <f>'PC LIST'!I304</f>
        <v>S-E1: Improved understanding of our services through education</v>
      </c>
      <c r="CB43" s="52" t="str">
        <f>'PC LIST'!O304</f>
        <v>nr</v>
      </c>
      <c r="CC43" s="52" t="str">
        <f>'PC LIST'!P304</f>
        <v>No. of people - education programme</v>
      </c>
      <c r="CD43" s="52">
        <f>'PC LIST'!Q304</f>
        <v>0</v>
      </c>
      <c r="CE43" s="52" t="str">
        <f>'PC LIST'!J304</f>
        <v>NFI</v>
      </c>
      <c r="CF43" s="611">
        <f>'PC LIST'!BW304</f>
        <v>167024</v>
      </c>
      <c r="CG43" s="52" t="str">
        <f>'PC LIST'!B349</f>
        <v>PR14SWTHHR_R-A3</v>
      </c>
      <c r="CH43" s="54" t="str">
        <f>'PC LIST'!I349</f>
        <v>R-A3: Customer satisfaction with value for money</v>
      </c>
      <c r="CI43" s="54" t="str">
        <f>'PC LIST'!O349</f>
        <v>%</v>
      </c>
      <c r="CJ43" s="54" t="str">
        <f>'PC LIST'!P349</f>
        <v>% customer satisfaction</v>
      </c>
      <c r="CK43" s="52">
        <f>'PC LIST'!Q349</f>
        <v>1</v>
      </c>
      <c r="CL43" s="52" t="str">
        <f>'PC LIST'!J349</f>
        <v>NFI</v>
      </c>
      <c r="CM43" s="610">
        <f>'PC LIST'!BW349</f>
        <v>61</v>
      </c>
      <c r="CN43" s="52" t="str">
        <f>'PC LIST'!B391</f>
        <v>PR14TMSWSWW_SD1</v>
      </c>
      <c r="CO43" s="52" t="str">
        <f>'PC LIST'!I391</f>
        <v>SD1: Energy imported less energy exported</v>
      </c>
      <c r="CP43" s="52" t="str">
        <f>'PC LIST'!O391</f>
        <v>nr</v>
      </c>
      <c r="CQ43" s="52" t="str">
        <f>'PC LIST'!P391</f>
        <v>GWh (gigawatt-hours)</v>
      </c>
      <c r="CR43" s="52">
        <f>'PC LIST'!Q391</f>
        <v>0</v>
      </c>
      <c r="CS43" s="52" t="str">
        <f>'PC LIST'!J391</f>
        <v>NFI</v>
      </c>
      <c r="CT43" s="52">
        <f>'PC LIST'!BW391</f>
        <v>476.5</v>
      </c>
      <c r="DD43" s="47"/>
      <c r="DE43" s="47"/>
      <c r="DF43" s="47"/>
      <c r="DG43" s="47"/>
      <c r="DH43" s="47"/>
      <c r="DK43" s="47"/>
      <c r="DL43" s="47"/>
      <c r="DM43" s="47"/>
      <c r="DN43" s="47"/>
      <c r="DO43" s="52"/>
      <c r="DV43" s="52"/>
    </row>
    <row r="44" spans="8:126" ht="15.75" customHeight="1">
      <c r="J44" s="47"/>
      <c r="K44" s="47"/>
      <c r="L44" s="47"/>
      <c r="M44" s="52"/>
      <c r="N44" s="52"/>
      <c r="T44" s="52"/>
      <c r="U44" s="52"/>
      <c r="AC44" s="52" t="str">
        <f>'PC LIST'!B130</f>
        <v>PR14NESHHR_R-E1</v>
      </c>
      <c r="AD44" s="53" t="str">
        <f>'PC LIST'!I130</f>
        <v>R-E1: Greenhouse gas emissions</v>
      </c>
      <c r="AE44" s="53" t="str">
        <f>'PC LIST'!O130</f>
        <v>nr</v>
      </c>
      <c r="AF44" s="53" t="str">
        <f>'PC LIST'!P130</f>
        <v>ktCO2e</v>
      </c>
      <c r="AG44" s="52">
        <f>'PC LIST'!Q130</f>
        <v>0</v>
      </c>
      <c r="AH44" s="52" t="str">
        <f>'PC LIST'!J130</f>
        <v>NFI</v>
      </c>
      <c r="AI44" s="52">
        <f>'PC LIST'!BW130</f>
        <v>187.7</v>
      </c>
      <c r="BG44" s="47"/>
      <c r="BH44" s="47"/>
      <c r="BI44" s="47"/>
      <c r="BJ44" s="52"/>
      <c r="BK44" s="52"/>
      <c r="BN44" s="47"/>
      <c r="BO44" s="47"/>
      <c r="BP44" s="47"/>
      <c r="BQ44" s="47"/>
      <c r="BR44" s="47"/>
      <c r="BZ44" s="52" t="str">
        <f>'PC LIST'!B305</f>
        <v>PR14SVTHHR_R-A1</v>
      </c>
      <c r="CA44" s="52" t="str">
        <f>'PC LIST'!I305</f>
        <v>R-A1: Customer satisfaction with their service (based on a survey)</v>
      </c>
      <c r="CB44" s="52" t="str">
        <f>'PC LIST'!O305</f>
        <v>text</v>
      </c>
      <c r="CC44" s="52" t="str">
        <f>'PC LIST'!P305</f>
        <v>Customer satisfaction ranking</v>
      </c>
      <c r="CD44" s="52" t="str">
        <f>'PC LIST'!Q305</f>
        <v>na</v>
      </c>
      <c r="CE44" s="52" t="str">
        <f>'PC LIST'!J305</f>
        <v>NFI</v>
      </c>
      <c r="CF44" s="611" t="str">
        <f>'PC LIST'!BW305</f>
        <v>Median</v>
      </c>
      <c r="CG44" s="52" t="str">
        <f>'PC LIST'!B350</f>
        <v>PR14SWTHHR_R-B1</v>
      </c>
      <c r="CH44" s="54" t="str">
        <f>'PC LIST'!I350</f>
        <v>R-B1: Customers assisted by water poverty initiatives</v>
      </c>
      <c r="CI44" s="54" t="str">
        <f>'PC LIST'!O350</f>
        <v>nr</v>
      </c>
      <c r="CJ44" s="54" t="str">
        <f>'PC LIST'!P350</f>
        <v>No. of customers assisted by water poverty initiatives</v>
      </c>
      <c r="CK44" s="52">
        <f>'PC LIST'!Q350</f>
        <v>0</v>
      </c>
      <c r="CL44" s="52" t="str">
        <f>'PC LIST'!J350</f>
        <v>NFI</v>
      </c>
      <c r="CM44" s="610">
        <f>'PC LIST'!BW350</f>
        <v>28409</v>
      </c>
      <c r="CN44" s="52" t="str">
        <f>'PC LIST'!B392</f>
        <v>PR14TMSTTT_T1A</v>
      </c>
      <c r="CO44" s="52" t="str">
        <f>'PC LIST'!I392</f>
        <v>T1A: Successful procurement of the Infrastructure Provider (IP)</v>
      </c>
      <c r="CP44" s="52" t="str">
        <f>'PC LIST'!O392</f>
        <v>text</v>
      </c>
      <c r="CQ44" s="52" t="str">
        <f>'PC LIST'!P392</f>
        <v>Infrastructure Provider (IP) procurement</v>
      </c>
      <c r="CR44" s="52" t="str">
        <f>'PC LIST'!Q392</f>
        <v>na</v>
      </c>
      <c r="CS44" s="52" t="str">
        <f>'PC LIST'!J392</f>
        <v>NFI</v>
      </c>
      <c r="CT44" s="52" t="str">
        <f>'PC LIST'!BW392</f>
        <v>Delivered 2015-16</v>
      </c>
      <c r="DD44" s="47"/>
      <c r="DE44" s="47"/>
      <c r="DF44" s="47"/>
      <c r="DG44" s="47"/>
      <c r="DH44" s="47"/>
      <c r="DK44" s="47"/>
      <c r="DL44" s="47"/>
      <c r="DM44" s="47"/>
      <c r="DN44" s="47"/>
      <c r="DO44" s="52"/>
      <c r="DV44" s="52"/>
    </row>
    <row r="45" spans="8:126" ht="15.75" customHeight="1">
      <c r="J45" s="47"/>
      <c r="K45" s="47"/>
      <c r="L45" s="47"/>
      <c r="M45" s="52"/>
      <c r="N45" s="52"/>
      <c r="T45" s="52"/>
      <c r="U45" s="52"/>
      <c r="AC45" s="52" t="str">
        <f>'PC LIST'!B131</f>
        <v>PR14NESHHR_R-E2</v>
      </c>
      <c r="AD45" s="53" t="str">
        <f>'PC LIST'!I131</f>
        <v>R-E2: Annual environmental performance report</v>
      </c>
      <c r="AE45" s="53" t="str">
        <f>'PC LIST'!O131</f>
        <v>text</v>
      </c>
      <c r="AF45" s="53" t="str">
        <f>'PC LIST'!P131</f>
        <v>CRAG report publication</v>
      </c>
      <c r="AG45" s="52" t="str">
        <f>'PC LIST'!Q131</f>
        <v>na</v>
      </c>
      <c r="AH45" s="52" t="str">
        <f>'PC LIST'!J131</f>
        <v>NFI</v>
      </c>
      <c r="AI45" s="52" t="str">
        <f>'PC LIST'!BW131</f>
        <v>Report published</v>
      </c>
      <c r="BG45" s="47"/>
      <c r="BH45" s="47"/>
      <c r="BI45" s="47"/>
      <c r="BJ45" s="52"/>
      <c r="BK45" s="52"/>
      <c r="BN45" s="47"/>
      <c r="BO45" s="47"/>
      <c r="BP45" s="47"/>
      <c r="BQ45" s="47"/>
      <c r="BR45" s="47"/>
      <c r="BZ45" s="52" t="str">
        <f>'PC LIST'!B306</f>
        <v>PR14SVTHHR_R-A2</v>
      </c>
      <c r="CA45" s="52" t="str">
        <f>'PC LIST'!I306</f>
        <v>R-A2: Customers' experience of dealing with us (based on Ofwat's SIM)</v>
      </c>
      <c r="CB45" s="52" t="str">
        <f>'PC LIST'!O306</f>
        <v>text</v>
      </c>
      <c r="CC45" s="52" t="str">
        <f>'PC LIST'!P306</f>
        <v>Service incentive mechanism (SIM) score ranking</v>
      </c>
      <c r="CD45" s="52" t="str">
        <f>'PC LIST'!Q306</f>
        <v>na</v>
      </c>
      <c r="CE45" s="52" t="str">
        <f>'PC LIST'!J306</f>
        <v>Out &amp; under</v>
      </c>
      <c r="CF45" s="611">
        <f>'PC LIST'!BW306</f>
        <v>83.61</v>
      </c>
      <c r="CG45" s="52"/>
      <c r="CH45" s="54"/>
      <c r="CI45" s="54"/>
      <c r="CJ45" s="54"/>
      <c r="CN45" s="52" t="str">
        <f>'PC LIST'!B393</f>
        <v>PR14TMSTTT_T1B</v>
      </c>
      <c r="CO45" s="52" t="str">
        <f>'PC LIST'!I393</f>
        <v>T1B: Thames Water will fulfil its land related commitments in line with the TTT programme requirements</v>
      </c>
      <c r="CP45" s="52" t="str">
        <f>'PC LIST'!O393</f>
        <v>text</v>
      </c>
      <c r="CQ45" s="52" t="str">
        <f>'PC LIST'!P393</f>
        <v>Land related commitments</v>
      </c>
      <c r="CR45" s="52" t="str">
        <f>'PC LIST'!Q393</f>
        <v>na</v>
      </c>
      <c r="CS45" s="52" t="str">
        <f>'PC LIST'!J393</f>
        <v>NFI</v>
      </c>
      <c r="CT45" s="52" t="str">
        <f>'PC LIST'!BW393</f>
        <v>Additional 13 sites access granted in year.  In line with Tideway requirements</v>
      </c>
      <c r="DD45" s="47"/>
      <c r="DE45" s="47"/>
      <c r="DF45" s="47"/>
      <c r="DG45" s="47"/>
      <c r="DH45" s="47"/>
      <c r="DK45" s="47"/>
      <c r="DL45" s="47"/>
      <c r="DM45" s="47"/>
      <c r="DN45" s="47"/>
      <c r="DO45" s="52"/>
      <c r="DV45" s="52"/>
    </row>
    <row r="46" spans="8:126" ht="15.75" customHeight="1">
      <c r="J46" s="47"/>
      <c r="K46" s="47"/>
      <c r="L46" s="47"/>
      <c r="M46" s="52"/>
      <c r="N46" s="52"/>
      <c r="T46" s="52"/>
      <c r="U46" s="52"/>
      <c r="AC46" s="52" t="str">
        <f>'PC LIST'!B132</f>
        <v>PR14NESHHR_R-F1</v>
      </c>
      <c r="AD46" s="53" t="str">
        <f>'PC LIST'!I132</f>
        <v>R-F1: Delivering a consolidated Customer Information and Billing (CIB) system</v>
      </c>
      <c r="AE46" s="53" t="str">
        <f>'PC LIST'!O132</f>
        <v>£m</v>
      </c>
      <c r="AF46" s="53" t="str">
        <f>'PC LIST'!P132</f>
        <v>£ million cumulative depreciation</v>
      </c>
      <c r="AG46" s="52">
        <f>'PC LIST'!Q132</f>
        <v>3</v>
      </c>
      <c r="AH46" s="52" t="str">
        <f>'PC LIST'!J132</f>
        <v>Under</v>
      </c>
      <c r="AI46" s="52" t="str">
        <f>'PC LIST'!BW132</f>
        <v>n/a</v>
      </c>
      <c r="BG46" s="47"/>
      <c r="BH46" s="47"/>
      <c r="BI46" s="47"/>
      <c r="BJ46" s="52"/>
      <c r="BK46" s="52"/>
      <c r="BN46" s="47"/>
      <c r="BO46" s="47"/>
      <c r="BP46" s="47"/>
      <c r="BQ46" s="47"/>
      <c r="BR46" s="47"/>
      <c r="BZ46" s="52" t="str">
        <f>'PC LIST'!B307</f>
        <v>PR14SVTHHR_R-B1</v>
      </c>
      <c r="CA46" s="52" t="str">
        <f>'PC LIST'!I307</f>
        <v>R-B1: Customers helped by a review of their tariff &amp; water usage &amp;/or supported by SVT social fund</v>
      </c>
      <c r="CB46" s="52" t="str">
        <f>'PC LIST'!O307</f>
        <v>nr</v>
      </c>
      <c r="CC46" s="52" t="str">
        <f>'PC LIST'!P307</f>
        <v>No. of customers engaged with on debt</v>
      </c>
      <c r="CD46" s="52">
        <f>'PC LIST'!Q307</f>
        <v>0</v>
      </c>
      <c r="CE46" s="52" t="str">
        <f>'PC LIST'!J307</f>
        <v>NFI</v>
      </c>
      <c r="CF46" s="611">
        <f>'PC LIST'!BW307</f>
        <v>50903</v>
      </c>
      <c r="CI46" s="47"/>
      <c r="CJ46" s="47"/>
      <c r="CK46" s="47"/>
      <c r="CL46" s="47"/>
      <c r="CM46" s="47"/>
      <c r="CN46" s="52" t="str">
        <f>'PC LIST'!B394</f>
        <v>PR14TMSTTT_T1C</v>
      </c>
      <c r="CO46" s="52" t="str">
        <f>'PC LIST'!I394</f>
        <v>T1C: Completion of category 2 and 3 construction works and timely availability of sites to the IP</v>
      </c>
      <c r="CP46" s="52" t="str">
        <f>'PC LIST'!O394</f>
        <v>nr</v>
      </c>
      <c r="CQ46" s="52" t="str">
        <f>'PC LIST'!P394</f>
        <v>No. of sites (cumulative)</v>
      </c>
      <c r="CR46" s="52">
        <f>'PC LIST'!Q394</f>
        <v>0</v>
      </c>
      <c r="CS46" s="52" t="str">
        <f>'PC LIST'!J394</f>
        <v>Under</v>
      </c>
      <c r="CT46" s="52">
        <f>'PC LIST'!BW394</f>
        <v>19</v>
      </c>
      <c r="DD46" s="47"/>
      <c r="DE46" s="47"/>
      <c r="DF46" s="47"/>
      <c r="DG46" s="47"/>
      <c r="DH46" s="47"/>
      <c r="DK46" s="47"/>
      <c r="DL46" s="47"/>
      <c r="DM46" s="47"/>
      <c r="DN46" s="47"/>
      <c r="DO46" s="52"/>
      <c r="DV46" s="52"/>
    </row>
    <row r="47" spans="8:126" ht="15.75" customHeight="1">
      <c r="J47" s="47"/>
      <c r="K47" s="47"/>
      <c r="L47" s="47"/>
      <c r="M47" s="52"/>
      <c r="N47" s="52"/>
      <c r="T47" s="52"/>
      <c r="U47" s="52"/>
      <c r="AC47" s="52"/>
      <c r="AD47" s="53"/>
      <c r="AE47" s="53"/>
      <c r="AF47" s="53"/>
      <c r="BG47" s="47"/>
      <c r="BH47" s="47"/>
      <c r="BI47" s="47"/>
      <c r="BJ47" s="52"/>
      <c r="BK47" s="52"/>
      <c r="BZ47" s="52" t="str">
        <f>'PC LIST'!B308</f>
        <v>PR14SVTHHR_R-B2</v>
      </c>
      <c r="CA47" s="52" t="str">
        <f>'PC LIST'!I308</f>
        <v>R-B2: Percentage of customers who do not pay (household bad debt divided by total household revenue)</v>
      </c>
      <c r="CB47" s="52" t="str">
        <f>'PC LIST'!O308</f>
        <v>%</v>
      </c>
      <c r="CC47" s="52" t="str">
        <f>'PC LIST'!P308</f>
        <v>% of customers who do not pay</v>
      </c>
      <c r="CD47" s="52">
        <f>'PC LIST'!Q308</f>
        <v>2</v>
      </c>
      <c r="CE47" s="52" t="str">
        <f>'PC LIST'!J308</f>
        <v>NFI</v>
      </c>
      <c r="CF47" s="611">
        <f>'PC LIST'!BW308</f>
        <v>1.8</v>
      </c>
      <c r="CI47" s="47"/>
      <c r="CJ47" s="47"/>
      <c r="CK47" s="47"/>
      <c r="CL47" s="47"/>
      <c r="CM47" s="47"/>
      <c r="CN47" s="52" t="str">
        <f>'PC LIST'!B395</f>
        <v>PR14TMSTTT_T2</v>
      </c>
      <c r="CO47" s="52" t="str">
        <f>'PC LIST'!I395</f>
        <v>T2: Thames Water will engage effectively with the IP, and other stakeholders, both in terms of integration and assurance</v>
      </c>
      <c r="CP47" s="52" t="str">
        <f>'PC LIST'!O395</f>
        <v>text</v>
      </c>
      <c r="CQ47" s="52" t="str">
        <f>'PC LIST'!P395</f>
        <v>Effective engagement with IP and stakeholders</v>
      </c>
      <c r="CR47" s="52" t="str">
        <f>'PC LIST'!Q395</f>
        <v>na</v>
      </c>
      <c r="CS47" s="52" t="str">
        <f>'PC LIST'!J395</f>
        <v>NFI</v>
      </c>
      <c r="CT47" s="52" t="str">
        <f>'PC LIST'!BW395</f>
        <v>Engagement effective rating 4.9 / 6.0</v>
      </c>
      <c r="DK47" s="47"/>
      <c r="DL47" s="47"/>
      <c r="DM47" s="47"/>
      <c r="DN47" s="47"/>
      <c r="DO47" s="52"/>
      <c r="DV47" s="52"/>
    </row>
    <row r="48" spans="8:126" ht="15.75" customHeight="1">
      <c r="J48" s="47"/>
      <c r="K48" s="47"/>
      <c r="L48" s="47"/>
      <c r="M48" s="52"/>
      <c r="N48" s="52"/>
      <c r="T48" s="52"/>
      <c r="U48" s="52"/>
      <c r="BG48" s="47"/>
      <c r="BH48" s="47"/>
      <c r="BI48" s="47"/>
      <c r="BJ48" s="52"/>
      <c r="BK48" s="52"/>
      <c r="BZ48" s="52"/>
      <c r="CA48" s="52"/>
      <c r="CB48" s="52"/>
      <c r="CC48" s="52"/>
      <c r="CI48" s="47"/>
      <c r="CJ48" s="47"/>
      <c r="CK48" s="47"/>
      <c r="CL48" s="47"/>
      <c r="CM48" s="47"/>
      <c r="CN48" s="52" t="str">
        <f>'PC LIST'!B396</f>
        <v>PR14TMSTTT_T3</v>
      </c>
      <c r="CO48" s="52" t="str">
        <f>'PC LIST'!I396</f>
        <v>T3: Thames Water will engage with its customers to build understanding of the TTT project. Thames Water will liaise with the IP on its surveys of local communities impacted by construction</v>
      </c>
      <c r="CP48" s="52" t="str">
        <f>'PC LIST'!O396</f>
        <v>text</v>
      </c>
      <c r="CQ48" s="52" t="str">
        <f>'PC LIST'!P396</f>
        <v>Engagement to build TTT understanding</v>
      </c>
      <c r="CR48" s="52" t="str">
        <f>'PC LIST'!Q396</f>
        <v>na</v>
      </c>
      <c r="CS48" s="52" t="str">
        <f>'PC LIST'!J396</f>
        <v>NFI</v>
      </c>
      <c r="CT48" s="52" t="str">
        <f>'PC LIST'!BW396</f>
        <v>Household customers: % aware of TTT = 36; % understand project = 31.
Non-household customers: % aware of TTT = 36; % understand project = 27.</v>
      </c>
      <c r="DK48" s="47"/>
      <c r="DL48" s="47"/>
      <c r="DM48" s="47"/>
      <c r="DN48" s="47"/>
      <c r="DO48" s="52"/>
      <c r="DV48" s="52"/>
    </row>
    <row r="49" spans="10:126" ht="15.75" customHeight="1">
      <c r="J49" s="47"/>
      <c r="K49" s="47"/>
      <c r="L49" s="47"/>
      <c r="M49" s="52"/>
      <c r="N49" s="52"/>
      <c r="T49" s="52"/>
      <c r="U49" s="52"/>
      <c r="BG49" s="47"/>
      <c r="BH49" s="47"/>
      <c r="BI49" s="47"/>
      <c r="BJ49" s="52"/>
      <c r="BK49" s="52"/>
      <c r="CB49" s="47"/>
      <c r="CC49" s="47"/>
      <c r="CD49" s="47"/>
      <c r="CE49" s="47"/>
      <c r="CF49" s="47"/>
      <c r="CI49" s="47"/>
      <c r="CJ49" s="47"/>
      <c r="CK49" s="47"/>
      <c r="CL49" s="47"/>
      <c r="CM49" s="47"/>
      <c r="CN49" s="52" t="str">
        <f>'PC LIST'!B397</f>
        <v>PR14TMSHHR_RA1</v>
      </c>
      <c r="CO49" s="52" t="str">
        <f>'PC LIST'!I397</f>
        <v>RA1: Minimise the number of written complaints received from customers (relating to charging and billing)</v>
      </c>
      <c r="CP49" s="52" t="str">
        <f>'PC LIST'!O397</f>
        <v>nr</v>
      </c>
      <c r="CQ49" s="52" t="str">
        <f>'PC LIST'!P397</f>
        <v>No. written complaints / 10,000 properties</v>
      </c>
      <c r="CR49" s="52">
        <f>'PC LIST'!Q397</f>
        <v>0</v>
      </c>
      <c r="CS49" s="52" t="str">
        <f>'PC LIST'!J397</f>
        <v>NFI</v>
      </c>
      <c r="CT49" s="52">
        <f>'PC LIST'!BW397</f>
        <v>18.677578018266502</v>
      </c>
      <c r="DK49" s="47"/>
      <c r="DL49" s="47"/>
      <c r="DM49" s="47"/>
      <c r="DN49" s="47"/>
      <c r="DO49" s="52"/>
      <c r="DV49" s="52"/>
    </row>
    <row r="50" spans="10:126" ht="15.75" customHeight="1">
      <c r="J50" s="47"/>
      <c r="K50" s="47"/>
      <c r="L50" s="47"/>
      <c r="M50" s="52"/>
      <c r="N50" s="52"/>
      <c r="T50" s="52"/>
      <c r="U50" s="52"/>
      <c r="BG50" s="47"/>
      <c r="BH50" s="47"/>
      <c r="BI50" s="47"/>
      <c r="BJ50" s="52"/>
      <c r="BK50" s="52"/>
      <c r="CB50" s="47"/>
      <c r="CC50" s="47"/>
      <c r="CD50" s="47"/>
      <c r="CE50" s="47"/>
      <c r="CF50" s="47"/>
      <c r="CI50" s="47"/>
      <c r="CJ50" s="47"/>
      <c r="CK50" s="47"/>
      <c r="CL50" s="47"/>
      <c r="CM50" s="47"/>
      <c r="CN50" s="52" t="str">
        <f>'PC LIST'!B398</f>
        <v>PR14TMSHHR_RA2</v>
      </c>
      <c r="CO50" s="52" t="str">
        <f>'PC LIST'!I398</f>
        <v>RA2: Improve handling of written complaints by increasing first time resolution - charging and billing</v>
      </c>
      <c r="CP50" s="52" t="str">
        <f>'PC LIST'!O398</f>
        <v>%</v>
      </c>
      <c r="CQ50" s="52" t="str">
        <f>'PC LIST'!P398</f>
        <v>% written complaints resolved 1st time</v>
      </c>
      <c r="CR50" s="52">
        <f>'PC LIST'!Q398</f>
        <v>0</v>
      </c>
      <c r="CS50" s="52" t="str">
        <f>'PC LIST'!J398</f>
        <v>NFI</v>
      </c>
      <c r="CT50" s="52">
        <f>'PC LIST'!BW398</f>
        <v>94.37</v>
      </c>
      <c r="DK50" s="47"/>
      <c r="DL50" s="47"/>
      <c r="DM50" s="47"/>
      <c r="DN50" s="47"/>
      <c r="DO50" s="52"/>
      <c r="DV50" s="52"/>
    </row>
    <row r="51" spans="10:126" ht="15.75" customHeight="1">
      <c r="J51" s="47"/>
      <c r="K51" s="47"/>
      <c r="L51" s="47"/>
      <c r="M51" s="52"/>
      <c r="N51" s="52"/>
      <c r="T51" s="52"/>
      <c r="U51" s="52"/>
      <c r="BJ51" s="52"/>
      <c r="BK51" s="52"/>
      <c r="CB51" s="47"/>
      <c r="CC51" s="47"/>
      <c r="CD51" s="47"/>
      <c r="CE51" s="47"/>
      <c r="CF51" s="47"/>
      <c r="CI51" s="47"/>
      <c r="CJ51" s="47"/>
      <c r="CK51" s="47"/>
      <c r="CL51" s="47"/>
      <c r="CM51" s="47"/>
      <c r="CN51" s="52" t="str">
        <f>'PC LIST'!B399</f>
        <v>PR14TMSHHR_RA3</v>
      </c>
      <c r="CO51" s="52" t="str">
        <f>'PC LIST'!I399</f>
        <v>RA3: Improve customer satisfaction of retail customers - charging and billing service</v>
      </c>
      <c r="CP51" s="52" t="str">
        <f>'PC LIST'!O399</f>
        <v>score</v>
      </c>
      <c r="CQ51" s="52" t="str">
        <f>'PC LIST'!P399</f>
        <v>TW internal Customer satisfaction score (mean score out of 5)</v>
      </c>
      <c r="CR51" s="52">
        <f>'PC LIST'!Q399</f>
        <v>2</v>
      </c>
      <c r="CS51" s="52" t="str">
        <f>'PC LIST'!J399</f>
        <v>NFI</v>
      </c>
      <c r="CT51" s="52">
        <f>'PC LIST'!BW399</f>
        <v>4.627722114500691</v>
      </c>
      <c r="DK51" s="47"/>
      <c r="DL51" s="47"/>
      <c r="DM51" s="47"/>
      <c r="DN51" s="47"/>
      <c r="DO51" s="52"/>
      <c r="DV51" s="52"/>
    </row>
    <row r="52" spans="10:126" ht="15.75" customHeight="1">
      <c r="J52" s="47"/>
      <c r="K52" s="47"/>
      <c r="L52" s="47"/>
      <c r="M52" s="52"/>
      <c r="N52" s="52"/>
      <c r="T52" s="52"/>
      <c r="U52" s="52"/>
      <c r="BJ52" s="52"/>
      <c r="BK52" s="52"/>
      <c r="CB52" s="47"/>
      <c r="CC52" s="47"/>
      <c r="CD52" s="47"/>
      <c r="CE52" s="47"/>
      <c r="CF52" s="47"/>
      <c r="CI52" s="47"/>
      <c r="CJ52" s="47"/>
      <c r="CK52" s="47"/>
      <c r="CL52" s="47"/>
      <c r="CM52" s="47"/>
      <c r="CN52" s="52" t="str">
        <f>'PC LIST'!B400</f>
        <v>PR14TMSHHR_RA4</v>
      </c>
      <c r="CO52" s="52" t="str">
        <f>'PC LIST'!I400</f>
        <v>RA4: Improve customer satisfaction of retail customers - operations contact centre</v>
      </c>
      <c r="CP52" s="52" t="str">
        <f>'PC LIST'!O400</f>
        <v>score</v>
      </c>
      <c r="CQ52" s="52" t="str">
        <f>'PC LIST'!P400</f>
        <v>TW internal Customer satisfaction score (mean score out of 5)</v>
      </c>
      <c r="CR52" s="52">
        <f>'PC LIST'!Q400</f>
        <v>2</v>
      </c>
      <c r="CS52" s="52" t="str">
        <f>'PC LIST'!J400</f>
        <v>NFI</v>
      </c>
      <c r="CT52" s="52">
        <f>'PC LIST'!BW400</f>
        <v>4.455274610082272</v>
      </c>
      <c r="DK52" s="47"/>
      <c r="DL52" s="47"/>
      <c r="DM52" s="47"/>
      <c r="DN52" s="47"/>
      <c r="DO52" s="52"/>
      <c r="DV52" s="52"/>
    </row>
    <row r="53" spans="10:126" ht="15.75" customHeight="1">
      <c r="J53" s="47"/>
      <c r="K53" s="47"/>
      <c r="L53" s="47"/>
      <c r="M53" s="52"/>
      <c r="N53" s="52"/>
      <c r="T53" s="52"/>
      <c r="U53" s="52"/>
      <c r="BJ53" s="52"/>
      <c r="BK53" s="52"/>
      <c r="CB53" s="47"/>
      <c r="CC53" s="47"/>
      <c r="CD53" s="47"/>
      <c r="CE53" s="47"/>
      <c r="CF53" s="47"/>
      <c r="CI53" s="47"/>
      <c r="CJ53" s="47"/>
      <c r="CK53" s="47"/>
      <c r="CL53" s="47"/>
      <c r="CM53" s="47"/>
      <c r="CN53" s="52" t="str">
        <f>'PC LIST'!B401</f>
        <v>PR14TMSHHR_RA5</v>
      </c>
      <c r="CO53" s="52" t="str">
        <f>'PC LIST'!I401</f>
        <v>RA5: Increase the number of bills based on actual meter reads (in cycle)</v>
      </c>
      <c r="CP53" s="52" t="str">
        <f>'PC LIST'!O401</f>
        <v>%</v>
      </c>
      <c r="CQ53" s="52" t="str">
        <f>'PC LIST'!P401</f>
        <v>% bills based on actual meter reads</v>
      </c>
      <c r="CR53" s="52">
        <f>'PC LIST'!Q401</f>
        <v>0</v>
      </c>
      <c r="CS53" s="52" t="str">
        <f>'PC LIST'!J401</f>
        <v>NFI</v>
      </c>
      <c r="CT53" s="52">
        <f>'PC LIST'!BW401</f>
        <v>96.8</v>
      </c>
      <c r="DK53" s="47"/>
      <c r="DL53" s="47"/>
      <c r="DM53" s="47"/>
      <c r="DN53" s="47"/>
      <c r="DO53" s="52"/>
      <c r="DV53" s="52"/>
    </row>
    <row r="54" spans="10:126" ht="15.75" customHeight="1">
      <c r="J54" s="47"/>
      <c r="K54" s="47"/>
      <c r="L54" s="47"/>
      <c r="M54" s="52"/>
      <c r="N54" s="52"/>
      <c r="T54" s="52"/>
      <c r="U54" s="52"/>
      <c r="BJ54" s="52"/>
      <c r="BK54" s="52"/>
      <c r="CB54" s="47"/>
      <c r="CC54" s="47"/>
      <c r="CD54" s="47"/>
      <c r="CE54" s="47"/>
      <c r="CF54" s="47"/>
      <c r="CI54" s="47"/>
      <c r="CJ54" s="47"/>
      <c r="CK54" s="47"/>
      <c r="CL54" s="47"/>
      <c r="CM54" s="47"/>
      <c r="CN54" s="52" t="str">
        <f>'PC LIST'!B402</f>
        <v>PR14TMSHHR_RA6</v>
      </c>
      <c r="CO54" s="52" t="str">
        <f>'PC LIST'!I402</f>
        <v>RA6: Service incentive mechanism (SIM)</v>
      </c>
      <c r="CP54" s="52" t="str">
        <f>'PC LIST'!O402</f>
        <v>score</v>
      </c>
      <c r="CQ54" s="52" t="str">
        <f>'PC LIST'!P402</f>
        <v>Service incentive mechanism (SIM) score</v>
      </c>
      <c r="CR54" s="52">
        <f>'PC LIST'!Q402</f>
        <v>1</v>
      </c>
      <c r="CS54" s="52" t="str">
        <f>'PC LIST'!J402</f>
        <v>Out &amp; under</v>
      </c>
      <c r="CT54" s="52">
        <f>'PC LIST'!BW402</f>
        <v>77.264009835474994</v>
      </c>
      <c r="DK54" s="47"/>
      <c r="DL54" s="47"/>
      <c r="DM54" s="47"/>
      <c r="DN54" s="47"/>
      <c r="DO54" s="52"/>
      <c r="DV54" s="52"/>
    </row>
    <row r="55" spans="10:126" ht="15.75" customHeight="1">
      <c r="M55" s="52"/>
      <c r="N55" s="52"/>
      <c r="T55" s="52"/>
      <c r="U55" s="52"/>
      <c r="BJ55" s="52"/>
      <c r="BK55" s="52"/>
      <c r="CB55" s="47"/>
      <c r="CC55" s="47"/>
      <c r="CD55" s="47"/>
      <c r="CE55" s="47"/>
      <c r="CF55" s="47"/>
      <c r="CI55" s="47"/>
      <c r="CJ55" s="47"/>
      <c r="CK55" s="47"/>
      <c r="CL55" s="47"/>
      <c r="CM55" s="47"/>
      <c r="CN55" s="52" t="str">
        <f>'PC LIST'!B403</f>
        <v>PR14TMSHHR_RB1</v>
      </c>
      <c r="CO55" s="52" t="str">
        <f>'PC LIST'!I403</f>
        <v>RB1: Implement new online account management for customers supported by web-chat</v>
      </c>
      <c r="CP55" s="52" t="str">
        <f>'PC LIST'!O403</f>
        <v>text</v>
      </c>
      <c r="CQ55" s="52" t="str">
        <f>'PC LIST'!P403</f>
        <v>Delivery status</v>
      </c>
      <c r="CR55" s="52" t="str">
        <f>'PC LIST'!Q403</f>
        <v>na</v>
      </c>
      <c r="CS55" s="52" t="str">
        <f>'PC LIST'!J403</f>
        <v>Under</v>
      </c>
      <c r="CT55" s="52" t="str">
        <f>'PC LIST'!BW403</f>
        <v>Limited Online</v>
      </c>
      <c r="DK55" s="47"/>
      <c r="DL55" s="47"/>
      <c r="DM55" s="47"/>
      <c r="DN55" s="47"/>
      <c r="DO55" s="52"/>
      <c r="DV55" s="52"/>
    </row>
    <row r="56" spans="10:126" ht="15.75" customHeight="1">
      <c r="M56" s="52"/>
      <c r="N56" s="52"/>
      <c r="T56" s="52"/>
      <c r="U56" s="52"/>
      <c r="BJ56" s="52"/>
      <c r="BK56" s="52"/>
      <c r="CB56" s="47"/>
      <c r="CC56" s="47"/>
      <c r="CD56" s="47"/>
      <c r="CE56" s="47"/>
      <c r="CF56" s="47"/>
      <c r="CI56" s="47"/>
      <c r="CJ56" s="47"/>
      <c r="CK56" s="47"/>
      <c r="CL56" s="47"/>
      <c r="CM56" s="47"/>
      <c r="CN56" s="52" t="str">
        <f>'PC LIST'!B404</f>
        <v>PR14TMSHHR_RC1</v>
      </c>
      <c r="CO56" s="52" t="str">
        <f>'PC LIST'!I404</f>
        <v>RC1: Increase the number of customers on payment plans (excluding Thames Tideway Tunnel)</v>
      </c>
      <c r="CP56" s="52" t="str">
        <f>'PC LIST'!O404</f>
        <v>%</v>
      </c>
      <c r="CQ56" s="52" t="str">
        <f>'PC LIST'!P404</f>
        <v>% of customers on DD payment plans</v>
      </c>
      <c r="CR56" s="52">
        <f>'PC LIST'!Q404</f>
        <v>0</v>
      </c>
      <c r="CS56" s="52" t="str">
        <f>'PC LIST'!J404</f>
        <v>NFI</v>
      </c>
      <c r="CT56" s="52">
        <f>'PC LIST'!BW404</f>
        <v>54.66</v>
      </c>
      <c r="DK56" s="47"/>
      <c r="DL56" s="47"/>
      <c r="DM56" s="47"/>
      <c r="DN56" s="47"/>
      <c r="DO56" s="52"/>
      <c r="DV56" s="52"/>
    </row>
    <row r="57" spans="10:126" ht="15.75" customHeight="1">
      <c r="M57" s="52"/>
      <c r="N57" s="52"/>
      <c r="T57" s="52"/>
      <c r="U57" s="52"/>
      <c r="BJ57" s="52"/>
      <c r="BK57" s="52"/>
      <c r="CB57" s="47"/>
      <c r="CC57" s="47"/>
      <c r="CD57" s="47"/>
      <c r="CE57" s="47"/>
      <c r="CF57" s="47"/>
      <c r="CI57" s="47"/>
      <c r="CJ57" s="47"/>
      <c r="CK57" s="47"/>
      <c r="CL57" s="47"/>
      <c r="CM57" s="47"/>
      <c r="CN57" s="52" t="str">
        <f>'PC LIST'!B405</f>
        <v>PR14TMSHHR_RC2</v>
      </c>
      <c r="CO57" s="52" t="str">
        <f>'PC LIST'!I405</f>
        <v>RC2: Increase cash collection rates (excluding Thames Tideway Tunnel)</v>
      </c>
      <c r="CP57" s="52" t="str">
        <f>'PC LIST'!O405</f>
        <v>%</v>
      </c>
      <c r="CQ57" s="52" t="str">
        <f>'PC LIST'!P405</f>
        <v>% of cash collected from billing in the year</v>
      </c>
      <c r="CR57" s="52">
        <f>'PC LIST'!Q405</f>
        <v>1</v>
      </c>
      <c r="CS57" s="52" t="str">
        <f>'PC LIST'!J405</f>
        <v>NFI</v>
      </c>
      <c r="CT57" s="52">
        <f>'PC LIST'!BW405</f>
        <v>87.86</v>
      </c>
      <c r="DK57" s="47"/>
      <c r="DL57" s="47"/>
      <c r="DM57" s="47"/>
      <c r="DN57" s="47"/>
      <c r="DO57" s="52"/>
      <c r="DV57" s="52"/>
    </row>
    <row r="58" spans="10:126" ht="15.75" customHeight="1">
      <c r="CB58" s="47"/>
      <c r="CC58" s="47"/>
      <c r="CD58" s="47"/>
      <c r="CE58" s="47"/>
      <c r="CF58" s="47"/>
      <c r="CI58" s="47"/>
      <c r="CJ58" s="47"/>
      <c r="CK58" s="47"/>
      <c r="CL58" s="47"/>
      <c r="CM58" s="47"/>
      <c r="CN58" s="52"/>
      <c r="CO58" s="52"/>
      <c r="CP58" s="52"/>
      <c r="CQ58" s="52"/>
      <c r="DK58" s="47"/>
      <c r="DL58" s="47"/>
      <c r="DM58" s="47"/>
      <c r="DN58" s="47"/>
      <c r="DO58" s="47"/>
    </row>
    <row r="59" spans="10:126" ht="15.75" customHeight="1">
      <c r="CB59" s="47"/>
      <c r="CC59" s="47"/>
      <c r="CD59" s="47"/>
      <c r="CE59" s="47"/>
      <c r="CF59" s="47"/>
      <c r="CI59" s="47"/>
      <c r="CJ59" s="47"/>
      <c r="CK59" s="47"/>
      <c r="CL59" s="47"/>
      <c r="CM59" s="47"/>
      <c r="CP59" s="47"/>
      <c r="CQ59" s="47"/>
      <c r="CR59" s="47"/>
      <c r="CS59" s="47"/>
      <c r="CT59" s="47"/>
      <c r="DK59" s="47"/>
      <c r="DL59" s="47"/>
      <c r="DM59" s="47"/>
      <c r="DN59" s="47"/>
      <c r="DO59" s="47"/>
    </row>
    <row r="60" spans="10:126" ht="15.75" customHeight="1">
      <c r="CP60" s="47"/>
      <c r="CQ60" s="47"/>
      <c r="CR60" s="47"/>
      <c r="CS60" s="47"/>
      <c r="CT60" s="47"/>
      <c r="DK60" s="47"/>
      <c r="DL60" s="47"/>
      <c r="DM60" s="47"/>
      <c r="DN60" s="47"/>
      <c r="DO60" s="47"/>
    </row>
    <row r="61" spans="10:126" ht="15.75" customHeight="1">
      <c r="CP61" s="47"/>
      <c r="CQ61" s="47"/>
      <c r="CR61" s="47"/>
      <c r="CS61" s="47"/>
      <c r="CT61" s="47"/>
    </row>
    <row r="62" spans="10:126" ht="15.75" customHeight="1">
      <c r="CP62" s="47"/>
      <c r="CQ62" s="47"/>
      <c r="CR62" s="47"/>
      <c r="CS62" s="47"/>
      <c r="CT62" s="47"/>
    </row>
    <row r="63" spans="10:126" ht="15.75" customHeight="1">
      <c r="CP63" s="47"/>
      <c r="CQ63" s="47"/>
      <c r="CR63" s="47"/>
      <c r="CS63" s="47"/>
      <c r="CT63" s="47"/>
    </row>
    <row r="64" spans="10:126" ht="15.75" customHeight="1">
      <c r="CP64" s="47"/>
      <c r="CQ64" s="47"/>
      <c r="CR64" s="47"/>
      <c r="CS64" s="47"/>
      <c r="CT64" s="47"/>
    </row>
    <row r="65" spans="94:107" ht="15.75" customHeight="1">
      <c r="CP65" s="47"/>
      <c r="CQ65" s="47"/>
      <c r="CR65" s="47"/>
      <c r="CS65" s="47"/>
      <c r="CT65" s="47"/>
    </row>
    <row r="66" spans="94:107" ht="15.75" customHeight="1">
      <c r="CP66" s="47"/>
      <c r="CQ66" s="47"/>
      <c r="CR66" s="47"/>
      <c r="CS66" s="47"/>
      <c r="CT66" s="47"/>
      <c r="DB66" s="52"/>
      <c r="DC66" s="52"/>
    </row>
    <row r="67" spans="94:107" ht="15.75" customHeight="1">
      <c r="CP67" s="47"/>
      <c r="CQ67" s="47"/>
      <c r="CR67" s="47"/>
      <c r="CS67" s="47"/>
      <c r="CT67" s="47"/>
    </row>
    <row r="68" spans="94:107" ht="15.75" customHeight="1">
      <c r="CP68" s="47"/>
      <c r="CQ68" s="47"/>
      <c r="CR68" s="47"/>
      <c r="CS68" s="47"/>
      <c r="CT68" s="47"/>
    </row>
    <row r="69" spans="94:107" ht="15.75" customHeight="1">
      <c r="CP69" s="47"/>
      <c r="CQ69" s="47"/>
      <c r="CR69" s="47"/>
      <c r="CS69" s="47"/>
      <c r="CT69" s="47"/>
    </row>
    <row r="70" spans="94:107" ht="15.75" customHeight="1">
      <c r="CP70" s="47"/>
      <c r="CQ70" s="47"/>
      <c r="CR70" s="47"/>
      <c r="CS70" s="47"/>
      <c r="CT70" s="47"/>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2"/>
      <c r="CV129" s="52"/>
    </row>
    <row r="130" spans="99:100" ht="15.75" customHeight="1">
      <c r="CU130" s="52"/>
      <c r="CV130" s="52"/>
    </row>
    <row r="131" spans="99:100" ht="15.75" customHeight="1">
      <c r="CU131" s="52"/>
      <c r="CV131" s="52"/>
    </row>
    <row r="132" spans="99:100" ht="15.75" customHeight="1">
      <c r="CU132" s="52"/>
      <c r="CV132" s="52"/>
    </row>
    <row r="133" spans="99:100" ht="15.75" customHeight="1">
      <c r="CU133" s="52"/>
      <c r="CV133" s="52"/>
    </row>
    <row r="134" spans="99:100" ht="15.75" customHeight="1">
      <c r="CU134" s="52"/>
      <c r="CV134" s="52"/>
    </row>
    <row r="135" spans="99:100" ht="15.75" customHeight="1">
      <c r="CU135" s="52"/>
      <c r="CV135" s="52"/>
    </row>
    <row r="136" spans="99:100" ht="15.75" customHeight="1">
      <c r="CU136" s="52"/>
      <c r="CV136" s="52"/>
    </row>
    <row r="137" spans="99:100" ht="15.75" customHeight="1">
      <c r="CU137" s="52"/>
      <c r="CV137" s="52"/>
    </row>
    <row r="138" spans="99:100" ht="15.75" customHeight="1">
      <c r="CU138" s="52"/>
      <c r="CV138" s="52"/>
    </row>
    <row r="139" spans="99:100" ht="15.75" customHeight="1">
      <c r="CU139" s="52"/>
      <c r="CV139" s="52"/>
    </row>
    <row r="140" spans="99:100" ht="15.75" customHeight="1">
      <c r="CU140" s="52"/>
      <c r="CV140" s="52"/>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LYPeuFaXnAtHjQQKs6u47DZSPONebrqNoDRzrHF9CbVvF6QY89PJ1rqsPXug2/zdNMiDR6lD3zguCwI6n3WQ8g==" saltValue="W+gNDO0p/JUzSnrC4Cwq1A=="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AX207"/>
  <sheetViews>
    <sheetView workbookViewId="0"/>
  </sheetViews>
  <sheetFormatPr defaultRowHeight="14.25"/>
  <sheetData>
    <row r="1" spans="1:50">
      <c r="K1" t="s">
        <v>11046</v>
      </c>
      <c r="V1" t="s">
        <v>11047</v>
      </c>
      <c r="AC1" t="s">
        <v>11048</v>
      </c>
      <c r="AJ1" t="s">
        <v>11049</v>
      </c>
      <c r="AR1" t="s">
        <v>11050</v>
      </c>
      <c r="AU1" t="s">
        <v>11051</v>
      </c>
    </row>
    <row r="2" spans="1:50">
      <c r="A2" t="s">
        <v>1955</v>
      </c>
      <c r="B2" t="s">
        <v>8034</v>
      </c>
      <c r="C2" t="s">
        <v>8033</v>
      </c>
      <c r="D2" t="s">
        <v>8036</v>
      </c>
      <c r="E2" t="s">
        <v>8038</v>
      </c>
      <c r="F2" t="s">
        <v>1956</v>
      </c>
      <c r="G2" t="s">
        <v>11052</v>
      </c>
      <c r="H2" t="s">
        <v>11053</v>
      </c>
      <c r="I2" t="s">
        <v>8046</v>
      </c>
      <c r="J2" t="s">
        <v>8048</v>
      </c>
      <c r="K2" t="s">
        <v>11054</v>
      </c>
      <c r="L2" t="s">
        <v>11055</v>
      </c>
      <c r="M2" t="s">
        <v>11056</v>
      </c>
      <c r="N2" t="s">
        <v>11057</v>
      </c>
      <c r="O2" t="s">
        <v>11058</v>
      </c>
      <c r="P2" t="s">
        <v>11059</v>
      </c>
      <c r="Q2" t="s">
        <v>1998</v>
      </c>
      <c r="R2" t="s">
        <v>11060</v>
      </c>
      <c r="S2" t="s">
        <v>11061</v>
      </c>
      <c r="T2" t="s">
        <v>3</v>
      </c>
      <c r="U2" t="s">
        <v>26</v>
      </c>
      <c r="V2" t="s">
        <v>11062</v>
      </c>
      <c r="W2" t="s">
        <v>11063</v>
      </c>
      <c r="X2" t="s">
        <v>8064</v>
      </c>
      <c r="Y2" t="s">
        <v>2535</v>
      </c>
      <c r="Z2" t="s">
        <v>6</v>
      </c>
      <c r="AA2" t="s">
        <v>2536</v>
      </c>
      <c r="AB2" t="s">
        <v>2537</v>
      </c>
      <c r="AC2" t="s">
        <v>11062</v>
      </c>
      <c r="AD2" t="s">
        <v>11063</v>
      </c>
      <c r="AE2" t="s">
        <v>8064</v>
      </c>
      <c r="AF2" t="s">
        <v>2535</v>
      </c>
      <c r="AG2" t="s">
        <v>6</v>
      </c>
      <c r="AH2" t="s">
        <v>2536</v>
      </c>
      <c r="AI2" t="s">
        <v>2537</v>
      </c>
      <c r="AJ2" t="s">
        <v>11062</v>
      </c>
      <c r="AK2" t="s">
        <v>11063</v>
      </c>
      <c r="AL2" t="s">
        <v>8064</v>
      </c>
      <c r="AM2" t="s">
        <v>2535</v>
      </c>
      <c r="AN2" t="s">
        <v>6</v>
      </c>
      <c r="AO2" t="s">
        <v>2536</v>
      </c>
      <c r="AP2" t="s">
        <v>2537</v>
      </c>
      <c r="AQ2" t="s">
        <v>11064</v>
      </c>
      <c r="AR2" t="s">
        <v>11065</v>
      </c>
      <c r="AS2" t="s">
        <v>11066</v>
      </c>
      <c r="AT2" t="s">
        <v>11067</v>
      </c>
      <c r="AU2" t="s">
        <v>11068</v>
      </c>
      <c r="AV2" t="s">
        <v>11069</v>
      </c>
      <c r="AX2" t="s">
        <v>1956</v>
      </c>
    </row>
    <row r="3" spans="1:50">
      <c r="A3" t="s">
        <v>8277</v>
      </c>
      <c r="B3" t="s">
        <v>7958</v>
      </c>
      <c r="C3" t="s">
        <v>7961</v>
      </c>
      <c r="D3" t="s">
        <v>8083</v>
      </c>
      <c r="E3" t="s">
        <v>8279</v>
      </c>
      <c r="F3" t="s">
        <v>8281</v>
      </c>
      <c r="G3" t="s">
        <v>8099</v>
      </c>
      <c r="H3" t="s">
        <v>8148</v>
      </c>
      <c r="I3" t="s">
        <v>8283</v>
      </c>
      <c r="J3" t="s">
        <v>1984</v>
      </c>
      <c r="K3" t="s">
        <v>2539</v>
      </c>
      <c r="L3" t="s">
        <v>2539</v>
      </c>
      <c r="M3" t="s">
        <v>2539</v>
      </c>
      <c r="N3" t="s">
        <v>2539</v>
      </c>
      <c r="O3" t="s">
        <v>2539</v>
      </c>
      <c r="P3" t="s">
        <v>11070</v>
      </c>
      <c r="Q3" t="s">
        <v>8281</v>
      </c>
      <c r="T3" t="s">
        <v>8282</v>
      </c>
      <c r="U3" t="s">
        <v>8092</v>
      </c>
      <c r="AR3" t="s">
        <v>1984</v>
      </c>
      <c r="AS3" t="s">
        <v>2539</v>
      </c>
      <c r="AT3" t="s">
        <v>1979</v>
      </c>
      <c r="AU3" t="s">
        <v>2540</v>
      </c>
      <c r="AV3" t="s">
        <v>1980</v>
      </c>
      <c r="AX3" t="s">
        <v>11071</v>
      </c>
    </row>
    <row r="4" spans="1:50">
      <c r="A4" t="s">
        <v>8277</v>
      </c>
      <c r="B4" t="s">
        <v>7958</v>
      </c>
      <c r="C4" t="s">
        <v>7961</v>
      </c>
      <c r="D4" t="s">
        <v>8083</v>
      </c>
      <c r="E4" t="s">
        <v>8279</v>
      </c>
      <c r="F4" t="s">
        <v>8281</v>
      </c>
      <c r="P4" t="s">
        <v>11072</v>
      </c>
      <c r="Q4" t="s">
        <v>11073</v>
      </c>
      <c r="R4" t="s">
        <v>11074</v>
      </c>
      <c r="T4" t="s">
        <v>11</v>
      </c>
      <c r="U4" t="s">
        <v>2622</v>
      </c>
      <c r="V4">
        <v>750</v>
      </c>
      <c r="X4">
        <v>750</v>
      </c>
      <c r="Y4">
        <v>750</v>
      </c>
      <c r="Z4">
        <v>750</v>
      </c>
      <c r="AA4">
        <v>750</v>
      </c>
      <c r="AB4">
        <v>750</v>
      </c>
      <c r="AC4">
        <v>1500</v>
      </c>
      <c r="AE4">
        <v>1500</v>
      </c>
      <c r="AF4">
        <v>1500</v>
      </c>
      <c r="AG4">
        <v>1500</v>
      </c>
      <c r="AH4">
        <v>1500</v>
      </c>
      <c r="AI4">
        <v>1500</v>
      </c>
      <c r="AQ4">
        <v>1500</v>
      </c>
      <c r="AR4">
        <v>6529</v>
      </c>
      <c r="AS4">
        <v>1256</v>
      </c>
      <c r="AT4" t="s">
        <v>1979</v>
      </c>
      <c r="AU4">
        <v>2459</v>
      </c>
      <c r="AV4" t="s">
        <v>1980</v>
      </c>
      <c r="AX4" t="s">
        <v>11075</v>
      </c>
    </row>
    <row r="5" spans="1:50">
      <c r="A5" t="s">
        <v>8277</v>
      </c>
      <c r="B5" t="s">
        <v>7958</v>
      </c>
      <c r="C5" t="s">
        <v>7961</v>
      </c>
      <c r="D5" t="s">
        <v>8083</v>
      </c>
      <c r="E5" t="s">
        <v>8279</v>
      </c>
      <c r="F5" t="s">
        <v>8281</v>
      </c>
      <c r="P5" t="s">
        <v>11076</v>
      </c>
      <c r="Q5" t="s">
        <v>11077</v>
      </c>
      <c r="R5" t="s">
        <v>11078</v>
      </c>
      <c r="U5">
        <v>1</v>
      </c>
      <c r="X5">
        <v>-5.3</v>
      </c>
      <c r="Y5">
        <v>-5.3</v>
      </c>
      <c r="Z5">
        <v>-5.3</v>
      </c>
      <c r="AA5">
        <v>-5.3</v>
      </c>
      <c r="AB5">
        <v>-5.3</v>
      </c>
      <c r="AE5">
        <v>1.8</v>
      </c>
      <c r="AF5">
        <v>1.8</v>
      </c>
      <c r="AG5">
        <v>1.8</v>
      </c>
      <c r="AH5">
        <v>1.8</v>
      </c>
      <c r="AI5">
        <v>1.8</v>
      </c>
      <c r="AQ5" t="s">
        <v>11079</v>
      </c>
      <c r="AR5" t="s">
        <v>3323</v>
      </c>
      <c r="AS5" t="s">
        <v>11080</v>
      </c>
      <c r="AT5" t="s">
        <v>1979</v>
      </c>
      <c r="AU5" t="s">
        <v>11081</v>
      </c>
      <c r="AV5" t="s">
        <v>1980</v>
      </c>
      <c r="AX5" t="s">
        <v>11082</v>
      </c>
    </row>
    <row r="6" spans="1:50">
      <c r="A6" t="s">
        <v>8277</v>
      </c>
      <c r="B6" t="s">
        <v>7958</v>
      </c>
      <c r="C6" t="s">
        <v>7961</v>
      </c>
      <c r="D6" t="s">
        <v>8083</v>
      </c>
      <c r="E6" t="s">
        <v>8279</v>
      </c>
      <c r="F6" t="s">
        <v>8281</v>
      </c>
      <c r="P6" t="s">
        <v>11083</v>
      </c>
      <c r="Q6" t="s">
        <v>11084</v>
      </c>
      <c r="R6" t="s">
        <v>11085</v>
      </c>
      <c r="U6">
        <v>2</v>
      </c>
      <c r="V6">
        <v>0.56000000000000005</v>
      </c>
      <c r="X6">
        <v>0.47</v>
      </c>
      <c r="Y6">
        <v>0.47</v>
      </c>
      <c r="Z6">
        <v>0.47</v>
      </c>
      <c r="AA6">
        <v>0.47</v>
      </c>
      <c r="AB6">
        <v>0.47</v>
      </c>
      <c r="AC6">
        <v>0.66</v>
      </c>
      <c r="AE6">
        <v>0.52</v>
      </c>
      <c r="AF6">
        <v>0.52</v>
      </c>
      <c r="AG6">
        <v>0.52</v>
      </c>
      <c r="AH6">
        <v>0.52</v>
      </c>
      <c r="AI6">
        <v>0.52</v>
      </c>
      <c r="AQ6">
        <v>0.52</v>
      </c>
      <c r="AR6">
        <v>0.47</v>
      </c>
      <c r="AS6">
        <v>0.39</v>
      </c>
      <c r="AT6" t="s">
        <v>1979</v>
      </c>
      <c r="AU6">
        <v>0.41</v>
      </c>
      <c r="AV6" t="s">
        <v>1979</v>
      </c>
      <c r="AX6" t="s">
        <v>11086</v>
      </c>
    </row>
    <row r="7" spans="1:50">
      <c r="A7" t="s">
        <v>8277</v>
      </c>
      <c r="B7" t="s">
        <v>7958</v>
      </c>
      <c r="C7" t="s">
        <v>7961</v>
      </c>
      <c r="D7" t="s">
        <v>8083</v>
      </c>
      <c r="E7" t="s">
        <v>8279</v>
      </c>
      <c r="F7" t="s">
        <v>8281</v>
      </c>
      <c r="P7" t="s">
        <v>11087</v>
      </c>
      <c r="Q7" t="s">
        <v>11088</v>
      </c>
      <c r="R7" t="s">
        <v>11089</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1979</v>
      </c>
      <c r="AU7">
        <v>0.04</v>
      </c>
      <c r="AV7" t="s">
        <v>1979</v>
      </c>
      <c r="AX7" t="s">
        <v>11090</v>
      </c>
    </row>
    <row r="8" spans="1:50">
      <c r="A8" t="s">
        <v>8285</v>
      </c>
      <c r="B8" t="s">
        <v>7958</v>
      </c>
      <c r="C8" t="s">
        <v>7961</v>
      </c>
      <c r="D8" t="s">
        <v>8083</v>
      </c>
      <c r="E8" t="s">
        <v>8286</v>
      </c>
      <c r="F8" t="s">
        <v>8288</v>
      </c>
      <c r="G8" t="s">
        <v>8099</v>
      </c>
      <c r="H8" t="s">
        <v>8148</v>
      </c>
      <c r="I8" t="s">
        <v>8283</v>
      </c>
      <c r="J8" t="s">
        <v>1984</v>
      </c>
      <c r="K8" t="s">
        <v>2539</v>
      </c>
      <c r="L8" t="s">
        <v>2539</v>
      </c>
      <c r="M8" t="s">
        <v>2539</v>
      </c>
      <c r="N8" t="s">
        <v>2539</v>
      </c>
      <c r="O8" t="s">
        <v>2539</v>
      </c>
      <c r="P8" t="s">
        <v>11070</v>
      </c>
      <c r="Q8" t="s">
        <v>8288</v>
      </c>
      <c r="T8" t="s">
        <v>8282</v>
      </c>
      <c r="U8" t="s">
        <v>8092</v>
      </c>
      <c r="AR8" t="s">
        <v>1984</v>
      </c>
      <c r="AS8" t="s">
        <v>2539</v>
      </c>
      <c r="AT8" t="s">
        <v>1979</v>
      </c>
      <c r="AU8" t="s">
        <v>2539</v>
      </c>
      <c r="AV8" t="s">
        <v>1979</v>
      </c>
      <c r="AX8" t="s">
        <v>11091</v>
      </c>
    </row>
    <row r="9" spans="1:50">
      <c r="A9" t="s">
        <v>8285</v>
      </c>
      <c r="B9" t="s">
        <v>7958</v>
      </c>
      <c r="C9" t="s">
        <v>7961</v>
      </c>
      <c r="D9" t="s">
        <v>8083</v>
      </c>
      <c r="E9" t="s">
        <v>8286</v>
      </c>
      <c r="F9" t="s">
        <v>8288</v>
      </c>
      <c r="P9" t="s">
        <v>11072</v>
      </c>
      <c r="Q9" t="s">
        <v>11092</v>
      </c>
      <c r="R9" t="s">
        <v>11093</v>
      </c>
      <c r="U9" t="s">
        <v>2622</v>
      </c>
      <c r="X9">
        <v>4</v>
      </c>
      <c r="Y9">
        <v>4</v>
      </c>
      <c r="Z9">
        <v>4</v>
      </c>
      <c r="AA9">
        <v>4</v>
      </c>
      <c r="AB9">
        <v>4</v>
      </c>
      <c r="AE9">
        <v>6</v>
      </c>
      <c r="AF9">
        <v>6</v>
      </c>
      <c r="AG9">
        <v>6</v>
      </c>
      <c r="AH9">
        <v>6</v>
      </c>
      <c r="AI9">
        <v>6</v>
      </c>
      <c r="AQ9">
        <v>6</v>
      </c>
      <c r="AR9">
        <v>6</v>
      </c>
      <c r="AS9">
        <v>8</v>
      </c>
      <c r="AT9" t="s">
        <v>1980</v>
      </c>
      <c r="AU9">
        <v>3</v>
      </c>
      <c r="AV9" t="s">
        <v>1979</v>
      </c>
      <c r="AX9" t="s">
        <v>11094</v>
      </c>
    </row>
    <row r="10" spans="1:50">
      <c r="A10" t="s">
        <v>8285</v>
      </c>
      <c r="B10" t="s">
        <v>7958</v>
      </c>
      <c r="C10" t="s">
        <v>7961</v>
      </c>
      <c r="D10" t="s">
        <v>8083</v>
      </c>
      <c r="E10" t="s">
        <v>8286</v>
      </c>
      <c r="F10" t="s">
        <v>8288</v>
      </c>
      <c r="P10" t="s">
        <v>11076</v>
      </c>
      <c r="Q10" t="s">
        <v>11095</v>
      </c>
      <c r="R10" t="s">
        <v>11096</v>
      </c>
      <c r="T10" t="s">
        <v>10</v>
      </c>
      <c r="U10">
        <v>2</v>
      </c>
      <c r="V10">
        <v>0.1</v>
      </c>
      <c r="X10">
        <v>0</v>
      </c>
      <c r="Y10">
        <v>0</v>
      </c>
      <c r="Z10">
        <v>0</v>
      </c>
      <c r="AA10">
        <v>0</v>
      </c>
      <c r="AB10">
        <v>0</v>
      </c>
      <c r="AC10">
        <v>0.52</v>
      </c>
      <c r="AE10">
        <v>0.26</v>
      </c>
      <c r="AF10">
        <v>0.26</v>
      </c>
      <c r="AG10">
        <v>0.26</v>
      </c>
      <c r="AH10">
        <v>0.26</v>
      </c>
      <c r="AI10">
        <v>0.26</v>
      </c>
      <c r="AQ10">
        <v>0.26</v>
      </c>
      <c r="AR10">
        <v>0</v>
      </c>
      <c r="AS10">
        <v>0</v>
      </c>
      <c r="AT10" t="s">
        <v>1979</v>
      </c>
      <c r="AU10">
        <v>0</v>
      </c>
      <c r="AV10" t="s">
        <v>1979</v>
      </c>
      <c r="AX10" t="s">
        <v>11097</v>
      </c>
    </row>
    <row r="11" spans="1:50">
      <c r="A11" t="s">
        <v>8285</v>
      </c>
      <c r="B11" t="s">
        <v>7958</v>
      </c>
      <c r="C11" t="s">
        <v>7961</v>
      </c>
      <c r="D11" t="s">
        <v>8083</v>
      </c>
      <c r="E11" t="s">
        <v>8286</v>
      </c>
      <c r="F11" t="s">
        <v>8288</v>
      </c>
      <c r="P11" t="s">
        <v>11083</v>
      </c>
      <c r="Q11" t="s">
        <v>11098</v>
      </c>
      <c r="R11" t="s">
        <v>11098</v>
      </c>
      <c r="U11" t="s">
        <v>2622</v>
      </c>
      <c r="V11">
        <v>0</v>
      </c>
      <c r="X11">
        <v>0</v>
      </c>
      <c r="Y11">
        <v>0</v>
      </c>
      <c r="Z11">
        <v>0</v>
      </c>
      <c r="AA11">
        <v>0</v>
      </c>
      <c r="AB11">
        <v>0</v>
      </c>
      <c r="AC11">
        <v>1</v>
      </c>
      <c r="AE11">
        <v>1</v>
      </c>
      <c r="AF11">
        <v>1</v>
      </c>
      <c r="AG11">
        <v>1</v>
      </c>
      <c r="AH11">
        <v>1</v>
      </c>
      <c r="AI11">
        <v>1</v>
      </c>
      <c r="AQ11">
        <v>1</v>
      </c>
      <c r="AR11">
        <v>0</v>
      </c>
      <c r="AS11">
        <v>0</v>
      </c>
      <c r="AT11" t="s">
        <v>1979</v>
      </c>
      <c r="AU11">
        <v>0</v>
      </c>
      <c r="AV11" t="s">
        <v>1979</v>
      </c>
      <c r="AX11" t="s">
        <v>11099</v>
      </c>
    </row>
    <row r="12" spans="1:50">
      <c r="A12" t="s">
        <v>8360</v>
      </c>
      <c r="B12" t="s">
        <v>7958</v>
      </c>
      <c r="C12" t="s">
        <v>7961</v>
      </c>
      <c r="D12" t="s">
        <v>8297</v>
      </c>
      <c r="E12" t="s">
        <v>8361</v>
      </c>
      <c r="F12" t="s">
        <v>8363</v>
      </c>
      <c r="G12" t="s">
        <v>8099</v>
      </c>
      <c r="H12" t="s">
        <v>8364</v>
      </c>
      <c r="I12" t="s">
        <v>8283</v>
      </c>
      <c r="J12" t="s">
        <v>1984</v>
      </c>
      <c r="K12" t="s">
        <v>2539</v>
      </c>
      <c r="L12" t="s">
        <v>2539</v>
      </c>
      <c r="M12" t="s">
        <v>2539</v>
      </c>
      <c r="N12" t="s">
        <v>2539</v>
      </c>
      <c r="O12" t="s">
        <v>2539</v>
      </c>
      <c r="P12" t="s">
        <v>11070</v>
      </c>
      <c r="Q12" t="s">
        <v>8363</v>
      </c>
      <c r="T12" t="s">
        <v>8282</v>
      </c>
      <c r="U12" t="s">
        <v>8092</v>
      </c>
      <c r="AR12" t="s">
        <v>1984</v>
      </c>
      <c r="AS12" t="s">
        <v>2539</v>
      </c>
      <c r="AT12" t="s">
        <v>1979</v>
      </c>
      <c r="AU12" t="s">
        <v>2539</v>
      </c>
      <c r="AV12" t="s">
        <v>1979</v>
      </c>
      <c r="AX12" t="s">
        <v>11100</v>
      </c>
    </row>
    <row r="13" spans="1:50">
      <c r="A13" t="s">
        <v>8360</v>
      </c>
      <c r="B13" t="s">
        <v>7958</v>
      </c>
      <c r="C13" t="s">
        <v>7961</v>
      </c>
      <c r="D13" t="s">
        <v>8297</v>
      </c>
      <c r="E13" t="s">
        <v>8361</v>
      </c>
      <c r="F13" t="s">
        <v>8363</v>
      </c>
      <c r="P13" t="s">
        <v>11072</v>
      </c>
      <c r="Q13" t="s">
        <v>8337</v>
      </c>
      <c r="R13" t="s">
        <v>11101</v>
      </c>
      <c r="T13" t="s">
        <v>11</v>
      </c>
      <c r="U13" t="s">
        <v>2622</v>
      </c>
      <c r="V13">
        <v>140</v>
      </c>
      <c r="X13">
        <v>117</v>
      </c>
      <c r="Y13">
        <v>117</v>
      </c>
      <c r="Z13">
        <v>117</v>
      </c>
      <c r="AA13">
        <v>117</v>
      </c>
      <c r="AB13">
        <v>117</v>
      </c>
      <c r="AC13">
        <v>165</v>
      </c>
      <c r="AE13">
        <v>160</v>
      </c>
      <c r="AF13">
        <v>160</v>
      </c>
      <c r="AG13">
        <v>160</v>
      </c>
      <c r="AH13">
        <v>160</v>
      </c>
      <c r="AI13">
        <v>160</v>
      </c>
      <c r="AQ13">
        <v>160</v>
      </c>
      <c r="AR13">
        <v>142</v>
      </c>
      <c r="AS13">
        <v>81</v>
      </c>
      <c r="AT13" t="s">
        <v>1979</v>
      </c>
      <c r="AU13">
        <v>105</v>
      </c>
      <c r="AV13" t="s">
        <v>1979</v>
      </c>
      <c r="AX13" t="s">
        <v>11102</v>
      </c>
    </row>
    <row r="14" spans="1:50">
      <c r="A14" t="s">
        <v>8360</v>
      </c>
      <c r="B14" t="s">
        <v>7958</v>
      </c>
      <c r="C14" t="s">
        <v>7961</v>
      </c>
      <c r="D14" t="s">
        <v>8297</v>
      </c>
      <c r="E14" t="s">
        <v>8361</v>
      </c>
      <c r="F14" t="s">
        <v>8363</v>
      </c>
      <c r="P14" t="s">
        <v>11076</v>
      </c>
      <c r="Q14" t="s">
        <v>2646</v>
      </c>
      <c r="R14" t="s">
        <v>11103</v>
      </c>
      <c r="T14" t="s">
        <v>11</v>
      </c>
      <c r="U14" t="s">
        <v>2622</v>
      </c>
      <c r="V14">
        <v>420</v>
      </c>
      <c r="X14">
        <v>420</v>
      </c>
      <c r="Y14">
        <v>420</v>
      </c>
      <c r="Z14">
        <v>420</v>
      </c>
      <c r="AA14">
        <v>420</v>
      </c>
      <c r="AB14">
        <v>420</v>
      </c>
      <c r="AC14">
        <v>520</v>
      </c>
      <c r="AE14">
        <v>520</v>
      </c>
      <c r="AF14">
        <v>520</v>
      </c>
      <c r="AG14">
        <v>520</v>
      </c>
      <c r="AH14">
        <v>520</v>
      </c>
      <c r="AI14">
        <v>520</v>
      </c>
      <c r="AQ14">
        <v>520</v>
      </c>
      <c r="AR14">
        <v>250</v>
      </c>
      <c r="AS14">
        <v>247</v>
      </c>
      <c r="AT14" t="s">
        <v>1979</v>
      </c>
      <c r="AU14">
        <v>228</v>
      </c>
      <c r="AV14" t="s">
        <v>1979</v>
      </c>
      <c r="AX14" t="s">
        <v>11104</v>
      </c>
    </row>
    <row r="15" spans="1:50">
      <c r="A15" t="s">
        <v>8360</v>
      </c>
      <c r="B15" t="s">
        <v>7958</v>
      </c>
      <c r="C15" t="s">
        <v>7961</v>
      </c>
      <c r="D15" t="s">
        <v>8297</v>
      </c>
      <c r="E15" t="s">
        <v>8361</v>
      </c>
      <c r="F15" t="s">
        <v>8363</v>
      </c>
      <c r="P15" t="s">
        <v>11083</v>
      </c>
      <c r="Q15" t="s">
        <v>11105</v>
      </c>
      <c r="R15" t="s">
        <v>11106</v>
      </c>
      <c r="T15" t="s">
        <v>11</v>
      </c>
      <c r="U15" t="s">
        <v>2622</v>
      </c>
      <c r="X15">
        <v>203</v>
      </c>
      <c r="Y15">
        <v>203</v>
      </c>
      <c r="Z15">
        <v>203</v>
      </c>
      <c r="AA15">
        <v>203</v>
      </c>
      <c r="AB15">
        <v>203</v>
      </c>
      <c r="AE15">
        <v>340</v>
      </c>
      <c r="AF15">
        <v>340</v>
      </c>
      <c r="AG15">
        <v>340</v>
      </c>
      <c r="AH15">
        <v>340</v>
      </c>
      <c r="AI15">
        <v>340</v>
      </c>
      <c r="AQ15">
        <v>340</v>
      </c>
      <c r="AR15">
        <v>263</v>
      </c>
      <c r="AS15">
        <v>220</v>
      </c>
      <c r="AT15" t="s">
        <v>1979</v>
      </c>
      <c r="AU15">
        <v>264</v>
      </c>
      <c r="AV15" t="s">
        <v>1979</v>
      </c>
      <c r="AX15" t="s">
        <v>11107</v>
      </c>
    </row>
    <row r="16" spans="1:50">
      <c r="A16" t="s">
        <v>8360</v>
      </c>
      <c r="B16" t="s">
        <v>7958</v>
      </c>
      <c r="C16" t="s">
        <v>7961</v>
      </c>
      <c r="D16" t="s">
        <v>8297</v>
      </c>
      <c r="E16" t="s">
        <v>8361</v>
      </c>
      <c r="F16" t="s">
        <v>8363</v>
      </c>
      <c r="P16" t="s">
        <v>11087</v>
      </c>
      <c r="Q16" t="s">
        <v>11108</v>
      </c>
      <c r="R16" t="s">
        <v>11108</v>
      </c>
      <c r="T16" t="s">
        <v>11</v>
      </c>
      <c r="U16" t="s">
        <v>2622</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1979</v>
      </c>
      <c r="AU16">
        <v>10522</v>
      </c>
      <c r="AV16" t="s">
        <v>1979</v>
      </c>
      <c r="AX16" t="s">
        <v>11109</v>
      </c>
    </row>
    <row r="17" spans="1:50">
      <c r="A17" t="s">
        <v>8366</v>
      </c>
      <c r="B17" t="s">
        <v>7958</v>
      </c>
      <c r="C17" t="s">
        <v>7961</v>
      </c>
      <c r="D17" t="s">
        <v>8297</v>
      </c>
      <c r="E17" t="s">
        <v>8367</v>
      </c>
      <c r="F17" t="s">
        <v>8369</v>
      </c>
      <c r="G17" t="s">
        <v>8099</v>
      </c>
      <c r="H17" t="s">
        <v>8364</v>
      </c>
      <c r="I17" t="s">
        <v>8283</v>
      </c>
      <c r="J17" t="s">
        <v>1984</v>
      </c>
      <c r="K17" t="s">
        <v>2539</v>
      </c>
      <c r="L17" t="s">
        <v>2539</v>
      </c>
      <c r="M17" t="s">
        <v>2539</v>
      </c>
      <c r="N17" t="s">
        <v>2539</v>
      </c>
      <c r="O17" t="s">
        <v>2539</v>
      </c>
      <c r="P17" t="s">
        <v>11070</v>
      </c>
      <c r="Q17" t="s">
        <v>8369</v>
      </c>
      <c r="T17" t="s">
        <v>8282</v>
      </c>
      <c r="U17" t="s">
        <v>8092</v>
      </c>
      <c r="AR17" t="s">
        <v>1984</v>
      </c>
      <c r="AS17" t="s">
        <v>2539</v>
      </c>
      <c r="AT17" t="s">
        <v>1979</v>
      </c>
      <c r="AU17" t="s">
        <v>2539</v>
      </c>
      <c r="AV17" t="s">
        <v>1979</v>
      </c>
      <c r="AX17" t="s">
        <v>11110</v>
      </c>
    </row>
    <row r="18" spans="1:50">
      <c r="A18" t="s">
        <v>8366</v>
      </c>
      <c r="B18" t="s">
        <v>7958</v>
      </c>
      <c r="C18" t="s">
        <v>7961</v>
      </c>
      <c r="D18" t="s">
        <v>8297</v>
      </c>
      <c r="E18" t="s">
        <v>8367</v>
      </c>
      <c r="F18" t="s">
        <v>8369</v>
      </c>
      <c r="P18" t="s">
        <v>11072</v>
      </c>
      <c r="Q18" t="s">
        <v>11111</v>
      </c>
      <c r="R18" t="s">
        <v>11112</v>
      </c>
      <c r="T18" t="s">
        <v>10</v>
      </c>
      <c r="U18">
        <v>2</v>
      </c>
      <c r="V18">
        <v>0.5</v>
      </c>
      <c r="X18">
        <v>0.5</v>
      </c>
      <c r="Y18">
        <v>0.5</v>
      </c>
      <c r="Z18">
        <v>0.5</v>
      </c>
      <c r="AA18">
        <v>0.5</v>
      </c>
      <c r="AB18">
        <v>0.5</v>
      </c>
      <c r="AC18">
        <v>1.7</v>
      </c>
      <c r="AE18">
        <v>1.7</v>
      </c>
      <c r="AF18">
        <v>1.7</v>
      </c>
      <c r="AG18">
        <v>1.7</v>
      </c>
      <c r="AH18">
        <v>1.7</v>
      </c>
      <c r="AI18">
        <v>1.7</v>
      </c>
      <c r="AQ18">
        <v>1.7</v>
      </c>
      <c r="AR18">
        <v>0</v>
      </c>
      <c r="AS18">
        <v>0</v>
      </c>
      <c r="AT18" t="s">
        <v>1979</v>
      </c>
      <c r="AU18">
        <v>0.18</v>
      </c>
      <c r="AV18" t="s">
        <v>1979</v>
      </c>
      <c r="AX18" t="s">
        <v>11113</v>
      </c>
    </row>
    <row r="19" spans="1:50">
      <c r="A19" t="s">
        <v>8366</v>
      </c>
      <c r="B19" t="s">
        <v>7958</v>
      </c>
      <c r="C19" t="s">
        <v>7961</v>
      </c>
      <c r="D19" t="s">
        <v>8297</v>
      </c>
      <c r="E19" t="s">
        <v>8367</v>
      </c>
      <c r="F19" t="s">
        <v>8369</v>
      </c>
      <c r="P19" t="s">
        <v>11076</v>
      </c>
      <c r="Q19" t="s">
        <v>11114</v>
      </c>
      <c r="R19" t="s">
        <v>11115</v>
      </c>
      <c r="U19">
        <v>2</v>
      </c>
      <c r="V19">
        <v>2.1</v>
      </c>
      <c r="X19">
        <v>0</v>
      </c>
      <c r="Y19">
        <v>0</v>
      </c>
      <c r="Z19">
        <v>0</v>
      </c>
      <c r="AA19">
        <v>0</v>
      </c>
      <c r="AB19">
        <v>0</v>
      </c>
      <c r="AC19">
        <v>2.8</v>
      </c>
      <c r="AE19">
        <v>2.8</v>
      </c>
      <c r="AF19">
        <v>2.8</v>
      </c>
      <c r="AG19">
        <v>2.8</v>
      </c>
      <c r="AH19">
        <v>2.8</v>
      </c>
      <c r="AI19">
        <v>2.8</v>
      </c>
      <c r="AQ19">
        <v>2.8</v>
      </c>
      <c r="AR19">
        <v>1.25</v>
      </c>
      <c r="AS19">
        <v>0.82</v>
      </c>
      <c r="AT19" t="s">
        <v>1979</v>
      </c>
      <c r="AU19">
        <v>0.42</v>
      </c>
      <c r="AV19" t="s">
        <v>1979</v>
      </c>
      <c r="AX19" t="s">
        <v>11116</v>
      </c>
    </row>
    <row r="20" spans="1:50">
      <c r="A20" t="s">
        <v>8425</v>
      </c>
      <c r="B20" t="s">
        <v>7995</v>
      </c>
      <c r="C20" t="s">
        <v>8419</v>
      </c>
      <c r="D20" t="s">
        <v>8083</v>
      </c>
      <c r="E20" t="s">
        <v>6967</v>
      </c>
      <c r="F20" t="s">
        <v>8427</v>
      </c>
      <c r="G20" t="s">
        <v>8099</v>
      </c>
      <c r="H20" t="s">
        <v>8148</v>
      </c>
      <c r="I20" t="s">
        <v>8429</v>
      </c>
      <c r="J20" t="s">
        <v>1984</v>
      </c>
      <c r="K20" t="s">
        <v>1984</v>
      </c>
      <c r="L20" t="s">
        <v>1984</v>
      </c>
      <c r="M20" t="s">
        <v>1984</v>
      </c>
      <c r="N20" t="s">
        <v>1984</v>
      </c>
      <c r="O20" t="s">
        <v>1984</v>
      </c>
      <c r="P20" t="s">
        <v>11070</v>
      </c>
      <c r="Q20" t="s">
        <v>8427</v>
      </c>
      <c r="T20" t="s">
        <v>8282</v>
      </c>
      <c r="U20" t="s">
        <v>8092</v>
      </c>
      <c r="AR20" t="s">
        <v>1984</v>
      </c>
      <c r="AS20" t="s">
        <v>1984</v>
      </c>
      <c r="AT20" t="s">
        <v>1979</v>
      </c>
      <c r="AU20" t="s">
        <v>1984</v>
      </c>
      <c r="AV20" t="s">
        <v>1979</v>
      </c>
      <c r="AX20" t="s">
        <v>11117</v>
      </c>
    </row>
    <row r="21" spans="1:50">
      <c r="A21" t="s">
        <v>8425</v>
      </c>
      <c r="B21" t="s">
        <v>7995</v>
      </c>
      <c r="C21" t="s">
        <v>8419</v>
      </c>
      <c r="D21" t="s">
        <v>8083</v>
      </c>
      <c r="E21" t="s">
        <v>6967</v>
      </c>
      <c r="F21" t="s">
        <v>8427</v>
      </c>
      <c r="P21" t="s">
        <v>11072</v>
      </c>
      <c r="Q21" t="s">
        <v>11118</v>
      </c>
      <c r="R21" t="s">
        <v>11078</v>
      </c>
      <c r="T21" t="s">
        <v>11</v>
      </c>
      <c r="U21" t="s">
        <v>2622</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1979</v>
      </c>
      <c r="AU21">
        <v>1034</v>
      </c>
      <c r="AV21" t="s">
        <v>1980</v>
      </c>
      <c r="AX21" t="s">
        <v>11119</v>
      </c>
    </row>
    <row r="22" spans="1:50">
      <c r="A22" t="s">
        <v>8425</v>
      </c>
      <c r="B22" t="s">
        <v>7995</v>
      </c>
      <c r="C22" t="s">
        <v>8419</v>
      </c>
      <c r="D22" t="s">
        <v>8083</v>
      </c>
      <c r="E22" t="s">
        <v>6967</v>
      </c>
      <c r="F22" t="s">
        <v>8427</v>
      </c>
      <c r="P22" t="s">
        <v>11076</v>
      </c>
      <c r="Q22" t="s">
        <v>11120</v>
      </c>
      <c r="R22" t="s">
        <v>11121</v>
      </c>
      <c r="T22" t="s">
        <v>11</v>
      </c>
      <c r="U22" t="s">
        <v>2622</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1979</v>
      </c>
      <c r="AU22">
        <v>94</v>
      </c>
      <c r="AV22" t="s">
        <v>1980</v>
      </c>
      <c r="AX22" t="s">
        <v>11122</v>
      </c>
    </row>
    <row r="23" spans="1:50">
      <c r="A23" t="s">
        <v>8432</v>
      </c>
      <c r="B23" t="s">
        <v>7995</v>
      </c>
      <c r="C23" t="s">
        <v>8419</v>
      </c>
      <c r="D23" t="s">
        <v>8083</v>
      </c>
      <c r="E23" t="s">
        <v>7851</v>
      </c>
      <c r="F23" t="s">
        <v>8434</v>
      </c>
      <c r="G23" t="s">
        <v>8099</v>
      </c>
      <c r="H23" t="s">
        <v>8148</v>
      </c>
      <c r="I23" t="s">
        <v>8429</v>
      </c>
      <c r="J23" t="s">
        <v>1984</v>
      </c>
      <c r="K23" t="s">
        <v>1984</v>
      </c>
      <c r="L23" t="s">
        <v>1984</v>
      </c>
      <c r="M23" t="s">
        <v>1984</v>
      </c>
      <c r="N23" t="s">
        <v>1984</v>
      </c>
      <c r="O23" t="s">
        <v>1984</v>
      </c>
      <c r="P23" t="s">
        <v>11070</v>
      </c>
      <c r="Q23" t="s">
        <v>8434</v>
      </c>
      <c r="T23" t="s">
        <v>8282</v>
      </c>
      <c r="U23" t="s">
        <v>8092</v>
      </c>
      <c r="AR23" t="s">
        <v>1984</v>
      </c>
      <c r="AS23" t="s">
        <v>1984</v>
      </c>
      <c r="AT23" t="s">
        <v>1979</v>
      </c>
      <c r="AU23" t="s">
        <v>1984</v>
      </c>
      <c r="AV23" t="s">
        <v>1979</v>
      </c>
      <c r="AX23" t="s">
        <v>11123</v>
      </c>
    </row>
    <row r="24" spans="1:50">
      <c r="A24" t="s">
        <v>8432</v>
      </c>
      <c r="B24" t="s">
        <v>7995</v>
      </c>
      <c r="C24" t="s">
        <v>8419</v>
      </c>
      <c r="D24" t="s">
        <v>8083</v>
      </c>
      <c r="E24" t="s">
        <v>7851</v>
      </c>
      <c r="F24" t="s">
        <v>8434</v>
      </c>
      <c r="P24" t="s">
        <v>11072</v>
      </c>
      <c r="Q24" t="s">
        <v>11124</v>
      </c>
      <c r="R24" t="s">
        <v>11098</v>
      </c>
      <c r="T24" t="s">
        <v>11</v>
      </c>
      <c r="U24" t="s">
        <v>2622</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1979</v>
      </c>
      <c r="AU24">
        <v>0</v>
      </c>
      <c r="AV24" t="s">
        <v>1979</v>
      </c>
      <c r="AX24" t="s">
        <v>11125</v>
      </c>
    </row>
    <row r="25" spans="1:50">
      <c r="A25" t="s">
        <v>8432</v>
      </c>
      <c r="B25" t="s">
        <v>7995</v>
      </c>
      <c r="C25" t="s">
        <v>8419</v>
      </c>
      <c r="D25" t="s">
        <v>8083</v>
      </c>
      <c r="E25" t="s">
        <v>7851</v>
      </c>
      <c r="F25" t="s">
        <v>8434</v>
      </c>
      <c r="P25" t="s">
        <v>11076</v>
      </c>
      <c r="Q25" t="s">
        <v>11126</v>
      </c>
      <c r="R25" t="s">
        <v>11127</v>
      </c>
      <c r="T25" t="s">
        <v>11</v>
      </c>
      <c r="U25" t="s">
        <v>2622</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1979</v>
      </c>
      <c r="AU25">
        <v>2870</v>
      </c>
      <c r="AV25" t="s">
        <v>1979</v>
      </c>
      <c r="AX25" t="s">
        <v>11128</v>
      </c>
    </row>
    <row r="26" spans="1:50">
      <c r="A26" t="s">
        <v>9046</v>
      </c>
      <c r="B26" t="s">
        <v>7995</v>
      </c>
      <c r="C26" t="s">
        <v>9021</v>
      </c>
      <c r="D26" t="s">
        <v>8083</v>
      </c>
      <c r="E26" t="s">
        <v>8592</v>
      </c>
      <c r="F26" t="s">
        <v>9048</v>
      </c>
      <c r="G26" t="s">
        <v>8099</v>
      </c>
      <c r="H26" t="s">
        <v>8148</v>
      </c>
      <c r="I26" t="s">
        <v>8429</v>
      </c>
      <c r="J26" t="s">
        <v>1984</v>
      </c>
      <c r="K26" t="s">
        <v>1984</v>
      </c>
      <c r="L26" t="s">
        <v>1984</v>
      </c>
      <c r="M26" t="s">
        <v>1984</v>
      </c>
      <c r="N26" t="s">
        <v>1984</v>
      </c>
      <c r="O26" t="s">
        <v>1984</v>
      </c>
      <c r="P26" t="s">
        <v>11070</v>
      </c>
      <c r="Q26" t="s">
        <v>9048</v>
      </c>
      <c r="T26" t="s">
        <v>8282</v>
      </c>
      <c r="U26" t="s">
        <v>8092</v>
      </c>
      <c r="AR26" t="s">
        <v>1984</v>
      </c>
      <c r="AS26" t="s">
        <v>1984</v>
      </c>
      <c r="AT26" t="s">
        <v>1979</v>
      </c>
      <c r="AU26" t="s">
        <v>1984</v>
      </c>
      <c r="AV26" t="s">
        <v>1979</v>
      </c>
      <c r="AX26" t="s">
        <v>11129</v>
      </c>
    </row>
    <row r="27" spans="1:50">
      <c r="A27" t="s">
        <v>9046</v>
      </c>
      <c r="B27" t="s">
        <v>7995</v>
      </c>
      <c r="C27" t="s">
        <v>9021</v>
      </c>
      <c r="D27" t="s">
        <v>8083</v>
      </c>
      <c r="E27" t="s">
        <v>8592</v>
      </c>
      <c r="F27" t="s">
        <v>9048</v>
      </c>
      <c r="P27" t="s">
        <v>11072</v>
      </c>
      <c r="Q27" t="s">
        <v>11130</v>
      </c>
      <c r="R27" t="s">
        <v>11078</v>
      </c>
      <c r="T27" t="s">
        <v>11</v>
      </c>
      <c r="U27" t="s">
        <v>2622</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1979</v>
      </c>
      <c r="AU27">
        <v>280</v>
      </c>
      <c r="AV27" t="s">
        <v>1979</v>
      </c>
      <c r="AX27" t="s">
        <v>11131</v>
      </c>
    </row>
    <row r="28" spans="1:50">
      <c r="A28" t="s">
        <v>9046</v>
      </c>
      <c r="B28" t="s">
        <v>7995</v>
      </c>
      <c r="C28" t="s">
        <v>9021</v>
      </c>
      <c r="D28" t="s">
        <v>8083</v>
      </c>
      <c r="E28" t="s">
        <v>8592</v>
      </c>
      <c r="F28" t="s">
        <v>9048</v>
      </c>
      <c r="P28" t="s">
        <v>11076</v>
      </c>
      <c r="Q28" t="s">
        <v>11132</v>
      </c>
      <c r="R28" t="s">
        <v>11074</v>
      </c>
      <c r="T28" t="s">
        <v>11</v>
      </c>
      <c r="U28" t="s">
        <v>2622</v>
      </c>
      <c r="X28">
        <v>6</v>
      </c>
      <c r="Y28">
        <v>6</v>
      </c>
      <c r="Z28">
        <v>6</v>
      </c>
      <c r="AA28">
        <v>6</v>
      </c>
      <c r="AB28">
        <v>6</v>
      </c>
      <c r="AE28">
        <v>15</v>
      </c>
      <c r="AF28">
        <v>15</v>
      </c>
      <c r="AG28">
        <v>15</v>
      </c>
      <c r="AH28">
        <v>15</v>
      </c>
      <c r="AI28">
        <v>15</v>
      </c>
      <c r="AL28">
        <v>0</v>
      </c>
      <c r="AM28">
        <v>0</v>
      </c>
      <c r="AN28">
        <v>0</v>
      </c>
      <c r="AO28">
        <v>0</v>
      </c>
      <c r="AP28">
        <v>0</v>
      </c>
      <c r="AR28">
        <v>0</v>
      </c>
      <c r="AS28">
        <v>0</v>
      </c>
      <c r="AT28" t="s">
        <v>1979</v>
      </c>
      <c r="AU28">
        <v>0</v>
      </c>
      <c r="AV28" t="s">
        <v>1979</v>
      </c>
      <c r="AX28" t="s">
        <v>11133</v>
      </c>
    </row>
    <row r="29" spans="1:50">
      <c r="A29" t="s">
        <v>9046</v>
      </c>
      <c r="B29" t="s">
        <v>7995</v>
      </c>
      <c r="C29" t="s">
        <v>9021</v>
      </c>
      <c r="D29" t="s">
        <v>8083</v>
      </c>
      <c r="E29" t="s">
        <v>8592</v>
      </c>
      <c r="F29" t="s">
        <v>9048</v>
      </c>
      <c r="P29" t="s">
        <v>11083</v>
      </c>
      <c r="Q29" t="s">
        <v>11134</v>
      </c>
      <c r="R29" t="s">
        <v>11135</v>
      </c>
      <c r="T29" t="s">
        <v>10</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1979</v>
      </c>
      <c r="AU29">
        <v>0</v>
      </c>
      <c r="AV29" t="s">
        <v>1979</v>
      </c>
      <c r="AX29" t="s">
        <v>11136</v>
      </c>
    </row>
    <row r="30" spans="1:50">
      <c r="A30" t="s">
        <v>9046</v>
      </c>
      <c r="B30" t="s">
        <v>7995</v>
      </c>
      <c r="C30" t="s">
        <v>9021</v>
      </c>
      <c r="D30" t="s">
        <v>8083</v>
      </c>
      <c r="E30" t="s">
        <v>8592</v>
      </c>
      <c r="F30" t="s">
        <v>9048</v>
      </c>
      <c r="P30" t="s">
        <v>11087</v>
      </c>
      <c r="Q30" t="s">
        <v>11137</v>
      </c>
      <c r="R30" t="s">
        <v>11121</v>
      </c>
      <c r="T30" t="s">
        <v>11</v>
      </c>
      <c r="U30" t="s">
        <v>2622</v>
      </c>
      <c r="X30">
        <v>0</v>
      </c>
      <c r="Y30">
        <v>0</v>
      </c>
      <c r="Z30">
        <v>0</v>
      </c>
      <c r="AA30">
        <v>0</v>
      </c>
      <c r="AB30">
        <v>0</v>
      </c>
      <c r="AE30">
        <v>19</v>
      </c>
      <c r="AF30">
        <v>19</v>
      </c>
      <c r="AG30">
        <v>19</v>
      </c>
      <c r="AH30">
        <v>19</v>
      </c>
      <c r="AI30">
        <v>19</v>
      </c>
      <c r="AL30">
        <v>0</v>
      </c>
      <c r="AM30">
        <v>0</v>
      </c>
      <c r="AN30">
        <v>0</v>
      </c>
      <c r="AO30">
        <v>0</v>
      </c>
      <c r="AP30">
        <v>0</v>
      </c>
      <c r="AR30">
        <v>0</v>
      </c>
      <c r="AS30">
        <v>0</v>
      </c>
      <c r="AT30" t="s">
        <v>1979</v>
      </c>
      <c r="AU30">
        <v>0</v>
      </c>
      <c r="AV30" t="s">
        <v>1979</v>
      </c>
      <c r="AX30" t="s">
        <v>11138</v>
      </c>
    </row>
    <row r="31" spans="1:50">
      <c r="A31" t="s">
        <v>9046</v>
      </c>
      <c r="B31" t="s">
        <v>7995</v>
      </c>
      <c r="C31" t="s">
        <v>9021</v>
      </c>
      <c r="D31" t="s">
        <v>8083</v>
      </c>
      <c r="E31" t="s">
        <v>8592</v>
      </c>
      <c r="F31" t="s">
        <v>9048</v>
      </c>
      <c r="P31" t="s">
        <v>11139</v>
      </c>
      <c r="Q31" t="s">
        <v>11140</v>
      </c>
      <c r="R31" t="s">
        <v>11085</v>
      </c>
      <c r="T31" t="s">
        <v>11</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1979</v>
      </c>
      <c r="AU31">
        <v>0.31</v>
      </c>
      <c r="AV31" t="s">
        <v>1979</v>
      </c>
      <c r="AX31" t="s">
        <v>11141</v>
      </c>
    </row>
    <row r="32" spans="1:50">
      <c r="A32" t="s">
        <v>9046</v>
      </c>
      <c r="B32" t="s">
        <v>7995</v>
      </c>
      <c r="C32" t="s">
        <v>9021</v>
      </c>
      <c r="D32" t="s">
        <v>8083</v>
      </c>
      <c r="E32" t="s">
        <v>8592</v>
      </c>
      <c r="F32" t="s">
        <v>9048</v>
      </c>
      <c r="P32" t="s">
        <v>11142</v>
      </c>
      <c r="Q32" t="s">
        <v>11143</v>
      </c>
      <c r="R32" t="s">
        <v>11093</v>
      </c>
      <c r="T32" t="s">
        <v>10</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1979</v>
      </c>
      <c r="AU32">
        <v>0</v>
      </c>
      <c r="AV32" t="s">
        <v>1979</v>
      </c>
      <c r="AX32" t="s">
        <v>11144</v>
      </c>
    </row>
    <row r="33" spans="1:50">
      <c r="A33" t="s">
        <v>9046</v>
      </c>
      <c r="B33" t="s">
        <v>7995</v>
      </c>
      <c r="C33" t="s">
        <v>9021</v>
      </c>
      <c r="D33" t="s">
        <v>8083</v>
      </c>
      <c r="E33" t="s">
        <v>8592</v>
      </c>
      <c r="F33" t="s">
        <v>9048</v>
      </c>
      <c r="P33" t="s">
        <v>11145</v>
      </c>
      <c r="Q33" t="s">
        <v>11146</v>
      </c>
      <c r="R33" t="s">
        <v>11096</v>
      </c>
      <c r="T33" t="s">
        <v>10</v>
      </c>
      <c r="U33">
        <v>2</v>
      </c>
      <c r="X33">
        <v>0</v>
      </c>
      <c r="Y33">
        <v>0</v>
      </c>
      <c r="Z33">
        <v>0</v>
      </c>
      <c r="AA33">
        <v>0</v>
      </c>
      <c r="AB33">
        <v>0</v>
      </c>
      <c r="AE33">
        <v>5</v>
      </c>
      <c r="AF33">
        <v>5</v>
      </c>
      <c r="AG33">
        <v>5</v>
      </c>
      <c r="AH33">
        <v>5</v>
      </c>
      <c r="AI33">
        <v>5</v>
      </c>
      <c r="AL33">
        <v>0</v>
      </c>
      <c r="AM33">
        <v>0</v>
      </c>
      <c r="AN33">
        <v>0</v>
      </c>
      <c r="AO33">
        <v>0</v>
      </c>
      <c r="AP33">
        <v>0</v>
      </c>
      <c r="AR33">
        <v>0</v>
      </c>
      <c r="AS33">
        <v>0</v>
      </c>
      <c r="AT33" t="s">
        <v>1979</v>
      </c>
      <c r="AU33">
        <v>0</v>
      </c>
      <c r="AV33" t="s">
        <v>1979</v>
      </c>
      <c r="AX33" t="s">
        <v>11147</v>
      </c>
    </row>
    <row r="34" spans="1:50">
      <c r="A34" t="s">
        <v>9046</v>
      </c>
      <c r="B34" t="s">
        <v>7995</v>
      </c>
      <c r="C34" t="s">
        <v>9021</v>
      </c>
      <c r="D34" t="s">
        <v>8083</v>
      </c>
      <c r="E34" t="s">
        <v>8592</v>
      </c>
      <c r="F34" t="s">
        <v>9048</v>
      </c>
      <c r="P34" t="s">
        <v>11148</v>
      </c>
      <c r="Q34" t="s">
        <v>11149</v>
      </c>
      <c r="R34" t="s">
        <v>11098</v>
      </c>
      <c r="T34" t="s">
        <v>11</v>
      </c>
      <c r="U34" t="s">
        <v>2622</v>
      </c>
      <c r="X34">
        <v>1</v>
      </c>
      <c r="Y34">
        <v>1</v>
      </c>
      <c r="Z34">
        <v>1</v>
      </c>
      <c r="AA34">
        <v>1</v>
      </c>
      <c r="AB34">
        <v>1</v>
      </c>
      <c r="AE34">
        <v>2</v>
      </c>
      <c r="AF34">
        <v>2</v>
      </c>
      <c r="AG34">
        <v>2</v>
      </c>
      <c r="AH34">
        <v>2</v>
      </c>
      <c r="AI34">
        <v>2</v>
      </c>
      <c r="AL34">
        <v>0</v>
      </c>
      <c r="AM34">
        <v>0</v>
      </c>
      <c r="AN34">
        <v>0</v>
      </c>
      <c r="AO34">
        <v>0</v>
      </c>
      <c r="AP34">
        <v>0</v>
      </c>
      <c r="AR34">
        <v>0</v>
      </c>
      <c r="AS34">
        <v>0</v>
      </c>
      <c r="AT34" t="s">
        <v>1979</v>
      </c>
      <c r="AU34">
        <v>0</v>
      </c>
      <c r="AV34" t="s">
        <v>1979</v>
      </c>
      <c r="AX34" t="s">
        <v>11150</v>
      </c>
    </row>
    <row r="35" spans="1:50">
      <c r="A35" t="s">
        <v>9046</v>
      </c>
      <c r="B35" t="s">
        <v>7995</v>
      </c>
      <c r="C35" t="s">
        <v>9021</v>
      </c>
      <c r="D35" t="s">
        <v>8083</v>
      </c>
      <c r="E35" t="s">
        <v>8592</v>
      </c>
      <c r="F35" t="s">
        <v>9048</v>
      </c>
      <c r="P35" t="s">
        <v>11151</v>
      </c>
      <c r="Q35" t="s">
        <v>11152</v>
      </c>
      <c r="R35" t="s">
        <v>11153</v>
      </c>
      <c r="T35" t="s">
        <v>11</v>
      </c>
      <c r="U35" t="s">
        <v>2622</v>
      </c>
      <c r="X35">
        <v>0</v>
      </c>
      <c r="Y35">
        <v>0</v>
      </c>
      <c r="Z35">
        <v>0</v>
      </c>
      <c r="AA35">
        <v>0</v>
      </c>
      <c r="AB35">
        <v>0</v>
      </c>
      <c r="AE35">
        <v>1</v>
      </c>
      <c r="AF35">
        <v>1</v>
      </c>
      <c r="AG35">
        <v>1</v>
      </c>
      <c r="AH35">
        <v>1</v>
      </c>
      <c r="AI35">
        <v>1</v>
      </c>
      <c r="AL35">
        <v>0</v>
      </c>
      <c r="AM35">
        <v>0</v>
      </c>
      <c r="AN35">
        <v>0</v>
      </c>
      <c r="AO35">
        <v>0</v>
      </c>
      <c r="AP35">
        <v>0</v>
      </c>
      <c r="AR35">
        <v>0</v>
      </c>
      <c r="AS35">
        <v>0</v>
      </c>
      <c r="AT35" t="s">
        <v>1979</v>
      </c>
      <c r="AU35">
        <v>0</v>
      </c>
      <c r="AV35" t="s">
        <v>1979</v>
      </c>
      <c r="AX35" t="s">
        <v>11154</v>
      </c>
    </row>
    <row r="36" spans="1:50">
      <c r="A36" t="s">
        <v>9046</v>
      </c>
      <c r="B36" t="s">
        <v>7995</v>
      </c>
      <c r="C36" t="s">
        <v>9021</v>
      </c>
      <c r="D36" t="s">
        <v>8083</v>
      </c>
      <c r="E36" t="s">
        <v>8592</v>
      </c>
      <c r="F36" t="s">
        <v>9048</v>
      </c>
      <c r="P36" t="s">
        <v>2671</v>
      </c>
      <c r="Q36" t="s">
        <v>11155</v>
      </c>
      <c r="R36" t="s">
        <v>11127</v>
      </c>
      <c r="T36" t="s">
        <v>11</v>
      </c>
      <c r="U36" t="s">
        <v>2622</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1979</v>
      </c>
      <c r="AU36">
        <v>212</v>
      </c>
      <c r="AV36" t="s">
        <v>1979</v>
      </c>
      <c r="AX36" t="s">
        <v>11156</v>
      </c>
    </row>
    <row r="37" spans="1:50">
      <c r="A37" t="s">
        <v>9317</v>
      </c>
      <c r="B37" t="s">
        <v>7995</v>
      </c>
      <c r="C37" t="s">
        <v>9211</v>
      </c>
      <c r="D37" t="s">
        <v>8083</v>
      </c>
      <c r="E37" t="s">
        <v>9318</v>
      </c>
      <c r="F37" t="s">
        <v>9320</v>
      </c>
      <c r="G37" t="s">
        <v>8099</v>
      </c>
      <c r="H37" t="s">
        <v>8148</v>
      </c>
      <c r="I37" t="s">
        <v>8429</v>
      </c>
      <c r="J37" t="s">
        <v>1984</v>
      </c>
      <c r="K37" t="s">
        <v>1984</v>
      </c>
      <c r="L37" t="s">
        <v>1984</v>
      </c>
      <c r="M37" t="s">
        <v>1984</v>
      </c>
      <c r="N37" t="s">
        <v>1984</v>
      </c>
      <c r="O37" t="s">
        <v>1984</v>
      </c>
      <c r="P37" t="s">
        <v>11070</v>
      </c>
      <c r="Q37" t="s">
        <v>9320</v>
      </c>
      <c r="T37" t="s">
        <v>8282</v>
      </c>
      <c r="U37" t="s">
        <v>8092</v>
      </c>
      <c r="AR37" t="s">
        <v>1984</v>
      </c>
      <c r="AS37" t="s">
        <v>1984</v>
      </c>
      <c r="AT37" t="s">
        <v>1979</v>
      </c>
      <c r="AU37" t="s">
        <v>1984</v>
      </c>
      <c r="AV37" t="s">
        <v>1979</v>
      </c>
      <c r="AX37" t="s">
        <v>11157</v>
      </c>
    </row>
    <row r="38" spans="1:50">
      <c r="A38" t="s">
        <v>9317</v>
      </c>
      <c r="B38" t="s">
        <v>7995</v>
      </c>
      <c r="C38" t="s">
        <v>9211</v>
      </c>
      <c r="D38" t="s">
        <v>8083</v>
      </c>
      <c r="E38" t="s">
        <v>9318</v>
      </c>
      <c r="F38" t="s">
        <v>9320</v>
      </c>
      <c r="P38" t="s">
        <v>11072</v>
      </c>
      <c r="Q38" t="s">
        <v>11158</v>
      </c>
      <c r="R38" t="s">
        <v>11093</v>
      </c>
      <c r="T38" t="s">
        <v>10</v>
      </c>
      <c r="U38">
        <v>2</v>
      </c>
      <c r="W38">
        <v>0.05</v>
      </c>
      <c r="X38">
        <v>0.05</v>
      </c>
      <c r="Y38">
        <v>0.05</v>
      </c>
      <c r="Z38">
        <v>0.05</v>
      </c>
      <c r="AA38">
        <v>0.05</v>
      </c>
      <c r="AB38">
        <v>0.05</v>
      </c>
      <c r="AE38">
        <v>0.08</v>
      </c>
      <c r="AF38">
        <v>0.08</v>
      </c>
      <c r="AG38">
        <v>0.08</v>
      </c>
      <c r="AH38">
        <v>0.08</v>
      </c>
      <c r="AI38">
        <v>0.08</v>
      </c>
      <c r="AR38">
        <v>0.02</v>
      </c>
      <c r="AS38">
        <v>0.03</v>
      </c>
      <c r="AT38" t="s">
        <v>1979</v>
      </c>
      <c r="AU38">
        <v>0.08</v>
      </c>
      <c r="AV38" t="s">
        <v>1979</v>
      </c>
      <c r="AX38" t="s">
        <v>11159</v>
      </c>
    </row>
    <row r="39" spans="1:50">
      <c r="A39" t="s">
        <v>9317</v>
      </c>
      <c r="B39" t="s">
        <v>7995</v>
      </c>
      <c r="C39" t="s">
        <v>9211</v>
      </c>
      <c r="D39" t="s">
        <v>8083</v>
      </c>
      <c r="E39" t="s">
        <v>9318</v>
      </c>
      <c r="F39" t="s">
        <v>9320</v>
      </c>
      <c r="P39" t="s">
        <v>11076</v>
      </c>
      <c r="Q39" t="s">
        <v>11160</v>
      </c>
      <c r="R39" t="s">
        <v>11096</v>
      </c>
      <c r="T39" t="s">
        <v>10</v>
      </c>
      <c r="U39">
        <v>2</v>
      </c>
      <c r="X39">
        <v>0.21</v>
      </c>
      <c r="Y39">
        <v>0.21</v>
      </c>
      <c r="Z39">
        <v>0.21</v>
      </c>
      <c r="AA39">
        <v>0.21</v>
      </c>
      <c r="AB39">
        <v>0.21</v>
      </c>
      <c r="AE39">
        <v>0.84</v>
      </c>
      <c r="AF39">
        <v>0.84</v>
      </c>
      <c r="AG39">
        <v>0.84</v>
      </c>
      <c r="AH39">
        <v>0.84</v>
      </c>
      <c r="AI39">
        <v>0.84</v>
      </c>
      <c r="AR39">
        <v>0.43</v>
      </c>
      <c r="AS39">
        <v>0</v>
      </c>
      <c r="AT39" t="s">
        <v>1979</v>
      </c>
      <c r="AU39">
        <v>0</v>
      </c>
      <c r="AV39" t="s">
        <v>1979</v>
      </c>
      <c r="AX39" t="s">
        <v>11161</v>
      </c>
    </row>
    <row r="40" spans="1:50">
      <c r="A40" t="s">
        <v>9317</v>
      </c>
      <c r="B40" t="s">
        <v>7995</v>
      </c>
      <c r="C40" t="s">
        <v>9211</v>
      </c>
      <c r="D40" t="s">
        <v>8083</v>
      </c>
      <c r="E40" t="s">
        <v>9318</v>
      </c>
      <c r="F40" t="s">
        <v>9320</v>
      </c>
      <c r="P40" t="s">
        <v>11083</v>
      </c>
      <c r="Q40" t="s">
        <v>11162</v>
      </c>
      <c r="R40" t="s">
        <v>11098</v>
      </c>
      <c r="T40" t="s">
        <v>11</v>
      </c>
      <c r="U40" t="s">
        <v>2622</v>
      </c>
      <c r="X40">
        <v>4</v>
      </c>
      <c r="Y40">
        <v>4</v>
      </c>
      <c r="Z40">
        <v>4</v>
      </c>
      <c r="AA40">
        <v>4</v>
      </c>
      <c r="AB40">
        <v>4</v>
      </c>
      <c r="AE40">
        <v>11</v>
      </c>
      <c r="AF40">
        <v>11</v>
      </c>
      <c r="AG40">
        <v>11</v>
      </c>
      <c r="AH40">
        <v>11</v>
      </c>
      <c r="AI40">
        <v>11</v>
      </c>
      <c r="AR40">
        <v>3</v>
      </c>
      <c r="AS40">
        <v>0</v>
      </c>
      <c r="AT40" t="s">
        <v>1979</v>
      </c>
      <c r="AU40">
        <v>0</v>
      </c>
      <c r="AV40" t="s">
        <v>1979</v>
      </c>
      <c r="AX40" t="s">
        <v>11163</v>
      </c>
    </row>
    <row r="41" spans="1:50">
      <c r="A41" t="s">
        <v>9317</v>
      </c>
      <c r="B41" t="s">
        <v>7995</v>
      </c>
      <c r="C41" t="s">
        <v>9211</v>
      </c>
      <c r="D41" t="s">
        <v>8083</v>
      </c>
      <c r="E41" t="s">
        <v>9318</v>
      </c>
      <c r="F41" t="s">
        <v>9320</v>
      </c>
      <c r="P41" t="s">
        <v>11087</v>
      </c>
      <c r="Q41" t="s">
        <v>11164</v>
      </c>
      <c r="R41" t="s">
        <v>11153</v>
      </c>
      <c r="T41" t="s">
        <v>11</v>
      </c>
      <c r="U41" t="s">
        <v>2622</v>
      </c>
      <c r="X41">
        <v>0</v>
      </c>
      <c r="Y41">
        <v>0</v>
      </c>
      <c r="Z41">
        <v>0</v>
      </c>
      <c r="AA41">
        <v>0</v>
      </c>
      <c r="AB41">
        <v>0</v>
      </c>
      <c r="AE41">
        <v>1</v>
      </c>
      <c r="AF41">
        <v>1</v>
      </c>
      <c r="AG41">
        <v>1</v>
      </c>
      <c r="AH41">
        <v>1</v>
      </c>
      <c r="AI41">
        <v>1</v>
      </c>
      <c r="AR41">
        <v>0</v>
      </c>
      <c r="AS41">
        <v>0</v>
      </c>
      <c r="AT41" t="s">
        <v>1979</v>
      </c>
      <c r="AU41">
        <v>0</v>
      </c>
      <c r="AV41" t="s">
        <v>1979</v>
      </c>
      <c r="AX41" t="s">
        <v>11165</v>
      </c>
    </row>
    <row r="42" spans="1:50">
      <c r="A42" t="s">
        <v>9365</v>
      </c>
      <c r="B42" t="s">
        <v>7958</v>
      </c>
      <c r="C42" t="s">
        <v>7981</v>
      </c>
      <c r="D42" t="s">
        <v>8083</v>
      </c>
      <c r="E42">
        <v>1</v>
      </c>
      <c r="F42" t="s">
        <v>11166</v>
      </c>
      <c r="G42" t="s">
        <v>8099</v>
      </c>
      <c r="H42" t="s">
        <v>8148</v>
      </c>
      <c r="I42" t="s">
        <v>8429</v>
      </c>
      <c r="J42" t="s">
        <v>8565</v>
      </c>
      <c r="K42" t="s">
        <v>1984</v>
      </c>
      <c r="L42" t="s">
        <v>1984</v>
      </c>
      <c r="M42" t="s">
        <v>1984</v>
      </c>
      <c r="N42" t="s">
        <v>1984</v>
      </c>
      <c r="O42" t="s">
        <v>1984</v>
      </c>
      <c r="P42" t="s">
        <v>11070</v>
      </c>
      <c r="Q42" t="s">
        <v>11166</v>
      </c>
      <c r="T42" t="s">
        <v>8282</v>
      </c>
      <c r="U42" t="s">
        <v>8092</v>
      </c>
      <c r="AR42" t="s">
        <v>8565</v>
      </c>
      <c r="AS42" t="s">
        <v>1984</v>
      </c>
      <c r="AT42" t="s">
        <v>1979</v>
      </c>
      <c r="AU42" t="s">
        <v>1984</v>
      </c>
      <c r="AV42" t="s">
        <v>1979</v>
      </c>
      <c r="AX42" t="s">
        <v>11167</v>
      </c>
    </row>
    <row r="43" spans="1:50">
      <c r="A43" t="s">
        <v>9365</v>
      </c>
      <c r="B43" t="s">
        <v>7958</v>
      </c>
      <c r="C43" t="s">
        <v>7981</v>
      </c>
      <c r="D43" t="s">
        <v>8083</v>
      </c>
      <c r="E43">
        <v>1</v>
      </c>
      <c r="F43" t="s">
        <v>11166</v>
      </c>
      <c r="P43" t="s">
        <v>11072</v>
      </c>
      <c r="Q43" t="s">
        <v>11168</v>
      </c>
      <c r="R43" t="s">
        <v>11078</v>
      </c>
      <c r="T43" t="s">
        <v>11</v>
      </c>
      <c r="U43" t="s">
        <v>2622</v>
      </c>
      <c r="AE43">
        <v>2865</v>
      </c>
      <c r="AF43">
        <v>2865</v>
      </c>
      <c r="AG43">
        <v>2865</v>
      </c>
      <c r="AH43">
        <v>2865</v>
      </c>
      <c r="AI43">
        <v>2865</v>
      </c>
      <c r="AL43">
        <v>2383</v>
      </c>
      <c r="AM43">
        <v>2383</v>
      </c>
      <c r="AN43">
        <v>2383</v>
      </c>
      <c r="AO43">
        <v>2383</v>
      </c>
      <c r="AP43">
        <v>2383</v>
      </c>
      <c r="AR43">
        <v>1770</v>
      </c>
      <c r="AS43">
        <v>1322</v>
      </c>
      <c r="AT43" t="s">
        <v>1979</v>
      </c>
      <c r="AU43">
        <v>1996</v>
      </c>
      <c r="AV43" t="s">
        <v>1979</v>
      </c>
      <c r="AX43" t="s">
        <v>11169</v>
      </c>
    </row>
    <row r="44" spans="1:50">
      <c r="A44" t="s">
        <v>9365</v>
      </c>
      <c r="B44" t="s">
        <v>7958</v>
      </c>
      <c r="C44" t="s">
        <v>7981</v>
      </c>
      <c r="D44" t="s">
        <v>8083</v>
      </c>
      <c r="E44">
        <v>1</v>
      </c>
      <c r="F44" t="s">
        <v>11166</v>
      </c>
      <c r="P44" t="s">
        <v>11076</v>
      </c>
      <c r="Q44" t="s">
        <v>11170</v>
      </c>
      <c r="R44" t="s">
        <v>11089</v>
      </c>
      <c r="T44" t="s">
        <v>10</v>
      </c>
      <c r="U44">
        <v>2</v>
      </c>
      <c r="AE44">
        <v>99.82</v>
      </c>
      <c r="AF44">
        <v>99.82</v>
      </c>
      <c r="AG44">
        <v>99.82</v>
      </c>
      <c r="AH44">
        <v>99.82</v>
      </c>
      <c r="AI44">
        <v>99.82</v>
      </c>
      <c r="AL44">
        <v>99.74</v>
      </c>
      <c r="AM44">
        <v>99.74</v>
      </c>
      <c r="AN44">
        <v>99.74</v>
      </c>
      <c r="AO44">
        <v>99.74</v>
      </c>
      <c r="AP44">
        <v>99.74</v>
      </c>
      <c r="AR44">
        <v>99.96</v>
      </c>
      <c r="AS44">
        <v>99.96</v>
      </c>
      <c r="AT44" t="s">
        <v>1979</v>
      </c>
      <c r="AU44">
        <v>99.91</v>
      </c>
      <c r="AV44" t="s">
        <v>1979</v>
      </c>
      <c r="AX44" t="s">
        <v>11171</v>
      </c>
    </row>
    <row r="45" spans="1:50">
      <c r="A45" t="s">
        <v>9365</v>
      </c>
      <c r="B45" t="s">
        <v>7958</v>
      </c>
      <c r="C45" t="s">
        <v>7981</v>
      </c>
      <c r="D45" t="s">
        <v>8083</v>
      </c>
      <c r="E45">
        <v>1</v>
      </c>
      <c r="F45" t="s">
        <v>11166</v>
      </c>
      <c r="P45" t="s">
        <v>11083</v>
      </c>
      <c r="Q45" t="s">
        <v>11172</v>
      </c>
      <c r="R45" t="s">
        <v>11093</v>
      </c>
      <c r="T45" t="s">
        <v>10</v>
      </c>
      <c r="U45">
        <v>2</v>
      </c>
      <c r="AE45">
        <v>99.92</v>
      </c>
      <c r="AF45">
        <v>99.92</v>
      </c>
      <c r="AG45">
        <v>99.92</v>
      </c>
      <c r="AH45">
        <v>99.92</v>
      </c>
      <c r="AI45">
        <v>99.92</v>
      </c>
      <c r="AL45">
        <v>99.88</v>
      </c>
      <c r="AM45">
        <v>99.88</v>
      </c>
      <c r="AN45">
        <v>99.88</v>
      </c>
      <c r="AO45">
        <v>99.88</v>
      </c>
      <c r="AP45">
        <v>99.88</v>
      </c>
      <c r="AR45">
        <v>100</v>
      </c>
      <c r="AS45">
        <v>100</v>
      </c>
      <c r="AT45" t="s">
        <v>1979</v>
      </c>
      <c r="AU45">
        <v>99.98</v>
      </c>
      <c r="AV45" t="s">
        <v>1979</v>
      </c>
      <c r="AX45" t="s">
        <v>11173</v>
      </c>
    </row>
    <row r="46" spans="1:50">
      <c r="A46" t="s">
        <v>9365</v>
      </c>
      <c r="B46" t="s">
        <v>7958</v>
      </c>
      <c r="C46" t="s">
        <v>7981</v>
      </c>
      <c r="D46" t="s">
        <v>8083</v>
      </c>
      <c r="E46">
        <v>1</v>
      </c>
      <c r="F46" t="s">
        <v>11166</v>
      </c>
      <c r="P46" t="s">
        <v>11087</v>
      </c>
      <c r="Q46" t="s">
        <v>11174</v>
      </c>
      <c r="R46" t="s">
        <v>11096</v>
      </c>
      <c r="T46" t="s">
        <v>10</v>
      </c>
      <c r="U46" t="s">
        <v>2622</v>
      </c>
      <c r="AE46">
        <v>99</v>
      </c>
      <c r="AF46">
        <v>99</v>
      </c>
      <c r="AG46">
        <v>99</v>
      </c>
      <c r="AH46">
        <v>99</v>
      </c>
      <c r="AI46">
        <v>99</v>
      </c>
      <c r="AL46">
        <v>98</v>
      </c>
      <c r="AM46">
        <v>98</v>
      </c>
      <c r="AN46">
        <v>98</v>
      </c>
      <c r="AO46">
        <v>98</v>
      </c>
      <c r="AP46">
        <v>98</v>
      </c>
      <c r="AR46">
        <v>99.96</v>
      </c>
      <c r="AS46">
        <v>100</v>
      </c>
      <c r="AT46" t="s">
        <v>1979</v>
      </c>
      <c r="AU46">
        <v>100</v>
      </c>
      <c r="AV46" t="s">
        <v>1979</v>
      </c>
      <c r="AX46" t="s">
        <v>11175</v>
      </c>
    </row>
    <row r="47" spans="1:50">
      <c r="A47" t="s">
        <v>9365</v>
      </c>
      <c r="B47" t="s">
        <v>7958</v>
      </c>
      <c r="C47" t="s">
        <v>7981</v>
      </c>
      <c r="D47" t="s">
        <v>8083</v>
      </c>
      <c r="E47">
        <v>1</v>
      </c>
      <c r="F47" t="s">
        <v>11166</v>
      </c>
      <c r="P47" t="s">
        <v>11139</v>
      </c>
      <c r="Q47" t="s">
        <v>11176</v>
      </c>
      <c r="R47" t="s">
        <v>11098</v>
      </c>
      <c r="T47" t="s">
        <v>11</v>
      </c>
      <c r="U47" t="s">
        <v>2622</v>
      </c>
      <c r="AE47">
        <v>10</v>
      </c>
      <c r="AF47">
        <v>10</v>
      </c>
      <c r="AG47">
        <v>10</v>
      </c>
      <c r="AH47">
        <v>10</v>
      </c>
      <c r="AI47">
        <v>10</v>
      </c>
      <c r="AL47">
        <v>6</v>
      </c>
      <c r="AM47">
        <v>6</v>
      </c>
      <c r="AN47">
        <v>6</v>
      </c>
      <c r="AO47">
        <v>6</v>
      </c>
      <c r="AP47">
        <v>6</v>
      </c>
      <c r="AR47">
        <v>0</v>
      </c>
      <c r="AS47">
        <v>0</v>
      </c>
      <c r="AT47" t="s">
        <v>1979</v>
      </c>
      <c r="AU47">
        <v>0</v>
      </c>
      <c r="AV47" t="s">
        <v>1979</v>
      </c>
      <c r="AX47" t="s">
        <v>11177</v>
      </c>
    </row>
    <row r="48" spans="1:50">
      <c r="A48" t="s">
        <v>9405</v>
      </c>
      <c r="B48" t="s">
        <v>7958</v>
      </c>
      <c r="C48" t="s">
        <v>7981</v>
      </c>
      <c r="D48" t="s">
        <v>8297</v>
      </c>
      <c r="E48">
        <v>1</v>
      </c>
      <c r="F48" t="s">
        <v>11178</v>
      </c>
      <c r="G48" t="s">
        <v>8099</v>
      </c>
      <c r="H48" t="s">
        <v>8364</v>
      </c>
      <c r="I48" t="s">
        <v>8429</v>
      </c>
      <c r="J48" t="s">
        <v>8565</v>
      </c>
      <c r="K48" t="s">
        <v>1984</v>
      </c>
      <c r="L48" t="s">
        <v>1984</v>
      </c>
      <c r="M48" t="s">
        <v>1984</v>
      </c>
      <c r="N48" t="s">
        <v>1984</v>
      </c>
      <c r="O48" t="s">
        <v>1984</v>
      </c>
      <c r="P48" t="s">
        <v>11070</v>
      </c>
      <c r="Q48" t="s">
        <v>11178</v>
      </c>
      <c r="T48" t="s">
        <v>8282</v>
      </c>
      <c r="U48" t="s">
        <v>8092</v>
      </c>
      <c r="AR48" t="s">
        <v>8565</v>
      </c>
      <c r="AS48" t="s">
        <v>1984</v>
      </c>
      <c r="AT48" t="s">
        <v>1979</v>
      </c>
      <c r="AU48" t="s">
        <v>1984</v>
      </c>
      <c r="AV48" t="s">
        <v>1979</v>
      </c>
      <c r="AX48" t="s">
        <v>11179</v>
      </c>
    </row>
    <row r="49" spans="1:50">
      <c r="A49" t="s">
        <v>9405</v>
      </c>
      <c r="B49" t="s">
        <v>7958</v>
      </c>
      <c r="C49" t="s">
        <v>7981</v>
      </c>
      <c r="D49" t="s">
        <v>8297</v>
      </c>
      <c r="E49">
        <v>1</v>
      </c>
      <c r="F49" t="s">
        <v>11178</v>
      </c>
      <c r="P49" t="s">
        <v>11072</v>
      </c>
      <c r="Q49" t="s">
        <v>2646</v>
      </c>
      <c r="R49" t="s">
        <v>11103</v>
      </c>
      <c r="T49" t="s">
        <v>11</v>
      </c>
      <c r="U49" t="s">
        <v>2622</v>
      </c>
      <c r="AE49">
        <v>392</v>
      </c>
      <c r="AF49">
        <v>392</v>
      </c>
      <c r="AG49">
        <v>392</v>
      </c>
      <c r="AH49">
        <v>392</v>
      </c>
      <c r="AI49">
        <v>392</v>
      </c>
      <c r="AL49">
        <v>368</v>
      </c>
      <c r="AM49">
        <v>368</v>
      </c>
      <c r="AN49">
        <v>368</v>
      </c>
      <c r="AO49">
        <v>368</v>
      </c>
      <c r="AP49">
        <v>368</v>
      </c>
      <c r="AR49">
        <v>268</v>
      </c>
      <c r="AS49">
        <v>242</v>
      </c>
      <c r="AT49" t="s">
        <v>1979</v>
      </c>
      <c r="AU49">
        <v>233</v>
      </c>
      <c r="AV49" t="s">
        <v>1979</v>
      </c>
      <c r="AX49" t="s">
        <v>11180</v>
      </c>
    </row>
    <row r="50" spans="1:50">
      <c r="A50" t="s">
        <v>9405</v>
      </c>
      <c r="B50" t="s">
        <v>7958</v>
      </c>
      <c r="C50" t="s">
        <v>7981</v>
      </c>
      <c r="D50" t="s">
        <v>8297</v>
      </c>
      <c r="E50">
        <v>1</v>
      </c>
      <c r="F50" t="s">
        <v>11178</v>
      </c>
      <c r="P50" t="s">
        <v>11076</v>
      </c>
      <c r="Q50" t="s">
        <v>11181</v>
      </c>
      <c r="R50" t="s">
        <v>11112</v>
      </c>
      <c r="T50" t="s">
        <v>10</v>
      </c>
      <c r="U50">
        <v>1</v>
      </c>
      <c r="AE50">
        <v>99.9</v>
      </c>
      <c r="AF50">
        <v>99.9</v>
      </c>
      <c r="AG50">
        <v>99.9</v>
      </c>
      <c r="AH50">
        <v>99.9</v>
      </c>
      <c r="AI50">
        <v>99.9</v>
      </c>
      <c r="AL50">
        <v>99.8</v>
      </c>
      <c r="AM50">
        <v>99.8</v>
      </c>
      <c r="AN50">
        <v>99.8</v>
      </c>
      <c r="AO50">
        <v>99.8</v>
      </c>
      <c r="AP50">
        <v>99.8</v>
      </c>
      <c r="AR50">
        <v>100</v>
      </c>
      <c r="AS50">
        <v>100</v>
      </c>
      <c r="AT50" t="s">
        <v>1979</v>
      </c>
      <c r="AU50">
        <v>100</v>
      </c>
      <c r="AV50" t="s">
        <v>1979</v>
      </c>
      <c r="AX50" t="s">
        <v>11182</v>
      </c>
    </row>
    <row r="51" spans="1:50">
      <c r="A51" t="s">
        <v>9405</v>
      </c>
      <c r="B51" t="s">
        <v>7958</v>
      </c>
      <c r="C51" t="s">
        <v>7981</v>
      </c>
      <c r="D51" t="s">
        <v>8297</v>
      </c>
      <c r="E51">
        <v>1</v>
      </c>
      <c r="F51" t="s">
        <v>11178</v>
      </c>
      <c r="P51" t="s">
        <v>11083</v>
      </c>
      <c r="Q51" t="s">
        <v>11183</v>
      </c>
      <c r="R51" t="s">
        <v>11184</v>
      </c>
      <c r="T51" t="s">
        <v>11</v>
      </c>
      <c r="U51" t="s">
        <v>2622</v>
      </c>
      <c r="AE51">
        <v>13004</v>
      </c>
      <c r="AF51">
        <v>13004</v>
      </c>
      <c r="AG51">
        <v>13004</v>
      </c>
      <c r="AH51">
        <v>13004</v>
      </c>
      <c r="AI51">
        <v>13004</v>
      </c>
      <c r="AL51">
        <v>10974</v>
      </c>
      <c r="AM51">
        <v>10974</v>
      </c>
      <c r="AN51">
        <v>10974</v>
      </c>
      <c r="AO51">
        <v>10974</v>
      </c>
      <c r="AP51">
        <v>10974</v>
      </c>
      <c r="AR51">
        <v>8810</v>
      </c>
      <c r="AS51">
        <v>7428</v>
      </c>
      <c r="AT51" t="s">
        <v>1979</v>
      </c>
      <c r="AU51">
        <v>7614</v>
      </c>
      <c r="AV51" t="s">
        <v>1979</v>
      </c>
      <c r="AX51" t="s">
        <v>11185</v>
      </c>
    </row>
    <row r="52" spans="1:50">
      <c r="A52" t="s">
        <v>9545</v>
      </c>
      <c r="B52" t="s">
        <v>7995</v>
      </c>
      <c r="C52" t="s">
        <v>9528</v>
      </c>
      <c r="D52" t="s">
        <v>8083</v>
      </c>
      <c r="E52">
        <v>2.2000000000000002</v>
      </c>
      <c r="F52" t="s">
        <v>9547</v>
      </c>
      <c r="G52" t="s">
        <v>8099</v>
      </c>
      <c r="H52" t="s">
        <v>8148</v>
      </c>
      <c r="I52" t="s">
        <v>8429</v>
      </c>
      <c r="J52" t="s">
        <v>1984</v>
      </c>
      <c r="K52" t="s">
        <v>1984</v>
      </c>
      <c r="L52" t="s">
        <v>1984</v>
      </c>
      <c r="M52" t="s">
        <v>1984</v>
      </c>
      <c r="N52" t="s">
        <v>1984</v>
      </c>
      <c r="O52" t="s">
        <v>1984</v>
      </c>
      <c r="P52" t="s">
        <v>11070</v>
      </c>
      <c r="Q52" t="s">
        <v>9547</v>
      </c>
      <c r="T52" t="s">
        <v>8282</v>
      </c>
      <c r="U52" t="s">
        <v>8092</v>
      </c>
      <c r="AR52" t="s">
        <v>1984</v>
      </c>
      <c r="AS52" t="s">
        <v>1984</v>
      </c>
      <c r="AT52" t="s">
        <v>1979</v>
      </c>
      <c r="AU52" t="s">
        <v>1984</v>
      </c>
      <c r="AV52" t="s">
        <v>1979</v>
      </c>
      <c r="AX52" t="s">
        <v>11186</v>
      </c>
    </row>
    <row r="53" spans="1:50">
      <c r="A53" t="s">
        <v>9545</v>
      </c>
      <c r="B53" t="s">
        <v>7995</v>
      </c>
      <c r="C53" t="s">
        <v>9528</v>
      </c>
      <c r="D53" t="s">
        <v>8083</v>
      </c>
      <c r="E53">
        <v>2.2000000000000002</v>
      </c>
      <c r="F53" t="s">
        <v>9547</v>
      </c>
      <c r="P53" t="s">
        <v>11072</v>
      </c>
      <c r="Q53" t="s">
        <v>2563</v>
      </c>
      <c r="R53" t="s">
        <v>11078</v>
      </c>
      <c r="S53">
        <v>0.5</v>
      </c>
      <c r="T53" t="s">
        <v>11</v>
      </c>
      <c r="U53" t="s">
        <v>2622</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1979</v>
      </c>
      <c r="AU53">
        <v>1013</v>
      </c>
      <c r="AV53" t="s">
        <v>1979</v>
      </c>
      <c r="AX53" t="s">
        <v>11187</v>
      </c>
    </row>
    <row r="54" spans="1:50">
      <c r="A54" t="s">
        <v>9545</v>
      </c>
      <c r="B54" t="s">
        <v>7995</v>
      </c>
      <c r="C54" t="s">
        <v>9528</v>
      </c>
      <c r="D54" t="s">
        <v>8083</v>
      </c>
      <c r="E54">
        <v>2.2000000000000002</v>
      </c>
      <c r="F54" t="s">
        <v>9547</v>
      </c>
      <c r="P54" t="s">
        <v>11076</v>
      </c>
      <c r="Q54" t="s">
        <v>11074</v>
      </c>
      <c r="R54" t="s">
        <v>11074</v>
      </c>
      <c r="S54">
        <v>0.125</v>
      </c>
      <c r="T54" t="s">
        <v>11</v>
      </c>
      <c r="U54" t="s">
        <v>2622</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1979</v>
      </c>
      <c r="AU54">
        <v>102</v>
      </c>
      <c r="AV54" t="s">
        <v>1980</v>
      </c>
      <c r="AX54" t="s">
        <v>11188</v>
      </c>
    </row>
    <row r="55" spans="1:50">
      <c r="A55" t="s">
        <v>9545</v>
      </c>
      <c r="B55" t="s">
        <v>7995</v>
      </c>
      <c r="C55" t="s">
        <v>9528</v>
      </c>
      <c r="D55" t="s">
        <v>8083</v>
      </c>
      <c r="E55">
        <v>2.2000000000000002</v>
      </c>
      <c r="F55" t="s">
        <v>9547</v>
      </c>
      <c r="P55" t="s">
        <v>11083</v>
      </c>
      <c r="Q55" t="s">
        <v>11189</v>
      </c>
      <c r="R55" t="s">
        <v>11121</v>
      </c>
      <c r="S55">
        <v>0.125</v>
      </c>
      <c r="T55" t="s">
        <v>11</v>
      </c>
      <c r="U55" t="s">
        <v>2622</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1980</v>
      </c>
      <c r="AU55">
        <v>1</v>
      </c>
      <c r="AV55" t="s">
        <v>1980</v>
      </c>
      <c r="AX55" t="s">
        <v>11190</v>
      </c>
    </row>
    <row r="56" spans="1:50">
      <c r="A56" t="s">
        <v>9545</v>
      </c>
      <c r="B56" t="s">
        <v>7995</v>
      </c>
      <c r="C56" t="s">
        <v>9528</v>
      </c>
      <c r="D56" t="s">
        <v>8083</v>
      </c>
      <c r="E56">
        <v>2.2000000000000002</v>
      </c>
      <c r="F56" t="s">
        <v>9547</v>
      </c>
      <c r="P56" t="s">
        <v>11087</v>
      </c>
      <c r="Q56" t="s">
        <v>11191</v>
      </c>
      <c r="R56" t="s">
        <v>11085</v>
      </c>
      <c r="S56">
        <v>0.125</v>
      </c>
      <c r="T56" t="s">
        <v>11</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1979</v>
      </c>
      <c r="AU56">
        <v>0.83499999999999996</v>
      </c>
      <c r="AV56" t="s">
        <v>1979</v>
      </c>
      <c r="AX56" t="s">
        <v>11192</v>
      </c>
    </row>
    <row r="57" spans="1:50">
      <c r="A57" t="s">
        <v>9545</v>
      </c>
      <c r="B57" t="s">
        <v>7995</v>
      </c>
      <c r="C57" t="s">
        <v>9528</v>
      </c>
      <c r="D57" t="s">
        <v>8083</v>
      </c>
      <c r="E57">
        <v>2.2000000000000002</v>
      </c>
      <c r="F57" t="s">
        <v>9547</v>
      </c>
      <c r="P57" t="s">
        <v>11139</v>
      </c>
      <c r="Q57" t="s">
        <v>11193</v>
      </c>
      <c r="R57" t="s">
        <v>11089</v>
      </c>
      <c r="S57">
        <v>0.125</v>
      </c>
      <c r="T57" t="s">
        <v>8170</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1980</v>
      </c>
      <c r="AU57">
        <v>0</v>
      </c>
      <c r="AV57" t="s">
        <v>1979</v>
      </c>
      <c r="AX57" t="s">
        <v>11194</v>
      </c>
    </row>
    <row r="58" spans="1:50">
      <c r="A58" t="s">
        <v>9549</v>
      </c>
      <c r="B58" t="s">
        <v>7995</v>
      </c>
      <c r="C58" t="s">
        <v>9528</v>
      </c>
      <c r="D58" t="s">
        <v>8083</v>
      </c>
      <c r="E58">
        <v>2.2999999999999998</v>
      </c>
      <c r="F58" t="s">
        <v>9551</v>
      </c>
      <c r="G58" t="s">
        <v>8099</v>
      </c>
      <c r="H58" t="s">
        <v>8148</v>
      </c>
      <c r="I58" t="s">
        <v>8429</v>
      </c>
      <c r="J58" t="s">
        <v>1984</v>
      </c>
      <c r="K58" t="s">
        <v>1984</v>
      </c>
      <c r="L58" t="s">
        <v>1984</v>
      </c>
      <c r="M58" t="s">
        <v>1984</v>
      </c>
      <c r="N58" t="s">
        <v>1984</v>
      </c>
      <c r="O58" t="s">
        <v>1984</v>
      </c>
      <c r="P58" t="s">
        <v>11070</v>
      </c>
      <c r="Q58" t="s">
        <v>9551</v>
      </c>
      <c r="T58" t="s">
        <v>8282</v>
      </c>
      <c r="U58" t="s">
        <v>8092</v>
      </c>
      <c r="AR58" t="s">
        <v>1984</v>
      </c>
      <c r="AS58" t="s">
        <v>1984</v>
      </c>
      <c r="AT58" t="s">
        <v>1979</v>
      </c>
      <c r="AU58" t="s">
        <v>1984</v>
      </c>
      <c r="AV58" t="s">
        <v>1979</v>
      </c>
      <c r="AX58" t="s">
        <v>11195</v>
      </c>
    </row>
    <row r="59" spans="1:50">
      <c r="A59" t="s">
        <v>9549</v>
      </c>
      <c r="B59" t="s">
        <v>7995</v>
      </c>
      <c r="C59" t="s">
        <v>9528</v>
      </c>
      <c r="D59" t="s">
        <v>8083</v>
      </c>
      <c r="E59">
        <v>2.2999999999999998</v>
      </c>
      <c r="F59" t="s">
        <v>9551</v>
      </c>
      <c r="P59" t="s">
        <v>11072</v>
      </c>
      <c r="Q59" t="s">
        <v>11196</v>
      </c>
      <c r="R59" t="s">
        <v>11093</v>
      </c>
      <c r="S59">
        <v>0.3</v>
      </c>
      <c r="T59" t="s">
        <v>10</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1979</v>
      </c>
      <c r="AU59">
        <v>0</v>
      </c>
      <c r="AV59" t="s">
        <v>1979</v>
      </c>
      <c r="AX59" t="s">
        <v>11197</v>
      </c>
    </row>
    <row r="60" spans="1:50">
      <c r="A60" t="s">
        <v>9549</v>
      </c>
      <c r="B60" t="s">
        <v>7995</v>
      </c>
      <c r="C60" t="s">
        <v>9528</v>
      </c>
      <c r="D60" t="s">
        <v>8083</v>
      </c>
      <c r="E60">
        <v>2.2999999999999998</v>
      </c>
      <c r="F60" t="s">
        <v>9551</v>
      </c>
      <c r="P60" t="s">
        <v>11076</v>
      </c>
      <c r="Q60" t="s">
        <v>11198</v>
      </c>
      <c r="R60" t="s">
        <v>11096</v>
      </c>
      <c r="S60">
        <v>0.3</v>
      </c>
      <c r="T60" t="s">
        <v>10</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1979</v>
      </c>
      <c r="AU60">
        <v>0</v>
      </c>
      <c r="AV60" t="s">
        <v>1979</v>
      </c>
      <c r="AX60" t="s">
        <v>11199</v>
      </c>
    </row>
    <row r="61" spans="1:50">
      <c r="A61" t="s">
        <v>9549</v>
      </c>
      <c r="B61" t="s">
        <v>7995</v>
      </c>
      <c r="C61" t="s">
        <v>9528</v>
      </c>
      <c r="D61" t="s">
        <v>8083</v>
      </c>
      <c r="E61">
        <v>2.2999999999999998</v>
      </c>
      <c r="F61" t="s">
        <v>9551</v>
      </c>
      <c r="P61" t="s">
        <v>11083</v>
      </c>
      <c r="Q61" t="s">
        <v>11200</v>
      </c>
      <c r="R61" t="s">
        <v>11098</v>
      </c>
      <c r="S61">
        <v>0.2</v>
      </c>
      <c r="T61" t="s">
        <v>11</v>
      </c>
      <c r="U61" t="s">
        <v>2622</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1979</v>
      </c>
      <c r="AU61">
        <v>0</v>
      </c>
      <c r="AV61" t="s">
        <v>1979</v>
      </c>
      <c r="AX61" t="s">
        <v>11201</v>
      </c>
    </row>
    <row r="62" spans="1:50">
      <c r="A62" t="s">
        <v>9549</v>
      </c>
      <c r="B62" t="s">
        <v>7995</v>
      </c>
      <c r="C62" t="s">
        <v>9528</v>
      </c>
      <c r="D62" t="s">
        <v>8083</v>
      </c>
      <c r="E62">
        <v>2.2999999999999998</v>
      </c>
      <c r="F62" t="s">
        <v>9551</v>
      </c>
      <c r="P62" t="s">
        <v>11087</v>
      </c>
      <c r="Q62" t="s">
        <v>11202</v>
      </c>
      <c r="R62" t="s">
        <v>11153</v>
      </c>
      <c r="S62">
        <v>0.15</v>
      </c>
      <c r="T62" t="s">
        <v>11</v>
      </c>
      <c r="U62" t="s">
        <v>2622</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1980</v>
      </c>
      <c r="AU62">
        <v>0</v>
      </c>
      <c r="AV62" t="s">
        <v>1979</v>
      </c>
      <c r="AX62" t="s">
        <v>11203</v>
      </c>
    </row>
    <row r="63" spans="1:50">
      <c r="A63" t="s">
        <v>9549</v>
      </c>
      <c r="B63" t="s">
        <v>7995</v>
      </c>
      <c r="C63" t="s">
        <v>9528</v>
      </c>
      <c r="D63" t="s">
        <v>8083</v>
      </c>
      <c r="E63">
        <v>2.2999999999999998</v>
      </c>
      <c r="F63" t="s">
        <v>9551</v>
      </c>
      <c r="P63" t="s">
        <v>11139</v>
      </c>
      <c r="Q63" t="s">
        <v>11204</v>
      </c>
      <c r="R63" t="s">
        <v>11127</v>
      </c>
      <c r="S63">
        <v>0.05</v>
      </c>
      <c r="T63" t="s">
        <v>11</v>
      </c>
      <c r="U63" t="s">
        <v>2622</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1980</v>
      </c>
      <c r="AU63">
        <v>3058</v>
      </c>
      <c r="AV63" t="s">
        <v>1979</v>
      </c>
      <c r="AX63" t="s">
        <v>11205</v>
      </c>
    </row>
    <row r="64" spans="1:50">
      <c r="A64" t="s">
        <v>9787</v>
      </c>
      <c r="B64" t="s">
        <v>7958</v>
      </c>
      <c r="C64" t="s">
        <v>7971</v>
      </c>
      <c r="D64" t="s">
        <v>8297</v>
      </c>
      <c r="E64" t="s">
        <v>8334</v>
      </c>
      <c r="F64" t="s">
        <v>9789</v>
      </c>
      <c r="G64" t="s">
        <v>8099</v>
      </c>
      <c r="H64" t="s">
        <v>8252</v>
      </c>
      <c r="I64" t="s">
        <v>9438</v>
      </c>
      <c r="J64" t="s">
        <v>1984</v>
      </c>
      <c r="K64">
        <v>100</v>
      </c>
      <c r="L64">
        <v>100</v>
      </c>
      <c r="M64">
        <v>100</v>
      </c>
      <c r="N64">
        <v>100</v>
      </c>
      <c r="O64">
        <v>100</v>
      </c>
      <c r="P64" t="s">
        <v>11070</v>
      </c>
      <c r="Q64" t="s">
        <v>9789</v>
      </c>
      <c r="T64" t="s">
        <v>10</v>
      </c>
      <c r="U64">
        <v>2</v>
      </c>
      <c r="AR64">
        <v>95.74</v>
      </c>
      <c r="AS64">
        <v>97.51</v>
      </c>
      <c r="AT64" t="s">
        <v>1980</v>
      </c>
      <c r="AU64">
        <v>97.988160870777804</v>
      </c>
      <c r="AV64" t="s">
        <v>1980</v>
      </c>
      <c r="AX64" t="s">
        <v>11206</v>
      </c>
    </row>
    <row r="65" spans="1:50">
      <c r="A65" t="s">
        <v>9787</v>
      </c>
      <c r="B65" t="s">
        <v>7958</v>
      </c>
      <c r="C65" t="s">
        <v>7971</v>
      </c>
      <c r="D65" t="s">
        <v>8297</v>
      </c>
      <c r="E65" t="s">
        <v>8334</v>
      </c>
      <c r="F65" t="s">
        <v>9789</v>
      </c>
      <c r="P65" t="s">
        <v>11072</v>
      </c>
      <c r="Q65" t="s">
        <v>11207</v>
      </c>
      <c r="R65" t="s">
        <v>11115</v>
      </c>
      <c r="S65">
        <v>0.25</v>
      </c>
      <c r="T65" t="s">
        <v>10</v>
      </c>
      <c r="U65">
        <v>2</v>
      </c>
      <c r="AR65">
        <v>99.86</v>
      </c>
      <c r="AS65">
        <v>99.01</v>
      </c>
      <c r="AU65">
        <v>99.857954545454504</v>
      </c>
      <c r="AV65" t="s">
        <v>1979</v>
      </c>
      <c r="AX65" t="s">
        <v>11208</v>
      </c>
    </row>
    <row r="66" spans="1:50">
      <c r="A66" t="s">
        <v>9787</v>
      </c>
      <c r="B66" t="s">
        <v>7958</v>
      </c>
      <c r="C66" t="s">
        <v>7971</v>
      </c>
      <c r="D66" t="s">
        <v>8297</v>
      </c>
      <c r="E66" t="s">
        <v>8334</v>
      </c>
      <c r="F66" t="s">
        <v>9789</v>
      </c>
      <c r="P66" t="s">
        <v>11076</v>
      </c>
      <c r="Q66" t="s">
        <v>11209</v>
      </c>
      <c r="R66" t="s">
        <v>11210</v>
      </c>
      <c r="S66">
        <v>0.25</v>
      </c>
      <c r="T66" t="s">
        <v>10</v>
      </c>
      <c r="U66">
        <v>2</v>
      </c>
      <c r="AR66">
        <v>94.77</v>
      </c>
      <c r="AS66">
        <v>97.88</v>
      </c>
      <c r="AU66">
        <v>97.869318181818201</v>
      </c>
      <c r="AV66" t="s">
        <v>1979</v>
      </c>
      <c r="AX66" t="s">
        <v>11211</v>
      </c>
    </row>
    <row r="67" spans="1:50">
      <c r="A67" t="s">
        <v>9787</v>
      </c>
      <c r="B67" t="s">
        <v>7958</v>
      </c>
      <c r="C67" t="s">
        <v>7971</v>
      </c>
      <c r="D67" t="s">
        <v>8297</v>
      </c>
      <c r="E67" t="s">
        <v>8334</v>
      </c>
      <c r="F67" t="s">
        <v>9789</v>
      </c>
      <c r="P67" t="s">
        <v>11083</v>
      </c>
      <c r="Q67" t="s">
        <v>11212</v>
      </c>
      <c r="R67" t="s">
        <v>11213</v>
      </c>
      <c r="S67">
        <v>0.25</v>
      </c>
      <c r="T67" t="s">
        <v>10</v>
      </c>
      <c r="U67">
        <v>2</v>
      </c>
      <c r="AR67">
        <v>88.72</v>
      </c>
      <c r="AS67">
        <v>93.18</v>
      </c>
      <c r="AU67">
        <v>94.230769230769198</v>
      </c>
      <c r="AV67" t="s">
        <v>1979</v>
      </c>
      <c r="AX67" t="s">
        <v>11214</v>
      </c>
    </row>
    <row r="68" spans="1:50">
      <c r="A68" t="s">
        <v>9787</v>
      </c>
      <c r="B68" t="s">
        <v>7958</v>
      </c>
      <c r="C68" t="s">
        <v>7971</v>
      </c>
      <c r="D68" t="s">
        <v>8297</v>
      </c>
      <c r="E68" t="s">
        <v>8334</v>
      </c>
      <c r="F68" t="s">
        <v>9789</v>
      </c>
      <c r="P68" t="s">
        <v>11087</v>
      </c>
      <c r="Q68" t="s">
        <v>11215</v>
      </c>
      <c r="R68" t="s">
        <v>11216</v>
      </c>
      <c r="S68">
        <v>0.25</v>
      </c>
      <c r="T68" t="s">
        <v>10</v>
      </c>
      <c r="U68">
        <v>2</v>
      </c>
      <c r="AR68">
        <v>99.61</v>
      </c>
      <c r="AS68">
        <v>99.96</v>
      </c>
      <c r="AU68">
        <v>99.9946015250692</v>
      </c>
      <c r="AV68" t="s">
        <v>1979</v>
      </c>
      <c r="AX68" t="s">
        <v>11217</v>
      </c>
    </row>
    <row r="69" spans="1:50">
      <c r="A69" t="s">
        <v>9807</v>
      </c>
      <c r="B69" t="s">
        <v>7958</v>
      </c>
      <c r="C69" t="s">
        <v>7971</v>
      </c>
      <c r="D69" t="s">
        <v>8297</v>
      </c>
      <c r="E69" t="s">
        <v>9808</v>
      </c>
      <c r="F69" t="s">
        <v>9810</v>
      </c>
      <c r="G69" t="s">
        <v>8088</v>
      </c>
      <c r="H69" t="s">
        <v>8252</v>
      </c>
      <c r="I69" t="s">
        <v>9811</v>
      </c>
      <c r="O69">
        <v>3</v>
      </c>
      <c r="P69" t="s">
        <v>11070</v>
      </c>
      <c r="Q69" t="s">
        <v>9810</v>
      </c>
      <c r="T69" t="s">
        <v>11</v>
      </c>
      <c r="U69" t="s">
        <v>2622</v>
      </c>
      <c r="AS69" t="s">
        <v>11218</v>
      </c>
      <c r="AU69" t="s">
        <v>9813</v>
      </c>
      <c r="AV69" t="s">
        <v>1981</v>
      </c>
      <c r="AX69" t="s">
        <v>11219</v>
      </c>
    </row>
    <row r="70" spans="1:50">
      <c r="A70" t="s">
        <v>9807</v>
      </c>
      <c r="B70" t="s">
        <v>7958</v>
      </c>
      <c r="C70" t="s">
        <v>7971</v>
      </c>
      <c r="D70" t="s">
        <v>8297</v>
      </c>
      <c r="E70" t="s">
        <v>9808</v>
      </c>
      <c r="F70" t="s">
        <v>9810</v>
      </c>
      <c r="P70" t="s">
        <v>11072</v>
      </c>
      <c r="Q70" t="s">
        <v>11220</v>
      </c>
      <c r="R70" t="s">
        <v>11221</v>
      </c>
      <c r="T70" t="s">
        <v>11</v>
      </c>
      <c r="U70" t="s">
        <v>2622</v>
      </c>
      <c r="AR70" t="s">
        <v>8565</v>
      </c>
      <c r="AS70" t="s">
        <v>8565</v>
      </c>
      <c r="AU70" t="s">
        <v>9813</v>
      </c>
      <c r="AV70" t="s">
        <v>1981</v>
      </c>
      <c r="AX70" t="s">
        <v>11222</v>
      </c>
    </row>
    <row r="71" spans="1:50">
      <c r="A71" t="s">
        <v>9807</v>
      </c>
      <c r="B71" t="s">
        <v>7958</v>
      </c>
      <c r="C71" t="s">
        <v>7971</v>
      </c>
      <c r="D71" t="s">
        <v>8297</v>
      </c>
      <c r="E71" t="s">
        <v>9808</v>
      </c>
      <c r="F71" t="s">
        <v>9810</v>
      </c>
      <c r="P71" t="s">
        <v>11076</v>
      </c>
      <c r="Q71" t="s">
        <v>11223</v>
      </c>
      <c r="R71" t="s">
        <v>11224</v>
      </c>
      <c r="T71" t="s">
        <v>11</v>
      </c>
      <c r="U71" t="s">
        <v>2622</v>
      </c>
      <c r="AR71" t="s">
        <v>8565</v>
      </c>
      <c r="AS71" t="s">
        <v>8565</v>
      </c>
      <c r="AU71" t="s">
        <v>9813</v>
      </c>
      <c r="AV71" t="s">
        <v>1981</v>
      </c>
      <c r="AX71" t="s">
        <v>11225</v>
      </c>
    </row>
    <row r="72" spans="1:50">
      <c r="A72" t="s">
        <v>9807</v>
      </c>
      <c r="B72" t="s">
        <v>7958</v>
      </c>
      <c r="C72" t="s">
        <v>7971</v>
      </c>
      <c r="D72" t="s">
        <v>8297</v>
      </c>
      <c r="E72" t="s">
        <v>9808</v>
      </c>
      <c r="F72" t="s">
        <v>9810</v>
      </c>
      <c r="P72" t="s">
        <v>11083</v>
      </c>
      <c r="Q72" t="s">
        <v>11226</v>
      </c>
      <c r="R72" t="s">
        <v>11101</v>
      </c>
      <c r="T72" t="s">
        <v>11</v>
      </c>
      <c r="U72" t="s">
        <v>2622</v>
      </c>
      <c r="AR72" t="s">
        <v>8565</v>
      </c>
      <c r="AS72" t="s">
        <v>8565</v>
      </c>
      <c r="AU72" t="s">
        <v>9813</v>
      </c>
      <c r="AV72" t="s">
        <v>1981</v>
      </c>
      <c r="AX72" t="s">
        <v>11227</v>
      </c>
    </row>
    <row r="73" spans="1:50">
      <c r="A73" t="s">
        <v>9807</v>
      </c>
      <c r="B73" t="s">
        <v>7958</v>
      </c>
      <c r="C73" t="s">
        <v>7971</v>
      </c>
      <c r="D73" t="s">
        <v>8297</v>
      </c>
      <c r="E73" t="s">
        <v>9808</v>
      </c>
      <c r="F73" t="s">
        <v>9810</v>
      </c>
      <c r="P73" t="s">
        <v>11087</v>
      </c>
      <c r="Q73" t="s">
        <v>11228</v>
      </c>
      <c r="R73" t="s">
        <v>11229</v>
      </c>
      <c r="T73" t="s">
        <v>11</v>
      </c>
      <c r="U73" t="s">
        <v>2622</v>
      </c>
      <c r="AR73" t="s">
        <v>8565</v>
      </c>
      <c r="AS73" t="s">
        <v>8565</v>
      </c>
      <c r="AU73" t="s">
        <v>9813</v>
      </c>
      <c r="AV73" t="s">
        <v>1981</v>
      </c>
      <c r="AX73" t="s">
        <v>11230</v>
      </c>
    </row>
    <row r="74" spans="1:50">
      <c r="A74" t="s">
        <v>9859</v>
      </c>
      <c r="B74" t="s">
        <v>7958</v>
      </c>
      <c r="C74" t="s">
        <v>7977</v>
      </c>
      <c r="D74" t="s">
        <v>8083</v>
      </c>
      <c r="E74" t="s">
        <v>8104</v>
      </c>
      <c r="F74" t="s">
        <v>11231</v>
      </c>
      <c r="G74" t="s">
        <v>8099</v>
      </c>
      <c r="H74" t="s">
        <v>8148</v>
      </c>
      <c r="I74" t="s">
        <v>8429</v>
      </c>
      <c r="J74" t="s">
        <v>1984</v>
      </c>
      <c r="K74" t="s">
        <v>1984</v>
      </c>
      <c r="L74" t="s">
        <v>1984</v>
      </c>
      <c r="M74" t="s">
        <v>1984</v>
      </c>
      <c r="N74" t="s">
        <v>1984</v>
      </c>
      <c r="O74" t="s">
        <v>1984</v>
      </c>
      <c r="P74" t="s">
        <v>11070</v>
      </c>
      <c r="Q74" t="s">
        <v>11231</v>
      </c>
      <c r="T74" t="s">
        <v>8282</v>
      </c>
      <c r="U74" t="s">
        <v>8092</v>
      </c>
      <c r="AR74" t="s">
        <v>1984</v>
      </c>
      <c r="AS74" t="s">
        <v>1984</v>
      </c>
      <c r="AT74" t="s">
        <v>1979</v>
      </c>
      <c r="AU74" t="s">
        <v>1984</v>
      </c>
      <c r="AV74" t="s">
        <v>1979</v>
      </c>
      <c r="AX74" t="s">
        <v>11232</v>
      </c>
    </row>
    <row r="75" spans="1:50">
      <c r="A75" t="s">
        <v>9859</v>
      </c>
      <c r="B75" t="s">
        <v>7958</v>
      </c>
      <c r="C75" t="s">
        <v>7977</v>
      </c>
      <c r="D75" t="s">
        <v>8083</v>
      </c>
      <c r="E75" t="s">
        <v>8104</v>
      </c>
      <c r="F75" t="s">
        <v>11231</v>
      </c>
      <c r="P75" t="s">
        <v>11072</v>
      </c>
      <c r="Q75" t="s">
        <v>11130</v>
      </c>
      <c r="R75" t="s">
        <v>11078</v>
      </c>
      <c r="T75" t="s">
        <v>11</v>
      </c>
      <c r="U75" t="s">
        <v>2622</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1979</v>
      </c>
      <c r="AU75">
        <v>2478</v>
      </c>
      <c r="AV75" t="s">
        <v>1979</v>
      </c>
      <c r="AX75" t="s">
        <v>11233</v>
      </c>
    </row>
    <row r="76" spans="1:50">
      <c r="A76" t="s">
        <v>9859</v>
      </c>
      <c r="B76" t="s">
        <v>7958</v>
      </c>
      <c r="C76" t="s">
        <v>7977</v>
      </c>
      <c r="D76" t="s">
        <v>8083</v>
      </c>
      <c r="E76" t="s">
        <v>8104</v>
      </c>
      <c r="F76" t="s">
        <v>11231</v>
      </c>
      <c r="P76" t="s">
        <v>11076</v>
      </c>
      <c r="Q76" t="s">
        <v>11132</v>
      </c>
      <c r="R76" t="s">
        <v>11074</v>
      </c>
      <c r="T76" t="s">
        <v>11</v>
      </c>
      <c r="U76" t="s">
        <v>2622</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1980</v>
      </c>
      <c r="AU76">
        <v>1751</v>
      </c>
      <c r="AV76" t="s">
        <v>1979</v>
      </c>
      <c r="AX76" t="s">
        <v>11234</v>
      </c>
    </row>
    <row r="77" spans="1:50">
      <c r="A77" t="s">
        <v>9859</v>
      </c>
      <c r="B77" t="s">
        <v>7958</v>
      </c>
      <c r="C77" t="s">
        <v>7977</v>
      </c>
      <c r="D77" t="s">
        <v>8083</v>
      </c>
      <c r="E77" t="s">
        <v>8104</v>
      </c>
      <c r="F77" t="s">
        <v>11231</v>
      </c>
      <c r="P77" t="s">
        <v>11083</v>
      </c>
      <c r="Q77" t="s">
        <v>11134</v>
      </c>
      <c r="R77" t="s">
        <v>11135</v>
      </c>
      <c r="T77" t="s">
        <v>10</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1979</v>
      </c>
      <c r="AU77">
        <v>0.14000000000000001</v>
      </c>
      <c r="AV77" t="s">
        <v>1979</v>
      </c>
      <c r="AX77" t="s">
        <v>11235</v>
      </c>
    </row>
    <row r="78" spans="1:50">
      <c r="A78" t="s">
        <v>9859</v>
      </c>
      <c r="B78" t="s">
        <v>7958</v>
      </c>
      <c r="C78" t="s">
        <v>7977</v>
      </c>
      <c r="D78" t="s">
        <v>8083</v>
      </c>
      <c r="E78" t="s">
        <v>8104</v>
      </c>
      <c r="F78" t="s">
        <v>11231</v>
      </c>
      <c r="P78" t="s">
        <v>11087</v>
      </c>
      <c r="Q78" t="s">
        <v>11137</v>
      </c>
      <c r="R78" t="s">
        <v>11121</v>
      </c>
      <c r="T78" t="s">
        <v>11</v>
      </c>
      <c r="U78" t="s">
        <v>2622</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1979</v>
      </c>
      <c r="AU78">
        <v>164</v>
      </c>
      <c r="AV78" t="s">
        <v>1979</v>
      </c>
      <c r="AX78" t="s">
        <v>11236</v>
      </c>
    </row>
    <row r="79" spans="1:50">
      <c r="A79" t="s">
        <v>9859</v>
      </c>
      <c r="B79" t="s">
        <v>7958</v>
      </c>
      <c r="C79" t="s">
        <v>7977</v>
      </c>
      <c r="D79" t="s">
        <v>8083</v>
      </c>
      <c r="E79" t="s">
        <v>8104</v>
      </c>
      <c r="F79" t="s">
        <v>11231</v>
      </c>
      <c r="P79" t="s">
        <v>11139</v>
      </c>
      <c r="Q79" t="s">
        <v>11084</v>
      </c>
      <c r="R79" t="s">
        <v>11085</v>
      </c>
      <c r="T79" t="s">
        <v>11</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1979</v>
      </c>
      <c r="AU79">
        <v>2.2400000000000002</v>
      </c>
      <c r="AV79" t="s">
        <v>1979</v>
      </c>
      <c r="AX79" t="s">
        <v>11237</v>
      </c>
    </row>
    <row r="80" spans="1:50">
      <c r="A80" t="s">
        <v>9859</v>
      </c>
      <c r="B80" t="s">
        <v>7958</v>
      </c>
      <c r="C80" t="s">
        <v>7977</v>
      </c>
      <c r="D80" t="s">
        <v>8083</v>
      </c>
      <c r="E80" t="s">
        <v>8104</v>
      </c>
      <c r="F80" t="s">
        <v>11231</v>
      </c>
      <c r="P80" t="s">
        <v>11142</v>
      </c>
      <c r="Q80" t="s">
        <v>11238</v>
      </c>
      <c r="R80" t="s">
        <v>11089</v>
      </c>
      <c r="T80" t="s">
        <v>10</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1979</v>
      </c>
      <c r="AU80">
        <v>0.08</v>
      </c>
      <c r="AV80" t="s">
        <v>1979</v>
      </c>
      <c r="AX80" t="s">
        <v>11239</v>
      </c>
    </row>
    <row r="81" spans="1:50">
      <c r="A81" t="s">
        <v>9863</v>
      </c>
      <c r="B81" t="s">
        <v>7958</v>
      </c>
      <c r="C81" t="s">
        <v>7977</v>
      </c>
      <c r="D81" t="s">
        <v>8083</v>
      </c>
      <c r="E81" t="s">
        <v>8110</v>
      </c>
      <c r="F81" t="s">
        <v>11240</v>
      </c>
      <c r="G81" t="s">
        <v>8099</v>
      </c>
      <c r="H81" t="s">
        <v>8148</v>
      </c>
      <c r="I81" t="s">
        <v>8429</v>
      </c>
      <c r="J81" t="s">
        <v>1984</v>
      </c>
      <c r="K81" t="s">
        <v>1984</v>
      </c>
      <c r="L81" t="s">
        <v>1984</v>
      </c>
      <c r="M81" t="s">
        <v>1984</v>
      </c>
      <c r="N81" t="s">
        <v>1984</v>
      </c>
      <c r="O81" t="s">
        <v>1984</v>
      </c>
      <c r="P81" t="s">
        <v>11070</v>
      </c>
      <c r="Q81" t="s">
        <v>11240</v>
      </c>
      <c r="T81" t="s">
        <v>8282</v>
      </c>
      <c r="U81" t="s">
        <v>8092</v>
      </c>
      <c r="AR81" t="s">
        <v>1984</v>
      </c>
      <c r="AS81" t="s">
        <v>1984</v>
      </c>
      <c r="AT81" t="s">
        <v>1979</v>
      </c>
      <c r="AU81" t="s">
        <v>1984</v>
      </c>
      <c r="AV81" t="s">
        <v>1979</v>
      </c>
      <c r="AX81" t="s">
        <v>11241</v>
      </c>
    </row>
    <row r="82" spans="1:50">
      <c r="A82" t="s">
        <v>9863</v>
      </c>
      <c r="B82" t="s">
        <v>7958</v>
      </c>
      <c r="C82" t="s">
        <v>7977</v>
      </c>
      <c r="D82" t="s">
        <v>8083</v>
      </c>
      <c r="E82" t="s">
        <v>8110</v>
      </c>
      <c r="F82" t="s">
        <v>11240</v>
      </c>
      <c r="P82" t="s">
        <v>11072</v>
      </c>
      <c r="Q82" t="s">
        <v>11158</v>
      </c>
      <c r="R82" t="s">
        <v>11093</v>
      </c>
      <c r="T82" t="s">
        <v>10</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1979</v>
      </c>
      <c r="AU82">
        <v>0.01</v>
      </c>
      <c r="AV82" t="s">
        <v>1979</v>
      </c>
      <c r="AX82" t="s">
        <v>11242</v>
      </c>
    </row>
    <row r="83" spans="1:50">
      <c r="A83" t="s">
        <v>9863</v>
      </c>
      <c r="B83" t="s">
        <v>7958</v>
      </c>
      <c r="C83" t="s">
        <v>7977</v>
      </c>
      <c r="D83" t="s">
        <v>8083</v>
      </c>
      <c r="E83" t="s">
        <v>8110</v>
      </c>
      <c r="F83" t="s">
        <v>11240</v>
      </c>
      <c r="P83" t="s">
        <v>11076</v>
      </c>
      <c r="Q83" t="s">
        <v>11160</v>
      </c>
      <c r="R83" t="s">
        <v>11096</v>
      </c>
      <c r="T83" t="s">
        <v>10</v>
      </c>
      <c r="U83">
        <v>2</v>
      </c>
      <c r="X83">
        <v>0</v>
      </c>
      <c r="Y83">
        <v>0</v>
      </c>
      <c r="Z83">
        <v>0</v>
      </c>
      <c r="AA83">
        <v>0</v>
      </c>
      <c r="AB83">
        <v>0</v>
      </c>
      <c r="AE83">
        <v>0.6</v>
      </c>
      <c r="AF83">
        <v>0.6</v>
      </c>
      <c r="AG83">
        <v>0.6</v>
      </c>
      <c r="AH83">
        <v>0.6</v>
      </c>
      <c r="AI83">
        <v>0.6</v>
      </c>
      <c r="AL83">
        <v>0</v>
      </c>
      <c r="AM83">
        <v>0</v>
      </c>
      <c r="AN83">
        <v>0</v>
      </c>
      <c r="AO83">
        <v>0</v>
      </c>
      <c r="AP83">
        <v>0</v>
      </c>
      <c r="AR83">
        <v>0</v>
      </c>
      <c r="AS83">
        <v>0</v>
      </c>
      <c r="AT83" t="s">
        <v>1979</v>
      </c>
      <c r="AU83">
        <v>0</v>
      </c>
      <c r="AV83" t="s">
        <v>1979</v>
      </c>
      <c r="AX83" t="s">
        <v>11243</v>
      </c>
    </row>
    <row r="84" spans="1:50">
      <c r="A84" t="s">
        <v>9863</v>
      </c>
      <c r="B84" t="s">
        <v>7958</v>
      </c>
      <c r="C84" t="s">
        <v>7977</v>
      </c>
      <c r="D84" t="s">
        <v>8083</v>
      </c>
      <c r="E84" t="s">
        <v>8110</v>
      </c>
      <c r="F84" t="s">
        <v>11240</v>
      </c>
      <c r="P84" t="s">
        <v>11083</v>
      </c>
      <c r="Q84" t="s">
        <v>11162</v>
      </c>
      <c r="R84" t="s">
        <v>11098</v>
      </c>
      <c r="T84" t="s">
        <v>11</v>
      </c>
      <c r="U84" t="s">
        <v>2622</v>
      </c>
      <c r="X84">
        <v>2</v>
      </c>
      <c r="Y84">
        <v>2</v>
      </c>
      <c r="Z84">
        <v>2</v>
      </c>
      <c r="AA84">
        <v>2</v>
      </c>
      <c r="AB84">
        <v>2</v>
      </c>
      <c r="AE84">
        <v>4</v>
      </c>
      <c r="AF84">
        <v>4</v>
      </c>
      <c r="AG84">
        <v>4</v>
      </c>
      <c r="AH84">
        <v>4</v>
      </c>
      <c r="AI84">
        <v>4</v>
      </c>
      <c r="AL84">
        <v>0</v>
      </c>
      <c r="AM84">
        <v>0</v>
      </c>
      <c r="AN84">
        <v>0</v>
      </c>
      <c r="AO84">
        <v>0</v>
      </c>
      <c r="AP84">
        <v>0</v>
      </c>
      <c r="AR84">
        <v>0</v>
      </c>
      <c r="AS84">
        <v>0</v>
      </c>
      <c r="AT84" t="s">
        <v>1979</v>
      </c>
      <c r="AU84">
        <v>0</v>
      </c>
      <c r="AV84" t="s">
        <v>1979</v>
      </c>
      <c r="AX84" t="s">
        <v>11244</v>
      </c>
    </row>
    <row r="85" spans="1:50">
      <c r="A85" t="s">
        <v>9863</v>
      </c>
      <c r="B85" t="s">
        <v>7958</v>
      </c>
      <c r="C85" t="s">
        <v>7977</v>
      </c>
      <c r="D85" t="s">
        <v>8083</v>
      </c>
      <c r="E85" t="s">
        <v>8110</v>
      </c>
      <c r="F85" t="s">
        <v>11240</v>
      </c>
      <c r="P85" t="s">
        <v>11087</v>
      </c>
      <c r="Q85" t="s">
        <v>11164</v>
      </c>
      <c r="R85" t="s">
        <v>11153</v>
      </c>
      <c r="T85" t="s">
        <v>11</v>
      </c>
      <c r="U85" t="s">
        <v>2622</v>
      </c>
      <c r="X85">
        <v>0</v>
      </c>
      <c r="Y85">
        <v>0</v>
      </c>
      <c r="Z85">
        <v>0</v>
      </c>
      <c r="AA85">
        <v>0</v>
      </c>
      <c r="AB85">
        <v>0</v>
      </c>
      <c r="AE85">
        <v>1</v>
      </c>
      <c r="AF85">
        <v>1</v>
      </c>
      <c r="AG85">
        <v>1</v>
      </c>
      <c r="AH85">
        <v>1</v>
      </c>
      <c r="AI85">
        <v>1</v>
      </c>
      <c r="AL85">
        <v>0</v>
      </c>
      <c r="AM85">
        <v>0</v>
      </c>
      <c r="AN85">
        <v>0</v>
      </c>
      <c r="AO85">
        <v>0</v>
      </c>
      <c r="AP85">
        <v>0</v>
      </c>
      <c r="AR85">
        <v>0</v>
      </c>
      <c r="AS85">
        <v>0</v>
      </c>
      <c r="AT85" t="s">
        <v>1979</v>
      </c>
      <c r="AU85">
        <v>0</v>
      </c>
      <c r="AV85" t="s">
        <v>1979</v>
      </c>
      <c r="AX85" t="s">
        <v>11245</v>
      </c>
    </row>
    <row r="86" spans="1:50">
      <c r="A86" t="s">
        <v>9863</v>
      </c>
      <c r="B86" t="s">
        <v>7958</v>
      </c>
      <c r="C86" t="s">
        <v>7977</v>
      </c>
      <c r="D86" t="s">
        <v>8083</v>
      </c>
      <c r="E86" t="s">
        <v>8110</v>
      </c>
      <c r="F86" t="s">
        <v>11240</v>
      </c>
      <c r="P86" t="s">
        <v>11139</v>
      </c>
      <c r="Q86" t="s">
        <v>11246</v>
      </c>
      <c r="R86" t="s">
        <v>11127</v>
      </c>
      <c r="T86" t="s">
        <v>11</v>
      </c>
      <c r="U86" t="s">
        <v>2622</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1980</v>
      </c>
      <c r="AU86">
        <v>2154</v>
      </c>
      <c r="AV86" t="s">
        <v>1979</v>
      </c>
      <c r="AX86" t="s">
        <v>11247</v>
      </c>
    </row>
    <row r="87" spans="1:50">
      <c r="A87" t="s">
        <v>9977</v>
      </c>
      <c r="B87" t="s">
        <v>7958</v>
      </c>
      <c r="C87" t="s">
        <v>7977</v>
      </c>
      <c r="D87" t="s">
        <v>8297</v>
      </c>
      <c r="E87" t="s">
        <v>8311</v>
      </c>
      <c r="F87" t="s">
        <v>11248</v>
      </c>
      <c r="G87" t="s">
        <v>8099</v>
      </c>
      <c r="H87" t="s">
        <v>8364</v>
      </c>
      <c r="I87" t="s">
        <v>8429</v>
      </c>
      <c r="J87" t="s">
        <v>1984</v>
      </c>
      <c r="K87" t="s">
        <v>1984</v>
      </c>
      <c r="L87" t="s">
        <v>1984</v>
      </c>
      <c r="M87" t="s">
        <v>1984</v>
      </c>
      <c r="N87" t="s">
        <v>1984</v>
      </c>
      <c r="O87" t="s">
        <v>1984</v>
      </c>
      <c r="P87" t="s">
        <v>11070</v>
      </c>
      <c r="Q87" t="s">
        <v>11248</v>
      </c>
      <c r="T87" t="s">
        <v>8282</v>
      </c>
      <c r="U87" t="s">
        <v>8092</v>
      </c>
      <c r="AR87" t="s">
        <v>1984</v>
      </c>
      <c r="AS87" t="s">
        <v>1984</v>
      </c>
      <c r="AT87" t="s">
        <v>1979</v>
      </c>
      <c r="AU87" t="s">
        <v>1984</v>
      </c>
      <c r="AV87" t="s">
        <v>1979</v>
      </c>
      <c r="AX87" t="s">
        <v>11249</v>
      </c>
    </row>
    <row r="88" spans="1:50">
      <c r="A88" t="s">
        <v>9977</v>
      </c>
      <c r="B88" t="s">
        <v>7958</v>
      </c>
      <c r="C88" t="s">
        <v>7977</v>
      </c>
      <c r="D88" t="s">
        <v>8297</v>
      </c>
      <c r="E88" t="s">
        <v>8311</v>
      </c>
      <c r="F88" t="s">
        <v>11248</v>
      </c>
      <c r="P88" t="s">
        <v>11072</v>
      </c>
      <c r="Q88" t="s">
        <v>2646</v>
      </c>
      <c r="R88" t="s">
        <v>11103</v>
      </c>
      <c r="T88" t="s">
        <v>11</v>
      </c>
      <c r="U88" t="s">
        <v>2622</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1979</v>
      </c>
      <c r="AU88">
        <v>114</v>
      </c>
      <c r="AV88" t="s">
        <v>1979</v>
      </c>
      <c r="AX88" t="s">
        <v>11250</v>
      </c>
    </row>
    <row r="89" spans="1:50">
      <c r="A89" t="s">
        <v>9977</v>
      </c>
      <c r="B89" t="s">
        <v>7958</v>
      </c>
      <c r="C89" t="s">
        <v>7977</v>
      </c>
      <c r="D89" t="s">
        <v>8297</v>
      </c>
      <c r="E89" t="s">
        <v>8311</v>
      </c>
      <c r="F89" t="s">
        <v>11248</v>
      </c>
      <c r="P89" t="s">
        <v>11076</v>
      </c>
      <c r="Q89" t="s">
        <v>11251</v>
      </c>
      <c r="R89" t="s">
        <v>11101</v>
      </c>
      <c r="T89" t="s">
        <v>11</v>
      </c>
      <c r="U89" t="s">
        <v>2622</v>
      </c>
      <c r="X89">
        <v>70</v>
      </c>
      <c r="Y89">
        <v>70</v>
      </c>
      <c r="Z89">
        <v>70</v>
      </c>
      <c r="AA89">
        <v>70</v>
      </c>
      <c r="AB89">
        <v>70</v>
      </c>
      <c r="AE89">
        <v>100</v>
      </c>
      <c r="AF89">
        <v>100</v>
      </c>
      <c r="AG89">
        <v>100</v>
      </c>
      <c r="AH89">
        <v>100</v>
      </c>
      <c r="AI89">
        <v>100</v>
      </c>
      <c r="AL89">
        <v>40</v>
      </c>
      <c r="AM89">
        <v>40</v>
      </c>
      <c r="AN89">
        <v>40</v>
      </c>
      <c r="AO89">
        <v>40</v>
      </c>
      <c r="AP89">
        <v>40</v>
      </c>
      <c r="AR89">
        <v>87</v>
      </c>
      <c r="AS89">
        <v>97</v>
      </c>
      <c r="AT89" t="s">
        <v>1979</v>
      </c>
      <c r="AU89">
        <v>97</v>
      </c>
      <c r="AV89" t="s">
        <v>1979</v>
      </c>
      <c r="AX89" t="s">
        <v>11252</v>
      </c>
    </row>
    <row r="90" spans="1:50">
      <c r="A90" t="s">
        <v>9977</v>
      </c>
      <c r="B90" t="s">
        <v>7958</v>
      </c>
      <c r="C90" t="s">
        <v>7977</v>
      </c>
      <c r="D90" t="s">
        <v>8297</v>
      </c>
      <c r="E90" t="s">
        <v>8311</v>
      </c>
      <c r="F90" t="s">
        <v>11248</v>
      </c>
      <c r="P90" t="s">
        <v>11083</v>
      </c>
      <c r="Q90" t="s">
        <v>11253</v>
      </c>
      <c r="R90" t="s">
        <v>11106</v>
      </c>
      <c r="T90" t="s">
        <v>11</v>
      </c>
      <c r="U90" t="s">
        <v>2622</v>
      </c>
      <c r="X90">
        <v>80</v>
      </c>
      <c r="Y90">
        <v>80</v>
      </c>
      <c r="Z90">
        <v>80</v>
      </c>
      <c r="AA90">
        <v>80</v>
      </c>
      <c r="AB90">
        <v>80</v>
      </c>
      <c r="AE90">
        <v>110</v>
      </c>
      <c r="AF90">
        <v>110</v>
      </c>
      <c r="AG90">
        <v>110</v>
      </c>
      <c r="AH90">
        <v>110</v>
      </c>
      <c r="AI90">
        <v>110</v>
      </c>
      <c r="AL90">
        <v>50</v>
      </c>
      <c r="AM90">
        <v>50</v>
      </c>
      <c r="AN90">
        <v>50</v>
      </c>
      <c r="AO90">
        <v>50</v>
      </c>
      <c r="AP90">
        <v>50</v>
      </c>
      <c r="AR90">
        <v>96</v>
      </c>
      <c r="AS90">
        <v>96</v>
      </c>
      <c r="AT90" t="s">
        <v>1979</v>
      </c>
      <c r="AU90">
        <v>71</v>
      </c>
      <c r="AV90" t="s">
        <v>1979</v>
      </c>
      <c r="AX90" t="s">
        <v>11254</v>
      </c>
    </row>
    <row r="91" spans="1:50">
      <c r="A91" t="s">
        <v>9977</v>
      </c>
      <c r="B91" t="s">
        <v>7958</v>
      </c>
      <c r="C91" t="s">
        <v>7977</v>
      </c>
      <c r="D91" t="s">
        <v>8297</v>
      </c>
      <c r="E91" t="s">
        <v>8311</v>
      </c>
      <c r="F91" t="s">
        <v>11248</v>
      </c>
      <c r="P91" t="s">
        <v>11087</v>
      </c>
      <c r="Q91" t="s">
        <v>11255</v>
      </c>
      <c r="R91" t="s">
        <v>11106</v>
      </c>
      <c r="T91" t="s">
        <v>11</v>
      </c>
      <c r="U91" t="s">
        <v>2622</v>
      </c>
      <c r="X91">
        <v>30</v>
      </c>
      <c r="Y91">
        <v>30</v>
      </c>
      <c r="Z91">
        <v>30</v>
      </c>
      <c r="AA91">
        <v>30</v>
      </c>
      <c r="AB91">
        <v>30</v>
      </c>
      <c r="AE91">
        <v>45</v>
      </c>
      <c r="AF91">
        <v>45</v>
      </c>
      <c r="AG91">
        <v>45</v>
      </c>
      <c r="AH91">
        <v>45</v>
      </c>
      <c r="AI91">
        <v>45</v>
      </c>
      <c r="AL91">
        <v>15</v>
      </c>
      <c r="AM91">
        <v>15</v>
      </c>
      <c r="AN91">
        <v>15</v>
      </c>
      <c r="AO91">
        <v>15</v>
      </c>
      <c r="AP91">
        <v>15</v>
      </c>
      <c r="AR91">
        <v>21</v>
      </c>
      <c r="AS91">
        <v>16</v>
      </c>
      <c r="AT91" t="s">
        <v>1979</v>
      </c>
      <c r="AU91">
        <v>16</v>
      </c>
      <c r="AV91" t="s">
        <v>1979</v>
      </c>
      <c r="AX91" t="s">
        <v>11256</v>
      </c>
    </row>
    <row r="92" spans="1:50">
      <c r="A92" t="s">
        <v>9977</v>
      </c>
      <c r="B92" t="s">
        <v>7958</v>
      </c>
      <c r="C92" t="s">
        <v>7977</v>
      </c>
      <c r="D92" t="s">
        <v>8297</v>
      </c>
      <c r="E92" t="s">
        <v>8311</v>
      </c>
      <c r="F92" t="s">
        <v>11248</v>
      </c>
      <c r="P92" t="s">
        <v>11139</v>
      </c>
      <c r="Q92" t="s">
        <v>11108</v>
      </c>
      <c r="R92" t="s">
        <v>11108</v>
      </c>
      <c r="T92" t="s">
        <v>11</v>
      </c>
      <c r="U92" t="s">
        <v>2622</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1979</v>
      </c>
      <c r="AU92">
        <v>3533</v>
      </c>
      <c r="AV92" t="s">
        <v>1979</v>
      </c>
      <c r="AX92" t="s">
        <v>11257</v>
      </c>
    </row>
    <row r="93" spans="1:50">
      <c r="A93" t="s">
        <v>9977</v>
      </c>
      <c r="B93" t="s">
        <v>7958</v>
      </c>
      <c r="C93" t="s">
        <v>7977</v>
      </c>
      <c r="D93" t="s">
        <v>8297</v>
      </c>
      <c r="E93" t="s">
        <v>8311</v>
      </c>
      <c r="F93" t="s">
        <v>11248</v>
      </c>
      <c r="P93" t="s">
        <v>11142</v>
      </c>
      <c r="Q93" t="s">
        <v>11258</v>
      </c>
      <c r="R93" t="s">
        <v>11259</v>
      </c>
      <c r="T93" t="s">
        <v>11</v>
      </c>
      <c r="U93" t="s">
        <v>2622</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1979</v>
      </c>
      <c r="AU93">
        <v>262</v>
      </c>
      <c r="AV93" t="s">
        <v>1979</v>
      </c>
      <c r="AX93" t="s">
        <v>11260</v>
      </c>
    </row>
    <row r="94" spans="1:50">
      <c r="A94" t="s">
        <v>9981</v>
      </c>
      <c r="B94" t="s">
        <v>7958</v>
      </c>
      <c r="C94" t="s">
        <v>7977</v>
      </c>
      <c r="D94" t="s">
        <v>8297</v>
      </c>
      <c r="E94" t="s">
        <v>9769</v>
      </c>
      <c r="F94" t="s">
        <v>11261</v>
      </c>
      <c r="G94" t="s">
        <v>8099</v>
      </c>
      <c r="H94" t="s">
        <v>8364</v>
      </c>
      <c r="I94" t="s">
        <v>8429</v>
      </c>
      <c r="J94" t="s">
        <v>1984</v>
      </c>
      <c r="K94" t="s">
        <v>1984</v>
      </c>
      <c r="L94" t="s">
        <v>1984</v>
      </c>
      <c r="M94" t="s">
        <v>1984</v>
      </c>
      <c r="N94" t="s">
        <v>1984</v>
      </c>
      <c r="O94" t="s">
        <v>1984</v>
      </c>
      <c r="P94" t="s">
        <v>11070</v>
      </c>
      <c r="Q94" t="s">
        <v>11261</v>
      </c>
      <c r="T94" t="s">
        <v>8282</v>
      </c>
      <c r="U94" t="s">
        <v>8092</v>
      </c>
      <c r="AR94" t="s">
        <v>1984</v>
      </c>
      <c r="AS94" t="s">
        <v>1984</v>
      </c>
      <c r="AT94" t="s">
        <v>1979</v>
      </c>
      <c r="AU94" t="s">
        <v>1984</v>
      </c>
      <c r="AV94" t="s">
        <v>1979</v>
      </c>
      <c r="AX94" t="s">
        <v>11262</v>
      </c>
    </row>
    <row r="95" spans="1:50">
      <c r="A95" t="s">
        <v>9981</v>
      </c>
      <c r="B95" t="s">
        <v>7958</v>
      </c>
      <c r="C95" t="s">
        <v>7977</v>
      </c>
      <c r="D95" t="s">
        <v>8297</v>
      </c>
      <c r="E95" t="s">
        <v>9769</v>
      </c>
      <c r="F95" t="s">
        <v>11261</v>
      </c>
      <c r="P95" t="s">
        <v>11072</v>
      </c>
      <c r="Q95" t="s">
        <v>11263</v>
      </c>
      <c r="R95" t="s">
        <v>11115</v>
      </c>
      <c r="T95" t="s">
        <v>10</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1979</v>
      </c>
      <c r="AU95">
        <v>1.6</v>
      </c>
      <c r="AV95" t="s">
        <v>1979</v>
      </c>
      <c r="AX95" t="s">
        <v>11264</v>
      </c>
    </row>
    <row r="96" spans="1:50">
      <c r="A96" t="s">
        <v>9981</v>
      </c>
      <c r="B96" t="s">
        <v>7958</v>
      </c>
      <c r="C96" t="s">
        <v>7977</v>
      </c>
      <c r="D96" t="s">
        <v>8297</v>
      </c>
      <c r="E96" t="s">
        <v>9769</v>
      </c>
      <c r="F96" t="s">
        <v>11261</v>
      </c>
      <c r="P96" t="s">
        <v>11076</v>
      </c>
      <c r="Q96" t="s">
        <v>11265</v>
      </c>
      <c r="R96" t="s">
        <v>11112</v>
      </c>
      <c r="T96" t="s">
        <v>10</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1979</v>
      </c>
      <c r="AU96">
        <v>0.08</v>
      </c>
      <c r="AV96" t="s">
        <v>1979</v>
      </c>
      <c r="AX96" t="s">
        <v>11266</v>
      </c>
    </row>
    <row r="97" spans="1:50">
      <c r="A97" t="s">
        <v>9981</v>
      </c>
      <c r="B97" t="s">
        <v>7958</v>
      </c>
      <c r="C97" t="s">
        <v>7977</v>
      </c>
      <c r="D97" t="s">
        <v>8297</v>
      </c>
      <c r="E97" t="s">
        <v>9769</v>
      </c>
      <c r="F97" t="s">
        <v>11261</v>
      </c>
      <c r="P97" t="s">
        <v>11083</v>
      </c>
      <c r="Q97" t="s">
        <v>11246</v>
      </c>
      <c r="R97" t="s">
        <v>11267</v>
      </c>
      <c r="T97" t="s">
        <v>11</v>
      </c>
      <c r="U97" t="s">
        <v>2622</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1979</v>
      </c>
      <c r="AU97">
        <v>8428</v>
      </c>
      <c r="AV97" t="s">
        <v>1979</v>
      </c>
      <c r="AX97" t="s">
        <v>11247</v>
      </c>
    </row>
    <row r="98" spans="1:50">
      <c r="A98" t="s">
        <v>10093</v>
      </c>
      <c r="B98" t="s">
        <v>7958</v>
      </c>
      <c r="C98" t="s">
        <v>7983</v>
      </c>
      <c r="D98" t="s">
        <v>8083</v>
      </c>
      <c r="E98" t="s">
        <v>10095</v>
      </c>
      <c r="F98" t="s">
        <v>10097</v>
      </c>
      <c r="G98" t="s">
        <v>8099</v>
      </c>
      <c r="H98" t="s">
        <v>8148</v>
      </c>
      <c r="I98" t="s">
        <v>8429</v>
      </c>
      <c r="J98" t="s">
        <v>1984</v>
      </c>
      <c r="K98" t="s">
        <v>1984</v>
      </c>
      <c r="L98" t="s">
        <v>1984</v>
      </c>
      <c r="M98" t="s">
        <v>1984</v>
      </c>
      <c r="N98" t="s">
        <v>1984</v>
      </c>
      <c r="O98" t="s">
        <v>1984</v>
      </c>
      <c r="P98" t="s">
        <v>11070</v>
      </c>
      <c r="Q98" t="s">
        <v>10097</v>
      </c>
      <c r="T98" t="s">
        <v>8282</v>
      </c>
      <c r="U98" t="s">
        <v>8092</v>
      </c>
      <c r="AR98" t="s">
        <v>1984</v>
      </c>
      <c r="AS98" t="s">
        <v>1982</v>
      </c>
      <c r="AT98" t="s">
        <v>1980</v>
      </c>
      <c r="AU98" t="s">
        <v>1982</v>
      </c>
      <c r="AV98" t="s">
        <v>1980</v>
      </c>
      <c r="AX98" t="s">
        <v>11268</v>
      </c>
    </row>
    <row r="99" spans="1:50">
      <c r="A99" t="s">
        <v>10093</v>
      </c>
      <c r="B99" t="s">
        <v>7958</v>
      </c>
      <c r="C99" t="s">
        <v>7983</v>
      </c>
      <c r="D99" t="s">
        <v>8083</v>
      </c>
      <c r="E99" t="s">
        <v>10095</v>
      </c>
      <c r="F99" t="s">
        <v>10097</v>
      </c>
      <c r="P99" t="s">
        <v>11072</v>
      </c>
      <c r="Q99" t="s">
        <v>11130</v>
      </c>
      <c r="R99" t="s">
        <v>11078</v>
      </c>
      <c r="T99" t="s">
        <v>11</v>
      </c>
      <c r="U99" t="s">
        <v>2622</v>
      </c>
      <c r="V99">
        <v>11000</v>
      </c>
      <c r="W99">
        <v>8840</v>
      </c>
      <c r="X99">
        <v>8840</v>
      </c>
      <c r="Y99">
        <v>8840</v>
      </c>
      <c r="Z99">
        <v>8840</v>
      </c>
      <c r="AA99">
        <v>8840</v>
      </c>
      <c r="AB99">
        <v>8840</v>
      </c>
      <c r="AE99">
        <v>11206</v>
      </c>
      <c r="AF99">
        <v>11206</v>
      </c>
      <c r="AG99">
        <v>11206</v>
      </c>
      <c r="AH99">
        <v>11206</v>
      </c>
      <c r="AI99">
        <v>11206</v>
      </c>
      <c r="AJ99" t="s">
        <v>8565</v>
      </c>
      <c r="AK99" t="s">
        <v>8565</v>
      </c>
      <c r="AL99" t="s">
        <v>8565</v>
      </c>
      <c r="AM99" t="s">
        <v>8565</v>
      </c>
      <c r="AN99" t="s">
        <v>8565</v>
      </c>
      <c r="AO99" t="s">
        <v>8565</v>
      </c>
      <c r="AP99" t="s">
        <v>8565</v>
      </c>
      <c r="AQ99">
        <v>13572</v>
      </c>
      <c r="AR99">
        <v>8822</v>
      </c>
      <c r="AS99">
        <v>6926</v>
      </c>
      <c r="AT99" t="s">
        <v>1979</v>
      </c>
      <c r="AU99">
        <v>8326</v>
      </c>
      <c r="AV99" t="s">
        <v>1979</v>
      </c>
      <c r="AX99" t="s">
        <v>11269</v>
      </c>
    </row>
    <row r="100" spans="1:50">
      <c r="A100" t="s">
        <v>10093</v>
      </c>
      <c r="B100" t="s">
        <v>7958</v>
      </c>
      <c r="C100" t="s">
        <v>7983</v>
      </c>
      <c r="D100" t="s">
        <v>8083</v>
      </c>
      <c r="E100" t="s">
        <v>10095</v>
      </c>
      <c r="F100" t="s">
        <v>10097</v>
      </c>
      <c r="P100" t="s">
        <v>11076</v>
      </c>
      <c r="Q100" t="s">
        <v>11270</v>
      </c>
      <c r="R100" t="s">
        <v>11074</v>
      </c>
      <c r="T100" t="s">
        <v>11</v>
      </c>
      <c r="U100" t="s">
        <v>2622</v>
      </c>
      <c r="V100">
        <v>1568</v>
      </c>
      <c r="W100">
        <v>1354</v>
      </c>
      <c r="X100">
        <v>1354</v>
      </c>
      <c r="Y100">
        <v>1354</v>
      </c>
      <c r="Z100">
        <v>1354</v>
      </c>
      <c r="AA100">
        <v>1354</v>
      </c>
      <c r="AB100">
        <v>1354</v>
      </c>
      <c r="AE100">
        <v>3055</v>
      </c>
      <c r="AF100">
        <v>3055</v>
      </c>
      <c r="AG100">
        <v>3055</v>
      </c>
      <c r="AH100">
        <v>3055</v>
      </c>
      <c r="AI100">
        <v>3055</v>
      </c>
      <c r="AJ100" t="s">
        <v>8565</v>
      </c>
      <c r="AK100" t="s">
        <v>8565</v>
      </c>
      <c r="AL100" t="s">
        <v>8565</v>
      </c>
      <c r="AM100" t="s">
        <v>8565</v>
      </c>
      <c r="AN100" t="s">
        <v>8565</v>
      </c>
      <c r="AO100" t="s">
        <v>8565</v>
      </c>
      <c r="AP100" t="s">
        <v>8565</v>
      </c>
      <c r="AQ100">
        <v>4756</v>
      </c>
      <c r="AR100">
        <v>3124</v>
      </c>
      <c r="AS100">
        <v>15151</v>
      </c>
      <c r="AT100" t="s">
        <v>1980</v>
      </c>
      <c r="AU100">
        <v>6051</v>
      </c>
      <c r="AV100" t="s">
        <v>1980</v>
      </c>
      <c r="AX100" t="s">
        <v>11271</v>
      </c>
    </row>
    <row r="101" spans="1:50">
      <c r="A101" t="s">
        <v>10093</v>
      </c>
      <c r="B101" t="s">
        <v>7958</v>
      </c>
      <c r="C101" t="s">
        <v>7983</v>
      </c>
      <c r="D101" t="s">
        <v>8083</v>
      </c>
      <c r="E101" t="s">
        <v>10095</v>
      </c>
      <c r="F101" t="s">
        <v>10097</v>
      </c>
      <c r="P101" t="s">
        <v>11083</v>
      </c>
      <c r="Q101" t="s">
        <v>11272</v>
      </c>
      <c r="R101" t="s">
        <v>11135</v>
      </c>
      <c r="T101" t="s">
        <v>10</v>
      </c>
      <c r="U101">
        <v>2</v>
      </c>
      <c r="W101">
        <v>0.16</v>
      </c>
      <c r="X101">
        <v>0.16</v>
      </c>
      <c r="Y101">
        <v>0.16</v>
      </c>
      <c r="Z101">
        <v>0.16</v>
      </c>
      <c r="AA101">
        <v>0.16</v>
      </c>
      <c r="AB101">
        <v>0.16</v>
      </c>
      <c r="AE101">
        <v>0.23</v>
      </c>
      <c r="AF101">
        <v>0.23</v>
      </c>
      <c r="AG101">
        <v>0.23</v>
      </c>
      <c r="AH101">
        <v>0.23</v>
      </c>
      <c r="AI101">
        <v>0.23</v>
      </c>
      <c r="AJ101" t="s">
        <v>8565</v>
      </c>
      <c r="AK101" t="s">
        <v>8565</v>
      </c>
      <c r="AL101" t="s">
        <v>8565</v>
      </c>
      <c r="AM101" t="s">
        <v>8565</v>
      </c>
      <c r="AN101" t="s">
        <v>8565</v>
      </c>
      <c r="AO101" t="s">
        <v>8565</v>
      </c>
      <c r="AP101" t="s">
        <v>8565</v>
      </c>
      <c r="AQ101">
        <v>0.3</v>
      </c>
      <c r="AR101">
        <v>0.05</v>
      </c>
      <c r="AS101">
        <v>0.18</v>
      </c>
      <c r="AT101" t="s">
        <v>1980</v>
      </c>
      <c r="AU101">
        <v>0.09</v>
      </c>
      <c r="AV101" t="s">
        <v>1979</v>
      </c>
      <c r="AX101" t="s">
        <v>11273</v>
      </c>
    </row>
    <row r="102" spans="1:50">
      <c r="A102" t="s">
        <v>10093</v>
      </c>
      <c r="B102" t="s">
        <v>7958</v>
      </c>
      <c r="C102" t="s">
        <v>7983</v>
      </c>
      <c r="D102" t="s">
        <v>8083</v>
      </c>
      <c r="E102" t="s">
        <v>10095</v>
      </c>
      <c r="F102" t="s">
        <v>10097</v>
      </c>
      <c r="P102" t="s">
        <v>11087</v>
      </c>
      <c r="Q102" t="s">
        <v>11274</v>
      </c>
      <c r="R102" t="s">
        <v>11121</v>
      </c>
      <c r="T102" t="s">
        <v>11</v>
      </c>
      <c r="U102" t="s">
        <v>2622</v>
      </c>
      <c r="W102">
        <v>34</v>
      </c>
      <c r="X102">
        <v>34</v>
      </c>
      <c r="Y102">
        <v>34</v>
      </c>
      <c r="Z102">
        <v>34</v>
      </c>
      <c r="AA102">
        <v>34</v>
      </c>
      <c r="AB102">
        <v>34</v>
      </c>
      <c r="AE102">
        <v>46</v>
      </c>
      <c r="AF102">
        <v>46</v>
      </c>
      <c r="AG102">
        <v>46</v>
      </c>
      <c r="AH102">
        <v>46</v>
      </c>
      <c r="AI102">
        <v>46</v>
      </c>
      <c r="AJ102" t="s">
        <v>8565</v>
      </c>
      <c r="AK102" t="s">
        <v>8565</v>
      </c>
      <c r="AL102" t="s">
        <v>8565</v>
      </c>
      <c r="AM102" t="s">
        <v>8565</v>
      </c>
      <c r="AN102" t="s">
        <v>8565</v>
      </c>
      <c r="AO102" t="s">
        <v>8565</v>
      </c>
      <c r="AP102" t="s">
        <v>8565</v>
      </c>
      <c r="AQ102">
        <v>52</v>
      </c>
      <c r="AR102">
        <v>0</v>
      </c>
      <c r="AS102">
        <v>0</v>
      </c>
      <c r="AT102" t="s">
        <v>1979</v>
      </c>
      <c r="AU102">
        <v>5</v>
      </c>
      <c r="AV102" t="s">
        <v>1979</v>
      </c>
      <c r="AX102" t="s">
        <v>11275</v>
      </c>
    </row>
    <row r="103" spans="1:50">
      <c r="A103" t="s">
        <v>10093</v>
      </c>
      <c r="B103" t="s">
        <v>7958</v>
      </c>
      <c r="C103" t="s">
        <v>7983</v>
      </c>
      <c r="D103" t="s">
        <v>8083</v>
      </c>
      <c r="E103" t="s">
        <v>10095</v>
      </c>
      <c r="F103" t="s">
        <v>10097</v>
      </c>
      <c r="P103" t="s">
        <v>11139</v>
      </c>
      <c r="Q103" t="s">
        <v>11276</v>
      </c>
      <c r="R103" t="s">
        <v>11277</v>
      </c>
      <c r="T103" t="s">
        <v>11</v>
      </c>
      <c r="U103">
        <v>2</v>
      </c>
      <c r="AB103">
        <v>650</v>
      </c>
      <c r="AI103">
        <v>650</v>
      </c>
      <c r="AJ103" t="s">
        <v>8565</v>
      </c>
      <c r="AK103" t="s">
        <v>8565</v>
      </c>
      <c r="AL103" t="s">
        <v>8565</v>
      </c>
      <c r="AM103" t="s">
        <v>8565</v>
      </c>
      <c r="AN103" t="s">
        <v>8565</v>
      </c>
      <c r="AO103" t="s">
        <v>8565</v>
      </c>
      <c r="AP103" t="s">
        <v>8565</v>
      </c>
      <c r="AQ103">
        <v>650</v>
      </c>
      <c r="AR103">
        <v>15.47</v>
      </c>
      <c r="AS103">
        <v>66.454999999999998</v>
      </c>
      <c r="AU103">
        <v>103.28</v>
      </c>
      <c r="AV103" t="s">
        <v>1981</v>
      </c>
      <c r="AX103" t="s">
        <v>11278</v>
      </c>
    </row>
    <row r="104" spans="1:50">
      <c r="A104" t="s">
        <v>10093</v>
      </c>
      <c r="B104" t="s">
        <v>7958</v>
      </c>
      <c r="C104" t="s">
        <v>7983</v>
      </c>
      <c r="D104" t="s">
        <v>8083</v>
      </c>
      <c r="E104" t="s">
        <v>10095</v>
      </c>
      <c r="F104" t="s">
        <v>10097</v>
      </c>
      <c r="P104" t="s">
        <v>11142</v>
      </c>
      <c r="Q104" t="s">
        <v>11279</v>
      </c>
      <c r="R104" t="s">
        <v>11085</v>
      </c>
      <c r="T104" t="s">
        <v>11</v>
      </c>
      <c r="U104">
        <v>2</v>
      </c>
      <c r="W104">
        <v>0.38</v>
      </c>
      <c r="X104">
        <v>0.38</v>
      </c>
      <c r="Y104">
        <v>0.38</v>
      </c>
      <c r="Z104">
        <v>0.38</v>
      </c>
      <c r="AA104">
        <v>0.38</v>
      </c>
      <c r="AB104">
        <v>0.38</v>
      </c>
      <c r="AE104">
        <v>0.49</v>
      </c>
      <c r="AF104">
        <v>0.49</v>
      </c>
      <c r="AG104">
        <v>0.49</v>
      </c>
      <c r="AH104">
        <v>0.49</v>
      </c>
      <c r="AI104">
        <v>0.49</v>
      </c>
      <c r="AJ104" t="s">
        <v>8565</v>
      </c>
      <c r="AK104" t="s">
        <v>8565</v>
      </c>
      <c r="AL104" t="s">
        <v>8565</v>
      </c>
      <c r="AM104" t="s">
        <v>8565</v>
      </c>
      <c r="AN104" t="s">
        <v>8565</v>
      </c>
      <c r="AO104" t="s">
        <v>8565</v>
      </c>
      <c r="AP104" t="s">
        <v>8565</v>
      </c>
      <c r="AQ104">
        <v>0.55000000000000004</v>
      </c>
      <c r="AR104">
        <v>0.189</v>
      </c>
      <c r="AS104">
        <v>0.20499999999999999</v>
      </c>
      <c r="AT104" t="s">
        <v>1979</v>
      </c>
      <c r="AU104">
        <v>0.17</v>
      </c>
      <c r="AV104" t="s">
        <v>1979</v>
      </c>
      <c r="AX104" t="s">
        <v>11280</v>
      </c>
    </row>
    <row r="105" spans="1:50">
      <c r="A105" t="s">
        <v>10099</v>
      </c>
      <c r="B105" t="s">
        <v>7958</v>
      </c>
      <c r="C105" t="s">
        <v>7983</v>
      </c>
      <c r="D105" t="s">
        <v>8083</v>
      </c>
      <c r="E105" t="s">
        <v>10100</v>
      </c>
      <c r="F105" t="s">
        <v>10102</v>
      </c>
      <c r="G105" t="s">
        <v>8099</v>
      </c>
      <c r="H105" t="s">
        <v>8148</v>
      </c>
      <c r="I105" t="s">
        <v>8429</v>
      </c>
      <c r="J105" t="s">
        <v>1984</v>
      </c>
      <c r="K105" t="s">
        <v>1984</v>
      </c>
      <c r="L105" t="s">
        <v>1984</v>
      </c>
      <c r="M105" t="s">
        <v>1984</v>
      </c>
      <c r="N105" t="s">
        <v>1984</v>
      </c>
      <c r="O105" t="s">
        <v>1984</v>
      </c>
      <c r="P105" t="s">
        <v>11070</v>
      </c>
      <c r="Q105" t="s">
        <v>10102</v>
      </c>
      <c r="T105" t="s">
        <v>8282</v>
      </c>
      <c r="U105" t="s">
        <v>8092</v>
      </c>
      <c r="AR105" t="s">
        <v>1984</v>
      </c>
      <c r="AS105" t="s">
        <v>1984</v>
      </c>
      <c r="AT105" t="s">
        <v>1979</v>
      </c>
      <c r="AU105" t="s">
        <v>1984</v>
      </c>
      <c r="AV105" t="s">
        <v>1979</v>
      </c>
      <c r="AX105" t="s">
        <v>11281</v>
      </c>
    </row>
    <row r="106" spans="1:50">
      <c r="A106" t="s">
        <v>10099</v>
      </c>
      <c r="B106" t="s">
        <v>7958</v>
      </c>
      <c r="C106" t="s">
        <v>7983</v>
      </c>
      <c r="D106" t="s">
        <v>8083</v>
      </c>
      <c r="E106" t="s">
        <v>10100</v>
      </c>
      <c r="F106" t="s">
        <v>10102</v>
      </c>
      <c r="P106" t="s">
        <v>11072</v>
      </c>
      <c r="Q106" t="s">
        <v>11282</v>
      </c>
      <c r="R106" t="s">
        <v>11093</v>
      </c>
      <c r="T106" t="s">
        <v>10</v>
      </c>
      <c r="U106">
        <v>2</v>
      </c>
      <c r="X106">
        <v>99.97</v>
      </c>
      <c r="Y106">
        <v>99.97</v>
      </c>
      <c r="Z106">
        <v>99.97</v>
      </c>
      <c r="AA106">
        <v>99.97</v>
      </c>
      <c r="AB106">
        <v>99.97</v>
      </c>
      <c r="AE106">
        <v>99.96</v>
      </c>
      <c r="AF106">
        <v>99.96</v>
      </c>
      <c r="AG106">
        <v>99.96</v>
      </c>
      <c r="AH106">
        <v>99.96</v>
      </c>
      <c r="AI106">
        <v>99.96</v>
      </c>
      <c r="AJ106" t="s">
        <v>8565</v>
      </c>
      <c r="AK106" t="s">
        <v>8565</v>
      </c>
      <c r="AL106" t="s">
        <v>8565</v>
      </c>
      <c r="AM106" t="s">
        <v>8565</v>
      </c>
      <c r="AN106" t="s">
        <v>8565</v>
      </c>
      <c r="AO106" t="s">
        <v>8565</v>
      </c>
      <c r="AP106" t="s">
        <v>8565</v>
      </c>
      <c r="AQ106">
        <v>99.95</v>
      </c>
      <c r="AR106">
        <v>99.984399999999994</v>
      </c>
      <c r="AS106">
        <v>99.976799999999997</v>
      </c>
      <c r="AT106" t="s">
        <v>1979</v>
      </c>
      <c r="AU106">
        <v>99.99</v>
      </c>
      <c r="AV106" t="s">
        <v>1979</v>
      </c>
      <c r="AX106" t="s">
        <v>11283</v>
      </c>
    </row>
    <row r="107" spans="1:50">
      <c r="A107" t="s">
        <v>10099</v>
      </c>
      <c r="B107" t="s">
        <v>7958</v>
      </c>
      <c r="C107" t="s">
        <v>7983</v>
      </c>
      <c r="D107" t="s">
        <v>8083</v>
      </c>
      <c r="E107" t="s">
        <v>10100</v>
      </c>
      <c r="F107" t="s">
        <v>10102</v>
      </c>
      <c r="P107" t="s">
        <v>11076</v>
      </c>
      <c r="Q107" t="s">
        <v>11284</v>
      </c>
      <c r="R107" t="s">
        <v>11096</v>
      </c>
      <c r="T107" t="s">
        <v>10</v>
      </c>
      <c r="U107">
        <v>2</v>
      </c>
      <c r="X107">
        <v>0.27</v>
      </c>
      <c r="Y107">
        <v>0.27</v>
      </c>
      <c r="Z107">
        <v>0.27</v>
      </c>
      <c r="AA107">
        <v>0.27</v>
      </c>
      <c r="AB107">
        <v>0.27</v>
      </c>
      <c r="AE107">
        <v>0.54</v>
      </c>
      <c r="AF107">
        <v>0.54</v>
      </c>
      <c r="AG107">
        <v>0.54</v>
      </c>
      <c r="AH107">
        <v>0.54</v>
      </c>
      <c r="AI107">
        <v>0.54</v>
      </c>
      <c r="AJ107" t="s">
        <v>8565</v>
      </c>
      <c r="AK107" t="s">
        <v>8565</v>
      </c>
      <c r="AL107" t="s">
        <v>8565</v>
      </c>
      <c r="AM107" t="s">
        <v>8565</v>
      </c>
      <c r="AN107" t="s">
        <v>8565</v>
      </c>
      <c r="AO107" t="s">
        <v>8565</v>
      </c>
      <c r="AP107" t="s">
        <v>8565</v>
      </c>
      <c r="AQ107">
        <v>0.81</v>
      </c>
      <c r="AR107">
        <v>0.26</v>
      </c>
      <c r="AS107">
        <v>0</v>
      </c>
      <c r="AT107" t="s">
        <v>1979</v>
      </c>
      <c r="AU107">
        <v>0</v>
      </c>
      <c r="AV107" t="s">
        <v>1979</v>
      </c>
      <c r="AX107" t="s">
        <v>11285</v>
      </c>
    </row>
    <row r="108" spans="1:50">
      <c r="A108" t="s">
        <v>10099</v>
      </c>
      <c r="B108" t="s">
        <v>7958</v>
      </c>
      <c r="C108" t="s">
        <v>7983</v>
      </c>
      <c r="D108" t="s">
        <v>8083</v>
      </c>
      <c r="E108" t="s">
        <v>10100</v>
      </c>
      <c r="F108" t="s">
        <v>10102</v>
      </c>
      <c r="P108" t="s">
        <v>11083</v>
      </c>
      <c r="Q108" t="s">
        <v>11286</v>
      </c>
      <c r="R108" t="s">
        <v>11098</v>
      </c>
      <c r="T108" t="s">
        <v>11</v>
      </c>
      <c r="U108" t="s">
        <v>2622</v>
      </c>
      <c r="W108">
        <v>1</v>
      </c>
      <c r="X108">
        <v>1</v>
      </c>
      <c r="Y108">
        <v>1</v>
      </c>
      <c r="Z108">
        <v>1</v>
      </c>
      <c r="AA108">
        <v>1</v>
      </c>
      <c r="AB108">
        <v>1</v>
      </c>
      <c r="AE108">
        <v>2</v>
      </c>
      <c r="AF108">
        <v>2</v>
      </c>
      <c r="AG108">
        <v>2</v>
      </c>
      <c r="AH108">
        <v>2</v>
      </c>
      <c r="AI108">
        <v>2</v>
      </c>
      <c r="AJ108" t="s">
        <v>8565</v>
      </c>
      <c r="AK108" t="s">
        <v>8565</v>
      </c>
      <c r="AL108" t="s">
        <v>8565</v>
      </c>
      <c r="AM108" t="s">
        <v>8565</v>
      </c>
      <c r="AN108" t="s">
        <v>8565</v>
      </c>
      <c r="AO108" t="s">
        <v>8565</v>
      </c>
      <c r="AP108" t="s">
        <v>8565</v>
      </c>
      <c r="AQ108">
        <v>3</v>
      </c>
      <c r="AR108">
        <v>0</v>
      </c>
      <c r="AS108">
        <v>0</v>
      </c>
      <c r="AT108" t="s">
        <v>1979</v>
      </c>
      <c r="AU108">
        <v>0</v>
      </c>
      <c r="AV108" t="s">
        <v>1979</v>
      </c>
      <c r="AX108" t="s">
        <v>11287</v>
      </c>
    </row>
    <row r="109" spans="1:50">
      <c r="A109" t="s">
        <v>10099</v>
      </c>
      <c r="B109" t="s">
        <v>7958</v>
      </c>
      <c r="C109" t="s">
        <v>7983</v>
      </c>
      <c r="D109" t="s">
        <v>8083</v>
      </c>
      <c r="E109" t="s">
        <v>10100</v>
      </c>
      <c r="F109" t="s">
        <v>10102</v>
      </c>
      <c r="P109" t="s">
        <v>11087</v>
      </c>
      <c r="Q109" t="s">
        <v>11288</v>
      </c>
      <c r="R109" t="s">
        <v>11289</v>
      </c>
      <c r="T109" t="s">
        <v>10</v>
      </c>
      <c r="U109">
        <v>2</v>
      </c>
      <c r="X109">
        <v>99.99</v>
      </c>
      <c r="Y109">
        <v>99.99</v>
      </c>
      <c r="Z109">
        <v>99.99</v>
      </c>
      <c r="AA109">
        <v>99.99</v>
      </c>
      <c r="AB109">
        <v>99.99</v>
      </c>
      <c r="AE109">
        <v>99.98</v>
      </c>
      <c r="AF109">
        <v>99.98</v>
      </c>
      <c r="AG109">
        <v>99.98</v>
      </c>
      <c r="AH109">
        <v>99.98</v>
      </c>
      <c r="AI109">
        <v>99.98</v>
      </c>
      <c r="AJ109" t="s">
        <v>8565</v>
      </c>
      <c r="AK109" t="s">
        <v>8565</v>
      </c>
      <c r="AL109" t="s">
        <v>8565</v>
      </c>
      <c r="AM109" t="s">
        <v>8565</v>
      </c>
      <c r="AN109" t="s">
        <v>8565</v>
      </c>
      <c r="AO109" t="s">
        <v>8565</v>
      </c>
      <c r="AP109" t="s">
        <v>8565</v>
      </c>
      <c r="AQ109">
        <v>99.97</v>
      </c>
      <c r="AR109">
        <v>99.986199999999997</v>
      </c>
      <c r="AS109">
        <v>99.995699999999999</v>
      </c>
      <c r="AT109" t="s">
        <v>1979</v>
      </c>
      <c r="AU109">
        <v>100</v>
      </c>
      <c r="AV109" t="s">
        <v>1979</v>
      </c>
      <c r="AX109" t="s">
        <v>11290</v>
      </c>
    </row>
    <row r="110" spans="1:50">
      <c r="A110" t="s">
        <v>10099</v>
      </c>
      <c r="B110" t="s">
        <v>7958</v>
      </c>
      <c r="C110" t="s">
        <v>7983</v>
      </c>
      <c r="D110" t="s">
        <v>8083</v>
      </c>
      <c r="E110" t="s">
        <v>10100</v>
      </c>
      <c r="F110" t="s">
        <v>10102</v>
      </c>
      <c r="P110" t="s">
        <v>11139</v>
      </c>
      <c r="Q110" t="s">
        <v>11291</v>
      </c>
      <c r="R110" t="s">
        <v>11153</v>
      </c>
      <c r="T110" t="s">
        <v>11</v>
      </c>
      <c r="U110" t="s">
        <v>2622</v>
      </c>
      <c r="W110">
        <v>0</v>
      </c>
      <c r="X110">
        <v>0</v>
      </c>
      <c r="Y110">
        <v>0</v>
      </c>
      <c r="Z110">
        <v>0</v>
      </c>
      <c r="AA110">
        <v>0</v>
      </c>
      <c r="AB110">
        <v>0</v>
      </c>
      <c r="AE110">
        <v>1</v>
      </c>
      <c r="AF110">
        <v>1</v>
      </c>
      <c r="AG110">
        <v>1</v>
      </c>
      <c r="AH110">
        <v>1</v>
      </c>
      <c r="AI110">
        <v>1</v>
      </c>
      <c r="AJ110" t="s">
        <v>8565</v>
      </c>
      <c r="AK110" t="s">
        <v>8565</v>
      </c>
      <c r="AL110" t="s">
        <v>8565</v>
      </c>
      <c r="AM110" t="s">
        <v>8565</v>
      </c>
      <c r="AN110" t="s">
        <v>8565</v>
      </c>
      <c r="AO110" t="s">
        <v>8565</v>
      </c>
      <c r="AP110" t="s">
        <v>8565</v>
      </c>
      <c r="AQ110">
        <v>2</v>
      </c>
      <c r="AR110">
        <v>0</v>
      </c>
      <c r="AS110">
        <v>0</v>
      </c>
      <c r="AT110" t="s">
        <v>1979</v>
      </c>
      <c r="AU110">
        <v>0</v>
      </c>
      <c r="AV110" t="s">
        <v>1979</v>
      </c>
      <c r="AX110" t="s">
        <v>11292</v>
      </c>
    </row>
    <row r="111" spans="1:50">
      <c r="A111" t="s">
        <v>10099</v>
      </c>
      <c r="B111" t="s">
        <v>7958</v>
      </c>
      <c r="C111" t="s">
        <v>7983</v>
      </c>
      <c r="D111" t="s">
        <v>8083</v>
      </c>
      <c r="E111" t="s">
        <v>10100</v>
      </c>
      <c r="F111" t="s">
        <v>10102</v>
      </c>
      <c r="P111" t="s">
        <v>11142</v>
      </c>
      <c r="Q111" t="s">
        <v>11293</v>
      </c>
      <c r="R111" t="s">
        <v>11294</v>
      </c>
      <c r="T111" t="s">
        <v>11</v>
      </c>
      <c r="U111">
        <v>3</v>
      </c>
      <c r="X111">
        <v>7.0000000000000007E-2</v>
      </c>
      <c r="Y111">
        <v>7.0000000000000007E-2</v>
      </c>
      <c r="Z111">
        <v>7.0000000000000007E-2</v>
      </c>
      <c r="AA111">
        <v>7.0000000000000007E-2</v>
      </c>
      <c r="AB111">
        <v>7.0000000000000007E-2</v>
      </c>
      <c r="AE111">
        <v>0.124</v>
      </c>
      <c r="AF111">
        <v>0.124</v>
      </c>
      <c r="AG111">
        <v>0.124</v>
      </c>
      <c r="AH111">
        <v>0.124</v>
      </c>
      <c r="AI111">
        <v>0.124</v>
      </c>
      <c r="AJ111" t="s">
        <v>8565</v>
      </c>
      <c r="AK111" t="s">
        <v>8565</v>
      </c>
      <c r="AL111" t="s">
        <v>8565</v>
      </c>
      <c r="AM111" t="s">
        <v>8565</v>
      </c>
      <c r="AN111" t="s">
        <v>8565</v>
      </c>
      <c r="AO111" t="s">
        <v>8565</v>
      </c>
      <c r="AP111" t="s">
        <v>8565</v>
      </c>
      <c r="AQ111">
        <v>0.151</v>
      </c>
      <c r="AR111">
        <v>9.7000000000000003E-2</v>
      </c>
      <c r="AS111">
        <v>8.2000000000000003E-2</v>
      </c>
      <c r="AT111" t="s">
        <v>1980</v>
      </c>
      <c r="AU111">
        <v>0.06</v>
      </c>
      <c r="AV111" t="s">
        <v>1979</v>
      </c>
      <c r="AX111" t="s">
        <v>11295</v>
      </c>
    </row>
    <row r="112" spans="1:50">
      <c r="A112" t="s">
        <v>10099</v>
      </c>
      <c r="B112" t="s">
        <v>7958</v>
      </c>
      <c r="C112" t="s">
        <v>7983</v>
      </c>
      <c r="D112" t="s">
        <v>8083</v>
      </c>
      <c r="E112" t="s">
        <v>10100</v>
      </c>
      <c r="F112" t="s">
        <v>10102</v>
      </c>
      <c r="P112" t="s">
        <v>11145</v>
      </c>
      <c r="Q112" t="s">
        <v>11296</v>
      </c>
      <c r="R112" t="s">
        <v>11294</v>
      </c>
      <c r="T112" t="s">
        <v>11</v>
      </c>
      <c r="U112">
        <v>3</v>
      </c>
      <c r="X112" t="s">
        <v>11297</v>
      </c>
      <c r="Y112" t="s">
        <v>11297</v>
      </c>
      <c r="Z112" t="s">
        <v>11297</v>
      </c>
      <c r="AA112" t="s">
        <v>11297</v>
      </c>
      <c r="AB112" t="s">
        <v>11297</v>
      </c>
      <c r="AJ112" t="s">
        <v>8565</v>
      </c>
      <c r="AK112" t="s">
        <v>8565</v>
      </c>
      <c r="AL112" t="s">
        <v>8565</v>
      </c>
      <c r="AM112" t="s">
        <v>8565</v>
      </c>
      <c r="AN112" t="s">
        <v>8565</v>
      </c>
      <c r="AO112" t="s">
        <v>8565</v>
      </c>
      <c r="AP112" t="s">
        <v>8565</v>
      </c>
      <c r="AR112">
        <v>6.0000000000000001E-3</v>
      </c>
      <c r="AS112">
        <v>4.0000000000000001E-3</v>
      </c>
      <c r="AU112">
        <v>0.01</v>
      </c>
      <c r="AV112" t="s">
        <v>1981</v>
      </c>
      <c r="AX112" t="s">
        <v>11298</v>
      </c>
    </row>
    <row r="113" spans="1:50">
      <c r="A113" t="s">
        <v>10192</v>
      </c>
      <c r="B113" t="s">
        <v>7958</v>
      </c>
      <c r="C113" t="s">
        <v>7983</v>
      </c>
      <c r="D113" t="s">
        <v>8297</v>
      </c>
      <c r="E113" t="s">
        <v>10194</v>
      </c>
      <c r="F113" t="s">
        <v>10196</v>
      </c>
      <c r="G113" t="s">
        <v>8099</v>
      </c>
      <c r="H113" t="s">
        <v>8364</v>
      </c>
      <c r="I113" t="s">
        <v>8429</v>
      </c>
      <c r="J113" t="s">
        <v>1984</v>
      </c>
      <c r="K113" t="s">
        <v>1984</v>
      </c>
      <c r="L113" t="s">
        <v>1984</v>
      </c>
      <c r="M113" t="s">
        <v>1984</v>
      </c>
      <c r="N113" t="s">
        <v>1984</v>
      </c>
      <c r="O113" t="s">
        <v>1984</v>
      </c>
      <c r="P113" t="s">
        <v>11070</v>
      </c>
      <c r="Q113" t="s">
        <v>10196</v>
      </c>
      <c r="T113" t="s">
        <v>8282</v>
      </c>
      <c r="U113" t="s">
        <v>8092</v>
      </c>
      <c r="AR113" t="s">
        <v>1984</v>
      </c>
      <c r="AS113" t="s">
        <v>1984</v>
      </c>
      <c r="AT113" t="s">
        <v>1979</v>
      </c>
      <c r="AU113" t="s">
        <v>1984</v>
      </c>
      <c r="AV113" t="s">
        <v>1979</v>
      </c>
      <c r="AX113" t="s">
        <v>11299</v>
      </c>
    </row>
    <row r="114" spans="1:50">
      <c r="A114" t="s">
        <v>10192</v>
      </c>
      <c r="B114" t="s">
        <v>7958</v>
      </c>
      <c r="C114" t="s">
        <v>7983</v>
      </c>
      <c r="D114" t="s">
        <v>8297</v>
      </c>
      <c r="E114" t="s">
        <v>10194</v>
      </c>
      <c r="F114" t="s">
        <v>10196</v>
      </c>
      <c r="P114" t="s">
        <v>11072</v>
      </c>
      <c r="Q114" t="s">
        <v>11300</v>
      </c>
      <c r="R114" t="s">
        <v>11301</v>
      </c>
      <c r="T114" t="s">
        <v>11</v>
      </c>
      <c r="U114" t="s">
        <v>2622</v>
      </c>
      <c r="X114">
        <v>27</v>
      </c>
      <c r="Y114">
        <v>27</v>
      </c>
      <c r="Z114">
        <v>27</v>
      </c>
      <c r="AA114">
        <v>27</v>
      </c>
      <c r="AB114">
        <v>27</v>
      </c>
      <c r="AE114">
        <v>69</v>
      </c>
      <c r="AF114">
        <v>69</v>
      </c>
      <c r="AG114">
        <v>69</v>
      </c>
      <c r="AH114">
        <v>69</v>
      </c>
      <c r="AI114">
        <v>69</v>
      </c>
      <c r="AJ114" t="s">
        <v>8565</v>
      </c>
      <c r="AK114" t="s">
        <v>8565</v>
      </c>
      <c r="AL114" t="s">
        <v>8565</v>
      </c>
      <c r="AM114" t="s">
        <v>8565</v>
      </c>
      <c r="AN114" t="s">
        <v>8565</v>
      </c>
      <c r="AO114" t="s">
        <v>8565</v>
      </c>
      <c r="AP114" t="s">
        <v>8565</v>
      </c>
      <c r="AQ114">
        <v>90</v>
      </c>
      <c r="AR114" t="s">
        <v>8565</v>
      </c>
      <c r="AS114">
        <v>25</v>
      </c>
      <c r="AT114" t="s">
        <v>1979</v>
      </c>
      <c r="AU114">
        <v>34</v>
      </c>
      <c r="AV114" t="s">
        <v>1979</v>
      </c>
      <c r="AX114" t="s">
        <v>11302</v>
      </c>
    </row>
    <row r="115" spans="1:50">
      <c r="A115" t="s">
        <v>10192</v>
      </c>
      <c r="B115" t="s">
        <v>7958</v>
      </c>
      <c r="C115" t="s">
        <v>7983</v>
      </c>
      <c r="D115" t="s">
        <v>8297</v>
      </c>
      <c r="E115" t="s">
        <v>10194</v>
      </c>
      <c r="F115" t="s">
        <v>10196</v>
      </c>
      <c r="P115" t="s">
        <v>11076</v>
      </c>
      <c r="Q115" t="s">
        <v>11303</v>
      </c>
      <c r="R115" t="s">
        <v>11115</v>
      </c>
      <c r="T115" t="s">
        <v>10</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8565</v>
      </c>
      <c r="AK115" t="s">
        <v>8565</v>
      </c>
      <c r="AL115" t="s">
        <v>8565</v>
      </c>
      <c r="AM115" t="s">
        <v>8565</v>
      </c>
      <c r="AN115" t="s">
        <v>8565</v>
      </c>
      <c r="AO115" t="s">
        <v>8565</v>
      </c>
      <c r="AP115" t="s">
        <v>8565</v>
      </c>
      <c r="AQ115">
        <v>2.61</v>
      </c>
      <c r="AR115">
        <v>1.1494252873563227</v>
      </c>
      <c r="AS115">
        <v>0.86699999999999999</v>
      </c>
      <c r="AT115" t="s">
        <v>1980</v>
      </c>
      <c r="AU115">
        <v>1.72</v>
      </c>
      <c r="AV115" t="s">
        <v>1980</v>
      </c>
      <c r="AX115" t="s">
        <v>11304</v>
      </c>
    </row>
    <row r="116" spans="1:50">
      <c r="A116" t="s">
        <v>10192</v>
      </c>
      <c r="B116" t="s">
        <v>7958</v>
      </c>
      <c r="C116" t="s">
        <v>7983</v>
      </c>
      <c r="D116" t="s">
        <v>8297</v>
      </c>
      <c r="E116" t="s">
        <v>10194</v>
      </c>
      <c r="F116" t="s">
        <v>10196</v>
      </c>
      <c r="P116" t="s">
        <v>11083</v>
      </c>
      <c r="Q116" t="s">
        <v>11305</v>
      </c>
      <c r="R116" t="s">
        <v>11112</v>
      </c>
      <c r="T116" t="s">
        <v>10</v>
      </c>
      <c r="U116">
        <v>2</v>
      </c>
      <c r="W116">
        <v>0.17</v>
      </c>
      <c r="X116">
        <v>0</v>
      </c>
      <c r="Y116">
        <v>0</v>
      </c>
      <c r="Z116">
        <v>0</v>
      </c>
      <c r="AA116">
        <v>0</v>
      </c>
      <c r="AB116">
        <v>0</v>
      </c>
      <c r="AE116">
        <v>0.68</v>
      </c>
      <c r="AF116">
        <v>0.68</v>
      </c>
      <c r="AG116">
        <v>0.68</v>
      </c>
      <c r="AH116">
        <v>0.68</v>
      </c>
      <c r="AI116">
        <v>0.68</v>
      </c>
      <c r="AJ116" t="s">
        <v>8565</v>
      </c>
      <c r="AK116" t="s">
        <v>8565</v>
      </c>
      <c r="AL116" t="s">
        <v>8565</v>
      </c>
      <c r="AM116" t="s">
        <v>8565</v>
      </c>
      <c r="AN116" t="s">
        <v>8565</v>
      </c>
      <c r="AO116" t="s">
        <v>8565</v>
      </c>
      <c r="AP116" t="s">
        <v>8565</v>
      </c>
      <c r="AQ116">
        <v>0.94</v>
      </c>
      <c r="AR116">
        <v>0</v>
      </c>
      <c r="AS116">
        <v>0</v>
      </c>
      <c r="AT116" t="s">
        <v>1979</v>
      </c>
      <c r="AU116">
        <v>0</v>
      </c>
      <c r="AV116" t="s">
        <v>1979</v>
      </c>
      <c r="AX116" t="s">
        <v>11306</v>
      </c>
    </row>
    <row r="117" spans="1:50">
      <c r="A117" t="s">
        <v>10198</v>
      </c>
      <c r="B117" t="s">
        <v>7958</v>
      </c>
      <c r="C117" t="s">
        <v>7983</v>
      </c>
      <c r="D117" t="s">
        <v>8297</v>
      </c>
      <c r="E117" t="s">
        <v>10199</v>
      </c>
      <c r="F117" t="s">
        <v>10201</v>
      </c>
      <c r="G117" t="s">
        <v>8099</v>
      </c>
      <c r="H117" t="s">
        <v>8364</v>
      </c>
      <c r="I117" t="s">
        <v>8429</v>
      </c>
      <c r="J117" t="s">
        <v>1984</v>
      </c>
      <c r="K117" t="s">
        <v>1984</v>
      </c>
      <c r="L117" t="s">
        <v>1984</v>
      </c>
      <c r="M117" t="s">
        <v>1984</v>
      </c>
      <c r="N117" t="s">
        <v>1984</v>
      </c>
      <c r="O117" t="s">
        <v>1984</v>
      </c>
      <c r="P117" t="s">
        <v>11070</v>
      </c>
      <c r="Q117" t="s">
        <v>10201</v>
      </c>
      <c r="T117" t="s">
        <v>8282</v>
      </c>
      <c r="U117" t="s">
        <v>8092</v>
      </c>
      <c r="AR117" t="s">
        <v>8430</v>
      </c>
      <c r="AS117" t="s">
        <v>1984</v>
      </c>
      <c r="AT117" t="s">
        <v>1979</v>
      </c>
      <c r="AU117" t="s">
        <v>1984</v>
      </c>
      <c r="AV117" t="s">
        <v>1979</v>
      </c>
      <c r="AX117" t="s">
        <v>11307</v>
      </c>
    </row>
    <row r="118" spans="1:50">
      <c r="A118" t="s">
        <v>10198</v>
      </c>
      <c r="B118" t="s">
        <v>7958</v>
      </c>
      <c r="C118" t="s">
        <v>7983</v>
      </c>
      <c r="D118" t="s">
        <v>8297</v>
      </c>
      <c r="E118" t="s">
        <v>10199</v>
      </c>
      <c r="F118" t="s">
        <v>10201</v>
      </c>
      <c r="P118" t="s">
        <v>11072</v>
      </c>
      <c r="Q118" t="s">
        <v>11308</v>
      </c>
      <c r="R118" t="s">
        <v>11103</v>
      </c>
      <c r="T118" t="s">
        <v>11</v>
      </c>
      <c r="U118" t="s">
        <v>2622</v>
      </c>
      <c r="W118" t="s">
        <v>11309</v>
      </c>
      <c r="X118">
        <v>736</v>
      </c>
      <c r="Y118">
        <v>736</v>
      </c>
      <c r="Z118">
        <v>736</v>
      </c>
      <c r="AA118">
        <v>736</v>
      </c>
      <c r="AB118">
        <v>736</v>
      </c>
      <c r="AE118">
        <v>881</v>
      </c>
      <c r="AF118">
        <v>881</v>
      </c>
      <c r="AG118">
        <v>881</v>
      </c>
      <c r="AH118">
        <v>881</v>
      </c>
      <c r="AI118">
        <v>881</v>
      </c>
      <c r="AJ118" t="s">
        <v>8565</v>
      </c>
      <c r="AK118" t="s">
        <v>8565</v>
      </c>
      <c r="AL118" t="s">
        <v>8565</v>
      </c>
      <c r="AM118" t="s">
        <v>8565</v>
      </c>
      <c r="AN118" t="s">
        <v>8565</v>
      </c>
      <c r="AO118" t="s">
        <v>8565</v>
      </c>
      <c r="AP118" t="s">
        <v>8565</v>
      </c>
      <c r="AQ118">
        <v>1004</v>
      </c>
      <c r="AR118">
        <v>530</v>
      </c>
      <c r="AS118">
        <v>471</v>
      </c>
      <c r="AT118" t="s">
        <v>1979</v>
      </c>
      <c r="AU118">
        <v>632</v>
      </c>
      <c r="AV118" t="s">
        <v>1979</v>
      </c>
      <c r="AX118" t="s">
        <v>11310</v>
      </c>
    </row>
    <row r="119" spans="1:50">
      <c r="A119" t="s">
        <v>10198</v>
      </c>
      <c r="B119" t="s">
        <v>7958</v>
      </c>
      <c r="C119" t="s">
        <v>7983</v>
      </c>
      <c r="D119" t="s">
        <v>8297</v>
      </c>
      <c r="E119" t="s">
        <v>10199</v>
      </c>
      <c r="F119" t="s">
        <v>10201</v>
      </c>
      <c r="P119" t="s">
        <v>11076</v>
      </c>
      <c r="Q119" t="s">
        <v>11311</v>
      </c>
      <c r="R119" t="s">
        <v>11108</v>
      </c>
      <c r="T119" t="s">
        <v>11</v>
      </c>
      <c r="U119" t="s">
        <v>2622</v>
      </c>
      <c r="W119" t="s">
        <v>11309</v>
      </c>
      <c r="X119">
        <v>84438</v>
      </c>
      <c r="Y119">
        <v>84438</v>
      </c>
      <c r="Z119">
        <v>84438</v>
      </c>
      <c r="AA119">
        <v>84438</v>
      </c>
      <c r="AB119">
        <v>84438</v>
      </c>
      <c r="AE119">
        <v>89698</v>
      </c>
      <c r="AF119">
        <v>89698</v>
      </c>
      <c r="AG119">
        <v>89698</v>
      </c>
      <c r="AH119">
        <v>89698</v>
      </c>
      <c r="AI119">
        <v>89698</v>
      </c>
      <c r="AJ119" t="s">
        <v>8565</v>
      </c>
      <c r="AK119" t="s">
        <v>8565</v>
      </c>
      <c r="AL119" t="s">
        <v>8565</v>
      </c>
      <c r="AM119" t="s">
        <v>8565</v>
      </c>
      <c r="AN119" t="s">
        <v>8565</v>
      </c>
      <c r="AO119" t="s">
        <v>8565</v>
      </c>
      <c r="AP119" t="s">
        <v>8565</v>
      </c>
      <c r="AQ119">
        <v>93251</v>
      </c>
      <c r="AR119">
        <v>86582</v>
      </c>
      <c r="AS119">
        <v>84677</v>
      </c>
      <c r="AT119" t="s">
        <v>1980</v>
      </c>
      <c r="AU119">
        <v>80747</v>
      </c>
      <c r="AV119" t="s">
        <v>1979</v>
      </c>
      <c r="AX119" t="s">
        <v>11312</v>
      </c>
    </row>
    <row r="120" spans="1:50">
      <c r="A120" t="s">
        <v>10198</v>
      </c>
      <c r="B120" t="s">
        <v>7958</v>
      </c>
      <c r="C120" t="s">
        <v>7983</v>
      </c>
      <c r="D120" t="s">
        <v>8297</v>
      </c>
      <c r="E120" t="s">
        <v>10199</v>
      </c>
      <c r="F120" t="s">
        <v>10201</v>
      </c>
      <c r="P120" t="s">
        <v>11083</v>
      </c>
      <c r="Q120" t="s">
        <v>11313</v>
      </c>
      <c r="R120" t="s">
        <v>11101</v>
      </c>
      <c r="T120" t="s">
        <v>11</v>
      </c>
      <c r="U120" t="s">
        <v>2622</v>
      </c>
      <c r="W120" t="s">
        <v>11309</v>
      </c>
      <c r="X120">
        <v>206</v>
      </c>
      <c r="Y120">
        <v>206</v>
      </c>
      <c r="Z120">
        <v>206</v>
      </c>
      <c r="AA120">
        <v>206</v>
      </c>
      <c r="AB120">
        <v>206</v>
      </c>
      <c r="AE120">
        <v>332</v>
      </c>
      <c r="AF120">
        <v>332</v>
      </c>
      <c r="AG120">
        <v>332</v>
      </c>
      <c r="AH120">
        <v>332</v>
      </c>
      <c r="AI120">
        <v>332</v>
      </c>
      <c r="AJ120" t="s">
        <v>8565</v>
      </c>
      <c r="AK120" t="s">
        <v>8565</v>
      </c>
      <c r="AL120" t="s">
        <v>8565</v>
      </c>
      <c r="AM120" t="s">
        <v>8565</v>
      </c>
      <c r="AN120" t="s">
        <v>8565</v>
      </c>
      <c r="AO120" t="s">
        <v>8565</v>
      </c>
      <c r="AP120" t="s">
        <v>8565</v>
      </c>
      <c r="AQ120">
        <v>393</v>
      </c>
      <c r="AS120">
        <v>178</v>
      </c>
      <c r="AT120" t="s">
        <v>1979</v>
      </c>
      <c r="AU120">
        <v>243</v>
      </c>
      <c r="AV120" t="s">
        <v>1980</v>
      </c>
      <c r="AX120" t="s">
        <v>11314</v>
      </c>
    </row>
    <row r="121" spans="1:50">
      <c r="A121" t="s">
        <v>10198</v>
      </c>
      <c r="B121" t="s">
        <v>7958</v>
      </c>
      <c r="C121" t="s">
        <v>7983</v>
      </c>
      <c r="D121" t="s">
        <v>8297</v>
      </c>
      <c r="E121" t="s">
        <v>10199</v>
      </c>
      <c r="F121" t="s">
        <v>10201</v>
      </c>
      <c r="P121" t="s">
        <v>11087</v>
      </c>
      <c r="Q121" t="s">
        <v>11315</v>
      </c>
      <c r="R121" t="s">
        <v>11106</v>
      </c>
      <c r="T121" t="s">
        <v>11</v>
      </c>
      <c r="U121" t="s">
        <v>2622</v>
      </c>
      <c r="W121" t="s">
        <v>11309</v>
      </c>
      <c r="X121">
        <v>1077</v>
      </c>
      <c r="Y121">
        <v>1077</v>
      </c>
      <c r="Z121">
        <v>1077</v>
      </c>
      <c r="AA121">
        <v>1077</v>
      </c>
      <c r="AB121">
        <v>1077</v>
      </c>
      <c r="AE121">
        <v>1274</v>
      </c>
      <c r="AF121">
        <v>1274</v>
      </c>
      <c r="AG121">
        <v>1274</v>
      </c>
      <c r="AH121">
        <v>1274</v>
      </c>
      <c r="AI121">
        <v>1274</v>
      </c>
      <c r="AJ121" t="s">
        <v>8565</v>
      </c>
      <c r="AK121" t="s">
        <v>8565</v>
      </c>
      <c r="AL121" t="s">
        <v>8565</v>
      </c>
      <c r="AM121" t="s">
        <v>8565</v>
      </c>
      <c r="AN121" t="s">
        <v>8565</v>
      </c>
      <c r="AO121" t="s">
        <v>8565</v>
      </c>
      <c r="AP121" t="s">
        <v>8565</v>
      </c>
      <c r="AQ121">
        <v>1358</v>
      </c>
      <c r="AR121">
        <v>1017</v>
      </c>
      <c r="AS121">
        <v>1227</v>
      </c>
      <c r="AT121" t="s">
        <v>1980</v>
      </c>
      <c r="AU121">
        <v>1106</v>
      </c>
      <c r="AV121" t="s">
        <v>1980</v>
      </c>
      <c r="AX121" t="s">
        <v>11316</v>
      </c>
    </row>
    <row r="122" spans="1:50">
      <c r="A122" t="s">
        <v>10410</v>
      </c>
      <c r="B122" t="s">
        <v>7958</v>
      </c>
      <c r="C122" t="s">
        <v>10397</v>
      </c>
      <c r="D122" t="s">
        <v>8083</v>
      </c>
      <c r="E122" t="s">
        <v>7851</v>
      </c>
      <c r="F122" t="s">
        <v>10412</v>
      </c>
      <c r="G122" t="s">
        <v>8088</v>
      </c>
      <c r="H122" t="s">
        <v>8127</v>
      </c>
      <c r="I122" t="s">
        <v>10413</v>
      </c>
      <c r="J122">
        <v>107.2</v>
      </c>
      <c r="K122">
        <v>119.3</v>
      </c>
      <c r="L122">
        <v>130.30000000000001</v>
      </c>
      <c r="M122">
        <v>145.9</v>
      </c>
      <c r="N122">
        <v>145.9</v>
      </c>
      <c r="O122">
        <v>145.9</v>
      </c>
      <c r="P122" t="s">
        <v>11070</v>
      </c>
      <c r="Q122" t="s">
        <v>10412</v>
      </c>
      <c r="S122">
        <v>-15628.223599999999</v>
      </c>
      <c r="T122" t="s">
        <v>8170</v>
      </c>
      <c r="U122">
        <v>3</v>
      </c>
      <c r="AR122">
        <v>108.364</v>
      </c>
      <c r="AS122">
        <v>120.465</v>
      </c>
      <c r="AT122" t="s">
        <v>1979</v>
      </c>
      <c r="AU122">
        <v>116.923</v>
      </c>
      <c r="AV122" t="s">
        <v>1980</v>
      </c>
      <c r="AX122" t="s">
        <v>11317</v>
      </c>
    </row>
    <row r="123" spans="1:50">
      <c r="A123" t="s">
        <v>10410</v>
      </c>
      <c r="B123" t="s">
        <v>7958</v>
      </c>
      <c r="C123" t="s">
        <v>10397</v>
      </c>
      <c r="D123" t="s">
        <v>8083</v>
      </c>
      <c r="E123" t="s">
        <v>7851</v>
      </c>
      <c r="F123" t="s">
        <v>10412</v>
      </c>
      <c r="P123" t="s">
        <v>11072</v>
      </c>
      <c r="Q123" t="s">
        <v>11318</v>
      </c>
      <c r="R123" t="s">
        <v>11093</v>
      </c>
      <c r="S123">
        <v>-16.217128118668306</v>
      </c>
      <c r="T123" t="s">
        <v>10</v>
      </c>
      <c r="U123">
        <v>2</v>
      </c>
      <c r="W123">
        <v>0.04</v>
      </c>
      <c r="X123">
        <v>0.04</v>
      </c>
      <c r="Y123">
        <v>0.04</v>
      </c>
      <c r="Z123">
        <v>0.04</v>
      </c>
      <c r="AA123">
        <v>0.04</v>
      </c>
      <c r="AB123">
        <v>0.04</v>
      </c>
      <c r="AR123">
        <v>0.03</v>
      </c>
      <c r="AS123">
        <v>0.06</v>
      </c>
      <c r="AT123" t="s">
        <v>1980</v>
      </c>
      <c r="AU123">
        <v>0.01</v>
      </c>
      <c r="AV123" t="s">
        <v>1979</v>
      </c>
      <c r="AX123" t="s">
        <v>11319</v>
      </c>
    </row>
    <row r="124" spans="1:50">
      <c r="A124" t="s">
        <v>10410</v>
      </c>
      <c r="B124" t="s">
        <v>7958</v>
      </c>
      <c r="C124" t="s">
        <v>10397</v>
      </c>
      <c r="D124" t="s">
        <v>8083</v>
      </c>
      <c r="E124" t="s">
        <v>7851</v>
      </c>
      <c r="F124" t="s">
        <v>10412</v>
      </c>
      <c r="P124" t="s">
        <v>11076</v>
      </c>
      <c r="Q124" t="s">
        <v>11320</v>
      </c>
      <c r="R124" t="s">
        <v>11096</v>
      </c>
      <c r="S124">
        <v>37.39055984289103</v>
      </c>
      <c r="T124" t="s">
        <v>10</v>
      </c>
      <c r="U124">
        <v>2</v>
      </c>
      <c r="W124">
        <v>99.96</v>
      </c>
      <c r="X124">
        <v>99.96</v>
      </c>
      <c r="Y124">
        <v>99.96</v>
      </c>
      <c r="Z124">
        <v>99.96</v>
      </c>
      <c r="AA124">
        <v>99.96</v>
      </c>
      <c r="AB124">
        <v>99.96</v>
      </c>
      <c r="AR124">
        <v>99.98</v>
      </c>
      <c r="AS124">
        <v>99.98</v>
      </c>
      <c r="AT124" t="s">
        <v>1979</v>
      </c>
      <c r="AU124">
        <v>99.98</v>
      </c>
      <c r="AV124" t="s">
        <v>1979</v>
      </c>
      <c r="AX124" t="s">
        <v>11321</v>
      </c>
    </row>
    <row r="125" spans="1:50">
      <c r="A125" t="s">
        <v>10410</v>
      </c>
      <c r="B125" t="s">
        <v>7958</v>
      </c>
      <c r="C125" t="s">
        <v>10397</v>
      </c>
      <c r="D125" t="s">
        <v>8083</v>
      </c>
      <c r="E125" t="s">
        <v>7851</v>
      </c>
      <c r="F125" t="s">
        <v>10412</v>
      </c>
      <c r="P125" t="s">
        <v>11083</v>
      </c>
      <c r="Q125" t="s">
        <v>11322</v>
      </c>
      <c r="R125" t="s">
        <v>11098</v>
      </c>
      <c r="S125">
        <v>-7.6539796562042461E-2</v>
      </c>
      <c r="T125" t="s">
        <v>11</v>
      </c>
      <c r="U125" t="s">
        <v>2622</v>
      </c>
      <c r="W125">
        <v>3</v>
      </c>
      <c r="X125">
        <v>3</v>
      </c>
      <c r="Y125">
        <v>3</v>
      </c>
      <c r="Z125">
        <v>3</v>
      </c>
      <c r="AA125">
        <v>3</v>
      </c>
      <c r="AB125">
        <v>3</v>
      </c>
      <c r="AR125">
        <v>2</v>
      </c>
      <c r="AS125">
        <v>1</v>
      </c>
      <c r="AT125" t="s">
        <v>1979</v>
      </c>
      <c r="AU125">
        <v>2</v>
      </c>
      <c r="AV125" t="s">
        <v>1979</v>
      </c>
      <c r="AX125" t="s">
        <v>11323</v>
      </c>
    </row>
    <row r="126" spans="1:50">
      <c r="A126" t="s">
        <v>10410</v>
      </c>
      <c r="B126" t="s">
        <v>7958</v>
      </c>
      <c r="C126" t="s">
        <v>10397</v>
      </c>
      <c r="D126" t="s">
        <v>8083</v>
      </c>
      <c r="E126" t="s">
        <v>7851</v>
      </c>
      <c r="F126" t="s">
        <v>10412</v>
      </c>
      <c r="P126" t="s">
        <v>11087</v>
      </c>
      <c r="Q126" t="s">
        <v>11324</v>
      </c>
      <c r="R126" t="s">
        <v>11324</v>
      </c>
      <c r="S126">
        <v>116.54918801406053</v>
      </c>
      <c r="T126" t="s">
        <v>10</v>
      </c>
      <c r="U126">
        <v>2</v>
      </c>
      <c r="W126">
        <v>99.95</v>
      </c>
      <c r="X126">
        <v>99.96</v>
      </c>
      <c r="Y126">
        <v>99.96</v>
      </c>
      <c r="Z126">
        <v>100</v>
      </c>
      <c r="AA126">
        <v>100</v>
      </c>
      <c r="AB126">
        <v>100</v>
      </c>
      <c r="AR126">
        <v>99.96</v>
      </c>
      <c r="AS126">
        <v>99.96</v>
      </c>
      <c r="AT126" t="s">
        <v>1979</v>
      </c>
      <c r="AU126">
        <v>99.96</v>
      </c>
      <c r="AV126" t="s">
        <v>1979</v>
      </c>
      <c r="AX126" t="s">
        <v>11325</v>
      </c>
    </row>
    <row r="127" spans="1:50">
      <c r="A127" t="s">
        <v>10410</v>
      </c>
      <c r="B127" t="s">
        <v>7958</v>
      </c>
      <c r="C127" t="s">
        <v>10397</v>
      </c>
      <c r="D127" t="s">
        <v>8083</v>
      </c>
      <c r="E127" t="s">
        <v>7851</v>
      </c>
      <c r="F127" t="s">
        <v>10412</v>
      </c>
      <c r="P127" t="s">
        <v>11139</v>
      </c>
      <c r="Q127" t="s">
        <v>11326</v>
      </c>
      <c r="R127" t="s">
        <v>11089</v>
      </c>
      <c r="S127">
        <v>4.482469859843901</v>
      </c>
      <c r="T127" t="s">
        <v>10</v>
      </c>
      <c r="U127">
        <v>2</v>
      </c>
      <c r="W127">
        <v>99.88</v>
      </c>
      <c r="X127">
        <v>99.88</v>
      </c>
      <c r="Y127">
        <v>99.88</v>
      </c>
      <c r="Z127">
        <v>99.88</v>
      </c>
      <c r="AA127">
        <v>99.88</v>
      </c>
      <c r="AB127">
        <v>99.88</v>
      </c>
      <c r="AR127">
        <v>99.93</v>
      </c>
      <c r="AS127">
        <v>99.89</v>
      </c>
      <c r="AT127" t="s">
        <v>1979</v>
      </c>
      <c r="AU127">
        <v>99.85</v>
      </c>
      <c r="AV127" t="s">
        <v>1980</v>
      </c>
      <c r="AX127" t="s">
        <v>11327</v>
      </c>
    </row>
    <row r="128" spans="1:50">
      <c r="A128" t="s">
        <v>10410</v>
      </c>
      <c r="B128" t="s">
        <v>7958</v>
      </c>
      <c r="C128" t="s">
        <v>10397</v>
      </c>
      <c r="D128" t="s">
        <v>8083</v>
      </c>
      <c r="E128" t="s">
        <v>7851</v>
      </c>
      <c r="F128" t="s">
        <v>10412</v>
      </c>
      <c r="P128" t="s">
        <v>11142</v>
      </c>
      <c r="Q128" t="s">
        <v>11328</v>
      </c>
      <c r="R128" t="s">
        <v>11329</v>
      </c>
      <c r="S128">
        <v>-9.4406713099461359E-3</v>
      </c>
      <c r="T128" t="s">
        <v>11</v>
      </c>
      <c r="U128" t="s">
        <v>2622</v>
      </c>
      <c r="W128">
        <v>10387</v>
      </c>
      <c r="X128">
        <v>9226</v>
      </c>
      <c r="Y128">
        <v>8065</v>
      </c>
      <c r="Z128">
        <v>6904</v>
      </c>
      <c r="AA128">
        <v>6904</v>
      </c>
      <c r="AB128">
        <v>6904</v>
      </c>
      <c r="AR128">
        <v>10436</v>
      </c>
      <c r="AS128">
        <v>9171</v>
      </c>
      <c r="AT128" t="s">
        <v>1979</v>
      </c>
      <c r="AU128">
        <v>9605</v>
      </c>
      <c r="AV128" t="s">
        <v>1980</v>
      </c>
      <c r="AX128" t="s">
        <v>11330</v>
      </c>
    </row>
    <row r="129" spans="1:50">
      <c r="A129" t="s">
        <v>10424</v>
      </c>
      <c r="B129" t="s">
        <v>7958</v>
      </c>
      <c r="C129" t="s">
        <v>10397</v>
      </c>
      <c r="D129" t="s">
        <v>8083</v>
      </c>
      <c r="E129" t="s">
        <v>6969</v>
      </c>
      <c r="F129" t="s">
        <v>10426</v>
      </c>
      <c r="G129" t="s">
        <v>8088</v>
      </c>
      <c r="H129" t="s">
        <v>8148</v>
      </c>
      <c r="I129" t="s">
        <v>10427</v>
      </c>
      <c r="J129">
        <v>100</v>
      </c>
      <c r="K129">
        <v>100</v>
      </c>
      <c r="L129">
        <v>100</v>
      </c>
      <c r="M129">
        <v>100</v>
      </c>
      <c r="N129">
        <v>100</v>
      </c>
      <c r="O129">
        <v>100</v>
      </c>
      <c r="P129" t="s">
        <v>11070</v>
      </c>
      <c r="Q129" t="s">
        <v>10426</v>
      </c>
      <c r="S129">
        <v>134.14671860385499</v>
      </c>
      <c r="T129" t="s">
        <v>8170</v>
      </c>
      <c r="U129">
        <v>3</v>
      </c>
      <c r="AR129">
        <v>100.321</v>
      </c>
      <c r="AS129">
        <v>16.446999999999999</v>
      </c>
      <c r="AT129" t="s">
        <v>1980</v>
      </c>
      <c r="AU129">
        <v>77.84</v>
      </c>
      <c r="AV129" t="s">
        <v>1980</v>
      </c>
      <c r="AX129" t="s">
        <v>11331</v>
      </c>
    </row>
    <row r="130" spans="1:50">
      <c r="A130" t="s">
        <v>10424</v>
      </c>
      <c r="B130" t="s">
        <v>7958</v>
      </c>
      <c r="C130" t="s">
        <v>10397</v>
      </c>
      <c r="D130" t="s">
        <v>8083</v>
      </c>
      <c r="E130" t="s">
        <v>6969</v>
      </c>
      <c r="F130" t="s">
        <v>10426</v>
      </c>
      <c r="P130" t="s">
        <v>11072</v>
      </c>
      <c r="Q130" t="s">
        <v>11332</v>
      </c>
      <c r="R130" t="s">
        <v>11078</v>
      </c>
      <c r="S130">
        <v>-2.0218155830946799E-3</v>
      </c>
      <c r="T130" t="s">
        <v>11</v>
      </c>
      <c r="U130" t="s">
        <v>2622</v>
      </c>
      <c r="W130">
        <v>5080</v>
      </c>
      <c r="X130">
        <v>5080</v>
      </c>
      <c r="Y130">
        <v>5080</v>
      </c>
      <c r="Z130">
        <v>5080</v>
      </c>
      <c r="AA130">
        <v>5080</v>
      </c>
      <c r="AB130">
        <v>5080</v>
      </c>
      <c r="AR130">
        <v>5072</v>
      </c>
      <c r="AS130">
        <v>4785</v>
      </c>
      <c r="AT130" t="s">
        <v>1979</v>
      </c>
      <c r="AU130">
        <v>4590</v>
      </c>
      <c r="AV130" t="s">
        <v>1979</v>
      </c>
      <c r="AX130" t="s">
        <v>11333</v>
      </c>
    </row>
    <row r="131" spans="1:50">
      <c r="A131" t="s">
        <v>10424</v>
      </c>
      <c r="B131" t="s">
        <v>7958</v>
      </c>
      <c r="C131" t="s">
        <v>10397</v>
      </c>
      <c r="D131" t="s">
        <v>8083</v>
      </c>
      <c r="E131" t="s">
        <v>6969</v>
      </c>
      <c r="F131" t="s">
        <v>10426</v>
      </c>
      <c r="P131" t="s">
        <v>11076</v>
      </c>
      <c r="Q131" t="s">
        <v>11334</v>
      </c>
      <c r="R131" t="s">
        <v>11074</v>
      </c>
      <c r="S131">
        <v>-7.9020174491108795E-3</v>
      </c>
      <c r="T131" t="s">
        <v>11</v>
      </c>
      <c r="U131" t="s">
        <v>2622</v>
      </c>
      <c r="W131">
        <v>730</v>
      </c>
      <c r="X131">
        <v>730</v>
      </c>
      <c r="Y131">
        <v>730</v>
      </c>
      <c r="Z131">
        <v>730</v>
      </c>
      <c r="AA131">
        <v>730</v>
      </c>
      <c r="AB131">
        <v>730</v>
      </c>
      <c r="AR131">
        <v>723</v>
      </c>
      <c r="AS131">
        <v>11431</v>
      </c>
      <c r="AT131" t="s">
        <v>1980</v>
      </c>
      <c r="AU131">
        <v>3759</v>
      </c>
      <c r="AV131" t="s">
        <v>1980</v>
      </c>
      <c r="AX131" t="s">
        <v>11335</v>
      </c>
    </row>
    <row r="132" spans="1:50">
      <c r="A132" t="s">
        <v>10424</v>
      </c>
      <c r="B132" t="s">
        <v>7958</v>
      </c>
      <c r="C132" t="s">
        <v>10397</v>
      </c>
      <c r="D132" t="s">
        <v>8083</v>
      </c>
      <c r="E132" t="s">
        <v>6969</v>
      </c>
      <c r="F132" t="s">
        <v>10426</v>
      </c>
      <c r="P132" t="s">
        <v>11083</v>
      </c>
      <c r="Q132" t="s">
        <v>11336</v>
      </c>
      <c r="R132" t="s">
        <v>11121</v>
      </c>
      <c r="S132">
        <v>-8.4683375208154093E-3</v>
      </c>
      <c r="T132" t="s">
        <v>11</v>
      </c>
      <c r="U132" t="s">
        <v>2622</v>
      </c>
      <c r="W132">
        <v>272</v>
      </c>
      <c r="X132">
        <v>272</v>
      </c>
      <c r="Y132">
        <v>272</v>
      </c>
      <c r="Z132">
        <v>272</v>
      </c>
      <c r="AA132">
        <v>272</v>
      </c>
      <c r="AB132">
        <v>272</v>
      </c>
      <c r="AR132">
        <v>225</v>
      </c>
      <c r="AS132">
        <v>262</v>
      </c>
      <c r="AT132" t="s">
        <v>1979</v>
      </c>
      <c r="AU132">
        <v>345</v>
      </c>
      <c r="AV132" t="s">
        <v>1980</v>
      </c>
      <c r="AX132" t="s">
        <v>11337</v>
      </c>
    </row>
    <row r="133" spans="1:50">
      <c r="A133" t="s">
        <v>10424</v>
      </c>
      <c r="B133" t="s">
        <v>7958</v>
      </c>
      <c r="C133" t="s">
        <v>10397</v>
      </c>
      <c r="D133" t="s">
        <v>8083</v>
      </c>
      <c r="E133" t="s">
        <v>6969</v>
      </c>
      <c r="F133" t="s">
        <v>10426</v>
      </c>
      <c r="P133" t="s">
        <v>11087</v>
      </c>
      <c r="Q133" t="s">
        <v>11338</v>
      </c>
      <c r="R133" t="s">
        <v>11329</v>
      </c>
      <c r="S133">
        <v>-3.2925072704628701E-4</v>
      </c>
      <c r="T133" t="s">
        <v>11</v>
      </c>
      <c r="U133" t="s">
        <v>2622</v>
      </c>
      <c r="W133">
        <v>48000</v>
      </c>
      <c r="X133">
        <v>48000</v>
      </c>
      <c r="Y133">
        <v>48000</v>
      </c>
      <c r="Z133">
        <v>48000</v>
      </c>
      <c r="AA133">
        <v>48000</v>
      </c>
      <c r="AB133">
        <v>48000</v>
      </c>
      <c r="AR133">
        <v>48452</v>
      </c>
      <c r="AS133">
        <v>47011</v>
      </c>
      <c r="AT133" t="s">
        <v>1979</v>
      </c>
      <c r="AU133">
        <v>43740</v>
      </c>
      <c r="AV133" t="s">
        <v>1979</v>
      </c>
      <c r="AX133" t="s">
        <v>11339</v>
      </c>
    </row>
    <row r="134" spans="1:50">
      <c r="A134" t="s">
        <v>10466</v>
      </c>
      <c r="B134" t="s">
        <v>7958</v>
      </c>
      <c r="C134" t="s">
        <v>10397</v>
      </c>
      <c r="D134" t="s">
        <v>8297</v>
      </c>
      <c r="E134" t="s">
        <v>8764</v>
      </c>
      <c r="F134" t="s">
        <v>10469</v>
      </c>
      <c r="G134" t="s">
        <v>8088</v>
      </c>
      <c r="H134" t="s">
        <v>8301</v>
      </c>
      <c r="I134" t="s">
        <v>10470</v>
      </c>
      <c r="J134">
        <v>105.8</v>
      </c>
      <c r="K134">
        <v>100</v>
      </c>
      <c r="L134">
        <v>100</v>
      </c>
      <c r="M134">
        <v>100</v>
      </c>
      <c r="N134">
        <v>100</v>
      </c>
      <c r="O134">
        <v>100</v>
      </c>
      <c r="P134" t="s">
        <v>11070</v>
      </c>
      <c r="Q134" t="s">
        <v>10469</v>
      </c>
      <c r="S134" t="s">
        <v>11340</v>
      </c>
      <c r="T134" t="s">
        <v>8170</v>
      </c>
      <c r="U134">
        <v>2</v>
      </c>
      <c r="AR134">
        <v>95.2</v>
      </c>
      <c r="AS134">
        <v>91.69</v>
      </c>
      <c r="AT134" t="s">
        <v>1979</v>
      </c>
      <c r="AU134">
        <v>91.9</v>
      </c>
      <c r="AV134" t="s">
        <v>1979</v>
      </c>
      <c r="AX134" t="s">
        <v>11341</v>
      </c>
    </row>
    <row r="135" spans="1:50">
      <c r="A135" t="s">
        <v>10466</v>
      </c>
      <c r="B135" t="s">
        <v>7958</v>
      </c>
      <c r="C135" t="s">
        <v>10397</v>
      </c>
      <c r="D135" t="s">
        <v>8297</v>
      </c>
      <c r="E135" t="s">
        <v>8764</v>
      </c>
      <c r="F135" t="s">
        <v>10469</v>
      </c>
      <c r="P135" t="s">
        <v>11072</v>
      </c>
      <c r="Q135" t="s">
        <v>11342</v>
      </c>
      <c r="R135" t="s">
        <v>11108</v>
      </c>
      <c r="S135">
        <v>59.3</v>
      </c>
      <c r="T135" t="s">
        <v>11</v>
      </c>
      <c r="U135" t="s">
        <v>2622</v>
      </c>
      <c r="W135">
        <v>15734</v>
      </c>
      <c r="X135">
        <v>15734</v>
      </c>
      <c r="Y135">
        <v>15734</v>
      </c>
      <c r="Z135">
        <v>15734</v>
      </c>
      <c r="AA135">
        <v>15734</v>
      </c>
      <c r="AB135">
        <v>15734</v>
      </c>
      <c r="AR135">
        <v>14543</v>
      </c>
      <c r="AS135">
        <v>13906</v>
      </c>
      <c r="AT135" t="s">
        <v>1979</v>
      </c>
      <c r="AU135">
        <v>14031</v>
      </c>
      <c r="AV135" t="s">
        <v>1979</v>
      </c>
      <c r="AX135" t="s">
        <v>11343</v>
      </c>
    </row>
    <row r="136" spans="1:50">
      <c r="A136" t="s">
        <v>10466</v>
      </c>
      <c r="B136" t="s">
        <v>7958</v>
      </c>
      <c r="C136" t="s">
        <v>10397</v>
      </c>
      <c r="D136" t="s">
        <v>8297</v>
      </c>
      <c r="E136" t="s">
        <v>8764</v>
      </c>
      <c r="F136" t="s">
        <v>10469</v>
      </c>
      <c r="P136" t="s">
        <v>11076</v>
      </c>
      <c r="Q136" t="s">
        <v>11344</v>
      </c>
      <c r="R136" t="s">
        <v>11103</v>
      </c>
      <c r="S136">
        <v>97.1</v>
      </c>
      <c r="T136" t="s">
        <v>11</v>
      </c>
      <c r="U136" t="s">
        <v>2622</v>
      </c>
      <c r="W136">
        <v>553</v>
      </c>
      <c r="X136">
        <v>553</v>
      </c>
      <c r="Y136">
        <v>553</v>
      </c>
      <c r="Z136">
        <v>553</v>
      </c>
      <c r="AA136">
        <v>553</v>
      </c>
      <c r="AB136">
        <v>553</v>
      </c>
      <c r="AR136">
        <v>491</v>
      </c>
      <c r="AS136">
        <v>361</v>
      </c>
      <c r="AT136" t="s">
        <v>1979</v>
      </c>
      <c r="AU136">
        <v>391</v>
      </c>
      <c r="AV136" t="s">
        <v>1979</v>
      </c>
      <c r="AX136" t="s">
        <v>11345</v>
      </c>
    </row>
    <row r="137" spans="1:50">
      <c r="A137" t="s">
        <v>10466</v>
      </c>
      <c r="B137" t="s">
        <v>7958</v>
      </c>
      <c r="C137" t="s">
        <v>10397</v>
      </c>
      <c r="D137" t="s">
        <v>8297</v>
      </c>
      <c r="E137" t="s">
        <v>8764</v>
      </c>
      <c r="F137" t="s">
        <v>10469</v>
      </c>
      <c r="P137" t="s">
        <v>11083</v>
      </c>
      <c r="Q137" t="s">
        <v>8337</v>
      </c>
      <c r="R137" t="s">
        <v>11101</v>
      </c>
      <c r="S137">
        <v>1516.3</v>
      </c>
      <c r="T137" t="s">
        <v>11</v>
      </c>
      <c r="U137" t="s">
        <v>2622</v>
      </c>
      <c r="W137">
        <v>4</v>
      </c>
      <c r="X137">
        <v>4</v>
      </c>
      <c r="Y137">
        <v>4</v>
      </c>
      <c r="Z137">
        <v>4</v>
      </c>
      <c r="AA137">
        <v>4</v>
      </c>
      <c r="AB137">
        <v>4</v>
      </c>
      <c r="AR137">
        <v>3</v>
      </c>
      <c r="AS137">
        <v>5</v>
      </c>
      <c r="AT137" t="s">
        <v>1980</v>
      </c>
      <c r="AU137">
        <v>1</v>
      </c>
      <c r="AV137" t="s">
        <v>1979</v>
      </c>
      <c r="AX137" t="s">
        <v>11346</v>
      </c>
    </row>
    <row r="138" spans="1:50">
      <c r="A138" t="s">
        <v>10466</v>
      </c>
      <c r="B138" t="s">
        <v>7958</v>
      </c>
      <c r="C138" t="s">
        <v>10397</v>
      </c>
      <c r="D138" t="s">
        <v>8297</v>
      </c>
      <c r="E138" t="s">
        <v>8764</v>
      </c>
      <c r="F138" t="s">
        <v>10469</v>
      </c>
      <c r="P138" t="s">
        <v>11087</v>
      </c>
      <c r="Q138" t="s">
        <v>11347</v>
      </c>
      <c r="R138" t="s">
        <v>11106</v>
      </c>
      <c r="S138">
        <v>297.5</v>
      </c>
      <c r="T138" t="s">
        <v>11</v>
      </c>
      <c r="U138" t="s">
        <v>2622</v>
      </c>
      <c r="W138">
        <v>473</v>
      </c>
      <c r="X138">
        <v>473</v>
      </c>
      <c r="Y138">
        <v>473</v>
      </c>
      <c r="Z138">
        <v>473</v>
      </c>
      <c r="AA138">
        <v>473</v>
      </c>
      <c r="AB138">
        <v>473</v>
      </c>
      <c r="AR138">
        <v>387</v>
      </c>
      <c r="AS138">
        <v>418</v>
      </c>
      <c r="AT138" t="s">
        <v>1979</v>
      </c>
      <c r="AU138">
        <v>415</v>
      </c>
      <c r="AV138" t="s">
        <v>1980</v>
      </c>
      <c r="AX138" t="s">
        <v>11348</v>
      </c>
    </row>
    <row r="139" spans="1:50">
      <c r="A139" t="s">
        <v>10466</v>
      </c>
      <c r="B139" t="s">
        <v>7958</v>
      </c>
      <c r="C139" t="s">
        <v>10397</v>
      </c>
      <c r="D139" t="s">
        <v>8297</v>
      </c>
      <c r="E139" t="s">
        <v>8764</v>
      </c>
      <c r="F139" t="s">
        <v>10469</v>
      </c>
      <c r="P139" t="s">
        <v>11139</v>
      </c>
      <c r="Q139" t="s">
        <v>11349</v>
      </c>
      <c r="R139" t="s">
        <v>11184</v>
      </c>
      <c r="S139">
        <v>46.6</v>
      </c>
      <c r="T139" t="s">
        <v>11</v>
      </c>
      <c r="U139" t="s">
        <v>2622</v>
      </c>
      <c r="W139">
        <v>5550</v>
      </c>
      <c r="X139">
        <v>5550</v>
      </c>
      <c r="Y139">
        <v>5550</v>
      </c>
      <c r="Z139">
        <v>5550</v>
      </c>
      <c r="AA139">
        <v>5550</v>
      </c>
      <c r="AB139">
        <v>5550</v>
      </c>
      <c r="AR139">
        <v>4777</v>
      </c>
      <c r="AS139">
        <v>4605</v>
      </c>
      <c r="AT139" t="s">
        <v>1979</v>
      </c>
      <c r="AU139">
        <v>4599</v>
      </c>
      <c r="AV139" t="s">
        <v>1980</v>
      </c>
      <c r="AX139" t="s">
        <v>11350</v>
      </c>
    </row>
    <row r="140" spans="1:50">
      <c r="A140" t="s">
        <v>10472</v>
      </c>
      <c r="B140" t="s">
        <v>7958</v>
      </c>
      <c r="C140" t="s">
        <v>10397</v>
      </c>
      <c r="D140" t="s">
        <v>8297</v>
      </c>
      <c r="E140" t="s">
        <v>8298</v>
      </c>
      <c r="F140" t="s">
        <v>10474</v>
      </c>
      <c r="G140" t="s">
        <v>8099</v>
      </c>
      <c r="H140" t="s">
        <v>8364</v>
      </c>
      <c r="I140" t="s">
        <v>10475</v>
      </c>
      <c r="J140">
        <v>108.4</v>
      </c>
      <c r="K140">
        <v>106.2</v>
      </c>
      <c r="L140">
        <v>103.2</v>
      </c>
      <c r="M140">
        <v>99.4</v>
      </c>
      <c r="N140">
        <v>95.6</v>
      </c>
      <c r="O140">
        <v>93.4</v>
      </c>
      <c r="P140" t="s">
        <v>11070</v>
      </c>
      <c r="Q140" t="s">
        <v>10474</v>
      </c>
      <c r="S140" t="s">
        <v>11351</v>
      </c>
      <c r="T140" t="s">
        <v>8170</v>
      </c>
      <c r="U140">
        <v>2</v>
      </c>
      <c r="AR140">
        <v>94.3</v>
      </c>
      <c r="AS140">
        <v>90.95</v>
      </c>
      <c r="AT140" t="s">
        <v>1979</v>
      </c>
      <c r="AU140">
        <v>89.47</v>
      </c>
      <c r="AV140" t="s">
        <v>1979</v>
      </c>
      <c r="AX140" t="s">
        <v>11352</v>
      </c>
    </row>
    <row r="141" spans="1:50">
      <c r="A141" t="s">
        <v>10472</v>
      </c>
      <c r="B141" t="s">
        <v>7958</v>
      </c>
      <c r="C141" t="s">
        <v>10397</v>
      </c>
      <c r="D141" t="s">
        <v>8297</v>
      </c>
      <c r="E141" t="s">
        <v>8298</v>
      </c>
      <c r="F141" t="s">
        <v>10474</v>
      </c>
      <c r="P141" t="s">
        <v>11072</v>
      </c>
      <c r="Q141" t="s">
        <v>11342</v>
      </c>
      <c r="R141" t="s">
        <v>11108</v>
      </c>
      <c r="S141">
        <v>26.1</v>
      </c>
      <c r="T141" t="s">
        <v>11</v>
      </c>
      <c r="U141" t="s">
        <v>2622</v>
      </c>
      <c r="W141">
        <v>9000</v>
      </c>
      <c r="X141">
        <v>8754</v>
      </c>
      <c r="Y141">
        <v>8425</v>
      </c>
      <c r="Z141">
        <v>8015</v>
      </c>
      <c r="AA141">
        <v>7604</v>
      </c>
      <c r="AB141">
        <v>7358</v>
      </c>
      <c r="AR141">
        <v>7877</v>
      </c>
      <c r="AS141">
        <v>7473</v>
      </c>
      <c r="AT141" t="s">
        <v>1979</v>
      </c>
      <c r="AU141">
        <v>7469</v>
      </c>
      <c r="AV141" t="s">
        <v>1979</v>
      </c>
      <c r="AX141" t="s">
        <v>11343</v>
      </c>
    </row>
    <row r="142" spans="1:50">
      <c r="A142" t="s">
        <v>10472</v>
      </c>
      <c r="B142" t="s">
        <v>7958</v>
      </c>
      <c r="C142" t="s">
        <v>10397</v>
      </c>
      <c r="D142" t="s">
        <v>8297</v>
      </c>
      <c r="E142" t="s">
        <v>8298</v>
      </c>
      <c r="F142" t="s">
        <v>10474</v>
      </c>
      <c r="P142" t="s">
        <v>11076</v>
      </c>
      <c r="Q142" t="s">
        <v>11344</v>
      </c>
      <c r="R142" t="s">
        <v>11103</v>
      </c>
      <c r="S142">
        <v>97.1</v>
      </c>
      <c r="T142" t="s">
        <v>11</v>
      </c>
      <c r="U142" t="s">
        <v>2622</v>
      </c>
      <c r="W142">
        <v>444</v>
      </c>
      <c r="X142">
        <v>444</v>
      </c>
      <c r="Y142">
        <v>444</v>
      </c>
      <c r="Z142">
        <v>444</v>
      </c>
      <c r="AA142">
        <v>444</v>
      </c>
      <c r="AB142">
        <v>444</v>
      </c>
      <c r="AR142">
        <v>314</v>
      </c>
      <c r="AS142">
        <v>261</v>
      </c>
      <c r="AT142" t="s">
        <v>1979</v>
      </c>
      <c r="AU142">
        <v>268</v>
      </c>
      <c r="AV142" t="s">
        <v>1979</v>
      </c>
      <c r="AX142" t="s">
        <v>11345</v>
      </c>
    </row>
    <row r="143" spans="1:50">
      <c r="A143" t="s">
        <v>10472</v>
      </c>
      <c r="B143" t="s">
        <v>7958</v>
      </c>
      <c r="C143" t="s">
        <v>10397</v>
      </c>
      <c r="D143" t="s">
        <v>8297</v>
      </c>
      <c r="E143" t="s">
        <v>8298</v>
      </c>
      <c r="F143" t="s">
        <v>10474</v>
      </c>
      <c r="P143" t="s">
        <v>11083</v>
      </c>
      <c r="Q143" t="s">
        <v>11353</v>
      </c>
      <c r="R143" t="s">
        <v>11103</v>
      </c>
      <c r="S143">
        <v>485.2</v>
      </c>
      <c r="T143" t="s">
        <v>11</v>
      </c>
      <c r="U143" t="s">
        <v>2622</v>
      </c>
      <c r="W143">
        <v>40</v>
      </c>
      <c r="X143">
        <v>40</v>
      </c>
      <c r="Y143">
        <v>40</v>
      </c>
      <c r="Z143">
        <v>40</v>
      </c>
      <c r="AA143">
        <v>40</v>
      </c>
      <c r="AB143">
        <v>40</v>
      </c>
      <c r="AR143">
        <v>48</v>
      </c>
      <c r="AS143">
        <v>51</v>
      </c>
      <c r="AT143" t="s">
        <v>1980</v>
      </c>
      <c r="AU143">
        <v>46</v>
      </c>
      <c r="AV143" t="s">
        <v>1979</v>
      </c>
      <c r="AX143" t="s">
        <v>11354</v>
      </c>
    </row>
    <row r="144" spans="1:50">
      <c r="A144" t="s">
        <v>10472</v>
      </c>
      <c r="B144" t="s">
        <v>7958</v>
      </c>
      <c r="C144" t="s">
        <v>10397</v>
      </c>
      <c r="D144" t="s">
        <v>8297</v>
      </c>
      <c r="E144" t="s">
        <v>8298</v>
      </c>
      <c r="F144" t="s">
        <v>10474</v>
      </c>
      <c r="P144" t="s">
        <v>11087</v>
      </c>
      <c r="Q144" t="s">
        <v>11258</v>
      </c>
      <c r="R144" t="s">
        <v>11259</v>
      </c>
      <c r="S144">
        <v>6.3</v>
      </c>
      <c r="T144" t="s">
        <v>11</v>
      </c>
      <c r="U144" t="s">
        <v>2622</v>
      </c>
      <c r="W144">
        <v>2418</v>
      </c>
      <c r="X144">
        <v>2403</v>
      </c>
      <c r="Y144">
        <v>2383</v>
      </c>
      <c r="Z144">
        <v>2358</v>
      </c>
      <c r="AA144">
        <v>2333</v>
      </c>
      <c r="AB144">
        <v>2318</v>
      </c>
      <c r="AR144">
        <v>2041</v>
      </c>
      <c r="AS144">
        <v>2704</v>
      </c>
      <c r="AT144" t="s">
        <v>1980</v>
      </c>
      <c r="AU144">
        <v>2322</v>
      </c>
      <c r="AV144" t="s">
        <v>1979</v>
      </c>
      <c r="AX144" t="s">
        <v>11355</v>
      </c>
    </row>
    <row r="145" spans="1:50">
      <c r="A145" t="s">
        <v>10483</v>
      </c>
      <c r="B145" t="s">
        <v>7958</v>
      </c>
      <c r="C145" t="s">
        <v>10397</v>
      </c>
      <c r="D145" t="s">
        <v>8297</v>
      </c>
      <c r="E145" t="s">
        <v>8779</v>
      </c>
      <c r="F145" t="s">
        <v>10485</v>
      </c>
      <c r="G145" t="s">
        <v>8088</v>
      </c>
      <c r="H145" t="s">
        <v>8301</v>
      </c>
      <c r="I145" t="s">
        <v>10486</v>
      </c>
      <c r="J145">
        <v>101.6</v>
      </c>
      <c r="K145">
        <v>93.1</v>
      </c>
      <c r="L145">
        <v>83.9</v>
      </c>
      <c r="M145">
        <v>73.900000000000006</v>
      </c>
      <c r="N145">
        <v>70.3</v>
      </c>
      <c r="O145">
        <v>68.099999999999994</v>
      </c>
      <c r="P145" t="s">
        <v>11070</v>
      </c>
      <c r="Q145" t="s">
        <v>10485</v>
      </c>
      <c r="S145" t="s">
        <v>11356</v>
      </c>
      <c r="T145" t="s">
        <v>8170</v>
      </c>
      <c r="U145">
        <v>1</v>
      </c>
      <c r="AR145">
        <v>81.5</v>
      </c>
      <c r="AS145">
        <v>100.8</v>
      </c>
      <c r="AT145" t="s">
        <v>1980</v>
      </c>
      <c r="AU145">
        <v>94.4</v>
      </c>
      <c r="AV145" t="s">
        <v>1980</v>
      </c>
      <c r="AX145" t="s">
        <v>11357</v>
      </c>
    </row>
    <row r="146" spans="1:50">
      <c r="A146" t="s">
        <v>10483</v>
      </c>
      <c r="B146" t="s">
        <v>7958</v>
      </c>
      <c r="C146" t="s">
        <v>10397</v>
      </c>
      <c r="D146" t="s">
        <v>8297</v>
      </c>
      <c r="E146" t="s">
        <v>8779</v>
      </c>
      <c r="F146" t="s">
        <v>10485</v>
      </c>
      <c r="P146" t="s">
        <v>11072</v>
      </c>
      <c r="Q146" t="s">
        <v>11253</v>
      </c>
      <c r="R146" t="s">
        <v>11106</v>
      </c>
      <c r="S146">
        <v>117.1</v>
      </c>
      <c r="T146" t="s">
        <v>11</v>
      </c>
      <c r="U146" t="s">
        <v>2622</v>
      </c>
      <c r="W146">
        <v>723</v>
      </c>
      <c r="X146">
        <v>607</v>
      </c>
      <c r="Y146">
        <v>491</v>
      </c>
      <c r="Z146">
        <v>375</v>
      </c>
      <c r="AA146">
        <v>375</v>
      </c>
      <c r="AB146">
        <v>375</v>
      </c>
      <c r="AR146">
        <v>761</v>
      </c>
      <c r="AS146">
        <v>839</v>
      </c>
      <c r="AT146" t="s">
        <v>1980</v>
      </c>
      <c r="AU146">
        <v>794</v>
      </c>
      <c r="AV146" t="s">
        <v>1980</v>
      </c>
      <c r="AX146" t="s">
        <v>11358</v>
      </c>
    </row>
    <row r="147" spans="1:50">
      <c r="A147" t="s">
        <v>10483</v>
      </c>
      <c r="B147" t="s">
        <v>7958</v>
      </c>
      <c r="C147" t="s">
        <v>10397</v>
      </c>
      <c r="D147" t="s">
        <v>8297</v>
      </c>
      <c r="E147" t="s">
        <v>8779</v>
      </c>
      <c r="F147" t="s">
        <v>10485</v>
      </c>
      <c r="P147" t="s">
        <v>11076</v>
      </c>
      <c r="Q147" t="s">
        <v>11359</v>
      </c>
      <c r="R147" t="s">
        <v>11106</v>
      </c>
      <c r="S147">
        <v>117.1</v>
      </c>
      <c r="T147" t="s">
        <v>11</v>
      </c>
      <c r="U147" t="s">
        <v>2622</v>
      </c>
      <c r="W147">
        <v>123</v>
      </c>
      <c r="X147">
        <v>100</v>
      </c>
      <c r="Y147">
        <v>78</v>
      </c>
      <c r="Z147">
        <v>55</v>
      </c>
      <c r="AA147">
        <v>55</v>
      </c>
      <c r="AB147">
        <v>55</v>
      </c>
      <c r="AR147">
        <v>47</v>
      </c>
      <c r="AS147">
        <v>147</v>
      </c>
      <c r="AT147" t="s">
        <v>1980</v>
      </c>
      <c r="AU147">
        <v>147</v>
      </c>
      <c r="AV147" t="s">
        <v>1980</v>
      </c>
      <c r="AX147" t="s">
        <v>11360</v>
      </c>
    </row>
    <row r="148" spans="1:50">
      <c r="A148" t="s">
        <v>10483</v>
      </c>
      <c r="B148" t="s">
        <v>7958</v>
      </c>
      <c r="C148" t="s">
        <v>10397</v>
      </c>
      <c r="D148" t="s">
        <v>8297</v>
      </c>
      <c r="E148" t="s">
        <v>8779</v>
      </c>
      <c r="F148" t="s">
        <v>10485</v>
      </c>
      <c r="P148" t="s">
        <v>11083</v>
      </c>
      <c r="Q148" t="s">
        <v>11361</v>
      </c>
      <c r="R148" t="s">
        <v>11184</v>
      </c>
      <c r="S148">
        <v>26.3</v>
      </c>
      <c r="T148" t="s">
        <v>11</v>
      </c>
      <c r="U148" t="s">
        <v>2622</v>
      </c>
      <c r="W148">
        <v>4000</v>
      </c>
      <c r="X148">
        <v>3878</v>
      </c>
      <c r="Y148">
        <v>3715</v>
      </c>
      <c r="Z148">
        <v>3512</v>
      </c>
      <c r="AA148">
        <v>3309</v>
      </c>
      <c r="AB148">
        <v>3187</v>
      </c>
      <c r="AR148">
        <v>3571</v>
      </c>
      <c r="AS148">
        <v>3391</v>
      </c>
      <c r="AT148" t="s">
        <v>1979</v>
      </c>
      <c r="AU148">
        <v>3274</v>
      </c>
      <c r="AV148" t="s">
        <v>1979</v>
      </c>
      <c r="AX148" t="s">
        <v>11362</v>
      </c>
    </row>
    <row r="149" spans="1:50">
      <c r="A149" t="s">
        <v>10483</v>
      </c>
      <c r="B149" t="s">
        <v>7958</v>
      </c>
      <c r="C149" t="s">
        <v>10397</v>
      </c>
      <c r="D149" t="s">
        <v>8297</v>
      </c>
      <c r="E149" t="s">
        <v>8779</v>
      </c>
      <c r="F149" t="s">
        <v>10485</v>
      </c>
      <c r="P149" t="s">
        <v>11087</v>
      </c>
      <c r="Q149" t="s">
        <v>11363</v>
      </c>
      <c r="R149" t="s">
        <v>11184</v>
      </c>
      <c r="S149">
        <v>26.3</v>
      </c>
      <c r="T149" t="s">
        <v>11</v>
      </c>
      <c r="U149" t="s">
        <v>2622</v>
      </c>
      <c r="W149">
        <v>499</v>
      </c>
      <c r="X149">
        <v>499</v>
      </c>
      <c r="Y149">
        <v>499</v>
      </c>
      <c r="Z149">
        <v>499</v>
      </c>
      <c r="AA149">
        <v>499</v>
      </c>
      <c r="AB149">
        <v>499</v>
      </c>
      <c r="AR149">
        <v>179</v>
      </c>
      <c r="AS149">
        <v>455</v>
      </c>
      <c r="AT149" t="s">
        <v>1979</v>
      </c>
      <c r="AU149">
        <v>215</v>
      </c>
      <c r="AV149" t="s">
        <v>1979</v>
      </c>
      <c r="AX149" t="s">
        <v>11364</v>
      </c>
    </row>
    <row r="150" spans="1:50">
      <c r="A150" t="s">
        <v>10483</v>
      </c>
      <c r="B150" t="s">
        <v>7958</v>
      </c>
      <c r="C150" t="s">
        <v>10397</v>
      </c>
      <c r="D150" t="s">
        <v>8297</v>
      </c>
      <c r="E150" t="s">
        <v>8779</v>
      </c>
      <c r="F150" t="s">
        <v>10485</v>
      </c>
      <c r="P150" t="s">
        <v>11139</v>
      </c>
      <c r="Q150" t="s">
        <v>11365</v>
      </c>
      <c r="R150" t="s">
        <v>11366</v>
      </c>
      <c r="S150">
        <v>117.1</v>
      </c>
      <c r="T150" t="s">
        <v>11</v>
      </c>
      <c r="U150" t="s">
        <v>2622</v>
      </c>
      <c r="W150">
        <v>388</v>
      </c>
      <c r="X150">
        <v>367</v>
      </c>
      <c r="Y150">
        <v>338</v>
      </c>
      <c r="Z150">
        <v>303</v>
      </c>
      <c r="AA150">
        <v>267</v>
      </c>
      <c r="AB150">
        <v>246</v>
      </c>
      <c r="AR150">
        <v>247</v>
      </c>
      <c r="AS150">
        <v>377</v>
      </c>
      <c r="AT150" t="s">
        <v>1980</v>
      </c>
      <c r="AU150">
        <v>362</v>
      </c>
      <c r="AV150" t="s">
        <v>1980</v>
      </c>
      <c r="AX150" t="s">
        <v>11367</v>
      </c>
    </row>
    <row r="151" spans="1:50">
      <c r="A151" t="s">
        <v>10499</v>
      </c>
      <c r="B151" t="s">
        <v>7958</v>
      </c>
      <c r="C151" t="s">
        <v>10397</v>
      </c>
      <c r="D151" t="s">
        <v>8297</v>
      </c>
      <c r="E151" t="s">
        <v>8351</v>
      </c>
      <c r="F151" t="s">
        <v>11368</v>
      </c>
      <c r="G151" t="s">
        <v>8099</v>
      </c>
      <c r="H151" t="s">
        <v>8252</v>
      </c>
      <c r="I151" t="s">
        <v>10502</v>
      </c>
      <c r="J151">
        <v>113.97</v>
      </c>
      <c r="K151">
        <v>83</v>
      </c>
      <c r="L151">
        <v>83</v>
      </c>
      <c r="M151">
        <v>83</v>
      </c>
      <c r="N151">
        <v>54.32</v>
      </c>
      <c r="O151">
        <v>46.13</v>
      </c>
      <c r="P151" t="s">
        <v>11070</v>
      </c>
      <c r="Q151" t="s">
        <v>11368</v>
      </c>
      <c r="T151" t="s">
        <v>8170</v>
      </c>
      <c r="U151">
        <v>4</v>
      </c>
      <c r="AR151">
        <v>94.99</v>
      </c>
      <c r="AS151">
        <v>91.484999999999999</v>
      </c>
      <c r="AT151" t="s">
        <v>1980</v>
      </c>
      <c r="AU151">
        <v>58.708199999999998</v>
      </c>
      <c r="AV151" t="s">
        <v>1979</v>
      </c>
      <c r="AX151" t="s">
        <v>11369</v>
      </c>
    </row>
    <row r="152" spans="1:50">
      <c r="A152" t="s">
        <v>10499</v>
      </c>
      <c r="B152" t="s">
        <v>7958</v>
      </c>
      <c r="C152" t="s">
        <v>10397</v>
      </c>
      <c r="D152" t="s">
        <v>8297</v>
      </c>
      <c r="E152" t="s">
        <v>8351</v>
      </c>
      <c r="F152" t="s">
        <v>11368</v>
      </c>
      <c r="P152" t="s">
        <v>11072</v>
      </c>
      <c r="Q152" t="s">
        <v>11370</v>
      </c>
      <c r="R152" t="s">
        <v>11371</v>
      </c>
      <c r="S152">
        <v>4.0967000000000002</v>
      </c>
      <c r="T152" t="s">
        <v>8170</v>
      </c>
      <c r="U152">
        <v>4</v>
      </c>
      <c r="W152">
        <v>0</v>
      </c>
      <c r="X152">
        <v>1</v>
      </c>
      <c r="Y152">
        <v>1</v>
      </c>
      <c r="Z152">
        <v>1</v>
      </c>
      <c r="AA152">
        <v>0</v>
      </c>
      <c r="AB152">
        <v>0</v>
      </c>
      <c r="AS152">
        <v>0</v>
      </c>
      <c r="AT152" t="s">
        <v>1979</v>
      </c>
      <c r="AU152">
        <v>2</v>
      </c>
      <c r="AV152" t="s">
        <v>1980</v>
      </c>
      <c r="AX152" t="s">
        <v>11372</v>
      </c>
    </row>
    <row r="153" spans="1:50">
      <c r="A153" t="s">
        <v>10499</v>
      </c>
      <c r="B153" t="s">
        <v>7958</v>
      </c>
      <c r="C153" t="s">
        <v>10397</v>
      </c>
      <c r="D153" t="s">
        <v>8297</v>
      </c>
      <c r="E153" t="s">
        <v>8351</v>
      </c>
      <c r="F153" t="s">
        <v>11368</v>
      </c>
      <c r="P153" t="s">
        <v>11076</v>
      </c>
      <c r="Q153" t="s">
        <v>11373</v>
      </c>
      <c r="R153" t="s">
        <v>11371</v>
      </c>
      <c r="S153">
        <v>8.1934000000000005</v>
      </c>
      <c r="T153" t="s">
        <v>8170</v>
      </c>
      <c r="U153">
        <v>4</v>
      </c>
      <c r="W153">
        <v>0</v>
      </c>
      <c r="X153">
        <v>1</v>
      </c>
      <c r="Y153">
        <v>1</v>
      </c>
      <c r="Z153">
        <v>1</v>
      </c>
      <c r="AA153">
        <v>1</v>
      </c>
      <c r="AB153">
        <v>0</v>
      </c>
      <c r="AS153">
        <v>2</v>
      </c>
      <c r="AT153" t="s">
        <v>1980</v>
      </c>
      <c r="AU153">
        <v>0</v>
      </c>
      <c r="AV153" t="s">
        <v>1979</v>
      </c>
      <c r="AX153" t="s">
        <v>11374</v>
      </c>
    </row>
    <row r="154" spans="1:50">
      <c r="A154" t="s">
        <v>10499</v>
      </c>
      <c r="B154" t="s">
        <v>7958</v>
      </c>
      <c r="C154" t="s">
        <v>10397</v>
      </c>
      <c r="D154" t="s">
        <v>8297</v>
      </c>
      <c r="E154" t="s">
        <v>8351</v>
      </c>
      <c r="F154" t="s">
        <v>11368</v>
      </c>
      <c r="P154" t="s">
        <v>11083</v>
      </c>
      <c r="Q154" t="s">
        <v>11375</v>
      </c>
      <c r="R154" t="s">
        <v>11371</v>
      </c>
      <c r="S154">
        <v>16.386700000000001</v>
      </c>
      <c r="T154" t="s">
        <v>8170</v>
      </c>
      <c r="U154">
        <v>4</v>
      </c>
      <c r="W154">
        <v>6</v>
      </c>
      <c r="X154">
        <v>1</v>
      </c>
      <c r="Y154">
        <v>1</v>
      </c>
      <c r="Z154">
        <v>1</v>
      </c>
      <c r="AA154">
        <v>2</v>
      </c>
      <c r="AB154">
        <v>2</v>
      </c>
      <c r="AS154">
        <v>2</v>
      </c>
      <c r="AT154" t="s">
        <v>1980</v>
      </c>
      <c r="AU154">
        <v>3</v>
      </c>
      <c r="AV154" t="s">
        <v>1979</v>
      </c>
      <c r="AX154" t="s">
        <v>11376</v>
      </c>
    </row>
    <row r="155" spans="1:50">
      <c r="A155" t="s">
        <v>10499</v>
      </c>
      <c r="B155" t="s">
        <v>7958</v>
      </c>
      <c r="C155" t="s">
        <v>10397</v>
      </c>
      <c r="D155" t="s">
        <v>8297</v>
      </c>
      <c r="E155" t="s">
        <v>8351</v>
      </c>
      <c r="F155" t="s">
        <v>11368</v>
      </c>
      <c r="P155" t="s">
        <v>11087</v>
      </c>
      <c r="Q155" t="s">
        <v>11377</v>
      </c>
      <c r="R155" t="s">
        <v>11371</v>
      </c>
      <c r="S155">
        <v>40.966799999999999</v>
      </c>
      <c r="T155" t="s">
        <v>8170</v>
      </c>
      <c r="U155">
        <v>4</v>
      </c>
      <c r="W155">
        <v>0</v>
      </c>
      <c r="X155">
        <v>1</v>
      </c>
      <c r="Y155">
        <v>1</v>
      </c>
      <c r="Z155">
        <v>1</v>
      </c>
      <c r="AA155">
        <v>0</v>
      </c>
      <c r="AB155">
        <v>0</v>
      </c>
      <c r="AS155">
        <v>1</v>
      </c>
      <c r="AT155" t="s">
        <v>1979</v>
      </c>
      <c r="AU155">
        <v>0</v>
      </c>
      <c r="AV155" t="s">
        <v>1979</v>
      </c>
      <c r="AX155" t="s">
        <v>11378</v>
      </c>
    </row>
    <row r="156" spans="1:50">
      <c r="A156" t="s">
        <v>10499</v>
      </c>
      <c r="B156" t="s">
        <v>7958</v>
      </c>
      <c r="C156" t="s">
        <v>10397</v>
      </c>
      <c r="D156" t="s">
        <v>8297</v>
      </c>
      <c r="E156" t="s">
        <v>8351</v>
      </c>
      <c r="F156" t="s">
        <v>11368</v>
      </c>
      <c r="P156" t="s">
        <v>11139</v>
      </c>
      <c r="Q156" t="s">
        <v>11379</v>
      </c>
      <c r="R156" t="s">
        <v>11371</v>
      </c>
      <c r="S156">
        <v>8.1900000000000001E-2</v>
      </c>
      <c r="T156" t="s">
        <v>8170</v>
      </c>
      <c r="U156">
        <v>4</v>
      </c>
      <c r="W156">
        <v>10</v>
      </c>
      <c r="X156">
        <v>12</v>
      </c>
      <c r="Y156">
        <v>12</v>
      </c>
      <c r="Z156">
        <v>12</v>
      </c>
      <c r="AA156">
        <v>12</v>
      </c>
      <c r="AB156">
        <v>12</v>
      </c>
      <c r="AS156">
        <v>0.66666666666666696</v>
      </c>
      <c r="AT156" t="s">
        <v>1979</v>
      </c>
      <c r="AU156">
        <v>0.1159</v>
      </c>
      <c r="AV156" t="s">
        <v>1979</v>
      </c>
      <c r="AX156" t="s">
        <v>11380</v>
      </c>
    </row>
    <row r="157" spans="1:50">
      <c r="A157" t="s">
        <v>10499</v>
      </c>
      <c r="B157" t="s">
        <v>7958</v>
      </c>
      <c r="C157" t="s">
        <v>10397</v>
      </c>
      <c r="D157" t="s">
        <v>8297</v>
      </c>
      <c r="E157" t="s">
        <v>8351</v>
      </c>
      <c r="F157" t="s">
        <v>11368</v>
      </c>
      <c r="P157" t="s">
        <v>11142</v>
      </c>
      <c r="Q157" t="s">
        <v>11381</v>
      </c>
      <c r="R157" t="s">
        <v>11371</v>
      </c>
      <c r="S157">
        <v>0.16389999999999999</v>
      </c>
      <c r="T157" t="s">
        <v>8170</v>
      </c>
      <c r="U157">
        <v>4</v>
      </c>
      <c r="W157">
        <v>1</v>
      </c>
      <c r="X157">
        <v>1</v>
      </c>
      <c r="Y157">
        <v>1</v>
      </c>
      <c r="Z157">
        <v>1</v>
      </c>
      <c r="AA157">
        <v>1</v>
      </c>
      <c r="AB157">
        <v>1</v>
      </c>
      <c r="AS157">
        <v>0</v>
      </c>
      <c r="AT157" t="s">
        <v>1979</v>
      </c>
      <c r="AU157">
        <v>3.4099999999999998E-2</v>
      </c>
      <c r="AV157" t="s">
        <v>1979</v>
      </c>
      <c r="AX157" t="s">
        <v>11382</v>
      </c>
    </row>
    <row r="158" spans="1:50">
      <c r="A158" t="s">
        <v>10499</v>
      </c>
      <c r="B158" t="s">
        <v>7958</v>
      </c>
      <c r="C158" t="s">
        <v>10397</v>
      </c>
      <c r="D158" t="s">
        <v>8297</v>
      </c>
      <c r="E158" t="s">
        <v>8351</v>
      </c>
      <c r="F158" t="s">
        <v>11368</v>
      </c>
      <c r="P158" t="s">
        <v>11145</v>
      </c>
      <c r="Q158" t="s">
        <v>11383</v>
      </c>
      <c r="R158" t="s">
        <v>11371</v>
      </c>
      <c r="S158">
        <v>0.81930000000000003</v>
      </c>
      <c r="T158" t="s">
        <v>8170</v>
      </c>
      <c r="U158">
        <v>4</v>
      </c>
      <c r="W158">
        <v>3</v>
      </c>
      <c r="X158">
        <v>4</v>
      </c>
      <c r="Y158">
        <v>4</v>
      </c>
      <c r="Z158">
        <v>4</v>
      </c>
      <c r="AA158">
        <v>4</v>
      </c>
      <c r="AB158">
        <v>4</v>
      </c>
      <c r="AS158">
        <v>0</v>
      </c>
      <c r="AT158" t="s">
        <v>1979</v>
      </c>
      <c r="AU158">
        <v>0</v>
      </c>
      <c r="AV158" t="s">
        <v>1979</v>
      </c>
      <c r="AX158" t="s">
        <v>11384</v>
      </c>
    </row>
    <row r="159" spans="1:50">
      <c r="A159" t="s">
        <v>10499</v>
      </c>
      <c r="B159" t="s">
        <v>7958</v>
      </c>
      <c r="C159" t="s">
        <v>10397</v>
      </c>
      <c r="D159" t="s">
        <v>8297</v>
      </c>
      <c r="E159" t="s">
        <v>8351</v>
      </c>
      <c r="F159" t="s">
        <v>11368</v>
      </c>
      <c r="P159" t="s">
        <v>11148</v>
      </c>
      <c r="Q159" t="s">
        <v>11385</v>
      </c>
      <c r="R159" t="s">
        <v>11371</v>
      </c>
      <c r="S159">
        <v>4.1000000000000002E-2</v>
      </c>
      <c r="T159" t="s">
        <v>8170</v>
      </c>
      <c r="U159">
        <v>4</v>
      </c>
      <c r="W159">
        <v>52</v>
      </c>
      <c r="X159">
        <v>44</v>
      </c>
      <c r="Y159">
        <v>44</v>
      </c>
      <c r="Z159">
        <v>44</v>
      </c>
      <c r="AA159">
        <v>44</v>
      </c>
      <c r="AB159">
        <v>44</v>
      </c>
      <c r="AS159">
        <v>8.5</v>
      </c>
      <c r="AT159" t="s">
        <v>1980</v>
      </c>
      <c r="AU159">
        <v>0.31040000000000001</v>
      </c>
      <c r="AV159" t="s">
        <v>1979</v>
      </c>
      <c r="AX159" t="s">
        <v>11386</v>
      </c>
    </row>
    <row r="160" spans="1:50">
      <c r="A160" t="s">
        <v>10499</v>
      </c>
      <c r="B160" t="s">
        <v>7958</v>
      </c>
      <c r="C160" t="s">
        <v>10397</v>
      </c>
      <c r="D160" t="s">
        <v>8297</v>
      </c>
      <c r="E160" t="s">
        <v>8351</v>
      </c>
      <c r="F160" t="s">
        <v>11368</v>
      </c>
      <c r="P160" t="s">
        <v>11151</v>
      </c>
      <c r="Q160" t="s">
        <v>11387</v>
      </c>
      <c r="R160" t="s">
        <v>11371</v>
      </c>
      <c r="S160">
        <v>8.1900000000000001E-2</v>
      </c>
      <c r="T160" t="s">
        <v>8170</v>
      </c>
      <c r="U160">
        <v>4</v>
      </c>
      <c r="W160">
        <v>8</v>
      </c>
      <c r="X160">
        <v>7</v>
      </c>
      <c r="Y160">
        <v>7</v>
      </c>
      <c r="Z160">
        <v>7</v>
      </c>
      <c r="AA160">
        <v>7</v>
      </c>
      <c r="AB160">
        <v>7</v>
      </c>
      <c r="AS160">
        <v>0.33333333333333298</v>
      </c>
      <c r="AT160" t="s">
        <v>1979</v>
      </c>
      <c r="AU160">
        <v>4.1000000000000002E-2</v>
      </c>
      <c r="AV160" t="s">
        <v>1979</v>
      </c>
      <c r="AX160" t="s">
        <v>11388</v>
      </c>
    </row>
    <row r="161" spans="1:50">
      <c r="A161" t="s">
        <v>10499</v>
      </c>
      <c r="B161" t="s">
        <v>7958</v>
      </c>
      <c r="C161" t="s">
        <v>10397</v>
      </c>
      <c r="D161" t="s">
        <v>8297</v>
      </c>
      <c r="E161" t="s">
        <v>8351</v>
      </c>
      <c r="F161" t="s">
        <v>11368</v>
      </c>
      <c r="P161" t="s">
        <v>2671</v>
      </c>
      <c r="Q161" t="s">
        <v>11389</v>
      </c>
      <c r="R161" t="s">
        <v>11371</v>
      </c>
      <c r="S161">
        <v>0.40970000000000001</v>
      </c>
      <c r="T161" t="s">
        <v>8170</v>
      </c>
      <c r="U161">
        <v>4</v>
      </c>
      <c r="W161">
        <v>23</v>
      </c>
      <c r="X161">
        <v>16</v>
      </c>
      <c r="Y161">
        <v>16</v>
      </c>
      <c r="Z161">
        <v>16</v>
      </c>
      <c r="AA161">
        <v>16</v>
      </c>
      <c r="AB161">
        <v>16</v>
      </c>
      <c r="AS161">
        <v>2.25</v>
      </c>
      <c r="AT161" t="s">
        <v>1979</v>
      </c>
      <c r="AU161">
        <v>0.88739999999999997</v>
      </c>
      <c r="AV161" t="s">
        <v>1979</v>
      </c>
      <c r="AX161" t="s">
        <v>11390</v>
      </c>
    </row>
    <row r="162" spans="1:50">
      <c r="A162" t="s">
        <v>10588</v>
      </c>
      <c r="B162" t="s">
        <v>7958</v>
      </c>
      <c r="C162" t="s">
        <v>7965</v>
      </c>
      <c r="D162" t="s">
        <v>8083</v>
      </c>
      <c r="E162" t="s">
        <v>7911</v>
      </c>
      <c r="F162" t="s">
        <v>10591</v>
      </c>
      <c r="G162" t="s">
        <v>8099</v>
      </c>
      <c r="H162" t="s">
        <v>8148</v>
      </c>
      <c r="I162" t="s">
        <v>8429</v>
      </c>
      <c r="J162" t="s">
        <v>1984</v>
      </c>
      <c r="K162" t="s">
        <v>1984</v>
      </c>
      <c r="L162" t="s">
        <v>1984</v>
      </c>
      <c r="M162" t="s">
        <v>1984</v>
      </c>
      <c r="N162" t="s">
        <v>1984</v>
      </c>
      <c r="O162" t="s">
        <v>1984</v>
      </c>
      <c r="P162" t="s">
        <v>11070</v>
      </c>
      <c r="Q162" t="s">
        <v>10591</v>
      </c>
      <c r="T162" t="s">
        <v>8282</v>
      </c>
      <c r="U162" t="s">
        <v>8092</v>
      </c>
      <c r="AR162" t="s">
        <v>1984</v>
      </c>
      <c r="AS162" t="s">
        <v>1984</v>
      </c>
      <c r="AT162" t="s">
        <v>1979</v>
      </c>
      <c r="AU162" t="s">
        <v>1984</v>
      </c>
      <c r="AV162" t="s">
        <v>1979</v>
      </c>
      <c r="AX162" t="s">
        <v>11391</v>
      </c>
    </row>
    <row r="163" spans="1:50">
      <c r="A163" t="s">
        <v>10588</v>
      </c>
      <c r="B163" t="s">
        <v>7958</v>
      </c>
      <c r="C163" t="s">
        <v>7965</v>
      </c>
      <c r="D163" t="s">
        <v>8083</v>
      </c>
      <c r="E163" t="s">
        <v>7911</v>
      </c>
      <c r="F163" t="s">
        <v>10591</v>
      </c>
      <c r="P163" t="s">
        <v>11072</v>
      </c>
      <c r="Q163" t="s">
        <v>11392</v>
      </c>
      <c r="R163" t="s">
        <v>11078</v>
      </c>
      <c r="T163" t="s">
        <v>11</v>
      </c>
      <c r="U163" t="s">
        <v>2622</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1979</v>
      </c>
      <c r="AU163">
        <v>3679</v>
      </c>
      <c r="AV163" t="s">
        <v>1979</v>
      </c>
      <c r="AX163" t="s">
        <v>11393</v>
      </c>
    </row>
    <row r="164" spans="1:50">
      <c r="A164" t="s">
        <v>10588</v>
      </c>
      <c r="B164" t="s">
        <v>7958</v>
      </c>
      <c r="C164" t="s">
        <v>7965</v>
      </c>
      <c r="D164" t="s">
        <v>8083</v>
      </c>
      <c r="E164" t="s">
        <v>7911</v>
      </c>
      <c r="F164" t="s">
        <v>10591</v>
      </c>
      <c r="P164" t="s">
        <v>11076</v>
      </c>
      <c r="Q164" t="s">
        <v>11394</v>
      </c>
      <c r="R164" t="s">
        <v>11074</v>
      </c>
      <c r="T164" t="s">
        <v>11</v>
      </c>
      <c r="U164" t="s">
        <v>2622</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1980</v>
      </c>
      <c r="AU164">
        <v>986</v>
      </c>
      <c r="AV164" t="s">
        <v>1980</v>
      </c>
      <c r="AX164" t="s">
        <v>11395</v>
      </c>
    </row>
    <row r="165" spans="1:50">
      <c r="A165" t="s">
        <v>10588</v>
      </c>
      <c r="B165" t="s">
        <v>7958</v>
      </c>
      <c r="C165" t="s">
        <v>7965</v>
      </c>
      <c r="D165" t="s">
        <v>8083</v>
      </c>
      <c r="E165" t="s">
        <v>7911</v>
      </c>
      <c r="F165" t="s">
        <v>10591</v>
      </c>
      <c r="P165" t="s">
        <v>11083</v>
      </c>
      <c r="Q165" t="s">
        <v>11396</v>
      </c>
      <c r="R165" t="s">
        <v>11135</v>
      </c>
      <c r="T165" t="s">
        <v>10</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1980</v>
      </c>
      <c r="AU165">
        <v>0.19</v>
      </c>
      <c r="AV165" t="s">
        <v>1979</v>
      </c>
      <c r="AX165" t="s">
        <v>11397</v>
      </c>
    </row>
    <row r="166" spans="1:50">
      <c r="A166" t="s">
        <v>10588</v>
      </c>
      <c r="B166" t="s">
        <v>7958</v>
      </c>
      <c r="C166" t="s">
        <v>7965</v>
      </c>
      <c r="D166" t="s">
        <v>8083</v>
      </c>
      <c r="E166" t="s">
        <v>7911</v>
      </c>
      <c r="F166" t="s">
        <v>10591</v>
      </c>
      <c r="P166" t="s">
        <v>11087</v>
      </c>
      <c r="Q166" t="s">
        <v>11398</v>
      </c>
      <c r="R166" t="s">
        <v>11121</v>
      </c>
      <c r="T166" t="s">
        <v>11</v>
      </c>
      <c r="U166" t="s">
        <v>2622</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1979</v>
      </c>
      <c r="AU166">
        <v>92</v>
      </c>
      <c r="AV166" t="s">
        <v>1979</v>
      </c>
      <c r="AX166" t="s">
        <v>11399</v>
      </c>
    </row>
    <row r="167" spans="1:50">
      <c r="A167" t="s">
        <v>10588</v>
      </c>
      <c r="B167" t="s">
        <v>7958</v>
      </c>
      <c r="C167" t="s">
        <v>7965</v>
      </c>
      <c r="D167" t="s">
        <v>8083</v>
      </c>
      <c r="E167" t="s">
        <v>7911</v>
      </c>
      <c r="F167" t="s">
        <v>10591</v>
      </c>
      <c r="P167" t="s">
        <v>11139</v>
      </c>
      <c r="Q167" t="s">
        <v>11400</v>
      </c>
      <c r="R167" t="s">
        <v>11085</v>
      </c>
      <c r="T167" t="s">
        <v>11</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1979</v>
      </c>
      <c r="AU167">
        <v>2.35</v>
      </c>
      <c r="AV167" t="s">
        <v>1979</v>
      </c>
      <c r="AX167" t="s">
        <v>11401</v>
      </c>
    </row>
    <row r="168" spans="1:50">
      <c r="A168" t="s">
        <v>10588</v>
      </c>
      <c r="B168" t="s">
        <v>7958</v>
      </c>
      <c r="C168" t="s">
        <v>7965</v>
      </c>
      <c r="D168" t="s">
        <v>8083</v>
      </c>
      <c r="E168" t="s">
        <v>7911</v>
      </c>
      <c r="F168" t="s">
        <v>10591</v>
      </c>
      <c r="P168" t="s">
        <v>11142</v>
      </c>
      <c r="Q168" t="s">
        <v>11402</v>
      </c>
      <c r="R168" t="s">
        <v>11089</v>
      </c>
      <c r="T168" t="s">
        <v>10</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1979</v>
      </c>
      <c r="AU168">
        <v>99.93</v>
      </c>
      <c r="AV168" t="s">
        <v>1979</v>
      </c>
      <c r="AX168" t="s">
        <v>11403</v>
      </c>
    </row>
    <row r="169" spans="1:50">
      <c r="A169" t="s">
        <v>10588</v>
      </c>
      <c r="B169" t="s">
        <v>7958</v>
      </c>
      <c r="C169" t="s">
        <v>7965</v>
      </c>
      <c r="D169" t="s">
        <v>8083</v>
      </c>
      <c r="E169" t="s">
        <v>7911</v>
      </c>
      <c r="F169" t="s">
        <v>10591</v>
      </c>
      <c r="P169" t="s">
        <v>11145</v>
      </c>
      <c r="Q169" t="s">
        <v>11404</v>
      </c>
      <c r="R169" t="s">
        <v>11093</v>
      </c>
      <c r="T169" t="s">
        <v>10</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1979</v>
      </c>
      <c r="AU169">
        <v>0.02</v>
      </c>
      <c r="AV169" t="s">
        <v>1979</v>
      </c>
      <c r="AX169" t="s">
        <v>11405</v>
      </c>
    </row>
    <row r="170" spans="1:50">
      <c r="A170" t="s">
        <v>10588</v>
      </c>
      <c r="B170" t="s">
        <v>7958</v>
      </c>
      <c r="C170" t="s">
        <v>7965</v>
      </c>
      <c r="D170" t="s">
        <v>8083</v>
      </c>
      <c r="E170" t="s">
        <v>7911</v>
      </c>
      <c r="F170" t="s">
        <v>10591</v>
      </c>
      <c r="P170" t="s">
        <v>11148</v>
      </c>
      <c r="Q170" t="s">
        <v>11406</v>
      </c>
      <c r="R170" t="s">
        <v>11096</v>
      </c>
      <c r="T170" t="s">
        <v>10</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1979</v>
      </c>
      <c r="AU170">
        <v>0</v>
      </c>
      <c r="AV170" t="s">
        <v>1979</v>
      </c>
      <c r="AX170" t="s">
        <v>11407</v>
      </c>
    </row>
    <row r="171" spans="1:50">
      <c r="A171" t="s">
        <v>10588</v>
      </c>
      <c r="B171" t="s">
        <v>7958</v>
      </c>
      <c r="C171" t="s">
        <v>7965</v>
      </c>
      <c r="D171" t="s">
        <v>8083</v>
      </c>
      <c r="E171" t="s">
        <v>7911</v>
      </c>
      <c r="F171" t="s">
        <v>10591</v>
      </c>
      <c r="P171" t="s">
        <v>11151</v>
      </c>
      <c r="Q171" t="s">
        <v>11408</v>
      </c>
      <c r="R171" t="s">
        <v>11098</v>
      </c>
      <c r="T171" t="s">
        <v>11</v>
      </c>
      <c r="U171" t="s">
        <v>2622</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1979</v>
      </c>
      <c r="AU171">
        <v>0</v>
      </c>
      <c r="AV171" t="s">
        <v>1979</v>
      </c>
      <c r="AX171" t="s">
        <v>11409</v>
      </c>
    </row>
    <row r="172" spans="1:50">
      <c r="A172" t="s">
        <v>10588</v>
      </c>
      <c r="B172" t="s">
        <v>7958</v>
      </c>
      <c r="C172" t="s">
        <v>7965</v>
      </c>
      <c r="D172" t="s">
        <v>8083</v>
      </c>
      <c r="E172" t="s">
        <v>7911</v>
      </c>
      <c r="F172" t="s">
        <v>10591</v>
      </c>
      <c r="P172" t="s">
        <v>2671</v>
      </c>
      <c r="Q172" t="s">
        <v>11410</v>
      </c>
      <c r="R172" t="s">
        <v>11153</v>
      </c>
      <c r="T172" t="s">
        <v>11</v>
      </c>
      <c r="U172" t="s">
        <v>2622</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1979</v>
      </c>
      <c r="AU172">
        <v>0</v>
      </c>
      <c r="AV172" t="s">
        <v>1979</v>
      </c>
      <c r="AX172" t="s">
        <v>11411</v>
      </c>
    </row>
    <row r="173" spans="1:50">
      <c r="A173" t="s">
        <v>10588</v>
      </c>
      <c r="B173" t="s">
        <v>7958</v>
      </c>
      <c r="C173" t="s">
        <v>7965</v>
      </c>
      <c r="D173" t="s">
        <v>8083</v>
      </c>
      <c r="E173" t="s">
        <v>7911</v>
      </c>
      <c r="F173" t="s">
        <v>10591</v>
      </c>
      <c r="P173" t="s">
        <v>2672</v>
      </c>
      <c r="Q173" t="s">
        <v>11412</v>
      </c>
      <c r="R173" t="s">
        <v>11127</v>
      </c>
      <c r="T173" t="s">
        <v>11</v>
      </c>
      <c r="U173" t="s">
        <v>2622</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1979</v>
      </c>
      <c r="AU173">
        <v>6378</v>
      </c>
      <c r="AV173" t="s">
        <v>1979</v>
      </c>
      <c r="AX173" t="s">
        <v>11413</v>
      </c>
    </row>
    <row r="174" spans="1:50">
      <c r="A174" t="s">
        <v>10634</v>
      </c>
      <c r="B174" t="s">
        <v>7958</v>
      </c>
      <c r="C174" t="s">
        <v>7965</v>
      </c>
      <c r="D174" t="s">
        <v>8297</v>
      </c>
      <c r="E174" t="s">
        <v>7911</v>
      </c>
      <c r="F174" t="s">
        <v>10591</v>
      </c>
      <c r="G174" t="s">
        <v>8099</v>
      </c>
      <c r="H174" t="s">
        <v>8364</v>
      </c>
      <c r="I174" t="s">
        <v>8429</v>
      </c>
      <c r="J174" t="s">
        <v>1984</v>
      </c>
      <c r="K174" t="s">
        <v>1984</v>
      </c>
      <c r="L174" t="s">
        <v>1984</v>
      </c>
      <c r="M174" t="s">
        <v>1984</v>
      </c>
      <c r="N174" t="s">
        <v>1984</v>
      </c>
      <c r="O174" t="s">
        <v>1984</v>
      </c>
      <c r="P174" t="s">
        <v>11070</v>
      </c>
      <c r="Q174" t="s">
        <v>10591</v>
      </c>
      <c r="T174" t="s">
        <v>8282</v>
      </c>
      <c r="U174" t="s">
        <v>8092</v>
      </c>
      <c r="AR174" t="s">
        <v>1984</v>
      </c>
      <c r="AS174" t="s">
        <v>1984</v>
      </c>
      <c r="AT174" t="s">
        <v>1979</v>
      </c>
      <c r="AU174" t="s">
        <v>1984</v>
      </c>
      <c r="AV174" t="s">
        <v>1979</v>
      </c>
      <c r="AX174" t="s">
        <v>11391</v>
      </c>
    </row>
    <row r="175" spans="1:50">
      <c r="A175" t="s">
        <v>10634</v>
      </c>
      <c r="B175" t="s">
        <v>7958</v>
      </c>
      <c r="C175" t="s">
        <v>7965</v>
      </c>
      <c r="D175" t="s">
        <v>8297</v>
      </c>
      <c r="E175" t="s">
        <v>7911</v>
      </c>
      <c r="F175" t="s">
        <v>10591</v>
      </c>
      <c r="P175" t="s">
        <v>11072</v>
      </c>
      <c r="Q175" t="s">
        <v>11414</v>
      </c>
      <c r="R175" t="s">
        <v>11103</v>
      </c>
      <c r="T175" t="s">
        <v>11</v>
      </c>
      <c r="U175" t="s">
        <v>2622</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1980</v>
      </c>
      <c r="AU175">
        <v>836</v>
      </c>
      <c r="AV175" t="s">
        <v>1980</v>
      </c>
      <c r="AX175" t="s">
        <v>11415</v>
      </c>
    </row>
    <row r="176" spans="1:50">
      <c r="A176" t="s">
        <v>10634</v>
      </c>
      <c r="B176" t="s">
        <v>7958</v>
      </c>
      <c r="C176" t="s">
        <v>7965</v>
      </c>
      <c r="D176" t="s">
        <v>8297</v>
      </c>
      <c r="E176" t="s">
        <v>7911</v>
      </c>
      <c r="F176" t="s">
        <v>10591</v>
      </c>
      <c r="P176" t="s">
        <v>11076</v>
      </c>
      <c r="Q176" t="s">
        <v>11416</v>
      </c>
      <c r="R176" t="s">
        <v>11101</v>
      </c>
      <c r="T176" t="s">
        <v>11</v>
      </c>
      <c r="U176" t="s">
        <v>2622</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1979</v>
      </c>
      <c r="AU176">
        <v>89</v>
      </c>
      <c r="AV176" t="s">
        <v>1979</v>
      </c>
      <c r="AX176" t="s">
        <v>11417</v>
      </c>
    </row>
    <row r="177" spans="1:50">
      <c r="A177" t="s">
        <v>10634</v>
      </c>
      <c r="B177" t="s">
        <v>7958</v>
      </c>
      <c r="C177" t="s">
        <v>7965</v>
      </c>
      <c r="D177" t="s">
        <v>8297</v>
      </c>
      <c r="E177" t="s">
        <v>7911</v>
      </c>
      <c r="F177" t="s">
        <v>10591</v>
      </c>
      <c r="P177" t="s">
        <v>11083</v>
      </c>
      <c r="Q177" t="s">
        <v>11418</v>
      </c>
      <c r="R177" t="s">
        <v>11106</v>
      </c>
      <c r="T177" t="s">
        <v>11</v>
      </c>
      <c r="U177" t="s">
        <v>2622</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1979</v>
      </c>
      <c r="AU177">
        <v>224</v>
      </c>
      <c r="AV177" t="s">
        <v>1979</v>
      </c>
      <c r="AX177" t="s">
        <v>11419</v>
      </c>
    </row>
    <row r="178" spans="1:50">
      <c r="A178" t="s">
        <v>10634</v>
      </c>
      <c r="B178" t="s">
        <v>7958</v>
      </c>
      <c r="C178" t="s">
        <v>7965</v>
      </c>
      <c r="D178" t="s">
        <v>8297</v>
      </c>
      <c r="E178" t="s">
        <v>7911</v>
      </c>
      <c r="F178" t="s">
        <v>10591</v>
      </c>
      <c r="P178" t="s">
        <v>11087</v>
      </c>
      <c r="Q178" t="s">
        <v>11420</v>
      </c>
      <c r="R178" t="s">
        <v>11106</v>
      </c>
      <c r="T178" t="s">
        <v>11</v>
      </c>
      <c r="U178" t="s">
        <v>2622</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1979</v>
      </c>
      <c r="AU178">
        <v>18</v>
      </c>
      <c r="AV178" t="s">
        <v>1979</v>
      </c>
      <c r="AX178" t="s">
        <v>11421</v>
      </c>
    </row>
    <row r="179" spans="1:50">
      <c r="A179" t="s">
        <v>10634</v>
      </c>
      <c r="B179" t="s">
        <v>7958</v>
      </c>
      <c r="C179" t="s">
        <v>7965</v>
      </c>
      <c r="D179" t="s">
        <v>8297</v>
      </c>
      <c r="E179" t="s">
        <v>7911</v>
      </c>
      <c r="F179" t="s">
        <v>10591</v>
      </c>
      <c r="P179" t="s">
        <v>11139</v>
      </c>
      <c r="Q179" t="s">
        <v>11422</v>
      </c>
      <c r="R179" t="s">
        <v>11108</v>
      </c>
      <c r="T179" t="s">
        <v>11</v>
      </c>
      <c r="U179" t="s">
        <v>2622</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1979</v>
      </c>
      <c r="AU179">
        <v>24203</v>
      </c>
      <c r="AV179" t="s">
        <v>1979</v>
      </c>
      <c r="AX179" t="s">
        <v>11423</v>
      </c>
    </row>
    <row r="180" spans="1:50">
      <c r="A180" t="s">
        <v>10634</v>
      </c>
      <c r="B180" t="s">
        <v>7958</v>
      </c>
      <c r="C180" t="s">
        <v>7965</v>
      </c>
      <c r="D180" t="s">
        <v>8297</v>
      </c>
      <c r="E180" t="s">
        <v>7911</v>
      </c>
      <c r="F180" t="s">
        <v>10591</v>
      </c>
      <c r="P180" t="s">
        <v>11142</v>
      </c>
      <c r="Q180" t="s">
        <v>11424</v>
      </c>
      <c r="R180" t="s">
        <v>11259</v>
      </c>
      <c r="T180" t="s">
        <v>11</v>
      </c>
      <c r="U180" t="s">
        <v>2622</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1979</v>
      </c>
      <c r="AU180">
        <v>16</v>
      </c>
      <c r="AV180" t="s">
        <v>1979</v>
      </c>
      <c r="AX180" t="s">
        <v>11425</v>
      </c>
    </row>
    <row r="181" spans="1:50">
      <c r="A181" t="s">
        <v>10634</v>
      </c>
      <c r="B181" t="s">
        <v>7958</v>
      </c>
      <c r="C181" t="s">
        <v>7965</v>
      </c>
      <c r="D181" t="s">
        <v>8297</v>
      </c>
      <c r="E181" t="s">
        <v>7911</v>
      </c>
      <c r="F181" t="s">
        <v>10591</v>
      </c>
      <c r="P181" t="s">
        <v>11145</v>
      </c>
      <c r="Q181" t="s">
        <v>11426</v>
      </c>
      <c r="R181" t="s">
        <v>11115</v>
      </c>
      <c r="T181" t="s">
        <v>10</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1979</v>
      </c>
      <c r="AU181">
        <v>0.53</v>
      </c>
      <c r="AV181" t="s">
        <v>1979</v>
      </c>
      <c r="AX181" t="s">
        <v>11427</v>
      </c>
    </row>
    <row r="182" spans="1:50">
      <c r="A182" t="s">
        <v>10634</v>
      </c>
      <c r="B182" t="s">
        <v>7958</v>
      </c>
      <c r="C182" t="s">
        <v>7965</v>
      </c>
      <c r="D182" t="s">
        <v>8297</v>
      </c>
      <c r="E182" t="s">
        <v>7911</v>
      </c>
      <c r="F182" t="s">
        <v>10591</v>
      </c>
      <c r="P182" t="s">
        <v>11148</v>
      </c>
      <c r="Q182" t="s">
        <v>11428</v>
      </c>
      <c r="R182" t="s">
        <v>11112</v>
      </c>
      <c r="T182" t="s">
        <v>10</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1979</v>
      </c>
      <c r="AU182">
        <v>0.02</v>
      </c>
      <c r="AV182" t="s">
        <v>1979</v>
      </c>
      <c r="AX182" t="s">
        <v>11429</v>
      </c>
    </row>
    <row r="183" spans="1:50">
      <c r="A183" t="s">
        <v>10634</v>
      </c>
      <c r="B183" t="s">
        <v>7958</v>
      </c>
      <c r="C183" t="s">
        <v>7965</v>
      </c>
      <c r="D183" t="s">
        <v>8297</v>
      </c>
      <c r="E183" t="s">
        <v>7911</v>
      </c>
      <c r="F183" t="s">
        <v>10591</v>
      </c>
      <c r="P183" t="s">
        <v>11151</v>
      </c>
      <c r="Q183" t="s">
        <v>11412</v>
      </c>
      <c r="R183" t="s">
        <v>11267</v>
      </c>
      <c r="T183" t="s">
        <v>11</v>
      </c>
      <c r="U183" t="s">
        <v>2622</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1980</v>
      </c>
      <c r="AU183">
        <v>33664</v>
      </c>
      <c r="AV183" t="s">
        <v>1980</v>
      </c>
      <c r="AX183" t="s">
        <v>11413</v>
      </c>
    </row>
    <row r="184" spans="1:50">
      <c r="A184" t="s">
        <v>10858</v>
      </c>
      <c r="B184" t="s">
        <v>7958</v>
      </c>
      <c r="C184" t="s">
        <v>7992</v>
      </c>
      <c r="D184" t="s">
        <v>8083</v>
      </c>
      <c r="E184" t="s">
        <v>10081</v>
      </c>
      <c r="F184" t="s">
        <v>10860</v>
      </c>
      <c r="G184" t="s">
        <v>8099</v>
      </c>
      <c r="H184" t="s">
        <v>8148</v>
      </c>
      <c r="I184" t="s">
        <v>8429</v>
      </c>
      <c r="J184" t="s">
        <v>1984</v>
      </c>
      <c r="O184" t="s">
        <v>1984</v>
      </c>
      <c r="P184" t="s">
        <v>11070</v>
      </c>
      <c r="Q184" t="s">
        <v>10860</v>
      </c>
      <c r="T184" t="s">
        <v>8282</v>
      </c>
      <c r="U184" t="s">
        <v>8092</v>
      </c>
      <c r="AR184" t="s">
        <v>1984</v>
      </c>
      <c r="AS184" t="s">
        <v>1984</v>
      </c>
      <c r="AU184" t="s">
        <v>10862</v>
      </c>
      <c r="AV184" t="s">
        <v>1981</v>
      </c>
      <c r="AX184" t="s">
        <v>11430</v>
      </c>
    </row>
    <row r="185" spans="1:50">
      <c r="A185" t="s">
        <v>10858</v>
      </c>
      <c r="B185" t="s">
        <v>7958</v>
      </c>
      <c r="C185" t="s">
        <v>7992</v>
      </c>
      <c r="D185" t="s">
        <v>8083</v>
      </c>
      <c r="E185" t="s">
        <v>10081</v>
      </c>
      <c r="F185" t="s">
        <v>10860</v>
      </c>
      <c r="P185" t="s">
        <v>11072</v>
      </c>
      <c r="Q185" t="s">
        <v>11196</v>
      </c>
      <c r="R185" t="s">
        <v>11093</v>
      </c>
      <c r="T185" t="s">
        <v>10</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1979</v>
      </c>
      <c r="AX185" t="s">
        <v>11431</v>
      </c>
    </row>
    <row r="186" spans="1:50">
      <c r="A186" t="s">
        <v>10858</v>
      </c>
      <c r="B186" t="s">
        <v>7958</v>
      </c>
      <c r="C186" t="s">
        <v>7992</v>
      </c>
      <c r="D186" t="s">
        <v>8083</v>
      </c>
      <c r="E186" t="s">
        <v>10081</v>
      </c>
      <c r="F186" t="s">
        <v>10860</v>
      </c>
      <c r="P186" t="s">
        <v>11076</v>
      </c>
      <c r="Q186" t="s">
        <v>11432</v>
      </c>
      <c r="R186" t="s">
        <v>11096</v>
      </c>
      <c r="T186" t="s">
        <v>10</v>
      </c>
      <c r="U186">
        <v>2</v>
      </c>
      <c r="X186">
        <v>0</v>
      </c>
      <c r="Y186">
        <v>0</v>
      </c>
      <c r="Z186">
        <v>0</v>
      </c>
      <c r="AA186">
        <v>0</v>
      </c>
      <c r="AB186">
        <v>0</v>
      </c>
      <c r="AE186">
        <v>0.24</v>
      </c>
      <c r="AF186">
        <v>0.24</v>
      </c>
      <c r="AG186">
        <v>0.24</v>
      </c>
      <c r="AH186">
        <v>0.24</v>
      </c>
      <c r="AI186">
        <v>0.24</v>
      </c>
      <c r="AR186">
        <v>0</v>
      </c>
      <c r="AS186">
        <v>0</v>
      </c>
      <c r="AU186">
        <v>0</v>
      </c>
      <c r="AV186" t="s">
        <v>1979</v>
      </c>
      <c r="AX186" t="s">
        <v>11433</v>
      </c>
    </row>
    <row r="187" spans="1:50">
      <c r="A187" t="s">
        <v>10858</v>
      </c>
      <c r="B187" t="s">
        <v>7958</v>
      </c>
      <c r="C187" t="s">
        <v>7992</v>
      </c>
      <c r="D187" t="s">
        <v>8083</v>
      </c>
      <c r="E187" t="s">
        <v>10081</v>
      </c>
      <c r="F187" t="s">
        <v>10860</v>
      </c>
      <c r="P187" t="s">
        <v>11083</v>
      </c>
      <c r="Q187" t="s">
        <v>11434</v>
      </c>
      <c r="R187" t="s">
        <v>11098</v>
      </c>
      <c r="T187" t="s">
        <v>11</v>
      </c>
      <c r="U187" t="s">
        <v>2622</v>
      </c>
      <c r="X187">
        <v>0</v>
      </c>
      <c r="Y187">
        <v>0</v>
      </c>
      <c r="Z187">
        <v>0</v>
      </c>
      <c r="AA187">
        <v>0</v>
      </c>
      <c r="AB187">
        <v>0</v>
      </c>
      <c r="AE187">
        <v>4</v>
      </c>
      <c r="AF187">
        <v>4</v>
      </c>
      <c r="AG187">
        <v>4</v>
      </c>
      <c r="AH187">
        <v>4</v>
      </c>
      <c r="AI187">
        <v>4</v>
      </c>
      <c r="AR187">
        <v>0</v>
      </c>
      <c r="AS187">
        <v>0</v>
      </c>
      <c r="AU187">
        <v>1</v>
      </c>
      <c r="AV187" t="s">
        <v>1980</v>
      </c>
      <c r="AX187" t="s">
        <v>11435</v>
      </c>
    </row>
    <row r="188" spans="1:50">
      <c r="A188" t="s">
        <v>10858</v>
      </c>
      <c r="B188" t="s">
        <v>7958</v>
      </c>
      <c r="C188" t="s">
        <v>7992</v>
      </c>
      <c r="D188" t="s">
        <v>8083</v>
      </c>
      <c r="E188" t="s">
        <v>10081</v>
      </c>
      <c r="F188" t="s">
        <v>10860</v>
      </c>
      <c r="P188" t="s">
        <v>11087</v>
      </c>
      <c r="Q188" t="s">
        <v>11436</v>
      </c>
      <c r="R188" t="s">
        <v>11153</v>
      </c>
      <c r="T188" t="s">
        <v>11</v>
      </c>
      <c r="U188" t="s">
        <v>2622</v>
      </c>
      <c r="X188">
        <v>0</v>
      </c>
      <c r="Y188">
        <v>0</v>
      </c>
      <c r="Z188">
        <v>0</v>
      </c>
      <c r="AA188">
        <v>0</v>
      </c>
      <c r="AB188">
        <v>0</v>
      </c>
      <c r="AE188">
        <v>1</v>
      </c>
      <c r="AF188">
        <v>1</v>
      </c>
      <c r="AG188">
        <v>1</v>
      </c>
      <c r="AH188">
        <v>1</v>
      </c>
      <c r="AI188">
        <v>1</v>
      </c>
      <c r="AR188">
        <v>0</v>
      </c>
      <c r="AS188">
        <v>0</v>
      </c>
      <c r="AU188">
        <v>0</v>
      </c>
      <c r="AV188" t="s">
        <v>1979</v>
      </c>
      <c r="AX188" t="s">
        <v>11437</v>
      </c>
    </row>
    <row r="189" spans="1:50">
      <c r="A189" t="s">
        <v>10858</v>
      </c>
      <c r="B189" t="s">
        <v>7958</v>
      </c>
      <c r="C189" t="s">
        <v>7992</v>
      </c>
      <c r="D189" t="s">
        <v>8083</v>
      </c>
      <c r="E189" t="s">
        <v>10081</v>
      </c>
      <c r="F189" t="s">
        <v>10860</v>
      </c>
      <c r="P189" t="s">
        <v>11139</v>
      </c>
      <c r="Q189" t="s">
        <v>11438</v>
      </c>
      <c r="R189" t="s">
        <v>11439</v>
      </c>
      <c r="T189" t="s">
        <v>11</v>
      </c>
      <c r="U189" t="s">
        <v>2622</v>
      </c>
      <c r="X189">
        <v>6771</v>
      </c>
      <c r="Y189">
        <v>6771</v>
      </c>
      <c r="Z189">
        <v>6771</v>
      </c>
      <c r="AA189">
        <v>6771</v>
      </c>
      <c r="AB189">
        <v>6771</v>
      </c>
      <c r="AE189">
        <v>8380</v>
      </c>
      <c r="AF189">
        <v>8380</v>
      </c>
      <c r="AG189">
        <v>8380</v>
      </c>
      <c r="AH189">
        <v>8380</v>
      </c>
      <c r="AI189">
        <v>8380</v>
      </c>
      <c r="AR189">
        <v>4381</v>
      </c>
      <c r="AS189">
        <v>3955</v>
      </c>
      <c r="AU189">
        <v>4386</v>
      </c>
      <c r="AV189" t="s">
        <v>1979</v>
      </c>
      <c r="AX189" t="s">
        <v>11440</v>
      </c>
    </row>
    <row r="190" spans="1:50">
      <c r="A190" t="s">
        <v>10878</v>
      </c>
      <c r="B190" t="s">
        <v>7958</v>
      </c>
      <c r="C190" t="s">
        <v>7992</v>
      </c>
      <c r="D190" t="s">
        <v>8083</v>
      </c>
      <c r="E190" t="s">
        <v>10110</v>
      </c>
      <c r="F190" t="s">
        <v>10880</v>
      </c>
      <c r="G190" t="s">
        <v>8099</v>
      </c>
      <c r="H190" t="s">
        <v>8148</v>
      </c>
      <c r="I190" t="s">
        <v>8429</v>
      </c>
      <c r="J190" t="s">
        <v>1984</v>
      </c>
      <c r="O190" t="s">
        <v>1984</v>
      </c>
      <c r="P190" t="s">
        <v>11070</v>
      </c>
      <c r="Q190" t="s">
        <v>10880</v>
      </c>
      <c r="T190" t="s">
        <v>8282</v>
      </c>
      <c r="U190" t="s">
        <v>8092</v>
      </c>
      <c r="AR190" t="s">
        <v>1984</v>
      </c>
      <c r="AS190" t="s">
        <v>1984</v>
      </c>
      <c r="AU190" t="s">
        <v>1984</v>
      </c>
      <c r="AV190" t="s">
        <v>1981</v>
      </c>
      <c r="AX190" t="s">
        <v>11441</v>
      </c>
    </row>
    <row r="191" spans="1:50">
      <c r="A191" t="s">
        <v>10878</v>
      </c>
      <c r="B191" t="s">
        <v>7958</v>
      </c>
      <c r="C191" t="s">
        <v>7992</v>
      </c>
      <c r="D191" t="s">
        <v>8083</v>
      </c>
      <c r="E191" t="s">
        <v>10110</v>
      </c>
      <c r="F191" t="s">
        <v>10880</v>
      </c>
      <c r="P191" t="s">
        <v>11072</v>
      </c>
      <c r="Q191" t="s">
        <v>11130</v>
      </c>
      <c r="R191" t="s">
        <v>11078</v>
      </c>
      <c r="T191" t="s">
        <v>11</v>
      </c>
      <c r="U191" t="s">
        <v>2622</v>
      </c>
      <c r="X191">
        <v>6000</v>
      </c>
      <c r="Y191">
        <v>6000</v>
      </c>
      <c r="Z191">
        <v>6000</v>
      </c>
      <c r="AA191">
        <v>6000</v>
      </c>
      <c r="AB191">
        <v>6000</v>
      </c>
      <c r="AE191">
        <v>7710</v>
      </c>
      <c r="AF191">
        <v>7710</v>
      </c>
      <c r="AG191">
        <v>7710</v>
      </c>
      <c r="AH191">
        <v>7710</v>
      </c>
      <c r="AI191">
        <v>7710</v>
      </c>
      <c r="AR191">
        <v>5917</v>
      </c>
      <c r="AS191">
        <v>5027</v>
      </c>
      <c r="AU191">
        <v>5724</v>
      </c>
      <c r="AV191" t="s">
        <v>1979</v>
      </c>
      <c r="AX191" t="s">
        <v>11442</v>
      </c>
    </row>
    <row r="192" spans="1:50">
      <c r="A192" t="s">
        <v>10878</v>
      </c>
      <c r="B192" t="s">
        <v>7958</v>
      </c>
      <c r="C192" t="s">
        <v>7992</v>
      </c>
      <c r="D192" t="s">
        <v>8083</v>
      </c>
      <c r="E192" t="s">
        <v>10110</v>
      </c>
      <c r="F192" t="s">
        <v>10880</v>
      </c>
      <c r="P192" t="s">
        <v>11076</v>
      </c>
      <c r="Q192" t="s">
        <v>11443</v>
      </c>
      <c r="R192" t="s">
        <v>11074</v>
      </c>
      <c r="T192" t="s">
        <v>11</v>
      </c>
      <c r="U192" t="s">
        <v>2622</v>
      </c>
      <c r="X192">
        <v>220</v>
      </c>
      <c r="Y192">
        <v>220</v>
      </c>
      <c r="Z192">
        <v>220</v>
      </c>
      <c r="AA192">
        <v>220</v>
      </c>
      <c r="AB192">
        <v>220</v>
      </c>
      <c r="AE192">
        <v>659</v>
      </c>
      <c r="AF192">
        <v>659</v>
      </c>
      <c r="AG192">
        <v>659</v>
      </c>
      <c r="AH192">
        <v>659</v>
      </c>
      <c r="AI192">
        <v>659</v>
      </c>
      <c r="AR192">
        <v>271</v>
      </c>
      <c r="AS192">
        <v>3414</v>
      </c>
      <c r="AU192">
        <v>114</v>
      </c>
      <c r="AV192" t="s">
        <v>1979</v>
      </c>
      <c r="AX192" t="s">
        <v>11444</v>
      </c>
    </row>
    <row r="193" spans="1:50">
      <c r="A193" t="s">
        <v>10878</v>
      </c>
      <c r="B193" t="s">
        <v>7958</v>
      </c>
      <c r="C193" t="s">
        <v>7992</v>
      </c>
      <c r="D193" t="s">
        <v>8083</v>
      </c>
      <c r="E193" t="s">
        <v>10110</v>
      </c>
      <c r="F193" t="s">
        <v>10880</v>
      </c>
      <c r="P193" t="s">
        <v>11083</v>
      </c>
      <c r="Q193" t="s">
        <v>11445</v>
      </c>
      <c r="R193" t="s">
        <v>11121</v>
      </c>
      <c r="T193" t="s">
        <v>11</v>
      </c>
      <c r="U193" t="s">
        <v>2622</v>
      </c>
      <c r="X193">
        <v>15</v>
      </c>
      <c r="Y193">
        <v>15</v>
      </c>
      <c r="Z193">
        <v>15</v>
      </c>
      <c r="AA193">
        <v>15</v>
      </c>
      <c r="AB193">
        <v>15</v>
      </c>
      <c r="AE193">
        <v>67</v>
      </c>
      <c r="AF193">
        <v>67</v>
      </c>
      <c r="AG193">
        <v>67</v>
      </c>
      <c r="AH193">
        <v>67</v>
      </c>
      <c r="AI193">
        <v>67</v>
      </c>
      <c r="AR193">
        <v>9</v>
      </c>
      <c r="AS193">
        <v>11</v>
      </c>
      <c r="AU193">
        <v>8</v>
      </c>
      <c r="AV193" t="s">
        <v>1979</v>
      </c>
      <c r="AX193" t="s">
        <v>11446</v>
      </c>
    </row>
    <row r="194" spans="1:50">
      <c r="A194" t="s">
        <v>10878</v>
      </c>
      <c r="B194" t="s">
        <v>7958</v>
      </c>
      <c r="C194" t="s">
        <v>7992</v>
      </c>
      <c r="D194" t="s">
        <v>8083</v>
      </c>
      <c r="E194" t="s">
        <v>10110</v>
      </c>
      <c r="F194" t="s">
        <v>10880</v>
      </c>
      <c r="P194" t="s">
        <v>11087</v>
      </c>
      <c r="Q194" t="s">
        <v>11447</v>
      </c>
      <c r="R194" t="s">
        <v>11085</v>
      </c>
      <c r="T194" t="s">
        <v>11</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1979</v>
      </c>
      <c r="AX194" t="s">
        <v>11448</v>
      </c>
    </row>
    <row r="195" spans="1:50">
      <c r="A195" t="s">
        <v>10878</v>
      </c>
      <c r="B195" t="s">
        <v>7958</v>
      </c>
      <c r="C195" t="s">
        <v>7992</v>
      </c>
      <c r="D195" t="s">
        <v>8083</v>
      </c>
      <c r="E195" t="s">
        <v>10110</v>
      </c>
      <c r="F195" t="s">
        <v>10880</v>
      </c>
      <c r="P195" t="s">
        <v>11139</v>
      </c>
      <c r="Q195" t="s">
        <v>11449</v>
      </c>
      <c r="R195" t="s">
        <v>11089</v>
      </c>
      <c r="T195" t="s">
        <v>10</v>
      </c>
      <c r="U195">
        <v>3</v>
      </c>
      <c r="X195">
        <v>0.2</v>
      </c>
      <c r="Y195">
        <v>0.2</v>
      </c>
      <c r="Z195">
        <v>0.2</v>
      </c>
      <c r="AA195">
        <v>0.2</v>
      </c>
      <c r="AB195">
        <v>0.2</v>
      </c>
      <c r="AE195">
        <v>0.34</v>
      </c>
      <c r="AF195">
        <v>0.34</v>
      </c>
      <c r="AG195">
        <v>0.34</v>
      </c>
      <c r="AH195">
        <v>0.34</v>
      </c>
      <c r="AI195">
        <v>0.34</v>
      </c>
      <c r="AR195">
        <v>0.186</v>
      </c>
      <c r="AS195">
        <v>0.14199999999999999</v>
      </c>
      <c r="AU195">
        <v>6.8000000000000005E-2</v>
      </c>
      <c r="AV195" t="s">
        <v>1979</v>
      </c>
      <c r="AX195" t="s">
        <v>11450</v>
      </c>
    </row>
    <row r="196" spans="1:50">
      <c r="A196" t="s">
        <v>10878</v>
      </c>
      <c r="B196" t="s">
        <v>7958</v>
      </c>
      <c r="C196" t="s">
        <v>7992</v>
      </c>
      <c r="D196" t="s">
        <v>8083</v>
      </c>
      <c r="E196" t="s">
        <v>10110</v>
      </c>
      <c r="F196" t="s">
        <v>10880</v>
      </c>
      <c r="P196" t="s">
        <v>11142</v>
      </c>
      <c r="Q196" t="s">
        <v>11438</v>
      </c>
      <c r="R196" t="s">
        <v>11451</v>
      </c>
      <c r="T196" t="s">
        <v>11</v>
      </c>
      <c r="U196" t="s">
        <v>2622</v>
      </c>
      <c r="X196">
        <v>1825</v>
      </c>
      <c r="Y196">
        <v>1825</v>
      </c>
      <c r="Z196">
        <v>1825</v>
      </c>
      <c r="AA196">
        <v>1825</v>
      </c>
      <c r="AB196">
        <v>1825</v>
      </c>
      <c r="AE196">
        <v>2261</v>
      </c>
      <c r="AF196">
        <v>2261</v>
      </c>
      <c r="AG196">
        <v>2261</v>
      </c>
      <c r="AH196">
        <v>2261</v>
      </c>
      <c r="AI196">
        <v>2261</v>
      </c>
      <c r="AR196">
        <v>1378</v>
      </c>
      <c r="AS196">
        <v>1339</v>
      </c>
      <c r="AU196">
        <v>1228</v>
      </c>
      <c r="AV196" t="s">
        <v>1979</v>
      </c>
      <c r="AX196" t="s">
        <v>11440</v>
      </c>
    </row>
    <row r="197" spans="1:50">
      <c r="A197" t="s">
        <v>10937</v>
      </c>
      <c r="B197" t="s">
        <v>7958</v>
      </c>
      <c r="C197" t="s">
        <v>7992</v>
      </c>
      <c r="D197" t="s">
        <v>8297</v>
      </c>
      <c r="E197" t="s">
        <v>10938</v>
      </c>
      <c r="F197" t="s">
        <v>10940</v>
      </c>
      <c r="G197" t="s">
        <v>8099</v>
      </c>
      <c r="H197" t="s">
        <v>8364</v>
      </c>
      <c r="I197" t="s">
        <v>8429</v>
      </c>
      <c r="J197" t="s">
        <v>1984</v>
      </c>
      <c r="O197" t="s">
        <v>1984</v>
      </c>
      <c r="P197" t="s">
        <v>11070</v>
      </c>
      <c r="Q197" t="s">
        <v>10940</v>
      </c>
      <c r="T197" t="s">
        <v>8282</v>
      </c>
      <c r="U197" t="s">
        <v>8092</v>
      </c>
      <c r="AR197" t="s">
        <v>1984</v>
      </c>
      <c r="AS197" t="s">
        <v>1984</v>
      </c>
      <c r="AU197" t="s">
        <v>10862</v>
      </c>
      <c r="AV197" t="s">
        <v>1981</v>
      </c>
      <c r="AX197" t="s">
        <v>11452</v>
      </c>
    </row>
    <row r="198" spans="1:50">
      <c r="A198" t="s">
        <v>10937</v>
      </c>
      <c r="B198" t="s">
        <v>7958</v>
      </c>
      <c r="C198" t="s">
        <v>7992</v>
      </c>
      <c r="D198" t="s">
        <v>8297</v>
      </c>
      <c r="E198" t="s">
        <v>10938</v>
      </c>
      <c r="F198" t="s">
        <v>10940</v>
      </c>
      <c r="P198" t="s">
        <v>11072</v>
      </c>
      <c r="Q198" t="s">
        <v>2646</v>
      </c>
      <c r="R198" t="s">
        <v>11103</v>
      </c>
      <c r="T198" t="s">
        <v>11</v>
      </c>
      <c r="U198" t="s">
        <v>2622</v>
      </c>
      <c r="X198">
        <v>255</v>
      </c>
      <c r="Y198">
        <v>255</v>
      </c>
      <c r="Z198">
        <v>255</v>
      </c>
      <c r="AA198">
        <v>255</v>
      </c>
      <c r="AB198">
        <v>255</v>
      </c>
      <c r="AE198">
        <v>369</v>
      </c>
      <c r="AF198">
        <v>369</v>
      </c>
      <c r="AG198">
        <v>369</v>
      </c>
      <c r="AH198">
        <v>369</v>
      </c>
      <c r="AI198">
        <v>369</v>
      </c>
      <c r="AR198">
        <v>294</v>
      </c>
      <c r="AS198">
        <v>261</v>
      </c>
      <c r="AU198">
        <v>243</v>
      </c>
      <c r="AV198" t="s">
        <v>1979</v>
      </c>
      <c r="AX198" t="s">
        <v>11453</v>
      </c>
    </row>
    <row r="199" spans="1:50">
      <c r="A199" t="s">
        <v>10937</v>
      </c>
      <c r="B199" t="s">
        <v>7958</v>
      </c>
      <c r="C199" t="s">
        <v>7992</v>
      </c>
      <c r="D199" t="s">
        <v>8297</v>
      </c>
      <c r="E199" t="s">
        <v>10938</v>
      </c>
      <c r="F199" t="s">
        <v>10940</v>
      </c>
      <c r="P199" t="s">
        <v>11076</v>
      </c>
      <c r="Q199" t="s">
        <v>11454</v>
      </c>
      <c r="R199" t="s">
        <v>11101</v>
      </c>
      <c r="T199" t="s">
        <v>11</v>
      </c>
      <c r="U199" t="s">
        <v>2622</v>
      </c>
      <c r="X199">
        <v>203</v>
      </c>
      <c r="Y199">
        <v>203</v>
      </c>
      <c r="Z199">
        <v>203</v>
      </c>
      <c r="AA199">
        <v>203</v>
      </c>
      <c r="AB199">
        <v>203</v>
      </c>
      <c r="AE199">
        <v>251</v>
      </c>
      <c r="AF199">
        <v>251</v>
      </c>
      <c r="AG199">
        <v>251</v>
      </c>
      <c r="AH199">
        <v>251</v>
      </c>
      <c r="AI199">
        <v>251</v>
      </c>
      <c r="AR199">
        <v>133</v>
      </c>
      <c r="AS199">
        <v>140</v>
      </c>
      <c r="AU199">
        <v>167</v>
      </c>
      <c r="AV199" t="s">
        <v>1979</v>
      </c>
      <c r="AX199" t="s">
        <v>11455</v>
      </c>
    </row>
    <row r="200" spans="1:50">
      <c r="A200" t="s">
        <v>10937</v>
      </c>
      <c r="B200" t="s">
        <v>7958</v>
      </c>
      <c r="C200" t="s">
        <v>7992</v>
      </c>
      <c r="D200" t="s">
        <v>8297</v>
      </c>
      <c r="E200" t="s">
        <v>10938</v>
      </c>
      <c r="F200" t="s">
        <v>10940</v>
      </c>
      <c r="P200" t="s">
        <v>11083</v>
      </c>
      <c r="Q200" t="s">
        <v>11253</v>
      </c>
      <c r="R200" t="s">
        <v>11106</v>
      </c>
      <c r="T200" t="s">
        <v>11</v>
      </c>
      <c r="U200" t="s">
        <v>2622</v>
      </c>
      <c r="X200">
        <v>302</v>
      </c>
      <c r="Y200">
        <v>302</v>
      </c>
      <c r="Z200">
        <v>302</v>
      </c>
      <c r="AA200">
        <v>302</v>
      </c>
      <c r="AB200">
        <v>302</v>
      </c>
      <c r="AE200">
        <v>379</v>
      </c>
      <c r="AF200">
        <v>379</v>
      </c>
      <c r="AG200">
        <v>379</v>
      </c>
      <c r="AH200">
        <v>379</v>
      </c>
      <c r="AI200">
        <v>379</v>
      </c>
      <c r="AR200">
        <v>292</v>
      </c>
      <c r="AS200">
        <v>346</v>
      </c>
      <c r="AU200">
        <v>372</v>
      </c>
      <c r="AV200" t="s">
        <v>1980</v>
      </c>
      <c r="AX200" t="s">
        <v>11456</v>
      </c>
    </row>
    <row r="201" spans="1:50">
      <c r="A201" t="s">
        <v>10937</v>
      </c>
      <c r="B201" t="s">
        <v>7958</v>
      </c>
      <c r="C201" t="s">
        <v>7992</v>
      </c>
      <c r="D201" t="s">
        <v>8297</v>
      </c>
      <c r="E201" t="s">
        <v>10938</v>
      </c>
      <c r="F201" t="s">
        <v>10940</v>
      </c>
      <c r="P201" t="s">
        <v>11087</v>
      </c>
      <c r="Q201" t="s">
        <v>11457</v>
      </c>
      <c r="R201" t="s">
        <v>11106</v>
      </c>
      <c r="T201" t="s">
        <v>11</v>
      </c>
      <c r="U201" t="s">
        <v>2622</v>
      </c>
      <c r="X201">
        <v>72</v>
      </c>
      <c r="Y201">
        <v>72</v>
      </c>
      <c r="Z201">
        <v>72</v>
      </c>
      <c r="AA201">
        <v>72</v>
      </c>
      <c r="AB201">
        <v>72</v>
      </c>
      <c r="AE201">
        <v>110</v>
      </c>
      <c r="AF201">
        <v>110</v>
      </c>
      <c r="AG201">
        <v>110</v>
      </c>
      <c r="AH201">
        <v>110</v>
      </c>
      <c r="AI201">
        <v>110</v>
      </c>
      <c r="AR201">
        <v>113</v>
      </c>
      <c r="AS201">
        <v>50</v>
      </c>
      <c r="AU201">
        <v>33</v>
      </c>
      <c r="AV201" t="s">
        <v>1979</v>
      </c>
      <c r="AX201" t="s">
        <v>11458</v>
      </c>
    </row>
    <row r="202" spans="1:50">
      <c r="A202" t="s">
        <v>10937</v>
      </c>
      <c r="B202" t="s">
        <v>7958</v>
      </c>
      <c r="C202" t="s">
        <v>7992</v>
      </c>
      <c r="D202" t="s">
        <v>8297</v>
      </c>
      <c r="E202" t="s">
        <v>10938</v>
      </c>
      <c r="F202" t="s">
        <v>10940</v>
      </c>
      <c r="P202" t="s">
        <v>11139</v>
      </c>
      <c r="Q202" t="s">
        <v>11108</v>
      </c>
      <c r="R202" t="s">
        <v>11108</v>
      </c>
      <c r="T202" t="s">
        <v>11</v>
      </c>
      <c r="U202" t="s">
        <v>2622</v>
      </c>
      <c r="X202">
        <v>20695</v>
      </c>
      <c r="Y202">
        <v>20695</v>
      </c>
      <c r="Z202">
        <v>20695</v>
      </c>
      <c r="AA202">
        <v>20695</v>
      </c>
      <c r="AB202">
        <v>20695</v>
      </c>
      <c r="AE202">
        <v>22936</v>
      </c>
      <c r="AF202">
        <v>22936</v>
      </c>
      <c r="AG202">
        <v>22936</v>
      </c>
      <c r="AH202">
        <v>22936</v>
      </c>
      <c r="AI202">
        <v>22936</v>
      </c>
      <c r="AR202">
        <v>18337</v>
      </c>
      <c r="AS202">
        <v>19423</v>
      </c>
      <c r="AU202">
        <v>17398</v>
      </c>
      <c r="AV202" t="s">
        <v>1979</v>
      </c>
      <c r="AX202" t="s">
        <v>11459</v>
      </c>
    </row>
    <row r="203" spans="1:50">
      <c r="A203" t="s">
        <v>10937</v>
      </c>
      <c r="B203" t="s">
        <v>7958</v>
      </c>
      <c r="C203" t="s">
        <v>7992</v>
      </c>
      <c r="D203" t="s">
        <v>8297</v>
      </c>
      <c r="E203" t="s">
        <v>10938</v>
      </c>
      <c r="F203" t="s">
        <v>10940</v>
      </c>
      <c r="P203" t="s">
        <v>11142</v>
      </c>
      <c r="Q203" t="s">
        <v>11438</v>
      </c>
      <c r="R203" t="s">
        <v>11259</v>
      </c>
      <c r="T203" t="s">
        <v>11</v>
      </c>
      <c r="U203" t="s">
        <v>2622</v>
      </c>
      <c r="X203">
        <v>5869</v>
      </c>
      <c r="Y203">
        <v>5869</v>
      </c>
      <c r="Z203">
        <v>5869</v>
      </c>
      <c r="AA203">
        <v>5869</v>
      </c>
      <c r="AB203">
        <v>5869</v>
      </c>
      <c r="AE203">
        <v>7282</v>
      </c>
      <c r="AF203">
        <v>7282</v>
      </c>
      <c r="AG203">
        <v>7282</v>
      </c>
      <c r="AH203">
        <v>7282</v>
      </c>
      <c r="AI203">
        <v>7282</v>
      </c>
      <c r="AR203">
        <v>3591</v>
      </c>
      <c r="AS203">
        <v>3364</v>
      </c>
      <c r="AU203">
        <v>3695</v>
      </c>
      <c r="AV203" t="s">
        <v>1979</v>
      </c>
      <c r="AX203" t="s">
        <v>11440</v>
      </c>
    </row>
    <row r="204" spans="1:50">
      <c r="A204" t="s">
        <v>10947</v>
      </c>
      <c r="B204" t="s">
        <v>7958</v>
      </c>
      <c r="C204" t="s">
        <v>7992</v>
      </c>
      <c r="D204" t="s">
        <v>8297</v>
      </c>
      <c r="E204" t="s">
        <v>10199</v>
      </c>
      <c r="F204" t="s">
        <v>10949</v>
      </c>
      <c r="G204" t="s">
        <v>8099</v>
      </c>
      <c r="H204" t="s">
        <v>8364</v>
      </c>
      <c r="I204" t="s">
        <v>8429</v>
      </c>
      <c r="J204" t="s">
        <v>1984</v>
      </c>
      <c r="O204" t="s">
        <v>1984</v>
      </c>
      <c r="P204" t="s">
        <v>11070</v>
      </c>
      <c r="Q204" t="s">
        <v>10949</v>
      </c>
      <c r="T204" t="s">
        <v>8282</v>
      </c>
      <c r="U204" t="s">
        <v>8092</v>
      </c>
      <c r="AR204" t="s">
        <v>1984</v>
      </c>
      <c r="AS204" t="s">
        <v>1984</v>
      </c>
      <c r="AU204" t="s">
        <v>10862</v>
      </c>
      <c r="AV204" t="s">
        <v>1981</v>
      </c>
      <c r="AX204" t="s">
        <v>11460</v>
      </c>
    </row>
    <row r="205" spans="1:50">
      <c r="A205" t="s">
        <v>10947</v>
      </c>
      <c r="B205" t="s">
        <v>7958</v>
      </c>
      <c r="C205" t="s">
        <v>7992</v>
      </c>
      <c r="D205" t="s">
        <v>8297</v>
      </c>
      <c r="E205" t="s">
        <v>10199</v>
      </c>
      <c r="F205" t="s">
        <v>10949</v>
      </c>
      <c r="P205" t="s">
        <v>11072</v>
      </c>
      <c r="Q205" t="s">
        <v>11461</v>
      </c>
      <c r="R205" t="s">
        <v>11115</v>
      </c>
      <c r="T205" t="s">
        <v>11</v>
      </c>
      <c r="U205" t="s">
        <v>2622</v>
      </c>
      <c r="X205">
        <v>0</v>
      </c>
      <c r="Y205">
        <v>0</v>
      </c>
      <c r="Z205">
        <v>0</v>
      </c>
      <c r="AA205">
        <v>0</v>
      </c>
      <c r="AB205">
        <v>0</v>
      </c>
      <c r="AE205">
        <v>8</v>
      </c>
      <c r="AF205">
        <v>8</v>
      </c>
      <c r="AG205">
        <v>8</v>
      </c>
      <c r="AH205">
        <v>8</v>
      </c>
      <c r="AI205">
        <v>8</v>
      </c>
      <c r="AR205">
        <v>2</v>
      </c>
      <c r="AS205">
        <v>2</v>
      </c>
      <c r="AU205">
        <v>7</v>
      </c>
      <c r="AV205" t="s">
        <v>1980</v>
      </c>
      <c r="AX205" t="s">
        <v>11462</v>
      </c>
    </row>
    <row r="206" spans="1:50">
      <c r="A206" t="s">
        <v>10947</v>
      </c>
      <c r="B206" t="s">
        <v>7958</v>
      </c>
      <c r="C206" t="s">
        <v>7992</v>
      </c>
      <c r="D206" t="s">
        <v>8297</v>
      </c>
      <c r="E206" t="s">
        <v>10199</v>
      </c>
      <c r="F206" t="s">
        <v>10949</v>
      </c>
      <c r="P206" t="s">
        <v>11076</v>
      </c>
      <c r="Q206" t="s">
        <v>11463</v>
      </c>
      <c r="R206" t="s">
        <v>11112</v>
      </c>
      <c r="T206" t="s">
        <v>10</v>
      </c>
      <c r="U206">
        <v>1</v>
      </c>
      <c r="X206">
        <v>0</v>
      </c>
      <c r="Y206">
        <v>0</v>
      </c>
      <c r="Z206">
        <v>0</v>
      </c>
      <c r="AA206">
        <v>0</v>
      </c>
      <c r="AB206">
        <v>0</v>
      </c>
      <c r="AE206">
        <v>0.6</v>
      </c>
      <c r="AF206">
        <v>0.6</v>
      </c>
      <c r="AG206">
        <v>0.6</v>
      </c>
      <c r="AH206">
        <v>0.6</v>
      </c>
      <c r="AI206">
        <v>0.6</v>
      </c>
      <c r="AR206">
        <v>0</v>
      </c>
      <c r="AS206">
        <v>0</v>
      </c>
      <c r="AU206">
        <v>0.7</v>
      </c>
      <c r="AV206" t="s">
        <v>1980</v>
      </c>
      <c r="AX206" t="s">
        <v>11464</v>
      </c>
    </row>
    <row r="207" spans="1:50">
      <c r="A207" t="s">
        <v>10947</v>
      </c>
      <c r="B207" t="s">
        <v>7958</v>
      </c>
      <c r="C207" t="s">
        <v>7992</v>
      </c>
      <c r="D207" t="s">
        <v>8297</v>
      </c>
      <c r="E207" t="s">
        <v>10199</v>
      </c>
      <c r="F207" t="s">
        <v>10949</v>
      </c>
      <c r="P207" t="s">
        <v>11083</v>
      </c>
      <c r="Q207" t="s">
        <v>11438</v>
      </c>
      <c r="R207" t="s">
        <v>11465</v>
      </c>
      <c r="T207" t="s">
        <v>11</v>
      </c>
      <c r="U207" t="s">
        <v>2622</v>
      </c>
      <c r="X207">
        <v>15651</v>
      </c>
      <c r="Y207">
        <v>15651</v>
      </c>
      <c r="Z207">
        <v>15651</v>
      </c>
      <c r="AA207">
        <v>15651</v>
      </c>
      <c r="AB207">
        <v>15651</v>
      </c>
      <c r="AE207">
        <v>20848</v>
      </c>
      <c r="AF207">
        <v>20848</v>
      </c>
      <c r="AG207">
        <v>20848</v>
      </c>
      <c r="AH207">
        <v>20848</v>
      </c>
      <c r="AI207">
        <v>20848</v>
      </c>
      <c r="AR207">
        <v>11183</v>
      </c>
      <c r="AS207">
        <v>12115</v>
      </c>
      <c r="AU207">
        <v>11564</v>
      </c>
      <c r="AV207" t="s">
        <v>1979</v>
      </c>
      <c r="AX207" t="s">
        <v>11440</v>
      </c>
    </row>
  </sheetData>
  <sheetProtection algorithmName="SHA-512" hashValue="T/SaVRUX3eRdD2r7wIp2r+s0LIA6vhyT2AzQFJiDFrstZAXz2whl/icXhs35EyHvXwTAu7sffxF3Xw7mLZHNRQ==" saltValue="twQjAvS1SK0J7F6NUPMlSg==" spinCount="100000" sheet="1" objects="1" scenarios="1"/>
  <autoFilter ref="A2:AT207" xr:uid="{00000000-0009-0000-0000-00003A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H60"/>
  <sheetViews>
    <sheetView showGridLines="0" zoomScale="80" zoomScaleNormal="80" workbookViewId="0">
      <selection activeCell="B30" sqref="B30"/>
    </sheetView>
  </sheetViews>
  <sheetFormatPr defaultColWidth="0" defaultRowHeight="14.25" zeroHeight="1"/>
  <cols>
    <col min="1" max="1" width="1.625" customWidth="1"/>
    <col min="2" max="2" width="71.125" customWidth="1"/>
    <col min="3" max="4" width="22.5" customWidth="1"/>
    <col min="5" max="5" width="106" customWidth="1"/>
    <col min="6" max="6" width="1.625" customWidth="1"/>
    <col min="7" max="16384" width="12.125" hidden="1"/>
  </cols>
  <sheetData>
    <row r="1" spans="1:8" ht="20.25">
      <c r="B1" s="1" t="s">
        <v>79</v>
      </c>
      <c r="C1" s="1"/>
      <c r="D1" s="1"/>
      <c r="E1" s="10"/>
    </row>
    <row r="2" spans="1:8" ht="15" thickBot="1">
      <c r="B2" s="68" t="s">
        <v>80</v>
      </c>
    </row>
    <row r="3" spans="1:8" ht="16.5" thickBot="1">
      <c r="A3" s="12"/>
      <c r="B3" s="401" t="s">
        <v>81</v>
      </c>
      <c r="C3" s="11" t="s">
        <v>82</v>
      </c>
      <c r="D3" s="12"/>
      <c r="E3" s="12"/>
      <c r="G3" s="12" t="str">
        <f>VLOOKUP(Validation!B3,Lists!B4:D24,3,FALSE)</f>
        <v>WaSC</v>
      </c>
      <c r="H3" s="12">
        <f>IF(G3="Woc",1,0)</f>
        <v>0</v>
      </c>
    </row>
    <row r="4" spans="1:8"/>
    <row r="5" spans="1:8">
      <c r="B5" s="2239" t="s">
        <v>83</v>
      </c>
      <c r="C5" s="2239"/>
      <c r="D5" s="2239"/>
      <c r="E5" s="2239"/>
    </row>
    <row r="6" spans="1:8" ht="15" thickBot="1"/>
    <row r="7" spans="1:8" ht="17.25" thickBot="1">
      <c r="B7" s="13" t="s">
        <v>84</v>
      </c>
      <c r="C7" s="14" t="s">
        <v>85</v>
      </c>
      <c r="D7" s="15" t="s">
        <v>86</v>
      </c>
      <c r="E7" s="16" t="s">
        <v>87</v>
      </c>
    </row>
    <row r="8" spans="1:8" ht="20.25" customHeight="1">
      <c r="A8" s="18"/>
      <c r="B8" s="330" t="str">
        <f>+'1A'!B1</f>
        <v>1A - Income statement</v>
      </c>
      <c r="C8" s="17" t="str">
        <f>IF($B$3="Select company","",IF((SUM('1A'!P6:R36))&gt;0,"Review validation checks on sheet","No issues identified"))</f>
        <v>Review validation checks on sheet</v>
      </c>
      <c r="D8" s="1321"/>
      <c r="E8" s="1323" t="str">
        <f>+'1A'!B43</f>
        <v>Please refer to RAG 4.07 - Guideline for the table definitions in the annual performance report for the reporting year 2017-18</v>
      </c>
    </row>
    <row r="9" spans="1:8" ht="20.25" customHeight="1">
      <c r="A9" s="18"/>
      <c r="B9" s="331" t="str">
        <f>+'1B'!B1</f>
        <v>1B - Statement of comprehensive income</v>
      </c>
      <c r="C9" s="19" t="str">
        <f>IF($B$3="Select company","",IF((SUM('1B'!P7:R8))&gt;0,"Review validation checks on sheet","No issues identified"))</f>
        <v>No issues identified</v>
      </c>
      <c r="D9" s="1322"/>
      <c r="E9" s="1324" t="str">
        <f>+'1B'!B18</f>
        <v>Please refer to RAG 4.07 - Guideline for the table definitions in the annual performance report for the reporting year 2017-18</v>
      </c>
    </row>
    <row r="10" spans="1:8" ht="20.25" customHeight="1">
      <c r="A10" s="18"/>
      <c r="B10" s="331" t="str">
        <f>+'1C'!B1</f>
        <v>1C - Statement of financial position</v>
      </c>
      <c r="C10" s="19" t="str">
        <f>IF($B$3="Select company","",IF((SUM('1C'!P7:R49))&gt;0,"Review validation checks on sheet","No issues identified"))</f>
        <v>No issues identified</v>
      </c>
      <c r="D10" s="1322"/>
      <c r="E10" s="1324" t="str">
        <f>+'1C'!B59</f>
        <v>Please refer to RAG 4.07 - Guideline for the table definitions in the annual performance report for the reporting year 2017-18</v>
      </c>
    </row>
    <row r="11" spans="1:8" ht="20.25" customHeight="1">
      <c r="A11" s="18"/>
      <c r="B11" s="331" t="str">
        <f>+'1D'!B1</f>
        <v>1D - Statement of cash flows</v>
      </c>
      <c r="C11" s="19" t="str">
        <f>IF($B$3="Select company","",IF((SUM('1D'!P8:R33))&gt;0,"Review validation checks on sheet","No issues identified"))</f>
        <v>No issues identified</v>
      </c>
      <c r="D11" s="1322"/>
      <c r="E11" s="1324" t="str">
        <f>+'1D'!B45</f>
        <v>Please refer to RAG 4.07 - Guideline for the table definitions in the annual performance report for the reporting year 2017-18</v>
      </c>
    </row>
    <row r="12" spans="1:8" ht="20.25" customHeight="1" thickBot="1">
      <c r="A12" s="18"/>
      <c r="B12" s="332" t="str">
        <f>+'1E'!B1</f>
        <v>1E - Net debt analysis at 31 March 2018</v>
      </c>
      <c r="C12" s="20" t="str">
        <f>IF($B$3="Select company","",IF((SUM('1E'!P6:S23))&gt;0,"Review validation checks on sheet","No issues identified"))</f>
        <v>No issues identified</v>
      </c>
      <c r="D12" s="20" t="str">
        <f>IF($B$3="Select company","",IF((SUM('1E'!T6:Y23))&gt;0,"Review validation checks on sheet","No issues identified"))</f>
        <v>No issues identified</v>
      </c>
      <c r="E12" s="1325" t="str">
        <f>+'1E'!B32</f>
        <v>Please refer to RAG 4.07 - Guideline for the table definitions in the annual performance report for the reporting year 2017-18</v>
      </c>
    </row>
    <row r="13" spans="1:8" ht="15" thickBot="1">
      <c r="A13" s="18"/>
      <c r="B13" s="21"/>
      <c r="C13" s="18"/>
      <c r="D13" s="18"/>
      <c r="E13" s="18"/>
    </row>
    <row r="14" spans="1:8" ht="17.25" thickBot="1">
      <c r="A14" s="18"/>
      <c r="B14" s="13" t="s">
        <v>88</v>
      </c>
      <c r="C14" s="15" t="str">
        <f>C7</f>
        <v>All expected cells completed?</v>
      </c>
      <c r="D14" s="15" t="str">
        <f>D7</f>
        <v>Other validations</v>
      </c>
      <c r="E14" s="16" t="s">
        <v>87</v>
      </c>
    </row>
    <row r="15" spans="1:8" ht="20.25" customHeight="1">
      <c r="A15" s="18"/>
      <c r="B15" s="330" t="str">
        <f>+'2A'!B1</f>
        <v>2A - Segmental income statement</v>
      </c>
      <c r="C15" s="17" t="str">
        <f>IF($B$3="Select company","",IF((SUM('2A'!U6:AF20))&gt;0,"Review validation checks on sheet","No issues identified"))</f>
        <v>No issues identified</v>
      </c>
      <c r="D15" s="1326" t="str">
        <f>IF($B$3="Select company","",IF((SUM('2A'!AF6:AL20))&gt;0,"Review validation checks on sheet","No issues identified"))</f>
        <v>Review validation checks on sheet</v>
      </c>
      <c r="E15" s="1323" t="str">
        <f>+'2A'!B29</f>
        <v>Please refer to RAG 4.07 - Guideline for the table definitions in the annual performance report for the reporting year 2017-18</v>
      </c>
    </row>
    <row r="16" spans="1:8" ht="20.25" customHeight="1">
      <c r="A16" s="18"/>
      <c r="B16" s="331" t="str">
        <f>+'2B'!B1</f>
        <v>2B - Totex analysis - wholesale water and wastewater</v>
      </c>
      <c r="C16" s="2110" t="str">
        <f>IF($B$3="Select company","",IF((SUM('2B'!Q6:V39))&gt;0,"Review validation checks on sheet","No issues identified"))</f>
        <v>No issues identified</v>
      </c>
      <c r="D16" s="1327" t="str">
        <f>IF($B$3="Select company","",IF((SUM('2B'!V6:X39))&gt;0,"Review validation checks on sheet","No issues identified"))</f>
        <v>Review validation checks on sheet</v>
      </c>
      <c r="E16" s="1329" t="str">
        <f>+'2B'!B48</f>
        <v>Please refer to RAG 4.07 - Guideline for the table definitions in the annual performance report for the reporting year 2017-18</v>
      </c>
    </row>
    <row r="17" spans="1:5" ht="20.25" customHeight="1">
      <c r="A17" s="18"/>
      <c r="B17" s="331" t="str">
        <f>+'2C'!B1</f>
        <v>2C - Operating cost analysis - retail</v>
      </c>
      <c r="C17" s="19" t="str">
        <f>IF($B$3="Select company","",IF((SUM('2C'!M6:P21))&gt;0,"Review validation checks on sheet","No issues identified"))</f>
        <v>No issues identified</v>
      </c>
      <c r="D17" s="1322"/>
      <c r="E17" s="1329" t="str">
        <f>+'2C'!B30</f>
        <v>Please refer to RAG 4.07 - Guideline for the table definitions in the annual performance report for the reporting year 2017-18</v>
      </c>
    </row>
    <row r="18" spans="1:5" ht="20.25" customHeight="1">
      <c r="A18" s="18"/>
      <c r="B18" s="331" t="str">
        <f>+'2D'!B1</f>
        <v>2D - Historic cost analysis of fixed assets - wholesale &amp; retail</v>
      </c>
      <c r="C18" s="19" t="str">
        <f>IF($B$3="Select company","",IF((SUM('2D'!S7:AA26))&gt;0,"Review validation checks on sheet","No issues identified"))</f>
        <v>No issues identified</v>
      </c>
      <c r="D18" s="1327" t="str">
        <f>IF($B$3="Select company","",IF((SUM('2D'!AA7:AJ27))&gt;0,"Review validation checks on sheet","No issues identified"))</f>
        <v>No issues identified</v>
      </c>
      <c r="E18" s="1329" t="str">
        <f>+'2D'!B39</f>
        <v>Please refer to RAG 4.07 - Guideline for the table definitions in the annual performance report for the reporting year 2017-18</v>
      </c>
    </row>
    <row r="19" spans="1:5" ht="20.25" customHeight="1">
      <c r="A19" s="18"/>
      <c r="B19" s="331" t="str">
        <f>+'2E'!B1</f>
        <v>2E - Analysis of capital contributions and land sales - wholesale</v>
      </c>
      <c r="C19" s="19" t="str">
        <f>IF($B$3="Select company","",IF((SUM('2E'!N7:R49))&gt;0,"Review validation checks on sheet","No issues identified"))</f>
        <v>No issues identified</v>
      </c>
      <c r="D19" s="1322"/>
      <c r="E19" s="1329" t="str">
        <f>+'2E'!B58</f>
        <v>Please refer to RAG 4.07 - Guideline for the table definitions in the annual performance report for the reporting year 2017-18</v>
      </c>
    </row>
    <row r="20" spans="1:5" ht="20.25" customHeight="1">
      <c r="A20" s="18"/>
      <c r="B20" s="331" t="str">
        <f>+'2F'!B1</f>
        <v>2F - Household - revenues by customer type</v>
      </c>
      <c r="C20" s="19" t="str">
        <f>IF($B$3="Select company","",IF((SUM('2F'!M5:R10))&gt;0,"Review validation checks on sheet","No issues identified"))</f>
        <v>No issues identified</v>
      </c>
      <c r="D20" s="1322"/>
      <c r="E20" s="1329" t="str">
        <f>+'2F'!B20</f>
        <v>Please refer to RAG 4.07 - Guideline for the table definitions in the annual performance report for the reporting year 2017-18</v>
      </c>
    </row>
    <row r="21" spans="1:5" ht="20.25" customHeight="1">
      <c r="A21" s="18"/>
      <c r="B21" s="331" t="str">
        <f>+'2G'!B1</f>
        <v>2G - Non-household water - revenues by customer type</v>
      </c>
      <c r="C21" s="19" t="str">
        <f>IF($B$3="Select company","",IF((SUM('2G'!N6:R34))&gt;0,"Review validation checks on sheet","No issues identified"))</f>
        <v>No issues identified</v>
      </c>
      <c r="D21" s="1327" t="str">
        <f>IF($B$3="Select company","",IF((SUM('2G'!R6:T30))&gt;0,"Review validation checks on sheet","No issues identified"))</f>
        <v>No issues identified</v>
      </c>
      <c r="E21" s="1329" t="str">
        <f>+'2G'!B43</f>
        <v>Please refer to RAG 4.07 - Guideline for the table definitions in the annual performance report for the reporting year 2017-18</v>
      </c>
    </row>
    <row r="22" spans="1:5" ht="20.25" customHeight="1">
      <c r="A22" s="18"/>
      <c r="B22" s="331" t="str">
        <f>+'2H'!B1</f>
        <v>2H - Non-household wastewater - revenues by customer type</v>
      </c>
      <c r="C22" s="19" t="str">
        <f>IF($B$3="Select company","",IF(G3="WoC","",IF((SUM('2H'!N6:R37))&gt;0,"Review validation checks on sheet","No issues identified")))</f>
        <v>No issues identified</v>
      </c>
      <c r="D22" s="1327" t="str">
        <f>IF($B$3="Select company","",IF(G3="WoC","",IF((SUM('2H'!R6:T33))&gt;0,"Review validation checks on sheet","No issues identified")))</f>
        <v>Review validation checks on sheet</v>
      </c>
      <c r="E22" s="1329" t="str">
        <f>+'2H'!B46</f>
        <v>Please refer to RAG 4.07 - Guideline for the table definitions in the annual performance report for the reporting year 2017-18</v>
      </c>
    </row>
    <row r="23" spans="1:5" ht="20.25" customHeight="1">
      <c r="A23" s="18"/>
      <c r="B23" s="331" t="str">
        <f>+'2I'!B1</f>
        <v>2I - Revenue analysis &amp; wholesale control reconciliation</v>
      </c>
      <c r="C23" s="19" t="str">
        <f>IF($B$3="Select company","",IF((SUM('2I'!O6:Q50))&gt;0,"Review validation checks on sheet","No issues identified"))</f>
        <v>Review validation checks on sheet</v>
      </c>
      <c r="D23" s="1327" t="str">
        <f>IF($B$3="Select company","",IF((SUM('2I'!S6:T50))&gt;0,"Review validation checks on sheet","No issues identified"))</f>
        <v>Review validation checks on sheet</v>
      </c>
      <c r="E23" s="1329" t="str">
        <f>+'2I'!B62</f>
        <v>Please refer to RAG 4.07 - Guideline for the table definitions in the annual performance report for the reporting year 2017-18</v>
      </c>
    </row>
    <row r="24" spans="1:5" ht="20.25" customHeight="1" thickBot="1">
      <c r="A24" s="18"/>
      <c r="B24" s="731" t="str">
        <f>+'2J'!B1</f>
        <v>2J - Infrastructure network reinforcement costs</v>
      </c>
      <c r="C24" s="732" t="str">
        <f>IF($B$3="Select company","",IF((SUM('2J'!N6:O15))&gt;0,"Review validation checks on sheet","No issues identified"))</f>
        <v>No issues identified</v>
      </c>
      <c r="D24" s="1366" t="str">
        <f>IF($B$3="Select company","",IF((SUM('2J'!P6:R16))&gt;0,"Review validation checks on sheet","No issues identified"))</f>
        <v>Review validation checks on sheet</v>
      </c>
      <c r="E24" s="1325" t="str">
        <f>+'2J'!B26</f>
        <v>Please refer to RAG 4.07 - Guideline for the table definitions in the annual performance report for the reporting year 2017-18</v>
      </c>
    </row>
    <row r="25" spans="1:5" ht="15" thickBot="1">
      <c r="A25" s="12"/>
      <c r="B25" s="22"/>
      <c r="C25" s="22"/>
      <c r="D25" s="22"/>
      <c r="E25" s="18"/>
    </row>
    <row r="26" spans="1:5" ht="17.25" thickBot="1">
      <c r="A26" s="12"/>
      <c r="B26" s="23" t="s">
        <v>89</v>
      </c>
      <c r="C26" s="14" t="s">
        <v>85</v>
      </c>
      <c r="D26" s="15" t="s">
        <v>86</v>
      </c>
      <c r="E26" s="16" t="s">
        <v>87</v>
      </c>
    </row>
    <row r="27" spans="1:5" ht="20.25" customHeight="1">
      <c r="A27" s="24"/>
      <c r="B27" s="330" t="str">
        <f>+'3A'!B1</f>
        <v>3A - Outcome performance table</v>
      </c>
      <c r="C27" s="17" t="str">
        <f>IF($B$3="Select company","",IF((SUM('3A'!V5:AD59))&gt;0,"Review validation checks on sheet","No issues identified"))</f>
        <v>No issues identified</v>
      </c>
      <c r="D27" s="1326" t="str">
        <f>IF($B$3="Select company","",IF((SUM('3A'!AF5:AG59))&gt;0,"Review validation checks on sheet","No issues identified"))</f>
        <v>No issues identified</v>
      </c>
      <c r="E27" s="1330" t="str">
        <f>+'3A'!B68</f>
        <v>Please refer to RAG 4.07 - Guideline for the table definitions in the annual performance report for the reporting year 2017-18</v>
      </c>
    </row>
    <row r="28" spans="1:5" ht="20.25" customHeight="1">
      <c r="A28" s="24"/>
      <c r="B28" s="331" t="str">
        <f>+'3B'!B1</f>
        <v>3B - Sub-measure performance table</v>
      </c>
      <c r="C28" s="19" t="str">
        <f>IF($B$3="Select company","",IF((SUM('3B'!P5:Q44))&gt;0,"Review validation checks on sheet","No issues identified"))</f>
        <v>No issues identified</v>
      </c>
      <c r="D28" s="1327" t="str">
        <f>IF($B$3="Select company","",IF((SUM('3B'!S5:T44))&gt;0,"Review validation checks on sheet","No issues identified"))</f>
        <v>No issues identified</v>
      </c>
      <c r="E28" s="1329" t="str">
        <f>+'3B'!B53</f>
        <v>Please refer to RAG 4.07 - Guideline for the table definitions in the annual performance report for the reporting year 2017-18</v>
      </c>
    </row>
    <row r="29" spans="1:5" ht="20.25" customHeight="1">
      <c r="A29" s="24"/>
      <c r="B29" s="331" t="str">
        <f>+'3C'!B1</f>
        <v>3C - AIM table</v>
      </c>
      <c r="C29" s="19" t="str">
        <f>IF($B$3="Select company","",IF((SUM('3C'!O5:S29))&gt;0,"Review validation checks on sheet","No issues identified"))</f>
        <v>No issues identified</v>
      </c>
      <c r="D29" s="1327" t="str">
        <f>IF($B$3="Select company","",IF((SUM('3C'!U5:Y29))&gt;0,"Review validation checks on sheet","No issues identified"))</f>
        <v>No issues identified</v>
      </c>
      <c r="E29" s="1324" t="str">
        <f>+'3C'!B40</f>
        <v>Please refer to RAG 4.07 - Guideline for the table definitions in the annual performance report for the reporting year 2017-18</v>
      </c>
    </row>
    <row r="30" spans="1:5" ht="20.25" customHeight="1" thickBot="1">
      <c r="A30" s="24"/>
      <c r="B30" s="331" t="str">
        <f>+'3D'!B1</f>
        <v>3D - SIM table</v>
      </c>
      <c r="C30" s="19" t="str">
        <f>IF($B$3="Select company","",IF((SUM('3D'!L7:L14))&gt;0,"Review validation checks on sheet","No issues identified"))</f>
        <v>No issues identified</v>
      </c>
      <c r="D30" s="1327" t="str">
        <f>IF($B$3="Select company","",IF((SUM('3D'!N7:P14))&gt;0,"Review validation checks on sheet","No issues identified"))</f>
        <v>Review validation checks on sheet</v>
      </c>
      <c r="E30" s="1324" t="str">
        <f>+'3D'!B27</f>
        <v>Please refer to RAG 4.07 - Guideline for the table definitions in the annual performance report for the reporting year 2017-18</v>
      </c>
    </row>
    <row r="31" spans="1:5" ht="20.25" customHeight="1" thickBot="1">
      <c r="A31" s="24"/>
      <c r="B31" s="731" t="str">
        <f>+'3S'!B2</f>
        <v>3S - Shadow reporting of new definition data</v>
      </c>
      <c r="C31" s="732" t="str">
        <f>IF($B$3="Select company","",IF((SUM('3S'!LG6, '3S'!LF16:XB19, '3S'!LF24:XB24, '3S'!LF29:XB29,'3S'!LF34:XB34, '3S'!LF40:XB40, '3S'!LF45:XB45, '3S'!LF50:XB50, '3S'!LF56:XB56, '3S'!LF61:XB61, '3S'!LF66:XB66))&gt;0,"Review validation checks on sheet","No issues identified"))</f>
        <v>Review validation checks on sheet</v>
      </c>
      <c r="D31" s="1328"/>
      <c r="E31" s="1320" t="str">
        <f>+'3S'!B75</f>
        <v>3S line guidance</v>
      </c>
    </row>
    <row r="32" spans="1:5" ht="15" thickBot="1">
      <c r="A32" s="12"/>
      <c r="B32" s="22"/>
      <c r="C32" s="22"/>
      <c r="D32" s="22"/>
      <c r="E32" s="18"/>
    </row>
    <row r="33" spans="1:5" ht="17.25" thickBot="1">
      <c r="A33" s="12"/>
      <c r="B33" s="23" t="s">
        <v>90</v>
      </c>
      <c r="C33" s="14" t="s">
        <v>85</v>
      </c>
      <c r="D33" s="15" t="s">
        <v>86</v>
      </c>
      <c r="E33" s="16" t="s">
        <v>87</v>
      </c>
    </row>
    <row r="34" spans="1:5" ht="20.25" customHeight="1">
      <c r="A34" s="18"/>
      <c r="B34" s="330" t="str">
        <f>+'4A'!B1</f>
        <v>4A - Non-financial information</v>
      </c>
      <c r="C34" s="17" t="str">
        <f>IF($B$3="Select company","",IF((SUM('4A'!M8:N17))&gt;0,"Review validation checks on sheet","No issues identified"))</f>
        <v>No issues identified</v>
      </c>
      <c r="D34" s="1321"/>
      <c r="E34" s="1323" t="str">
        <f>+'4A'!B26</f>
        <v>Please refer to RAG 4.07 - Guideline for the table definitions in the annual performance report for the reporting year 2017-18</v>
      </c>
    </row>
    <row r="35" spans="1:5" ht="20.25" customHeight="1">
      <c r="A35" s="18"/>
      <c r="B35" s="331" t="str">
        <f>+'4B'!B1</f>
        <v xml:space="preserve">4B - Wholesale totex analysis </v>
      </c>
      <c r="C35" s="19" t="str">
        <f>IF($B$3="Select company","",IF((SUM('4B'!Q7:V23))&gt;0,"Review validation checks on sheet","No issues identified"))</f>
        <v>No issues identified</v>
      </c>
      <c r="D35" s="1322"/>
      <c r="E35" s="1324" t="str">
        <f>+'4B'!B32</f>
        <v>Please refer to RAG 4.07 - Guideline for the table definitions in the annual performance report for the reporting year 2017-18</v>
      </c>
    </row>
    <row r="36" spans="1:5" ht="20.25" customHeight="1">
      <c r="A36" s="18"/>
      <c r="B36" s="331" t="str">
        <f>+'4C'!B1</f>
        <v>4C - Impact of AMP performance to date on RCV</v>
      </c>
      <c r="C36" s="19" t="str">
        <f>IF($B$3="Select company","",IF((SUM('4C'!N6:P10))&gt;0,"Review validation checks on sheet","No issues identified"))</f>
        <v>No issues identified</v>
      </c>
      <c r="D36" s="1322"/>
      <c r="E36" s="1329" t="str">
        <f>+'4C'!B20</f>
        <v>Please refer to RAG 4.07 - Guideline for the table definitions in the annual performance report for the reporting year 2017-18</v>
      </c>
    </row>
    <row r="37" spans="1:5" ht="20.25" customHeight="1">
      <c r="A37" s="18"/>
      <c r="B37" s="331" t="str">
        <f>+'4D'!B1</f>
        <v>4D - Wholesale totex analysis - water</v>
      </c>
      <c r="C37" s="19" t="str">
        <f>IF($B$3="Select company","",IF((SUM('4D'!S7:X49))&gt;0,"Review validation checks on sheet","No issues identified"))</f>
        <v>No issues identified</v>
      </c>
      <c r="D37" s="1327" t="str">
        <f>IF($B$3="Select company","",IF((SUM('4D'!Y7:AA50))&gt;0,"Review validation checks on sheet","No issues identified"))</f>
        <v>Review validation checks on sheet</v>
      </c>
      <c r="E37" s="1329" t="str">
        <f>+'4D'!B59</f>
        <v>Please refer to RAG 4.07 - Guideline for the taHe definitions in the annual performance report for the reporting year 2017-18</v>
      </c>
    </row>
    <row r="38" spans="1:5" ht="20.25" customHeight="1">
      <c r="A38" s="18"/>
      <c r="B38" s="331" t="str">
        <f>+'4E'!B1</f>
        <v>4E - Wholesale totex analysis - wastewater</v>
      </c>
      <c r="C38" s="19" t="str">
        <f>IF($B$3="Select company","",IF(G3="WoC","",IF((SUM('4E'!U7:AB51))&gt;0,"Review validation checks on sheet","No issues identified")))</f>
        <v>Review validation checks on sheet</v>
      </c>
      <c r="D38" s="1327" t="str">
        <f>IF($B$3="Select company","",IF(G3="WoC","",IF((SUM('4E'!AC7:AE52))&gt;0,"Review validation checks on sheet","No issues identified")))</f>
        <v>Review validation checks on sheet</v>
      </c>
      <c r="E38" s="1329" t="str">
        <f>+'4E'!B61</f>
        <v>Please refer to RAG 4.07 - Guideline for the table definitions in the annual performance report for the reporting year 2017-18</v>
      </c>
    </row>
    <row r="39" spans="1:5" ht="20.25" customHeight="1">
      <c r="A39" s="18"/>
      <c r="B39" s="331" t="str">
        <f>+'4F'!B1</f>
        <v>4F - Cost analysis - household retail</v>
      </c>
      <c r="C39" s="19" t="str">
        <f>IF($B$3="Select company","",IF((SUM('4F'!U7:AA30))&gt;0,"Review validation checks on sheet","No issues identified"))</f>
        <v>No issues identified</v>
      </c>
      <c r="D39" s="1327" t="str">
        <f>IF($B$3="Select company","",IF((SUM('4F'!AC7:AC31))&gt;0,"Review validation checks on sheet","No issues identified"))</f>
        <v>No issues identified</v>
      </c>
      <c r="E39" s="1329" t="str">
        <f>+'4F'!B40</f>
        <v>Please refer to RAG 4.07 - Guideline for the table definitions in the annual performance report for the reporting year 2017-18</v>
      </c>
    </row>
    <row r="40" spans="1:5" ht="20.25" customHeight="1">
      <c r="A40" s="18"/>
      <c r="B40" s="331" t="str">
        <f>+'4G'!B1</f>
        <v>4G - Wholesale current cost financial performance</v>
      </c>
      <c r="C40" s="19" t="str">
        <f>IF($B$3="Select company","",IF((SUM('4G'!O5:S17))&gt;0,"Review validation checks on sheet","No issues identified"))</f>
        <v>No issues identified</v>
      </c>
      <c r="D40" s="1327" t="str">
        <f>IF($B$3="Select company","",IF((SUM('4G'!T5:T17))&gt;0,"Review validation checks on sheet","No issues identified"))</f>
        <v>No issues identified</v>
      </c>
      <c r="E40" s="1329" t="str">
        <f>+'4G'!B27</f>
        <v>Please refer to RAG 4.07 - Guideline for the table definitions in the annual performance report for the reporting year 2017-18</v>
      </c>
    </row>
    <row r="41" spans="1:5" ht="20.25" customHeight="1">
      <c r="A41" s="18"/>
      <c r="B41" s="331" t="str">
        <f>+'4H'!B1</f>
        <v>4H - Financial metrics</v>
      </c>
      <c r="C41" s="19" t="str">
        <f>IF($B$3="Select company","",IF((SUM('4H'!M10:M38))&gt;0,"Review validation checks on sheet","No issues identified"))</f>
        <v>No issues identified</v>
      </c>
      <c r="D41" s="1327" t="str">
        <f>IF($B$3="Select company","",IF((SUM('4H'!O7:O38))&gt;0,"Review validation checks on sheet","No issues identified"))</f>
        <v>No issues identified</v>
      </c>
      <c r="E41" s="1324" t="str">
        <f>+'4H'!B48</f>
        <v>Please refer to RAG 4.07 - Guideline for the table definitions in the annual performance report for the reporting year 2017-18</v>
      </c>
    </row>
    <row r="42" spans="1:5" ht="20.25" customHeight="1">
      <c r="A42" s="18"/>
      <c r="B42" s="331" t="str">
        <f>+'4I'!B1</f>
        <v>4I - Financial derivatives</v>
      </c>
      <c r="C42" s="19" t="str">
        <f>IF($B$3="Select company","",IF((SUM('4I'!U8:AA38))&gt;0,"Review validation checks on sheet","No issues identified"))</f>
        <v>No issues identified</v>
      </c>
      <c r="D42" s="1327" t="str">
        <f>IF($B$3="Select company","",IF((SUM('4I'!AC8:AC41))&gt;0,"Review validation checks on sheet","No issues identified"))</f>
        <v>Review validation checks on sheet</v>
      </c>
      <c r="E42" s="1324" t="str">
        <f>+'4I'!B50</f>
        <v>Please refer to RAG 4.07 - Guideline for the table definitions in the annual performance report for the reporting year 2017-18</v>
      </c>
    </row>
    <row r="43" spans="1:5" ht="19.5" customHeight="1">
      <c r="B43" s="331" t="str">
        <f>+'4J'!B1</f>
        <v>4J - Atypical expenditure by business unit - Wholesale water</v>
      </c>
      <c r="C43" s="19" t="str">
        <f>IF($B$3="Select company","",IF((SUM('4J'!R7:Z48))&gt;0,"Review validation checks on sheet","No issues identified"))</f>
        <v>No issues identified</v>
      </c>
      <c r="D43" s="1327" t="str">
        <f>IF($B$3="Select company","",IF((SUM('4J'!Z30:AB52))&gt;0,"Review validation checks on sheet","No issues identified"))</f>
        <v>Review validation checks on sheet</v>
      </c>
      <c r="E43" s="1324" t="str">
        <f>+'4J'!B61</f>
        <v>Please refer to RAG 4.07 - Guideline for the table definitions in the annual performance report for the reporting year 2017-18</v>
      </c>
    </row>
    <row r="44" spans="1:5" ht="19.5" customHeight="1">
      <c r="B44" s="331" t="str">
        <f>+'4K'!B1</f>
        <v>4K - Atypical expenditure by business unit - Wholesale wastewater</v>
      </c>
      <c r="C44" s="19" t="str">
        <f>IF($B$3="Select company","",IF(G3="WoC","",IF((SUM('4K'!T7:AD48))&gt;0,"Review validation checks on sheet","No issues identified")))</f>
        <v>No issues identified</v>
      </c>
      <c r="D44" s="1327" t="str">
        <f>IF($B$3="Select company","",IF(G3="WoC","",IF((SUM('4K'!AD30:AF53))&gt;0,"Review validation checks on sheet","No issues identified")))</f>
        <v>Review validation checks on sheet</v>
      </c>
      <c r="E44" s="1324" t="str">
        <f>+'4K'!B61</f>
        <v>Please refer to RAG 4.07 - Guideline for the table definitions in the annual performance report for the reporting year 2017-18</v>
      </c>
    </row>
    <row r="45" spans="1:5" ht="19.5" customHeight="1">
      <c r="B45" s="331" t="str">
        <f>+'4L'!B1</f>
        <v>4L - Enhancement expenditure by purpose - Wholesale water</v>
      </c>
      <c r="C45" s="19" t="str">
        <f>IF($B$3="Select company","",IF((SUM('4L'!Y8:AN41))&gt;0,"Review validation checks on sheet","No issues identified"))</f>
        <v>No issues identified</v>
      </c>
      <c r="D45" s="1327" t="str">
        <f>IF($B$3="Select company","",IF((SUM('4L'!AN42:AP44))&gt;0,"Review validation checks on sheet","No issues identified"))</f>
        <v>No issues identified</v>
      </c>
      <c r="E45" s="1324" t="str">
        <f>+'4L'!B51</f>
        <v>Please refer to RAG 4.07 - Guideline for the table definitions in the annual performance report for the reporting year 2017-18</v>
      </c>
    </row>
    <row r="46" spans="1:5" ht="19.5" customHeight="1">
      <c r="B46" s="331" t="str">
        <f>+'4M'!B1</f>
        <v>4M - Enhancement expenditure by purpose - Wholesale wastewater</v>
      </c>
      <c r="C46" s="19" t="str">
        <f>IF($B$3="Select company","",IF(G3="WoC","",IF((SUM('4M'!AC8:AV50))&gt;0,"Review validation checks on sheet","No issues identified")))</f>
        <v>No issues identified</v>
      </c>
      <c r="D46" s="1327" t="str">
        <f>IF($B$3="Select company","",IF(G3="WoC","",IF((SUM('4M'!AV51:AX52))&gt;0,"Review validation checks on sheet","No issues identified")))</f>
        <v>Review validation checks on sheet</v>
      </c>
      <c r="E46" s="1324" t="str">
        <f>+'4M'!B60</f>
        <v>Please refer to RAG 4.07 - Guideline for the table definitions in the annual performance report for the reporting year 2017-18</v>
      </c>
    </row>
    <row r="47" spans="1:5" ht="19.5" customHeight="1">
      <c r="B47" s="331" t="str">
        <f>+'4N'!B1</f>
        <v>4N - Operating expenditure - Sewage treatment - Wholesale wastewater</v>
      </c>
      <c r="C47" s="19" t="str">
        <f>IF($B$3="Select company","",IF(G3="WoC","",IF((SUM('4N'!N5:Q16))&gt;0,"Review validation checks on sheet","No issues identified")))</f>
        <v>No issues identified</v>
      </c>
      <c r="D47" s="1331"/>
      <c r="E47" s="1324" t="str">
        <f>+'4N'!B25</f>
        <v>Please refer to RAG 4.07 - Guideline for the table definitions in the annual performance report for the reporting year 2017-18</v>
      </c>
    </row>
    <row r="48" spans="1:5" ht="19.5" customHeight="1">
      <c r="B48" s="331" t="str">
        <f>+'4O'!B1</f>
        <v>4O - Large sewage treatment works - Wholesale wastewater</v>
      </c>
      <c r="C48" s="1331"/>
      <c r="D48" s="1331"/>
      <c r="E48" s="1324" t="str">
        <f>+'4O'!B31</f>
        <v>Please refer to RAG 4.07 - Guideline for the table definitions in the annual performance report for the reporting year 2017-18</v>
      </c>
    </row>
    <row r="49" spans="1:5" ht="19.5" customHeight="1">
      <c r="B49" s="331" t="str">
        <f>+'4P'!B1</f>
        <v>4P - Non-financial data for WR, WT and WD - Wholesale water</v>
      </c>
      <c r="C49" s="19" t="str">
        <f>IF($B$3="Select company","",IF((SUM('4P'!L6:N119))&gt;0,"Review validation checks on sheet","No issues identified"))</f>
        <v>No issues identified</v>
      </c>
      <c r="D49" s="1327" t="str">
        <f>IF($B$3="Select company","",IF((SUM('4P'!N11:P11))&gt;0,"Review validation checks on sheet","No issues identified"))</f>
        <v>Review validation checks on sheet</v>
      </c>
      <c r="E49" s="1324" t="str">
        <f>+'4P'!B128</f>
        <v>Please refer to RAG 4.07 - Guideline for the table definitions in the annual performance report for the reporting year 2017-18</v>
      </c>
    </row>
    <row r="50" spans="1:5" ht="19.5" customHeight="1">
      <c r="B50" s="331" t="str">
        <f>+'4Q'!B1</f>
        <v>4Q - Non-financial data - Properties, population and other - Wholesale water</v>
      </c>
      <c r="C50" s="19" t="str">
        <f>IF($B$3="Select company","",IF((SUM('4Q'!L6:N36))&gt;0,"Review validation checks on sheet","No issues identified"))</f>
        <v>No issues identified</v>
      </c>
      <c r="D50" s="1331"/>
      <c r="E50" s="1324" t="str">
        <f>+'4Q'!B45</f>
        <v>Please refer to RAG 4.07 - Guideline for the table definitions in the annual performance report for the reporting year 2017-18</v>
      </c>
    </row>
    <row r="51" spans="1:5" ht="19.5" customHeight="1">
      <c r="B51" s="331" t="str">
        <f>+'4R'!B1</f>
        <v>4R - Non-financial data - Wastewater network and sludge - Wholesale wastewater</v>
      </c>
      <c r="C51" s="19" t="str">
        <f>IF($B$3="Select company","",IF(G3="WoC","",IF((SUM('4R'!L6:N54))&gt;0,"Review validation checks on sheet","No issues identified")))</f>
        <v>No issues identified</v>
      </c>
      <c r="D51" s="1331"/>
      <c r="E51" s="1324" t="str">
        <f>+'4R'!B63</f>
        <v>Please refer to RAG 4.07 - Guideline for the table definitions in the annual performance report for the reporting year 2017-18</v>
      </c>
    </row>
    <row r="52" spans="1:5" ht="19.5" customHeight="1">
      <c r="B52" s="331" t="str">
        <f>+'4S'!B1</f>
        <v>4S - Non-financial data - sewage treatment - Wholesale wastewater</v>
      </c>
      <c r="C52" s="19" t="str">
        <f>IF($B$3="Select company","",IF(G3="WoC","",IF((SUM('4S'!AK8:BL38))&gt;0,"Review validation checks on sheet","No issues identified")))</f>
        <v>No issues identified</v>
      </c>
      <c r="D52" s="1331"/>
      <c r="E52" s="1324" t="str">
        <f>+'4S'!B47</f>
        <v>Please refer to RAG 4.07 - Guideline for the table definitions in the annual performance report for the reporting year 2017-18</v>
      </c>
    </row>
    <row r="53" spans="1:5" ht="19.5" customHeight="1">
      <c r="B53" s="331" t="str">
        <f>+'4T'!B1</f>
        <v>4T - Non-financial data - sludge treatment - Wholesale wastewater</v>
      </c>
      <c r="C53" s="19" t="str">
        <f>IF($B$3="Select company","",IF(G3="WoC","",IF((SUM('4T'!M6:P21))&gt;0,"Review validation checks on sheet","No issues identified")))</f>
        <v>No issues identified</v>
      </c>
      <c r="D53" s="1327" t="str">
        <f>IF($B$3="Select company","",IF(G3="WoC","",IF((SUM('4T'!P14:R22))&gt;0,"Review validation checks on sheet","No issues identified")))</f>
        <v>No issues identified</v>
      </c>
      <c r="E53" s="1324" t="str">
        <f>+'4T'!B31</f>
        <v>Please refer to RAG 4.07 - Guideline for the table definitions in the annual performance report for the reporting year 2017-18</v>
      </c>
    </row>
    <row r="54" spans="1:5" ht="19.5" customHeight="1">
      <c r="B54" s="331" t="str">
        <f>+'4U'!B1</f>
        <v>4U - Non-financial data - Properties, population and other</v>
      </c>
      <c r="C54" s="19" t="str">
        <f>IF($B$3="Select company","",IF((SUM('4U'!L6:N31))&gt;0,"Review validation checks on sheet","No issues identified"))</f>
        <v>No issues identified</v>
      </c>
      <c r="D54" s="1331"/>
      <c r="E54" s="1324" t="str">
        <f>+'4U'!B40</f>
        <v>Please refer to RAG 4.07 - Guideline for the table definitions in the annual performance report for the reporting year 2017-18</v>
      </c>
    </row>
    <row r="55" spans="1:5" ht="19.5" customHeight="1">
      <c r="B55" s="331" t="str">
        <f>+'4V'!B1</f>
        <v xml:space="preserve">4V - Operating cost analysis - water resources </v>
      </c>
      <c r="C55" s="19" t="str">
        <f>IF($B$3="Select company","",IF((SUM('4V'!R7:Y30))&gt;0,"Review validation checks on sheet","No issues identified"))</f>
        <v>No issues identified</v>
      </c>
      <c r="D55" s="1327" t="str">
        <f>IF($B$3="Select company","",IF((SUM('4V'!Y14:AA28))&gt;0,"Review validation checks on sheet","No issues identified"))</f>
        <v>Review validation checks on sheet</v>
      </c>
      <c r="E55" s="1324" t="str">
        <f>+'4V'!B39</f>
        <v>Please refer to RAG 4.07 - Guideline for the table definitions in the annual performance report for the reporting year 2017-18</v>
      </c>
    </row>
    <row r="56" spans="1:5" ht="19.5" customHeight="1" thickBot="1">
      <c r="B56" s="332" t="str">
        <f>+'4W'!B1</f>
        <v>4W - Operating cost analysis - sludge treatment</v>
      </c>
      <c r="C56" s="20" t="str">
        <f>IF($B$3="Select company","",IF(G3="WoC","",IF((SUM('4W'!T7:AC41))&gt;0,"Review validation checks on sheet","No issues identified")))</f>
        <v>No issues identified</v>
      </c>
      <c r="D56" s="1366" t="str">
        <f>IF($B$3="Select company","",IF(G3="WoC","",IF((SUM('4W'!AC14:AE41))&gt;0,"Review validation checks on sheet","No issues identified")))</f>
        <v>Review validation checks on sheet</v>
      </c>
      <c r="E56" s="1332" t="str">
        <f>+'4W'!B50</f>
        <v>Please refer to RAG 4.07 - Guideline for the table definitions in the annual performance report for the reporting year 2017-18</v>
      </c>
    </row>
    <row r="57" spans="1:5" ht="15" thickBot="1"/>
    <row r="58" spans="1:5" ht="17.25" thickBot="1">
      <c r="A58" s="12"/>
      <c r="B58" s="23" t="s">
        <v>91</v>
      </c>
      <c r="C58" s="14" t="s">
        <v>85</v>
      </c>
      <c r="D58" s="15" t="s">
        <v>86</v>
      </c>
      <c r="E58" s="16" t="s">
        <v>87</v>
      </c>
    </row>
    <row r="59" spans="1:5" ht="20.25" customHeight="1" thickBot="1">
      <c r="A59" s="18"/>
      <c r="B59" s="1317" t="str">
        <f>+Bioresources!B1</f>
        <v>Bidding activity: bioresources market</v>
      </c>
      <c r="C59" s="1318" t="str">
        <f>IF($B$3="Select company","",IF(G3="WoC","",IF((SUM(Bioresources!K6:M41))&gt;0,"Review validation checks on sheet","No issues identified")))</f>
        <v>No issues identified</v>
      </c>
      <c r="D59" s="1319"/>
      <c r="E59" s="1320" t="e">
        <f ca="1">+Bioresources!B49</f>
        <v>#VALUE!</v>
      </c>
    </row>
    <row r="60" spans="1:5"/>
  </sheetData>
  <sheetProtection algorithmName="SHA-512" hashValue="CKdIACY3W5eOKeAKB3230odvxCwkdAnb/a60vpLWJvairg5Su5hwwzjW3TSMAe7dUkLcdQzfKGQAaj9b1Qs0Fg==" saltValue="ZdWiwiZVZ+Bk3zq3HjkLmA==" spinCount="100000" sheet="1" objects="1" scenarios="1"/>
  <mergeCells count="1">
    <mergeCell ref="B5:E5"/>
  </mergeCells>
  <conditionalFormatting sqref="C8:C12 C34:C41">
    <cfRule type="cellIs" dxfId="631" priority="121" operator="equal">
      <formula>"Review validation checks on sheet"</formula>
    </cfRule>
  </conditionalFormatting>
  <conditionalFormatting sqref="C15:C23">
    <cfRule type="cellIs" dxfId="630" priority="78" operator="equal">
      <formula>"Review validation checks on sheet"</formula>
    </cfRule>
  </conditionalFormatting>
  <conditionalFormatting sqref="C23">
    <cfRule type="containsBlanks" dxfId="629" priority="77">
      <formula>LEN(TRIM(C23))=0</formula>
    </cfRule>
  </conditionalFormatting>
  <conditionalFormatting sqref="C31">
    <cfRule type="cellIs" dxfId="628" priority="74" operator="equal">
      <formula>"Review validation checks on sheet"</formula>
    </cfRule>
  </conditionalFormatting>
  <conditionalFormatting sqref="C59">
    <cfRule type="cellIs" dxfId="627" priority="36" operator="equal">
      <formula>"Review validation checks on sheet"</formula>
    </cfRule>
  </conditionalFormatting>
  <conditionalFormatting sqref="C8:D56">
    <cfRule type="containsBlanks" dxfId="626" priority="1">
      <formula>LEN(TRIM(C8))=0</formula>
    </cfRule>
  </conditionalFormatting>
  <conditionalFormatting sqref="C22:D59">
    <cfRule type="expression" dxfId="625" priority="116">
      <formula>$H$3=1</formula>
    </cfRule>
  </conditionalFormatting>
  <conditionalFormatting sqref="C23:D24">
    <cfRule type="cellIs" dxfId="624" priority="103" operator="equal">
      <formula>"Review validation checks on sheet"</formula>
    </cfRule>
  </conditionalFormatting>
  <conditionalFormatting sqref="C27:D30">
    <cfRule type="cellIs" dxfId="623" priority="93" operator="equal">
      <formula>"Review validation checks on sheet"</formula>
    </cfRule>
  </conditionalFormatting>
  <conditionalFormatting sqref="C42:D56">
    <cfRule type="cellIs" dxfId="622" priority="2" operator="equal">
      <formula>"Review validation checks on sheet"</formula>
    </cfRule>
  </conditionalFormatting>
  <conditionalFormatting sqref="C59:D59">
    <cfRule type="containsBlanks" dxfId="621" priority="35">
      <formula>LEN(TRIM(C59))=0</formula>
    </cfRule>
  </conditionalFormatting>
  <conditionalFormatting sqref="D12">
    <cfRule type="cellIs" dxfId="620" priority="23" operator="equal">
      <formula>"Review validation checks on sheet"</formula>
    </cfRule>
    <cfRule type="containsBlanks" dxfId="619" priority="27">
      <formula>LEN(TRIM(D12))=0</formula>
    </cfRule>
  </conditionalFormatting>
  <conditionalFormatting sqref="D15:D16">
    <cfRule type="cellIs" dxfId="618" priority="106" operator="equal">
      <formula>"Review validation checks on sheet"</formula>
    </cfRule>
  </conditionalFormatting>
  <conditionalFormatting sqref="D18">
    <cfRule type="cellIs" dxfId="617" priority="104" operator="equal">
      <formula>"Review validation checks on sheet"</formula>
    </cfRule>
  </conditionalFormatting>
  <conditionalFormatting sqref="D21:D24">
    <cfRule type="cellIs" dxfId="616" priority="33" operator="equal">
      <formula>"Review validation checks on sheet"</formula>
    </cfRule>
  </conditionalFormatting>
  <conditionalFormatting sqref="D27:D31">
    <cfRule type="cellIs" dxfId="615" priority="92" operator="equal">
      <formula>"Review validation checks on sheet"</formula>
    </cfRule>
  </conditionalFormatting>
  <conditionalFormatting sqref="D37:D41">
    <cfRule type="cellIs" dxfId="614" priority="108" operator="equal">
      <formula>"Review validation checks on sheet"</formula>
    </cfRule>
  </conditionalFormatting>
  <hyperlinks>
    <hyperlink ref="B8" location="'1A'!B1" display="A1 - table name" xr:uid="{00000000-0004-0000-0500-000000000000}"/>
    <hyperlink ref="B9" location="'1B'!B1" display="'1B'!B1" xr:uid="{00000000-0004-0000-0500-000001000000}"/>
    <hyperlink ref="B10" location="'1C'!B1" display="'1C'!B1" xr:uid="{00000000-0004-0000-0500-000002000000}"/>
    <hyperlink ref="B11" location="'1D'!B1" display="'1D'!B1" xr:uid="{00000000-0004-0000-0500-000003000000}"/>
    <hyperlink ref="B12" location="'1E'!B1" display="'1E'!B1" xr:uid="{00000000-0004-0000-0500-000004000000}"/>
    <hyperlink ref="B15" location="'2A'!B1" display="'2A'!B1" xr:uid="{00000000-0004-0000-0500-000005000000}"/>
    <hyperlink ref="B16" location="'2B'!B1" display="'2B'!B1" xr:uid="{00000000-0004-0000-0500-000006000000}"/>
    <hyperlink ref="B17" location="'2C'!B1" display="'2C'!B1" xr:uid="{00000000-0004-0000-0500-000007000000}"/>
    <hyperlink ref="B18" location="'2D'!B1" display="'2D'!B1" xr:uid="{00000000-0004-0000-0500-000008000000}"/>
    <hyperlink ref="B19" location="'2E'!B1" display="'2E'!B1" xr:uid="{00000000-0004-0000-0500-000009000000}"/>
    <hyperlink ref="B20" location="'2F'!B1" display="'2F'!B1" xr:uid="{00000000-0004-0000-0500-00000A000000}"/>
    <hyperlink ref="B21" location="'2G'!B1" display="'2G'!B1" xr:uid="{00000000-0004-0000-0500-00000B000000}"/>
    <hyperlink ref="B22" location="'2H'!B1" display="'2H'!B1" xr:uid="{00000000-0004-0000-0500-00000C000000}"/>
    <hyperlink ref="B23" location="'2I'!B1" display="'2I'!B1" xr:uid="{00000000-0004-0000-0500-00000D000000}"/>
    <hyperlink ref="B27" location="'3A'!B1" display="'3A'!B1" xr:uid="{00000000-0004-0000-0500-00000E000000}"/>
    <hyperlink ref="B34" location="'4A'!B1" display="'4A'!B1" xr:uid="{00000000-0004-0000-0500-00000F000000}"/>
    <hyperlink ref="B35" location="'4B'!B1" display="'4B'!B1" xr:uid="{00000000-0004-0000-0500-000010000000}"/>
    <hyperlink ref="B36" location="'4C'!B1" display="'4C'!B1" xr:uid="{00000000-0004-0000-0500-000011000000}"/>
    <hyperlink ref="B37" location="'4D'!B1" display="'4D'!B1" xr:uid="{00000000-0004-0000-0500-000012000000}"/>
    <hyperlink ref="B38" location="'4E'!B1" display="'4E'!B1" xr:uid="{00000000-0004-0000-0500-000013000000}"/>
    <hyperlink ref="B39" location="'4F'!B1" display="'4F'!B1" xr:uid="{00000000-0004-0000-0500-000014000000}"/>
    <hyperlink ref="B40" location="'4G'!B1" display="'4G'!B1" xr:uid="{00000000-0004-0000-0500-000015000000}"/>
    <hyperlink ref="B41" location="'4H'!B1" display="'4H'!B1" xr:uid="{00000000-0004-0000-0500-000016000000}"/>
    <hyperlink ref="B42" location="'4I'!B1" display="'4I'!B1" xr:uid="{00000000-0004-0000-0500-000017000000}"/>
    <hyperlink ref="B28" location="'3B'!B1" display="'3B'!B1" xr:uid="{00000000-0004-0000-0500-000018000000}"/>
    <hyperlink ref="B29" location="'3C'!B1" display="'3C'!B1" xr:uid="{00000000-0004-0000-0500-000019000000}"/>
    <hyperlink ref="B30" location="'3D'!B1" display="'3D'!B1" xr:uid="{00000000-0004-0000-0500-00001A000000}"/>
    <hyperlink ref="B24" location="'2J'!B1" display="'2J'!B1" xr:uid="{00000000-0004-0000-0500-00001B000000}"/>
    <hyperlink ref="B43" location="'4J'!Print_Area" display="'4J'!Print_Area" xr:uid="{00000000-0004-0000-0500-00001C000000}"/>
    <hyperlink ref="B44" location="'4K'!B1" display="'4K'!B1" xr:uid="{00000000-0004-0000-0500-00001D000000}"/>
    <hyperlink ref="B45" location="'4L'!B1" display="'4L'!B1" xr:uid="{00000000-0004-0000-0500-00001E000000}"/>
    <hyperlink ref="B46" location="'4M'!B1" display="'4M'!B1" xr:uid="{00000000-0004-0000-0500-00001F000000}"/>
    <hyperlink ref="B47" location="'4N'!B1" display="'4N'!B1" xr:uid="{00000000-0004-0000-0500-000020000000}"/>
    <hyperlink ref="B48" location="'4O'!B1" display="'4O'!B1" xr:uid="{00000000-0004-0000-0500-000021000000}"/>
    <hyperlink ref="B49" location="'4P'!B1" display="'4P'!B1" xr:uid="{00000000-0004-0000-0500-000022000000}"/>
    <hyperlink ref="B50" location="'4Q'!B1" display="'4Q'!B1" xr:uid="{00000000-0004-0000-0500-000023000000}"/>
    <hyperlink ref="B51" location="'4R'!B1" display="'4R'!B1" xr:uid="{00000000-0004-0000-0500-000024000000}"/>
    <hyperlink ref="B52" location="'4S'!B1" display="'4S'!B1" xr:uid="{00000000-0004-0000-0500-000025000000}"/>
    <hyperlink ref="B53" location="'4T'!B1" display="'4T'!B1" xr:uid="{00000000-0004-0000-0500-000026000000}"/>
    <hyperlink ref="B54" location="'4U'!B1" display="'4U'!B1" xr:uid="{00000000-0004-0000-0500-000027000000}"/>
    <hyperlink ref="B55" location="'4V'!B1" display="'4V'!B1" xr:uid="{00000000-0004-0000-0500-000028000000}"/>
    <hyperlink ref="B56" location="'4W'!B1" display="'4W'!B1" xr:uid="{00000000-0004-0000-0500-000029000000}"/>
    <hyperlink ref="E59" location="'4A'!B26" display="'4A'!B26" xr:uid="{00000000-0004-0000-0500-00002A000000}"/>
    <hyperlink ref="B59" location="'4A'!B1" display="'4A'!B1" xr:uid="{00000000-0004-0000-0500-00002B000000}"/>
    <hyperlink ref="E31" location="'3S'!B75" display="'3S'!B75" xr:uid="{00000000-0004-0000-0500-00002C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Lists!$B$4:$B$24</xm:f>
          </x14:formula1>
          <xm:sqref>B3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D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103.125" bestFit="1"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80.625" bestFit="1"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s>
  <sheetData>
    <row r="1" spans="1:108" ht="25.5">
      <c r="A1" s="50" t="s">
        <v>1955</v>
      </c>
      <c r="B1" s="50"/>
      <c r="C1" s="50" t="s">
        <v>1956</v>
      </c>
    </row>
    <row r="2" spans="1:108" s="51" customFormat="1" ht="12.75">
      <c r="A2" s="51" t="s">
        <v>8081</v>
      </c>
      <c r="B2" s="51" t="s">
        <v>11466</v>
      </c>
      <c r="C2" s="51" t="str">
        <f xml:space="preserve"> A2 &amp; "PC"</f>
        <v>AFWPC</v>
      </c>
      <c r="D2" s="51" t="str">
        <f xml:space="preserve"> A2 &amp; "Unit"</f>
        <v>AFWUnit</v>
      </c>
      <c r="E2" s="51" t="s">
        <v>11028</v>
      </c>
      <c r="F2" s="51" t="str">
        <f xml:space="preserve"> A2 &amp; "201617ActPerf"</f>
        <v>AFW201617ActPerf</v>
      </c>
      <c r="G2" s="51" t="s">
        <v>7961</v>
      </c>
      <c r="H2" s="51" t="s">
        <v>11467</v>
      </c>
      <c r="I2" s="51" t="str">
        <f>G2&amp;"PC"</f>
        <v>ANHPC</v>
      </c>
      <c r="J2" s="51" t="str">
        <f xml:space="preserve"> G2 &amp; "Unit"</f>
        <v>ANHUnit</v>
      </c>
      <c r="K2" s="51" t="s">
        <v>11029</v>
      </c>
      <c r="L2" s="51" t="str">
        <f xml:space="preserve"> G2 &amp; "201617ActPerf"</f>
        <v>ANH201617ActPerf</v>
      </c>
      <c r="M2" s="51" t="s">
        <v>8419</v>
      </c>
      <c r="N2" s="51" t="s">
        <v>11468</v>
      </c>
      <c r="O2" s="51" t="str">
        <f>M2&amp;"PC"</f>
        <v>BRLPC</v>
      </c>
      <c r="P2" s="51" t="str">
        <f xml:space="preserve"> M2 &amp; "Unit"</f>
        <v>BRLUnit</v>
      </c>
      <c r="Q2" s="51" t="s">
        <v>11030</v>
      </c>
      <c r="R2" s="51" t="str">
        <f xml:space="preserve"> M2 &amp; "201617ActPerf"</f>
        <v>BRL201617ActPerf</v>
      </c>
      <c r="S2" s="51" t="s">
        <v>8550</v>
      </c>
      <c r="T2" s="51" t="s">
        <v>11469</v>
      </c>
      <c r="U2" s="51" t="str">
        <f>S2&amp;"PC"</f>
        <v>DVWPC</v>
      </c>
      <c r="V2" s="51" t="str">
        <f xml:space="preserve"> S2 &amp; "Unit"</f>
        <v>DVWUnit</v>
      </c>
      <c r="W2" s="51" t="s">
        <v>11031</v>
      </c>
      <c r="X2" s="51" t="str">
        <f xml:space="preserve"> S2 &amp; "201617ActPerf"</f>
        <v>DVW201617ActPerf</v>
      </c>
      <c r="Y2" s="51" t="s">
        <v>7968</v>
      </c>
      <c r="Z2" s="51" t="s">
        <v>11470</v>
      </c>
      <c r="AA2" s="51" t="str">
        <f>Y2&amp;"PC"</f>
        <v>NESPC</v>
      </c>
      <c r="AB2" s="51" t="str">
        <f xml:space="preserve"> Y2 &amp; "Unit"</f>
        <v>NESUnit</v>
      </c>
      <c r="AC2" s="51" t="s">
        <v>11032</v>
      </c>
      <c r="AD2" s="51" t="str">
        <f xml:space="preserve"> Y2 &amp; "201617ActPerf"</f>
        <v>NES201617ActPerf</v>
      </c>
      <c r="AE2" s="51" t="s">
        <v>8942</v>
      </c>
      <c r="AF2" s="51" t="s">
        <v>11471</v>
      </c>
      <c r="AG2" s="51" t="str">
        <f>AE2&amp;"PC"</f>
        <v>PRTPC</v>
      </c>
      <c r="AH2" s="51" t="str">
        <f xml:space="preserve"> AE2 &amp; "Unit"</f>
        <v>PRTUnit</v>
      </c>
      <c r="AI2" s="51" t="s">
        <v>11033</v>
      </c>
      <c r="AJ2" s="51" t="str">
        <f xml:space="preserve"> AE2 &amp; "201617ActPerf"</f>
        <v>PRT201617ActPerf</v>
      </c>
      <c r="AK2" s="51" t="s">
        <v>9021</v>
      </c>
      <c r="AL2" s="51" t="s">
        <v>11472</v>
      </c>
      <c r="AM2" s="51" t="str">
        <f>AK2&amp;"PC"</f>
        <v>SBWPC</v>
      </c>
      <c r="AN2" s="51" t="str">
        <f xml:space="preserve"> AK2 &amp; "Unit"</f>
        <v>SBWUnit</v>
      </c>
      <c r="AO2" s="51" t="s">
        <v>11034</v>
      </c>
      <c r="AP2" s="51" t="str">
        <f xml:space="preserve"> AK2 &amp; "201617ActPerf"</f>
        <v>SBW201617ActPerf</v>
      </c>
      <c r="AQ2" s="51" t="s">
        <v>9104</v>
      </c>
      <c r="AR2" s="51" t="s">
        <v>11473</v>
      </c>
      <c r="AS2" s="51" t="str">
        <f>AQ2&amp;"PC"</f>
        <v>SESPC</v>
      </c>
      <c r="AT2" s="51" t="str">
        <f xml:space="preserve"> AQ2 &amp; "Unit"</f>
        <v>SESUnit</v>
      </c>
      <c r="AU2" s="51" t="s">
        <v>11035</v>
      </c>
      <c r="AV2" s="51" t="str">
        <f xml:space="preserve"> AQ2 &amp; "201617ActPerf"</f>
        <v>SES201617ActPerf</v>
      </c>
      <c r="AW2" s="51" t="s">
        <v>9211</v>
      </c>
      <c r="AX2" s="51" t="s">
        <v>11474</v>
      </c>
      <c r="AY2" s="51" t="str">
        <f>AW2&amp;"PC"</f>
        <v>SEWPC</v>
      </c>
      <c r="AZ2" s="51" t="str">
        <f xml:space="preserve"> AW2 &amp; "Unit"</f>
        <v>SEWUnit</v>
      </c>
      <c r="BA2" s="51" t="s">
        <v>11036</v>
      </c>
      <c r="BB2" s="51" t="str">
        <f xml:space="preserve"> AW2 &amp; "201617ActPerf"</f>
        <v>SEW201617ActPerf</v>
      </c>
      <c r="BC2" s="51" t="s">
        <v>7981</v>
      </c>
      <c r="BD2" s="51" t="s">
        <v>11475</v>
      </c>
      <c r="BE2" s="51" t="str">
        <f>BC2&amp;"PC"</f>
        <v>SRNPC</v>
      </c>
      <c r="BF2" s="51" t="str">
        <f xml:space="preserve"> BC2 &amp; "Unit"</f>
        <v>SRNUnit</v>
      </c>
      <c r="BG2" s="51" t="s">
        <v>11037</v>
      </c>
      <c r="BH2" s="51" t="str">
        <f xml:space="preserve"> BC2 &amp; "201617ActPerf"</f>
        <v>SRN201617ActPerf</v>
      </c>
      <c r="BI2" s="51" t="s">
        <v>9528</v>
      </c>
      <c r="BJ2" s="51" t="s">
        <v>11476</v>
      </c>
      <c r="BK2" s="51" t="str">
        <f>BI2&amp;"PC"</f>
        <v>SSCPC</v>
      </c>
      <c r="BL2" s="51" t="str">
        <f xml:space="preserve"> BI2 &amp; "Unit"</f>
        <v>SSCUnit</v>
      </c>
      <c r="BM2" s="51" t="s">
        <v>11477</v>
      </c>
      <c r="BN2" s="51" t="str">
        <f xml:space="preserve"> BI2 &amp; "201617ActPerf"</f>
        <v>SSC201617ActPerf</v>
      </c>
      <c r="BO2" s="51" t="s">
        <v>7971</v>
      </c>
      <c r="BP2" s="51" t="s">
        <v>11478</v>
      </c>
      <c r="BQ2" s="51" t="str">
        <f>BO2&amp;"PC"</f>
        <v>SVTPC</v>
      </c>
      <c r="BR2" s="51" t="str">
        <f xml:space="preserve"> BO2 &amp; "Unit"</f>
        <v>SVTUnit</v>
      </c>
      <c r="BS2" s="51" t="s">
        <v>11038</v>
      </c>
      <c r="BT2" s="51" t="str">
        <f xml:space="preserve"> BO2 &amp; "201617ActPerf"</f>
        <v>SVT201617ActPerf</v>
      </c>
      <c r="BU2" s="51" t="s">
        <v>7977</v>
      </c>
      <c r="BV2" s="51" t="s">
        <v>11479</v>
      </c>
      <c r="BW2" s="51" t="str">
        <f>BU2&amp;"PC"</f>
        <v>SWTPC</v>
      </c>
      <c r="BX2" s="51" t="str">
        <f xml:space="preserve"> BU2 &amp; "Unit"</f>
        <v>SWTUnit</v>
      </c>
      <c r="BY2" s="51" t="s">
        <v>11039</v>
      </c>
      <c r="BZ2" s="51" t="str">
        <f xml:space="preserve"> BU2 &amp; "201617ActPerf"</f>
        <v>SWT201617ActPerf</v>
      </c>
      <c r="CA2" s="51" t="s">
        <v>7983</v>
      </c>
      <c r="CB2" s="51" t="s">
        <v>11480</v>
      </c>
      <c r="CC2" s="51" t="str">
        <f>CA2&amp;"PC"</f>
        <v>TMSPC</v>
      </c>
      <c r="CD2" s="51" t="str">
        <f xml:space="preserve"> CA2 &amp; "Unit"</f>
        <v>TMSUnit</v>
      </c>
      <c r="CE2" s="51" t="s">
        <v>11040</v>
      </c>
      <c r="CF2" s="51" t="str">
        <f xml:space="preserve"> CA2 &amp; "201617ActPerf"</f>
        <v>TMS201617ActPerf</v>
      </c>
      <c r="CG2" s="51" t="s">
        <v>7986</v>
      </c>
      <c r="CH2" s="51" t="s">
        <v>11481</v>
      </c>
      <c r="CI2" s="51" t="str">
        <f>CG2&amp;"PC"</f>
        <v>NWTPC</v>
      </c>
      <c r="CJ2" s="51" t="str">
        <f xml:space="preserve"> CG2 &amp; "Unit"</f>
        <v>NWTUnit</v>
      </c>
      <c r="CK2" s="51" t="s">
        <v>11041</v>
      </c>
      <c r="CL2" s="51" t="str">
        <f xml:space="preserve"> CG2 &amp; "201617ActPerf"</f>
        <v>NWT201617ActPerf</v>
      </c>
      <c r="CM2" s="51" t="s">
        <v>7965</v>
      </c>
      <c r="CN2" s="51" t="s">
        <v>11482</v>
      </c>
      <c r="CO2" s="51" t="str">
        <f>CM2&amp;"PC"</f>
        <v>WSHPC</v>
      </c>
      <c r="CP2" s="51" t="str">
        <f xml:space="preserve"> CM2 &amp; "Unit"</f>
        <v>WSHUnit</v>
      </c>
      <c r="CQ2" s="51" t="s">
        <v>11042</v>
      </c>
      <c r="CR2" s="51" t="str">
        <f xml:space="preserve"> CM2 &amp; "201617ActPerf"</f>
        <v>WSH201617ActPerf</v>
      </c>
      <c r="CS2" s="51" t="s">
        <v>7989</v>
      </c>
      <c r="CT2" s="51" t="s">
        <v>11483</v>
      </c>
      <c r="CU2" s="51" t="s">
        <v>11043</v>
      </c>
      <c r="CV2" s="51" t="str">
        <f xml:space="preserve"> CS2 &amp; "Unit"</f>
        <v>WSXUnit</v>
      </c>
      <c r="CW2" s="51" t="s">
        <v>11044</v>
      </c>
      <c r="CX2" s="51" t="str">
        <f xml:space="preserve"> CS2 &amp; "201516ActPerf"</f>
        <v>WSX201516ActPerf</v>
      </c>
      <c r="CY2" s="51" t="s">
        <v>7992</v>
      </c>
      <c r="CZ2" s="51" t="s">
        <v>11484</v>
      </c>
      <c r="DA2" s="51" t="str">
        <f>CY2&amp;"PC"</f>
        <v>YKYPC</v>
      </c>
      <c r="DB2" s="51" t="str">
        <f xml:space="preserve"> CY2 &amp; "Unit"</f>
        <v>YKYUnit</v>
      </c>
      <c r="DC2" s="51" t="s">
        <v>11045</v>
      </c>
      <c r="DD2" s="51" t="str">
        <f xml:space="preserve"> CY2 &amp; "201617ActPerf"</f>
        <v>YKY201617ActPerf</v>
      </c>
    </row>
    <row r="3" spans="1:108">
      <c r="G3" t="str">
        <f>'SUB LIST'!A3</f>
        <v>PR14ANHWSW_W-H1</v>
      </c>
      <c r="H3" t="str">
        <f>'SUB LIST'!P3</f>
        <v>00</v>
      </c>
      <c r="I3" t="str">
        <f>'SUB LIST'!Q3</f>
        <v>W-H1: Water infrastructure</v>
      </c>
      <c r="J3" t="str">
        <f>'SUB LIST'!T3</f>
        <v>category</v>
      </c>
      <c r="K3" t="str">
        <f>'SUB LIST'!U3</f>
        <v>na</v>
      </c>
      <c r="L3" t="str">
        <f>'SUB LIST'!AU3</f>
        <v>Amber</v>
      </c>
      <c r="M3" t="str">
        <f>'SUB LIST'!A20</f>
        <v>PR14BRLWSW_A2</v>
      </c>
      <c r="N3" t="str">
        <f>'SUB LIST'!P20</f>
        <v>00</v>
      </c>
      <c r="O3" t="str">
        <f>'SUB LIST'!Q20</f>
        <v>A2: Asset reliability - infrastructure</v>
      </c>
      <c r="P3" t="str">
        <f>'SUB LIST'!T20</f>
        <v>category</v>
      </c>
      <c r="Q3" t="str">
        <f>'SUB LIST'!U20</f>
        <v>na</v>
      </c>
      <c r="R3" t="str">
        <f>'SUB LIST'!AU20</f>
        <v>Stable</v>
      </c>
      <c r="AK3" t="str">
        <f>'SUB LIST'!A26</f>
        <v>PR14SBWWSW_B4</v>
      </c>
      <c r="AL3" t="str">
        <f>'SUB LIST'!P26</f>
        <v>00</v>
      </c>
      <c r="AM3" t="str">
        <f>'SUB LIST'!Q26</f>
        <v>B4: Maintain serviceable assets</v>
      </c>
      <c r="AN3" t="str">
        <f>'SUB LIST'!T26</f>
        <v>category</v>
      </c>
      <c r="AO3" t="str">
        <f>'SUB LIST'!U26</f>
        <v>na</v>
      </c>
      <c r="AP3" t="str">
        <f>'SUB LIST'!AU26</f>
        <v>Stable</v>
      </c>
      <c r="AW3" t="str">
        <f>'SUB LIST'!A37</f>
        <v>PR14SEWWSW_N2</v>
      </c>
      <c r="AX3" t="str">
        <f>'SUB LIST'!P37</f>
        <v>00</v>
      </c>
      <c r="AY3" t="str">
        <f>'SUB LIST'!Q37</f>
        <v>N2: Above ground asset performance assessment</v>
      </c>
      <c r="AZ3" t="str">
        <f>'SUB LIST'!T37</f>
        <v>category</v>
      </c>
      <c r="BA3" t="str">
        <f>'SUB LIST'!U37</f>
        <v>na</v>
      </c>
      <c r="BB3" t="str">
        <f>'SUB LIST'!AU37</f>
        <v>Stable</v>
      </c>
      <c r="BC3" t="str">
        <f>'SUB LIST'!A42</f>
        <v>PR14SRNWSW_1</v>
      </c>
      <c r="BD3" t="str">
        <f>'SUB LIST'!P42</f>
        <v>00</v>
      </c>
      <c r="BE3" t="str">
        <f>'SUB LIST'!Q42</f>
        <v>1: Water asset health</v>
      </c>
      <c r="BF3" t="str">
        <f>'SUB LIST'!T42</f>
        <v>category</v>
      </c>
      <c r="BG3" t="str">
        <f>'SUB LIST'!U42</f>
        <v>na</v>
      </c>
      <c r="BH3" t="str">
        <f>'SUB LIST'!AU42</f>
        <v>Stable</v>
      </c>
      <c r="BI3" t="str">
        <f>'SUB LIST'!A52</f>
        <v>PR14SSCWSW_2.2</v>
      </c>
      <c r="BJ3" t="str">
        <f>'SUB LIST'!P52</f>
        <v>00</v>
      </c>
      <c r="BK3" t="str">
        <f>'SUB LIST'!Q52</f>
        <v>2.2: Serviceability infrastructure (combined company)</v>
      </c>
      <c r="BL3" t="str">
        <f>'SUB LIST'!T52</f>
        <v>category</v>
      </c>
      <c r="BM3" t="str">
        <f>'SUB LIST'!U52</f>
        <v>na</v>
      </c>
      <c r="BN3" t="str">
        <f>'SUB LIST'!AU52</f>
        <v>Stable</v>
      </c>
      <c r="BO3" t="str">
        <f>'SUB LIST'!A64</f>
        <v>PR14SVTWSWW_S-C3</v>
      </c>
      <c r="BP3" t="str">
        <f>'SUB LIST'!P64</f>
        <v>00</v>
      </c>
      <c r="BQ3" t="str">
        <f>'SUB LIST'!Q64</f>
        <v>S-C3: Asset stewardship - environmental compliance (basket of measures)</v>
      </c>
      <c r="BR3" t="str">
        <f>'SUB LIST'!T64</f>
        <v>%</v>
      </c>
      <c r="BS3">
        <f>'SUB LIST'!U64</f>
        <v>2</v>
      </c>
      <c r="BT3">
        <f>'SUB LIST'!AU64</f>
        <v>97.988160870777804</v>
      </c>
      <c r="BU3" t="str">
        <f>'SUB LIST'!A74</f>
        <v>PR14SWTWSW_W-A3</v>
      </c>
      <c r="BV3" t="str">
        <f>'SUB LIST'!P74</f>
        <v>00</v>
      </c>
      <c r="BW3" t="str">
        <f>'SUB LIST'!Q74</f>
        <v>W-A3 Asset reliability (pipes)</v>
      </c>
      <c r="BX3" t="str">
        <f>'SUB LIST'!T74</f>
        <v>category</v>
      </c>
      <c r="BY3" t="str">
        <f>'SUB LIST'!U74</f>
        <v>na</v>
      </c>
      <c r="BZ3" t="str">
        <f>'SUB LIST'!AU74</f>
        <v>Stable</v>
      </c>
      <c r="CA3" t="str">
        <f>'SUB LIST'!A98</f>
        <v>PR14TMSWSW_WB1</v>
      </c>
      <c r="CB3" t="str">
        <f>'SUB LIST'!P98</f>
        <v>00</v>
      </c>
      <c r="CC3" t="str">
        <f>'SUB LIST'!Q98</f>
        <v>WB1: Asset health water infrastructure</v>
      </c>
      <c r="CD3" t="str">
        <f>'SUB LIST'!T98</f>
        <v>category</v>
      </c>
      <c r="CE3" t="str">
        <f>'SUB LIST'!U98</f>
        <v>na</v>
      </c>
      <c r="CF3" t="str">
        <f>'SUB LIST'!AU98</f>
        <v>Marginal</v>
      </c>
      <c r="CG3" t="str">
        <f>'SUB LIST'!A122</f>
        <v>PR14UUWSW_A3</v>
      </c>
      <c r="CH3" t="str">
        <f>'SUB LIST'!P122</f>
        <v>00</v>
      </c>
      <c r="CI3" t="str">
        <f>'SUB LIST'!Q122</f>
        <v>A3: Water Quality Service Index</v>
      </c>
      <c r="CJ3" t="str">
        <f>'SUB LIST'!T122</f>
        <v>score</v>
      </c>
      <c r="CK3">
        <f>'SUB LIST'!U122</f>
        <v>3</v>
      </c>
      <c r="CL3">
        <f>'SUB LIST'!AU122</f>
        <v>116.923</v>
      </c>
      <c r="CM3" t="str">
        <f>'SUB LIST'!A162</f>
        <v>PR14WSHWSW_F1</v>
      </c>
      <c r="CN3" t="str">
        <f>'SUB LIST'!P162</f>
        <v>00</v>
      </c>
      <c r="CO3" t="str">
        <f>'SUB LIST'!Q162</f>
        <v>F1: Asset serviceability</v>
      </c>
      <c r="CP3" t="str">
        <f>'SUB LIST'!T162</f>
        <v>category</v>
      </c>
      <c r="CQ3" t="str">
        <f>'SUB LIST'!U162</f>
        <v>na</v>
      </c>
      <c r="CR3" t="str">
        <f>'SUB LIST'!AU162</f>
        <v>Stable</v>
      </c>
      <c r="CY3" t="str">
        <f>'SUB LIST'!A184</f>
        <v>PR14YKYWSW_WA4</v>
      </c>
      <c r="CZ3" t="str">
        <f>'SUB LIST'!P184</f>
        <v>00</v>
      </c>
      <c r="DA3" t="str">
        <f>'SUB LIST'!Q184</f>
        <v>WA4: Water quality stability and reliability factor</v>
      </c>
      <c r="DB3" t="str">
        <f>'SUB LIST'!T184</f>
        <v>category</v>
      </c>
      <c r="DC3" t="str">
        <f>'SUB LIST'!U184</f>
        <v>na</v>
      </c>
      <c r="DD3" t="str">
        <f>'SUB LIST'!AU184</f>
        <v xml:space="preserve">Stable </v>
      </c>
    </row>
    <row r="4" spans="1:108">
      <c r="G4" t="str">
        <f>'SUB LIST'!A4</f>
        <v>PR14ANHWSW_W-H1</v>
      </c>
      <c r="H4" t="str">
        <f>'SUB LIST'!P4</f>
        <v>01</v>
      </c>
      <c r="I4" t="str">
        <f>'SUB LIST'!Q4</f>
        <v>Unplanned interruptions &gt;12 hours</v>
      </c>
      <c r="J4" t="str">
        <f>'SUB LIST'!T4</f>
        <v>nr</v>
      </c>
      <c r="K4" t="str">
        <f>'SUB LIST'!U4</f>
        <v>0</v>
      </c>
      <c r="L4">
        <f>'SUB LIST'!AU4</f>
        <v>2459</v>
      </c>
      <c r="M4" t="str">
        <f>'SUB LIST'!A21</f>
        <v>PR14BRLWSW_A2</v>
      </c>
      <c r="N4" t="str">
        <f>'SUB LIST'!P21</f>
        <v>01</v>
      </c>
      <c r="O4" t="str">
        <f>'SUB LIST'!Q21</f>
        <v>Total bursts (number)</v>
      </c>
      <c r="P4" t="str">
        <f>'SUB LIST'!T21</f>
        <v>nr</v>
      </c>
      <c r="Q4" t="str">
        <f>'SUB LIST'!U21</f>
        <v>0</v>
      </c>
      <c r="R4">
        <f>'SUB LIST'!AU21</f>
        <v>1034</v>
      </c>
      <c r="AK4" t="str">
        <f>'SUB LIST'!A27</f>
        <v>PR14SBWWSW_B4</v>
      </c>
      <c r="AL4" t="str">
        <f>'SUB LIST'!P27</f>
        <v>01</v>
      </c>
      <c r="AM4" t="str">
        <f>'SUB LIST'!Q27</f>
        <v>Total bursts</v>
      </c>
      <c r="AN4" t="str">
        <f>'SUB LIST'!T27</f>
        <v>nr</v>
      </c>
      <c r="AO4" t="str">
        <f>'SUB LIST'!U27</f>
        <v>0</v>
      </c>
      <c r="AP4">
        <f>'SUB LIST'!AU27</f>
        <v>280</v>
      </c>
      <c r="AW4" t="str">
        <f>'SUB LIST'!A38</f>
        <v>PR14SEWWSW_N2</v>
      </c>
      <c r="AX4" t="str">
        <f>'SUB LIST'!P38</f>
        <v>01</v>
      </c>
      <c r="AY4" t="str">
        <f>'SUB LIST'!Q38</f>
        <v>WTW coliforms non-compliance</v>
      </c>
      <c r="AZ4" t="str">
        <f>'SUB LIST'!T38</f>
        <v>%</v>
      </c>
      <c r="BA4">
        <f>'SUB LIST'!U38</f>
        <v>2</v>
      </c>
      <c r="BB4">
        <f>'SUB LIST'!AU38</f>
        <v>0.08</v>
      </c>
      <c r="BC4" t="str">
        <f>'SUB LIST'!A43</f>
        <v>PR14SRNWSW_1</v>
      </c>
      <c r="BD4" t="str">
        <f>'SUB LIST'!P43</f>
        <v>01</v>
      </c>
      <c r="BE4" t="str">
        <f>'SUB LIST'!Q43</f>
        <v>Number of mains bursts per year</v>
      </c>
      <c r="BF4" t="str">
        <f>'SUB LIST'!T43</f>
        <v>nr</v>
      </c>
      <c r="BG4" t="str">
        <f>'SUB LIST'!U43</f>
        <v>0</v>
      </c>
      <c r="BH4">
        <f>'SUB LIST'!AU43</f>
        <v>1996</v>
      </c>
      <c r="BI4" t="str">
        <f>'SUB LIST'!A53</f>
        <v>PR14SSCWSW_2.2</v>
      </c>
      <c r="BJ4" t="str">
        <f>'SUB LIST'!P53</f>
        <v>01</v>
      </c>
      <c r="BK4" t="str">
        <f>'SUB LIST'!Q53</f>
        <v>Mains bursts</v>
      </c>
      <c r="BL4" t="str">
        <f>'SUB LIST'!T53</f>
        <v>nr</v>
      </c>
      <c r="BM4" t="str">
        <f>'SUB LIST'!U53</f>
        <v>0</v>
      </c>
      <c r="BN4">
        <f>'SUB LIST'!AU53</f>
        <v>1013</v>
      </c>
      <c r="BO4" t="str">
        <f>'SUB LIST'!A65</f>
        <v>PR14SVTWSWW_S-C3</v>
      </c>
      <c r="BP4" t="str">
        <f>'SUB LIST'!P65</f>
        <v>01</v>
      </c>
      <c r="BQ4" t="str">
        <f>'SUB LIST'!Q65</f>
        <v>% of sewage treatment works passing their numeric consents</v>
      </c>
      <c r="BR4" t="str">
        <f>'SUB LIST'!T65</f>
        <v>%</v>
      </c>
      <c r="BS4">
        <f>'SUB LIST'!U65</f>
        <v>2</v>
      </c>
      <c r="BT4">
        <f>'SUB LIST'!AU65</f>
        <v>99.857954545454504</v>
      </c>
      <c r="BU4" t="str">
        <f>'SUB LIST'!A75</f>
        <v>PR14SWTWSW_W-A3</v>
      </c>
      <c r="BV4" t="str">
        <f>'SUB LIST'!P75</f>
        <v>01</v>
      </c>
      <c r="BW4" t="str">
        <f>'SUB LIST'!Q75</f>
        <v>Total bursts</v>
      </c>
      <c r="BX4" t="str">
        <f>'SUB LIST'!T75</f>
        <v>nr</v>
      </c>
      <c r="BY4" t="str">
        <f>'SUB LIST'!U75</f>
        <v>0</v>
      </c>
      <c r="BZ4">
        <f>'SUB LIST'!AU75</f>
        <v>2478</v>
      </c>
      <c r="CA4" t="str">
        <f>'SUB LIST'!A99</f>
        <v>PR14TMSWSW_WB1</v>
      </c>
      <c r="CB4" t="str">
        <f>'SUB LIST'!P99</f>
        <v>01</v>
      </c>
      <c r="CC4" t="str">
        <f>'SUB LIST'!Q99</f>
        <v>Total bursts</v>
      </c>
      <c r="CD4" t="str">
        <f>'SUB LIST'!T99</f>
        <v>nr</v>
      </c>
      <c r="CE4" t="str">
        <f>'SUB LIST'!U99</f>
        <v>0</v>
      </c>
      <c r="CF4">
        <f>'SUB LIST'!AU99</f>
        <v>8326</v>
      </c>
      <c r="CG4" t="str">
        <f>'SUB LIST'!A123</f>
        <v>PR14UUWSW_A3</v>
      </c>
      <c r="CH4" t="str">
        <f>'SUB LIST'!P123</f>
        <v>01</v>
      </c>
      <c r="CI4" t="str">
        <f>'SUB LIST'!Q123</f>
        <v>WTW coliform non-compliance (%)</v>
      </c>
      <c r="CJ4" t="str">
        <f>'SUB LIST'!T123</f>
        <v>%</v>
      </c>
      <c r="CK4">
        <f>'SUB LIST'!U123</f>
        <v>2</v>
      </c>
      <c r="CL4">
        <f>'SUB LIST'!AU123</f>
        <v>0.01</v>
      </c>
      <c r="CM4" t="str">
        <f>'SUB LIST'!A163</f>
        <v>PR14WSHWSW_F1</v>
      </c>
      <c r="CN4" t="str">
        <f>'SUB LIST'!P163</f>
        <v>01</v>
      </c>
      <c r="CO4" t="str">
        <f>'SUB LIST'!Q163</f>
        <v>Total bursts (nr)</v>
      </c>
      <c r="CP4" t="str">
        <f>'SUB LIST'!T163</f>
        <v>nr</v>
      </c>
      <c r="CQ4" t="str">
        <f>'SUB LIST'!U163</f>
        <v>0</v>
      </c>
      <c r="CR4">
        <f>'SUB LIST'!AU163</f>
        <v>3679</v>
      </c>
      <c r="CY4" t="str">
        <f>'SUB LIST'!A185</f>
        <v>PR14YKYWSW_WA4</v>
      </c>
      <c r="CZ4" t="str">
        <f>'SUB LIST'!P185</f>
        <v>01</v>
      </c>
      <c r="DA4" t="str">
        <f>'SUB LIST'!Q185</f>
        <v>WTW coliform non-compliance</v>
      </c>
      <c r="DB4" t="str">
        <f>'SUB LIST'!T185</f>
        <v>%</v>
      </c>
      <c r="DC4">
        <f>'SUB LIST'!U185</f>
        <v>3</v>
      </c>
      <c r="DD4">
        <f>'SUB LIST'!AU185</f>
        <v>7.0000000000000001E-3</v>
      </c>
    </row>
    <row r="5" spans="1:108">
      <c r="G5" t="str">
        <f>'SUB LIST'!A5</f>
        <v>PR14ANHWSW_W-H1</v>
      </c>
      <c r="H5" t="str">
        <f>'SUB LIST'!P5</f>
        <v>02</v>
      </c>
      <c r="I5" t="str">
        <f>'SUB LIST'!Q5</f>
        <v>Reactive mains bursts</v>
      </c>
      <c r="J5">
        <f>'SUB LIST'!T5</f>
        <v>0</v>
      </c>
      <c r="K5">
        <f>'SUB LIST'!U5</f>
        <v>1</v>
      </c>
      <c r="L5" t="str">
        <f>'SUB LIST'!AU5</f>
        <v>+10.0%</v>
      </c>
      <c r="M5" t="str">
        <f>'SUB LIST'!A22</f>
        <v>PR14BRLWSW_A2</v>
      </c>
      <c r="N5" t="str">
        <f>'SUB LIST'!P22</f>
        <v>02</v>
      </c>
      <c r="O5" t="str">
        <f>'SUB LIST'!Q22</f>
        <v>DG2: low pressure (number of properties)</v>
      </c>
      <c r="P5" t="str">
        <f>'SUB LIST'!T22</f>
        <v>nr</v>
      </c>
      <c r="Q5" t="str">
        <f>'SUB LIST'!U22</f>
        <v>0</v>
      </c>
      <c r="R5">
        <f>'SUB LIST'!AU22</f>
        <v>94</v>
      </c>
      <c r="AK5" t="str">
        <f>'SUB LIST'!A28</f>
        <v>PR14SBWWSW_B4</v>
      </c>
      <c r="AL5" t="str">
        <f>'SUB LIST'!P28</f>
        <v>02</v>
      </c>
      <c r="AM5" t="str">
        <f>'SUB LIST'!Q28</f>
        <v>Interruptions &gt; 12 hours</v>
      </c>
      <c r="AN5" t="str">
        <f>'SUB LIST'!T28</f>
        <v>nr</v>
      </c>
      <c r="AO5" t="str">
        <f>'SUB LIST'!U28</f>
        <v>0</v>
      </c>
      <c r="AP5">
        <f>'SUB LIST'!AU28</f>
        <v>0</v>
      </c>
      <c r="AW5" t="str">
        <f>'SUB LIST'!A39</f>
        <v>PR14SEWWSW_N2</v>
      </c>
      <c r="AX5" t="str">
        <f>'SUB LIST'!P39</f>
        <v>02</v>
      </c>
      <c r="AY5" t="str">
        <f>'SUB LIST'!Q39</f>
        <v>Service reservoir coliforms non-compliance</v>
      </c>
      <c r="AZ5" t="str">
        <f>'SUB LIST'!T39</f>
        <v>%</v>
      </c>
      <c r="BA5">
        <f>'SUB LIST'!U39</f>
        <v>2</v>
      </c>
      <c r="BB5">
        <f>'SUB LIST'!AU39</f>
        <v>0</v>
      </c>
      <c r="BC5" t="str">
        <f>'SUB LIST'!A44</f>
        <v>PR14SRNWSW_1</v>
      </c>
      <c r="BD5" t="str">
        <f>'SUB LIST'!P44</f>
        <v>02</v>
      </c>
      <c r="BE5" t="str">
        <f>'SUB LIST'!Q44</f>
        <v>TIM distribution index</v>
      </c>
      <c r="BF5" t="str">
        <f>'SUB LIST'!T44</f>
        <v>%</v>
      </c>
      <c r="BG5">
        <f>'SUB LIST'!U44</f>
        <v>2</v>
      </c>
      <c r="BH5">
        <f>'SUB LIST'!AU44</f>
        <v>99.91</v>
      </c>
      <c r="BI5" t="str">
        <f>'SUB LIST'!A54</f>
        <v>PR14SSCWSW_2.2</v>
      </c>
      <c r="BJ5" t="str">
        <f>'SUB LIST'!P54</f>
        <v>02</v>
      </c>
      <c r="BK5" t="str">
        <f>'SUB LIST'!Q54</f>
        <v>Supply interruptions &gt; 12 hours</v>
      </c>
      <c r="BL5" t="str">
        <f>'SUB LIST'!T54</f>
        <v>nr</v>
      </c>
      <c r="BM5" t="str">
        <f>'SUB LIST'!U54</f>
        <v>0</v>
      </c>
      <c r="BN5">
        <f>'SUB LIST'!AU54</f>
        <v>102</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LIST'!AU66</f>
        <v>97.869318181818201</v>
      </c>
      <c r="BU5" t="str">
        <f>'SUB LIST'!A76</f>
        <v>PR14SWTWSW_W-A3</v>
      </c>
      <c r="BV5" t="str">
        <f>'SUB LIST'!P76</f>
        <v>02</v>
      </c>
      <c r="BW5" t="str">
        <f>'SUB LIST'!Q76</f>
        <v>Interruptions &gt; 12 hours</v>
      </c>
      <c r="BX5" t="str">
        <f>'SUB LIST'!T76</f>
        <v>nr</v>
      </c>
      <c r="BY5" t="str">
        <f>'SUB LIST'!U76</f>
        <v>0</v>
      </c>
      <c r="BZ5">
        <f>'SUB LIST'!AU76</f>
        <v>1751</v>
      </c>
      <c r="CA5" t="str">
        <f>'SUB LIST'!A100</f>
        <v>PR14TMSWSW_WB1</v>
      </c>
      <c r="CB5" t="str">
        <f>'SUB LIST'!P100</f>
        <v>02</v>
      </c>
      <c r="CC5" t="str">
        <f>'SUB LIST'!Q100</f>
        <v>Unplanned interruptions to customer &gt;12 hours (DG3)</v>
      </c>
      <c r="CD5" t="str">
        <f>'SUB LIST'!T100</f>
        <v>nr</v>
      </c>
      <c r="CE5" t="str">
        <f>'SUB LIST'!U100</f>
        <v>0</v>
      </c>
      <c r="CF5">
        <f>'SUB LIST'!AU100</f>
        <v>6051</v>
      </c>
      <c r="CG5" t="str">
        <f>'SUB LIST'!A124</f>
        <v>PR14UUWSW_A3</v>
      </c>
      <c r="CH5" t="str">
        <f>'SUB LIST'!P124</f>
        <v>02</v>
      </c>
      <c r="CI5" t="str">
        <f>'SUB LIST'!Q124</f>
        <v>SR integrity index</v>
      </c>
      <c r="CJ5" t="str">
        <f>'SUB LIST'!T124</f>
        <v>%</v>
      </c>
      <c r="CK5">
        <f>'SUB LIST'!U124</f>
        <v>2</v>
      </c>
      <c r="CL5">
        <f>'SUB LIST'!AU124</f>
        <v>99.98</v>
      </c>
      <c r="CM5" t="str">
        <f>'SUB LIST'!A164</f>
        <v>PR14WSHWSW_F1</v>
      </c>
      <c r="CN5" t="str">
        <f>'SUB LIST'!P164</f>
        <v>02</v>
      </c>
      <c r="CO5" t="str">
        <f>'SUB LIST'!Q164</f>
        <v>Interruptions &gt;12h (nr)</v>
      </c>
      <c r="CP5" t="str">
        <f>'SUB LIST'!T164</f>
        <v>nr</v>
      </c>
      <c r="CQ5" t="str">
        <f>'SUB LIST'!U164</f>
        <v>0</v>
      </c>
      <c r="CR5">
        <f>'SUB LIST'!AU164</f>
        <v>986</v>
      </c>
      <c r="CY5" t="str">
        <f>'SUB LIST'!A186</f>
        <v>PR14YKYWSW_WA4</v>
      </c>
      <c r="CZ5" t="str">
        <f>'SUB LIST'!P186</f>
        <v>02</v>
      </c>
      <c r="DA5" t="str">
        <f>'SUB LIST'!Q186</f>
        <v>SR coliform non-compliance</v>
      </c>
      <c r="DB5" t="str">
        <f>'SUB LIST'!T186</f>
        <v>%</v>
      </c>
      <c r="DC5">
        <f>'SUB LIST'!U186</f>
        <v>2</v>
      </c>
      <c r="DD5">
        <f>'SUB LIST'!AU186</f>
        <v>0</v>
      </c>
    </row>
    <row r="6" spans="1:108">
      <c r="G6" t="str">
        <f>'SUB LIST'!A6</f>
        <v>PR14ANHWSW_W-H1</v>
      </c>
      <c r="H6" t="str">
        <f>'SUB LIST'!P6</f>
        <v>03</v>
      </c>
      <c r="I6" t="str">
        <f>'SUB LIST'!Q6</f>
        <v>Customer contacts - discolouration</v>
      </c>
      <c r="J6">
        <f>'SUB LIST'!T6</f>
        <v>0</v>
      </c>
      <c r="K6">
        <f>'SUB LIST'!U6</f>
        <v>2</v>
      </c>
      <c r="L6">
        <f>'SUB LIST'!AU6</f>
        <v>0.41</v>
      </c>
      <c r="M6" t="str">
        <f>'SUB LIST'!A23</f>
        <v>PR14BRLWSW_A3</v>
      </c>
      <c r="N6" t="str">
        <f>'SUB LIST'!P23</f>
        <v>00</v>
      </c>
      <c r="O6" t="str">
        <f>'SUB LIST'!Q23</f>
        <v>A3: Asset reliability - non-infrastructure</v>
      </c>
      <c r="P6" t="str">
        <f>'SUB LIST'!T23</f>
        <v>category</v>
      </c>
      <c r="Q6" t="str">
        <f>'SUB LIST'!U23</f>
        <v>na</v>
      </c>
      <c r="R6" t="str">
        <f>'SUB LIST'!AU23</f>
        <v>Stable</v>
      </c>
      <c r="AK6" t="str">
        <f>'SUB LIST'!A29</f>
        <v>PR14SBWWSW_B4</v>
      </c>
      <c r="AL6" t="str">
        <f>'SUB LIST'!P29</f>
        <v>03</v>
      </c>
      <c r="AM6" t="str">
        <f>'SUB LIST'!Q29</f>
        <v>Iron non-compliance (as 100-Mean Zonal Compliance)</v>
      </c>
      <c r="AN6" t="str">
        <f>'SUB LIST'!T29</f>
        <v>%</v>
      </c>
      <c r="AO6">
        <f>'SUB LIST'!U29</f>
        <v>2</v>
      </c>
      <c r="AP6">
        <f>'SUB LIST'!AU29</f>
        <v>0</v>
      </c>
      <c r="AW6" t="str">
        <f>'SUB LIST'!A40</f>
        <v>PR14SEWWSW_N2</v>
      </c>
      <c r="AX6" t="str">
        <f>'SUB LIST'!P40</f>
        <v>03</v>
      </c>
      <c r="AY6" t="str">
        <f>'SUB LIST'!Q40</f>
        <v>Turbidity non-compliance</v>
      </c>
      <c r="AZ6" t="str">
        <f>'SUB LIST'!T40</f>
        <v>nr</v>
      </c>
      <c r="BA6" t="str">
        <f>'SUB LIST'!U40</f>
        <v>0</v>
      </c>
      <c r="BB6">
        <f>'SUB LIST'!AU40</f>
        <v>0</v>
      </c>
      <c r="BC6" t="str">
        <f>'SUB LIST'!A45</f>
        <v>PR14SRNWSW_1</v>
      </c>
      <c r="BD6" t="str">
        <f>'SUB LIST'!P45</f>
        <v>03</v>
      </c>
      <c r="BE6" t="str">
        <f>'SUB LIST'!Q45</f>
        <v>Coliform compliance at WSW</v>
      </c>
      <c r="BF6" t="str">
        <f>'SUB LIST'!T45</f>
        <v>%</v>
      </c>
      <c r="BG6">
        <f>'SUB LIST'!U45</f>
        <v>2</v>
      </c>
      <c r="BH6">
        <f>'SUB LIST'!AU45</f>
        <v>99.98</v>
      </c>
      <c r="BI6" t="str">
        <f>'SUB LIST'!A55</f>
        <v>PR14SSCWSW_2.2</v>
      </c>
      <c r="BJ6" t="str">
        <f>'SUB LIST'!P55</f>
        <v>03</v>
      </c>
      <c r="BK6" t="str">
        <f>'SUB LIST'!Q55</f>
        <v>Properties with persistent low pressure</v>
      </c>
      <c r="BL6" t="str">
        <f>'SUB LIST'!T55</f>
        <v>nr</v>
      </c>
      <c r="BM6" t="str">
        <f>'SUB LIST'!U55</f>
        <v>0</v>
      </c>
      <c r="BN6">
        <f>'SUB LIST'!AU55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LIST'!AU67</f>
        <v>94.230769230769198</v>
      </c>
      <c r="BU6" t="str">
        <f>'SUB LIST'!A77</f>
        <v>PR14SWTWSW_W-A3</v>
      </c>
      <c r="BV6" t="str">
        <f>'SUB LIST'!P77</f>
        <v>03</v>
      </c>
      <c r="BW6" t="str">
        <f>'SUB LIST'!Q77</f>
        <v>Iron non-compliance (as 100-Mean Zonal Compliance)</v>
      </c>
      <c r="BX6" t="str">
        <f>'SUB LIST'!T77</f>
        <v>%</v>
      </c>
      <c r="BY6">
        <f>'SUB LIST'!U77</f>
        <v>2</v>
      </c>
      <c r="BZ6">
        <f>'SUB LIST'!AU77</f>
        <v>0.14000000000000001</v>
      </c>
      <c r="CA6" t="str">
        <f>'SUB LIST'!A101</f>
        <v>PR14TMSWSW_WB1</v>
      </c>
      <c r="CB6" t="str">
        <f>'SUB LIST'!P101</f>
        <v>03</v>
      </c>
      <c r="CC6" t="str">
        <f>'SUB LIST'!Q101</f>
        <v>Iron mean zonal non-compliance</v>
      </c>
      <c r="CD6" t="str">
        <f>'SUB LIST'!T101</f>
        <v>%</v>
      </c>
      <c r="CE6">
        <f>'SUB LIST'!U101</f>
        <v>2</v>
      </c>
      <c r="CF6">
        <f>'SUB LIST'!AU101</f>
        <v>0.09</v>
      </c>
      <c r="CG6" t="str">
        <f>'SUB LIST'!A125</f>
        <v>PR14UUWSW_A3</v>
      </c>
      <c r="CH6" t="str">
        <f>'SUB LIST'!P125</f>
        <v>03</v>
      </c>
      <c r="CI6" t="str">
        <f>'SUB LIST'!Q125</f>
        <v>No. of WTW turbidity fails</v>
      </c>
      <c r="CJ6" t="str">
        <f>'SUB LIST'!T125</f>
        <v>nr</v>
      </c>
      <c r="CK6" t="str">
        <f>'SUB LIST'!U125</f>
        <v>0</v>
      </c>
      <c r="CL6">
        <f>'SUB LIST'!AU125</f>
        <v>2</v>
      </c>
      <c r="CM6" t="str">
        <f>'SUB LIST'!A165</f>
        <v>PR14WSHWSW_F1</v>
      </c>
      <c r="CN6" t="str">
        <f>'SUB LIST'!P165</f>
        <v>03</v>
      </c>
      <c r="CO6" t="str">
        <f>'SUB LIST'!Q165</f>
        <v>Iron non-compliance (as 100-Mean Zonal Compliance) (%)</v>
      </c>
      <c r="CP6" t="str">
        <f>'SUB LIST'!T165</f>
        <v>%</v>
      </c>
      <c r="CQ6">
        <f>'SUB LIST'!U165</f>
        <v>2</v>
      </c>
      <c r="CR6">
        <f>'SUB LIST'!AU165</f>
        <v>0.19</v>
      </c>
      <c r="CY6" t="str">
        <f>'SUB LIST'!A187</f>
        <v>PR14YKYWSW_WA4</v>
      </c>
      <c r="CZ6" t="str">
        <f>'SUB LIST'!P187</f>
        <v>03</v>
      </c>
      <c r="DA6" t="str">
        <f>'SUB LIST'!Q187</f>
        <v>Turbidity</v>
      </c>
      <c r="DB6" t="str">
        <f>'SUB LIST'!T187</f>
        <v>nr</v>
      </c>
      <c r="DC6" t="str">
        <f>'SUB LIST'!U187</f>
        <v>0</v>
      </c>
      <c r="DD6">
        <f>'SUB LIST'!AU187</f>
        <v>1</v>
      </c>
    </row>
    <row r="7" spans="1:108">
      <c r="G7" t="str">
        <f>'SUB LIST'!A7</f>
        <v>PR14ANHWSW_W-H1</v>
      </c>
      <c r="H7" t="str">
        <f>'SUB LIST'!P7</f>
        <v>04</v>
      </c>
      <c r="I7" t="str">
        <f>'SUB LIST'!Q7</f>
        <v>Distribution maintenance index</v>
      </c>
      <c r="J7">
        <f>'SUB LIST'!T7</f>
        <v>0</v>
      </c>
      <c r="K7">
        <f>'SUB LIST'!U7</f>
        <v>2</v>
      </c>
      <c r="L7">
        <f>'SUB LIST'!AU7</f>
        <v>0.04</v>
      </c>
      <c r="M7" t="str">
        <f>'SUB LIST'!A24</f>
        <v>PR14BRLWSW_A3</v>
      </c>
      <c r="N7" t="str">
        <f>'SUB LIST'!P24</f>
        <v>01</v>
      </c>
      <c r="O7" t="str">
        <f>'SUB LIST'!Q24</f>
        <v>Turbidity performance at treatment works (number)</v>
      </c>
      <c r="P7" t="str">
        <f>'SUB LIST'!T24</f>
        <v>nr</v>
      </c>
      <c r="Q7" t="str">
        <f>'SUB LIST'!U24</f>
        <v>0</v>
      </c>
      <c r="R7">
        <f>'SUB LIST'!AU24</f>
        <v>0</v>
      </c>
      <c r="AK7" t="str">
        <f>'SUB LIST'!A30</f>
        <v>PR14SBWWSW_B4</v>
      </c>
      <c r="AL7" t="str">
        <f>'SUB LIST'!P30</f>
        <v>04</v>
      </c>
      <c r="AM7" t="str">
        <f>'SUB LIST'!Q30</f>
        <v>DG2 pressure</v>
      </c>
      <c r="AN7" t="str">
        <f>'SUB LIST'!T30</f>
        <v>nr</v>
      </c>
      <c r="AO7" t="str">
        <f>'SUB LIST'!U30</f>
        <v>0</v>
      </c>
      <c r="AP7">
        <f>'SUB LIST'!AU30</f>
        <v>0</v>
      </c>
      <c r="AW7" t="str">
        <f>'SUB LIST'!A41</f>
        <v>PR14SEWWSW_N2</v>
      </c>
      <c r="AX7" t="str">
        <f>'SUB LIST'!P41</f>
        <v>04</v>
      </c>
      <c r="AY7" t="str">
        <f>'SUB LIST'!Q41</f>
        <v>Enforcement incidents</v>
      </c>
      <c r="AZ7" t="str">
        <f>'SUB LIST'!T41</f>
        <v>nr</v>
      </c>
      <c r="BA7" t="str">
        <f>'SUB LIST'!U41</f>
        <v>0</v>
      </c>
      <c r="BB7">
        <f>'SUB LIST'!AU41</f>
        <v>0</v>
      </c>
      <c r="BC7" t="str">
        <f>'SUB LIST'!A46</f>
        <v>PR14SRNWSW_1</v>
      </c>
      <c r="BD7" t="str">
        <f>'SUB LIST'!P46</f>
        <v>04</v>
      </c>
      <c r="BE7" t="str">
        <f>'SUB LIST'!Q46</f>
        <v>Coliform compliance at WSR</v>
      </c>
      <c r="BF7" t="str">
        <f>'SUB LIST'!T46</f>
        <v>%</v>
      </c>
      <c r="BG7" t="str">
        <f>'SUB LIST'!U46</f>
        <v>0</v>
      </c>
      <c r="BH7">
        <f>'SUB LIST'!AU46</f>
        <v>100</v>
      </c>
      <c r="BI7" t="str">
        <f>'SUB LIST'!A56</f>
        <v>PR14SSCWSW_2.2</v>
      </c>
      <c r="BJ7" t="str">
        <f>'SUB LIST'!P56</f>
        <v>04</v>
      </c>
      <c r="BK7" t="str">
        <f>'SUB LIST'!Q56</f>
        <v>Discolouration contacts per 1,000 customers</v>
      </c>
      <c r="BL7" t="str">
        <f>'SUB LIST'!T56</f>
        <v>nr</v>
      </c>
      <c r="BM7">
        <f>'SUB LIST'!U56</f>
        <v>2</v>
      </c>
      <c r="BN7">
        <f>'SUB LIST'!AU56</f>
        <v>0.83499999999999996</v>
      </c>
      <c r="BO7" t="str">
        <f>'SUB LIST'!A68</f>
        <v>PR14SVTWSWW_S-C3</v>
      </c>
      <c r="BP7" t="str">
        <f>'SUB LIST'!P68</f>
        <v>04</v>
      </c>
      <c r="BQ7" t="str">
        <f>'SUB LIST'!Q68</f>
        <v>% of sites compliant with their abstraction permits</v>
      </c>
      <c r="BR7" t="str">
        <f>'SUB LIST'!T68</f>
        <v>%</v>
      </c>
      <c r="BS7">
        <f>'SUB LIST'!U68</f>
        <v>2</v>
      </c>
      <c r="BT7">
        <f>'SUB LIST'!AU68</f>
        <v>99.9946015250692</v>
      </c>
      <c r="BU7" t="str">
        <f>'SUB LIST'!A78</f>
        <v>PR14SWTWSW_W-A3</v>
      </c>
      <c r="BV7" t="str">
        <f>'SUB LIST'!P78</f>
        <v>04</v>
      </c>
      <c r="BW7" t="str">
        <f>'SUB LIST'!Q78</f>
        <v>DG2 pressure</v>
      </c>
      <c r="BX7" t="str">
        <f>'SUB LIST'!T78</f>
        <v>nr</v>
      </c>
      <c r="BY7" t="str">
        <f>'SUB LIST'!U78</f>
        <v>0</v>
      </c>
      <c r="BZ7">
        <f>'SUB LIST'!AU78</f>
        <v>164</v>
      </c>
      <c r="CA7" t="str">
        <f>'SUB LIST'!A102</f>
        <v>PR14TMSWSW_WB1</v>
      </c>
      <c r="CB7" t="str">
        <f>'SUB LIST'!P102</f>
        <v>04</v>
      </c>
      <c r="CC7" t="str">
        <f>'SUB LIST'!Q102</f>
        <v>Inadequate pressure (DG2)</v>
      </c>
      <c r="CD7" t="str">
        <f>'SUB LIST'!T102</f>
        <v>nr</v>
      </c>
      <c r="CE7" t="str">
        <f>'SUB LIST'!U102</f>
        <v>0</v>
      </c>
      <c r="CF7">
        <f>'SUB LIST'!AU102</f>
        <v>5</v>
      </c>
      <c r="CG7" t="str">
        <f>'SUB LIST'!A126</f>
        <v>PR14UUWSW_A3</v>
      </c>
      <c r="CH7" t="str">
        <f>'SUB LIST'!P126</f>
        <v>04</v>
      </c>
      <c r="CI7" t="str">
        <f>'SUB LIST'!Q126</f>
        <v>Mean Zonal Compliance (MZC)</v>
      </c>
      <c r="CJ7" t="str">
        <f>'SUB LIST'!T126</f>
        <v>%</v>
      </c>
      <c r="CK7">
        <f>'SUB LIST'!U126</f>
        <v>2</v>
      </c>
      <c r="CL7">
        <f>'SUB LIST'!AU126</f>
        <v>99.96</v>
      </c>
      <c r="CM7" t="str">
        <f>'SUB LIST'!A166</f>
        <v>PR14WSHWSW_F1</v>
      </c>
      <c r="CN7" t="str">
        <f>'SUB LIST'!P166</f>
        <v>04</v>
      </c>
      <c r="CO7" t="str">
        <f>'SUB LIST'!Q166</f>
        <v>DG2 pressure (nr)</v>
      </c>
      <c r="CP7" t="str">
        <f>'SUB LIST'!T166</f>
        <v>nr</v>
      </c>
      <c r="CQ7" t="str">
        <f>'SUB LIST'!U166</f>
        <v>0</v>
      </c>
      <c r="CR7">
        <f>'SUB LIST'!AU166</f>
        <v>92</v>
      </c>
      <c r="CY7" t="str">
        <f>'SUB LIST'!A188</f>
        <v>PR14YKYWSW_WA4</v>
      </c>
      <c r="CZ7" t="str">
        <f>'SUB LIST'!P188</f>
        <v>04</v>
      </c>
      <c r="DA7" t="str">
        <f>'SUB LIST'!Q188</f>
        <v>Enforcements</v>
      </c>
      <c r="DB7" t="str">
        <f>'SUB LIST'!T188</f>
        <v>nr</v>
      </c>
      <c r="DC7" t="str">
        <f>'SUB LIST'!U188</f>
        <v>0</v>
      </c>
      <c r="DD7">
        <f>'SUB LIST'!AU188</f>
        <v>0</v>
      </c>
    </row>
    <row r="8" spans="1:108">
      <c r="G8" t="str">
        <f>'SUB LIST'!A8</f>
        <v>PR14ANHWSW_W-H2</v>
      </c>
      <c r="H8" t="str">
        <f>'SUB LIST'!P8</f>
        <v>00</v>
      </c>
      <c r="I8" t="str">
        <f>'SUB LIST'!Q8</f>
        <v>W-H2: Water non-infrastructure</v>
      </c>
      <c r="J8" t="str">
        <f>'SUB LIST'!T8</f>
        <v>category</v>
      </c>
      <c r="K8" t="str">
        <f>'SUB LIST'!U8</f>
        <v>na</v>
      </c>
      <c r="L8" t="str">
        <f>'SUB LIST'!AU8</f>
        <v>Green</v>
      </c>
      <c r="M8" t="str">
        <f>'SUB LIST'!A25</f>
        <v>PR14BRLWSW_A3</v>
      </c>
      <c r="N8" t="str">
        <f>'SUB LIST'!P25</f>
        <v>02</v>
      </c>
      <c r="O8" t="str">
        <f>'SUB LIST'!Q25</f>
        <v>Unplanned maintenance events (number)</v>
      </c>
      <c r="P8" t="str">
        <f>'SUB LIST'!T25</f>
        <v>nr</v>
      </c>
      <c r="Q8" t="str">
        <f>'SUB LIST'!U25</f>
        <v>0</v>
      </c>
      <c r="R8">
        <f>'SUB LIST'!AU25</f>
        <v>2870</v>
      </c>
      <c r="AK8" t="str">
        <f>'SUB LIST'!A31</f>
        <v>PR14SBWWSW_B4</v>
      </c>
      <c r="AL8" t="str">
        <f>'SUB LIST'!P31</f>
        <v>05</v>
      </c>
      <c r="AM8" t="str">
        <f>'SUB LIST'!Q31</f>
        <v>Customer contacts - discolouration (number / 1,000 population)</v>
      </c>
      <c r="AN8" t="str">
        <f>'SUB LIST'!T31</f>
        <v>nr</v>
      </c>
      <c r="AO8">
        <f>'SUB LIST'!U31</f>
        <v>2</v>
      </c>
      <c r="AP8">
        <f>'SUB LIST'!AU31</f>
        <v>0.31</v>
      </c>
      <c r="BC8" t="str">
        <f>'SUB LIST'!A47</f>
        <v>PR14SRNWSW_1</v>
      </c>
      <c r="BD8" t="str">
        <f>'SUB LIST'!P47</f>
        <v>05</v>
      </c>
      <c r="BE8" t="str">
        <f>'SUB LIST'!Q47</f>
        <v>Turbidity compliance</v>
      </c>
      <c r="BF8" t="str">
        <f>'SUB LIST'!T47</f>
        <v>nr</v>
      </c>
      <c r="BG8" t="str">
        <f>'SUB LIST'!U47</f>
        <v>0</v>
      </c>
      <c r="BH8">
        <f>'SUB LIST'!AU47</f>
        <v>0</v>
      </c>
      <c r="BI8" t="str">
        <f>'SUB LIST'!A57</f>
        <v>PR14SSCWSW_2.2</v>
      </c>
      <c r="BJ8" t="str">
        <f>'SUB LIST'!P57</f>
        <v>05</v>
      </c>
      <c r="BK8" t="str">
        <f>'SUB LIST'!Q57</f>
        <v>TIM index non-compliance</v>
      </c>
      <c r="BL8" t="str">
        <f>'SUB LIST'!T57</f>
        <v>score</v>
      </c>
      <c r="BM8">
        <f>'SUB LIST'!U57</f>
        <v>2</v>
      </c>
      <c r="BN8">
        <f>'SUB LIST'!AU57</f>
        <v>0</v>
      </c>
      <c r="BO8" t="str">
        <f>'SUB LIST'!A69</f>
        <v>PR14SVTWSWW_S-C7</v>
      </c>
      <c r="BP8" t="str">
        <f>'SUB LIST'!P69</f>
        <v>00</v>
      </c>
      <c r="BQ8" t="str">
        <f>'SUB LIST'!Q69</f>
        <v>S-C7: Overall environmental performance (basket of environmental measures)</v>
      </c>
      <c r="BR8" t="str">
        <f>'SUB LIST'!T69</f>
        <v>nr</v>
      </c>
      <c r="BS8" t="str">
        <f>'SUB LIST'!U69</f>
        <v>0</v>
      </c>
      <c r="BT8" t="str">
        <f>'SUB LIST'!AU69</f>
        <v>Cannot be calculated until APR19</v>
      </c>
      <c r="BU8" t="str">
        <f>'SUB LIST'!A79</f>
        <v>PR14SWTWSW_W-A3</v>
      </c>
      <c r="BV8" t="str">
        <f>'SUB LIST'!P79</f>
        <v>05</v>
      </c>
      <c r="BW8" t="str">
        <f>'SUB LIST'!Q79</f>
        <v>Customer contacts - discolouration</v>
      </c>
      <c r="BX8" t="str">
        <f>'SUB LIST'!T79</f>
        <v>nr</v>
      </c>
      <c r="BY8">
        <f>'SUB LIST'!U79</f>
        <v>2</v>
      </c>
      <c r="BZ8">
        <f>'SUB LIST'!AU79</f>
        <v>2.2400000000000002</v>
      </c>
      <c r="CA8" t="str">
        <f>'SUB LIST'!A103</f>
        <v>PR14TMSWSW_WB1</v>
      </c>
      <c r="CB8" t="str">
        <f>'SUB LIST'!P103</f>
        <v>05</v>
      </c>
      <c r="CC8" t="str">
        <f>'SUB LIST'!Q103</f>
        <v>Planned network rehabilitation (kilometres)</v>
      </c>
      <c r="CD8" t="str">
        <f>'SUB LIST'!T103</f>
        <v>nr</v>
      </c>
      <c r="CE8">
        <f>'SUB LIST'!U103</f>
        <v>2</v>
      </c>
      <c r="CF8">
        <f>'SUB LIST'!AU103</f>
        <v>103.28</v>
      </c>
      <c r="CG8" t="str">
        <f>'SUB LIST'!A127</f>
        <v>PR14UUWSW_A3</v>
      </c>
      <c r="CH8" t="str">
        <f>'SUB LIST'!P127</f>
        <v>05</v>
      </c>
      <c r="CI8" t="str">
        <f>'SUB LIST'!Q127</f>
        <v>Distribution Maintenance Index (%)</v>
      </c>
      <c r="CJ8" t="str">
        <f>'SUB LIST'!T127</f>
        <v>%</v>
      </c>
      <c r="CK8">
        <f>'SUB LIST'!U127</f>
        <v>2</v>
      </c>
      <c r="CL8">
        <f>'SUB LIST'!AU127</f>
        <v>99.85</v>
      </c>
      <c r="CM8" t="str">
        <f>'SUB LIST'!A167</f>
        <v>PR14WSHWSW_F1</v>
      </c>
      <c r="CN8" t="str">
        <f>'SUB LIST'!P167</f>
        <v>05</v>
      </c>
      <c r="CO8" t="str">
        <f>'SUB LIST'!Q167</f>
        <v>Customer contacts - discolouration  (nr / 1000 population)</v>
      </c>
      <c r="CP8" t="str">
        <f>'SUB LIST'!T167</f>
        <v>nr</v>
      </c>
      <c r="CQ8">
        <f>'SUB LIST'!U167</f>
        <v>2</v>
      </c>
      <c r="CR8">
        <f>'SUB LIST'!AU167</f>
        <v>2.35</v>
      </c>
      <c r="CY8" t="str">
        <f>'SUB LIST'!A189</f>
        <v>PR14YKYWSW_WA4</v>
      </c>
      <c r="CZ8" t="str">
        <f>'SUB LIST'!P189</f>
        <v>05</v>
      </c>
      <c r="DA8" t="str">
        <f>'SUB LIST'!Q189</f>
        <v>Reactive equipment failures</v>
      </c>
      <c r="DB8" t="str">
        <f>'SUB LIST'!T189</f>
        <v>nr</v>
      </c>
      <c r="DC8" t="str">
        <f>'SUB LIST'!U189</f>
        <v>0</v>
      </c>
      <c r="DD8">
        <f>'SUB LIST'!AU189</f>
        <v>4386</v>
      </c>
    </row>
    <row r="9" spans="1:108">
      <c r="G9" t="str">
        <f>'SUB LIST'!A9</f>
        <v>PR14ANHWSW_W-H2</v>
      </c>
      <c r="H9" t="str">
        <f>'SUB LIST'!P9</f>
        <v>01</v>
      </c>
      <c r="I9" t="str">
        <f>'SUB LIST'!Q9</f>
        <v>WTW with coliforms detected</v>
      </c>
      <c r="J9">
        <f>'SUB LIST'!T9</f>
        <v>0</v>
      </c>
      <c r="K9" t="str">
        <f>'SUB LIST'!U9</f>
        <v>0</v>
      </c>
      <c r="L9">
        <f>'SUB LIST'!AU9</f>
        <v>3</v>
      </c>
      <c r="AK9" t="str">
        <f>'SUB LIST'!A32</f>
        <v>PR14SBWWSW_B4</v>
      </c>
      <c r="AL9" t="str">
        <f>'SUB LIST'!P32</f>
        <v>06</v>
      </c>
      <c r="AM9" t="str">
        <f>'SUB LIST'!Q32</f>
        <v>Water treatment works coliforms non-compliance (%)</v>
      </c>
      <c r="AN9" t="str">
        <f>'SUB LIST'!T32</f>
        <v>%</v>
      </c>
      <c r="AO9">
        <f>'SUB LIST'!U32</f>
        <v>2</v>
      </c>
      <c r="AP9">
        <f>'SUB LIST'!AU32</f>
        <v>0</v>
      </c>
      <c r="BC9" t="str">
        <f>'SUB LIST'!A48</f>
        <v>PR14SRNWSWW_1</v>
      </c>
      <c r="BD9" t="str">
        <f>'SUB LIST'!P48</f>
        <v>00</v>
      </c>
      <c r="BE9" t="str">
        <f>'SUB LIST'!Q48</f>
        <v>1: Wastewater asset health</v>
      </c>
      <c r="BF9" t="str">
        <f>'SUB LIST'!T48</f>
        <v>category</v>
      </c>
      <c r="BG9" t="str">
        <f>'SUB LIST'!U48</f>
        <v>na</v>
      </c>
      <c r="BH9" t="str">
        <f>'SUB LIST'!AU48</f>
        <v>Stable</v>
      </c>
      <c r="BI9" t="str">
        <f>'SUB LIST'!A58</f>
        <v>PR14SSCWSW_2.3</v>
      </c>
      <c r="BJ9" t="str">
        <f>'SUB LIST'!P58</f>
        <v>00</v>
      </c>
      <c r="BK9" t="str">
        <f>'SUB LIST'!Q58</f>
        <v>2.3: Serviceability non-infrastructure (combined company)</v>
      </c>
      <c r="BL9" t="str">
        <f>'SUB LIST'!T58</f>
        <v>category</v>
      </c>
      <c r="BM9" t="str">
        <f>'SUB LIST'!U58</f>
        <v>na</v>
      </c>
      <c r="BN9" t="str">
        <f>'SUB LIST'!AU58</f>
        <v>Stable</v>
      </c>
      <c r="BO9" t="str">
        <f>'SUB LIST'!A70</f>
        <v>PR14SVTWSWW_S-C7</v>
      </c>
      <c r="BP9" t="str">
        <f>'SUB LIST'!P70</f>
        <v>01</v>
      </c>
      <c r="BQ9" t="str">
        <f>'SUB LIST'!Q70</f>
        <v>Improvements in river water quality against WFD criteria</v>
      </c>
      <c r="BR9" t="str">
        <f>'SUB LIST'!T70</f>
        <v>nr</v>
      </c>
      <c r="BS9" t="str">
        <f>'SUB LIST'!U70</f>
        <v>0</v>
      </c>
      <c r="BT9" t="str">
        <f>'SUB LIST'!AU70</f>
        <v>Cannot be calculated until APR19</v>
      </c>
      <c r="BU9" t="str">
        <f>'SUB LIST'!A80</f>
        <v>PR14SWTWSW_W-A3</v>
      </c>
      <c r="BV9" t="str">
        <f>'SUB LIST'!P80</f>
        <v>06</v>
      </c>
      <c r="BW9" t="str">
        <f>'SUB LIST'!Q80</f>
        <v>Distribution Index TIM (as 100-Mean Zonal Compliance)</v>
      </c>
      <c r="BX9" t="str">
        <f>'SUB LIST'!T80</f>
        <v>%</v>
      </c>
      <c r="BY9">
        <f>'SUB LIST'!U80</f>
        <v>2</v>
      </c>
      <c r="BZ9">
        <f>'SUB LIST'!AU80</f>
        <v>0.08</v>
      </c>
      <c r="CA9" t="str">
        <f>'SUB LIST'!A104</f>
        <v>PR14TMSWSW_WB1</v>
      </c>
      <c r="CB9" t="str">
        <f>'SUB LIST'!P104</f>
        <v>06</v>
      </c>
      <c r="CC9" t="str">
        <f>'SUB LIST'!Q104</f>
        <v>Customer complaints discolouration white water (nr per 1,000 population)</v>
      </c>
      <c r="CD9" t="str">
        <f>'SUB LIST'!T104</f>
        <v>nr</v>
      </c>
      <c r="CE9">
        <f>'SUB LIST'!U104</f>
        <v>2</v>
      </c>
      <c r="CF9">
        <f>'SUB LIST'!AU104</f>
        <v>0.17</v>
      </c>
      <c r="CG9" t="str">
        <f>'SUB LIST'!A128</f>
        <v>PR14UUWSW_A3</v>
      </c>
      <c r="CH9" t="str">
        <f>'SUB LIST'!P128</f>
        <v>06</v>
      </c>
      <c r="CI9" t="str">
        <f>'SUB LIST'!Q128</f>
        <v>Unwanted customer contacts for water quality (nr per year)</v>
      </c>
      <c r="CJ9" t="str">
        <f>'SUB LIST'!T128</f>
        <v>nr</v>
      </c>
      <c r="CK9" t="str">
        <f>'SUB LIST'!U128</f>
        <v>0</v>
      </c>
      <c r="CL9">
        <f>'SUB LIST'!AU128</f>
        <v>9605</v>
      </c>
      <c r="CM9" t="str">
        <f>'SUB LIST'!A168</f>
        <v>PR14WSHWSW_F1</v>
      </c>
      <c r="CN9" t="str">
        <f>'SUB LIST'!P168</f>
        <v>06</v>
      </c>
      <c r="CO9" t="str">
        <f>'SUB LIST'!Q168</f>
        <v>Distribution Index TIM (as 100-Mean Zonal Compliance) (%)</v>
      </c>
      <c r="CP9" t="str">
        <f>'SUB LIST'!T168</f>
        <v>%</v>
      </c>
      <c r="CQ9">
        <f>'SUB LIST'!U168</f>
        <v>2</v>
      </c>
      <c r="CR9">
        <f>'SUB LIST'!AU168</f>
        <v>99.93</v>
      </c>
      <c r="CY9" t="str">
        <f>'SUB LIST'!A190</f>
        <v>PR14YKYWSW_WB4</v>
      </c>
      <c r="CZ9" t="str">
        <f>'SUB LIST'!P190</f>
        <v>00</v>
      </c>
      <c r="DA9" t="str">
        <f>'SUB LIST'!Q190</f>
        <v>WB4: Water network stability and reliability factor</v>
      </c>
      <c r="DB9" t="str">
        <f>'SUB LIST'!T190</f>
        <v>category</v>
      </c>
      <c r="DC9" t="str">
        <f>'SUB LIST'!U190</f>
        <v>na</v>
      </c>
      <c r="DD9" t="str">
        <f>'SUB LIST'!AU190</f>
        <v>Stable</v>
      </c>
    </row>
    <row r="10" spans="1:108">
      <c r="G10" t="str">
        <f>'SUB LIST'!A10</f>
        <v>PR14ANHWSW_W-H2</v>
      </c>
      <c r="H10" t="str">
        <f>'SUB LIST'!P10</f>
        <v>02</v>
      </c>
      <c r="I10" t="str">
        <f>'SUB LIST'!Q10</f>
        <v>Percentage (%) service reservoirs with &gt;5% coliforms</v>
      </c>
      <c r="J10" t="str">
        <f>'SUB LIST'!T10</f>
        <v>%</v>
      </c>
      <c r="K10">
        <f>'SUB LIST'!U10</f>
        <v>2</v>
      </c>
      <c r="L10">
        <f>'SUB LIST'!AU10</f>
        <v>0</v>
      </c>
      <c r="AK10" t="str">
        <f>'SUB LIST'!A33</f>
        <v>PR14SBWWSW_B4</v>
      </c>
      <c r="AL10" t="str">
        <f>'SUB LIST'!P33</f>
        <v>07</v>
      </c>
      <c r="AM10" t="str">
        <f>'SUB LIST'!Q33</f>
        <v>Service reservoir coliforms non-compliance (%)</v>
      </c>
      <c r="AN10" t="str">
        <f>'SUB LIST'!T33</f>
        <v>%</v>
      </c>
      <c r="AO10">
        <f>'SUB LIST'!U33</f>
        <v>2</v>
      </c>
      <c r="AP10">
        <f>'SUB LIST'!AU33</f>
        <v>0</v>
      </c>
      <c r="BC10" t="str">
        <f>'SUB LIST'!A49</f>
        <v>PR14SRNWSWW_1</v>
      </c>
      <c r="BD10" t="str">
        <f>'SUB LIST'!P49</f>
        <v>01</v>
      </c>
      <c r="BE10" t="str">
        <f>'SUB LIST'!Q49</f>
        <v>Sewer collapses</v>
      </c>
      <c r="BF10" t="str">
        <f>'SUB LIST'!T49</f>
        <v>nr</v>
      </c>
      <c r="BG10" t="str">
        <f>'SUB LIST'!U49</f>
        <v>0</v>
      </c>
      <c r="BH10">
        <f>'SUB LIST'!AU49</f>
        <v>233</v>
      </c>
      <c r="BI10" t="str">
        <f>'SUB LIST'!A59</f>
        <v>PR14SSCWSW_2.3</v>
      </c>
      <c r="BJ10" t="str">
        <f>'SUB LIST'!P59</f>
        <v>01</v>
      </c>
      <c r="BK10" t="str">
        <f>'SUB LIST'!Q59</f>
        <v>WTW coliform non-compliance</v>
      </c>
      <c r="BL10" t="str">
        <f>'SUB LIST'!T59</f>
        <v>%</v>
      </c>
      <c r="BM10">
        <f>'SUB LIST'!U59</f>
        <v>2</v>
      </c>
      <c r="BN10">
        <f>'SUB LIST'!AU59</f>
        <v>0</v>
      </c>
      <c r="BO10" t="str">
        <f>'SUB LIST'!A71</f>
        <v>PR14SVTWSWW_S-C7</v>
      </c>
      <c r="BP10" t="str">
        <f>'SUB LIST'!P71</f>
        <v>02</v>
      </c>
      <c r="BQ10" t="str">
        <f>'SUB LIST'!Q71</f>
        <v>Asset stewardship - environmental compliance</v>
      </c>
      <c r="BR10" t="str">
        <f>'SUB LIST'!T71</f>
        <v>nr</v>
      </c>
      <c r="BS10" t="str">
        <f>'SUB LIST'!U71</f>
        <v>0</v>
      </c>
      <c r="BT10" t="str">
        <f>'SUB LIST'!AU71</f>
        <v>Cannot be calculated until APR19</v>
      </c>
      <c r="BU10" t="str">
        <f>'SUB LIST'!A81</f>
        <v>PR14SWTWSW_W-A4</v>
      </c>
      <c r="BV10" t="str">
        <f>'SUB LIST'!P81</f>
        <v>00</v>
      </c>
      <c r="BW10" t="str">
        <f>'SUB LIST'!Q81</f>
        <v>W-A4 Asset reliability (process)</v>
      </c>
      <c r="BX10" t="str">
        <f>'SUB LIST'!T81</f>
        <v>category</v>
      </c>
      <c r="BY10" t="str">
        <f>'SUB LIST'!U81</f>
        <v>na</v>
      </c>
      <c r="BZ10" t="str">
        <f>'SUB LIST'!AU81</f>
        <v>Stable</v>
      </c>
      <c r="CA10" t="str">
        <f>'SUB LIST'!A105</f>
        <v>PR14TMSWSW_WB2</v>
      </c>
      <c r="CB10" t="str">
        <f>'SUB LIST'!P105</f>
        <v>00</v>
      </c>
      <c r="CC10" t="str">
        <f>'SUB LIST'!Q105</f>
        <v>WB2: Asset health water non-infrastructure</v>
      </c>
      <c r="CD10" t="str">
        <f>'SUB LIST'!T105</f>
        <v>category</v>
      </c>
      <c r="CE10" t="str">
        <f>'SUB LIST'!U105</f>
        <v>na</v>
      </c>
      <c r="CF10" t="str">
        <f>'SUB LIST'!AU105</f>
        <v>Stable</v>
      </c>
      <c r="CG10" t="str">
        <f>'SUB LIST'!A129</f>
        <v>PR14UUWSW_B2</v>
      </c>
      <c r="CH10" t="str">
        <f>'SUB LIST'!P129</f>
        <v>00</v>
      </c>
      <c r="CI10" t="str">
        <f>'SUB LIST'!Q129</f>
        <v>B2: Reliable water service index</v>
      </c>
      <c r="CJ10" t="str">
        <f>'SUB LIST'!T129</f>
        <v>score</v>
      </c>
      <c r="CK10">
        <f>'SUB LIST'!U129</f>
        <v>3</v>
      </c>
      <c r="CL10">
        <f>'SUB LIST'!AU129</f>
        <v>77.84</v>
      </c>
      <c r="CM10" t="str">
        <f>'SUB LIST'!A169</f>
        <v>PR14WSHWSW_F1</v>
      </c>
      <c r="CN10" t="str">
        <f>'SUB LIST'!P169</f>
        <v>07</v>
      </c>
      <c r="CO10" t="str">
        <f>'SUB LIST'!Q169</f>
        <v>Water Treatment Works Coliforms non-compliance (%)</v>
      </c>
      <c r="CP10" t="str">
        <f>'SUB LIST'!T169</f>
        <v>%</v>
      </c>
      <c r="CQ10">
        <f>'SUB LIST'!U169</f>
        <v>2</v>
      </c>
      <c r="CR10">
        <f>'SUB LIST'!AU169</f>
        <v>0.02</v>
      </c>
      <c r="CY10" t="str">
        <f>'SUB LIST'!A191</f>
        <v>PR14YKYWSW_WB4</v>
      </c>
      <c r="CZ10" t="str">
        <f>'SUB LIST'!P191</f>
        <v>01</v>
      </c>
      <c r="DA10" t="str">
        <f>'SUB LIST'!Q191</f>
        <v>Total bursts</v>
      </c>
      <c r="DB10" t="str">
        <f>'SUB LIST'!T191</f>
        <v>nr</v>
      </c>
      <c r="DC10" t="str">
        <f>'SUB LIST'!U191</f>
        <v>0</v>
      </c>
      <c r="DD10">
        <f>'SUB LIST'!AU191</f>
        <v>5724</v>
      </c>
    </row>
    <row r="11" spans="1:108">
      <c r="G11" t="str">
        <f>'SUB LIST'!A11</f>
        <v>PR14ANHWSW_W-H2</v>
      </c>
      <c r="H11" t="str">
        <f>'SUB LIST'!P11</f>
        <v>03</v>
      </c>
      <c r="I11" t="str">
        <f>'SUB LIST'!Q11</f>
        <v>WTW turbidity</v>
      </c>
      <c r="J11">
        <f>'SUB LIST'!T11</f>
        <v>0</v>
      </c>
      <c r="K11" t="str">
        <f>'SUB LIST'!U11</f>
        <v>0</v>
      </c>
      <c r="L11">
        <f>'SUB LIST'!AU11</f>
        <v>0</v>
      </c>
      <c r="AK11" t="str">
        <f>'SUB LIST'!A34</f>
        <v>PR14SBWWSW_B4</v>
      </c>
      <c r="AL11" t="str">
        <f>'SUB LIST'!P34</f>
        <v>08</v>
      </c>
      <c r="AM11" t="str">
        <f>'SUB LIST'!Q34</f>
        <v>Turbidity (number)</v>
      </c>
      <c r="AN11" t="str">
        <f>'SUB LIST'!T34</f>
        <v>nr</v>
      </c>
      <c r="AO11" t="str">
        <f>'SUB LIST'!U34</f>
        <v>0</v>
      </c>
      <c r="AP11">
        <f>'SUB LIST'!AU34</f>
        <v>0</v>
      </c>
      <c r="BC11" t="str">
        <f>'SUB LIST'!A50</f>
        <v>PR14SRNWSWW_1</v>
      </c>
      <c r="BD11" t="str">
        <f>'SUB LIST'!P50</f>
        <v>02</v>
      </c>
      <c r="BE11" t="str">
        <f>'SUB LIST'!Q50</f>
        <v>WwTW population equivalent compliance</v>
      </c>
      <c r="BF11" t="str">
        <f>'SUB LIST'!T50</f>
        <v>%</v>
      </c>
      <c r="BG11">
        <f>'SUB LIST'!U50</f>
        <v>1</v>
      </c>
      <c r="BH11">
        <f>'SUB LIST'!AU50</f>
        <v>100</v>
      </c>
      <c r="BI11" t="str">
        <f>'SUB LIST'!A60</f>
        <v>PR14SSCWSW_2.3</v>
      </c>
      <c r="BJ11" t="str">
        <f>'SUB LIST'!P60</f>
        <v>02</v>
      </c>
      <c r="BK11" t="str">
        <f>'SUB LIST'!Q60</f>
        <v>Service reservoir coliform non-compliance</v>
      </c>
      <c r="BL11" t="str">
        <f>'SUB LIST'!T60</f>
        <v>%</v>
      </c>
      <c r="BM11">
        <f>'SUB LIST'!U60</f>
        <v>2</v>
      </c>
      <c r="BN11">
        <f>'SUB LIST'!AU60</f>
        <v>0</v>
      </c>
      <c r="BO11" t="str">
        <f>'SUB LIST'!A72</f>
        <v>PR14SVTWSWW_S-C7</v>
      </c>
      <c r="BP11" t="str">
        <f>'SUB LIST'!P72</f>
        <v>03</v>
      </c>
      <c r="BQ11" t="str">
        <f>'SUB LIST'!Q72</f>
        <v>Total number of category 1, 2, and 3 pollution incidents</v>
      </c>
      <c r="BR11" t="str">
        <f>'SUB LIST'!T72</f>
        <v>nr</v>
      </c>
      <c r="BS11" t="str">
        <f>'SUB LIST'!U72</f>
        <v>0</v>
      </c>
      <c r="BT11" t="str">
        <f>'SUB LIST'!AU72</f>
        <v>Cannot be calculated until APR19</v>
      </c>
      <c r="BU11" t="str">
        <f>'SUB LIST'!A82</f>
        <v>PR14SWTWSW_W-A4</v>
      </c>
      <c r="BV11" t="str">
        <f>'SUB LIST'!P82</f>
        <v>01</v>
      </c>
      <c r="BW11" t="str">
        <f>'SUB LIST'!Q82</f>
        <v>WTW coliforms non-compliance</v>
      </c>
      <c r="BX11" t="str">
        <f>'SUB LIST'!T82</f>
        <v>%</v>
      </c>
      <c r="BY11">
        <f>'SUB LIST'!U82</f>
        <v>2</v>
      </c>
      <c r="BZ11">
        <f>'SUB LIST'!AU82</f>
        <v>0.01</v>
      </c>
      <c r="CA11" t="str">
        <f>'SUB LIST'!A106</f>
        <v>PR14TMSWSW_WB2</v>
      </c>
      <c r="CB11" t="str">
        <f>'SUB LIST'!P106</f>
        <v>01</v>
      </c>
      <c r="CC11" t="str">
        <f>'SUB LIST'!Q106</f>
        <v>Disinfection index (DWI)</v>
      </c>
      <c r="CD11" t="str">
        <f>'SUB LIST'!T106</f>
        <v>%</v>
      </c>
      <c r="CE11">
        <f>'SUB LIST'!U106</f>
        <v>2</v>
      </c>
      <c r="CF11">
        <f>'SUB LIST'!AU106</f>
        <v>99.99</v>
      </c>
      <c r="CG11" t="str">
        <f>'SUB LIST'!A130</f>
        <v>PR14UUWSW_B2</v>
      </c>
      <c r="CH11" t="str">
        <f>'SUB LIST'!P130</f>
        <v>01</v>
      </c>
      <c r="CI11" t="str">
        <f>'SUB LIST'!Q130</f>
        <v>Total bursts (nr/annum)</v>
      </c>
      <c r="CJ11" t="str">
        <f>'SUB LIST'!T130</f>
        <v>nr</v>
      </c>
      <c r="CK11" t="str">
        <f>'SUB LIST'!U130</f>
        <v>0</v>
      </c>
      <c r="CL11">
        <f>'SUB LIST'!AU130</f>
        <v>4590</v>
      </c>
      <c r="CM11" t="str">
        <f>'SUB LIST'!A170</f>
        <v>PR14WSHWSW_F1</v>
      </c>
      <c r="CN11" t="str">
        <f>'SUB LIST'!P170</f>
        <v>08</v>
      </c>
      <c r="CO11" t="str">
        <f>'SUB LIST'!Q170</f>
        <v>Service Reservoir Coliforms non-compliance (%)</v>
      </c>
      <c r="CP11" t="str">
        <f>'SUB LIST'!T170</f>
        <v>%</v>
      </c>
      <c r="CQ11">
        <f>'SUB LIST'!U170</f>
        <v>2</v>
      </c>
      <c r="CR11">
        <f>'SUB LIST'!AU170</f>
        <v>0</v>
      </c>
      <c r="CY11" t="str">
        <f>'SUB LIST'!A192</f>
        <v>PR14YKYWSW_WB4</v>
      </c>
      <c r="CZ11" t="str">
        <f>'SUB LIST'!P192</f>
        <v>02</v>
      </c>
      <c r="DA11" t="str">
        <f>'SUB LIST'!Q192</f>
        <v>Interruptions &gt;12 hours</v>
      </c>
      <c r="DB11" t="str">
        <f>'SUB LIST'!T192</f>
        <v>nr</v>
      </c>
      <c r="DC11" t="str">
        <f>'SUB LIST'!U192</f>
        <v>0</v>
      </c>
      <c r="DD11">
        <f>'SUB LIST'!AU192</f>
        <v>114</v>
      </c>
    </row>
    <row r="12" spans="1:108">
      <c r="G12" t="str">
        <f>'SUB LIST'!A12</f>
        <v>PR14ANHWSWW_S-F1</v>
      </c>
      <c r="H12" t="str">
        <f>'SUB LIST'!P12</f>
        <v>00</v>
      </c>
      <c r="I12" t="str">
        <f>'SUB LIST'!Q12</f>
        <v>S-F1: Sewerage infrastructure</v>
      </c>
      <c r="J12" t="str">
        <f>'SUB LIST'!T12</f>
        <v>category</v>
      </c>
      <c r="K12" t="str">
        <f>'SUB LIST'!U12</f>
        <v>na</v>
      </c>
      <c r="L12" t="str">
        <f>'SUB LIST'!AU12</f>
        <v>Green</v>
      </c>
      <c r="AK12" t="str">
        <f>'SUB LIST'!A35</f>
        <v>PR14SBWWSW_B4</v>
      </c>
      <c r="AL12" t="str">
        <f>'SUB LIST'!P35</f>
        <v>09</v>
      </c>
      <c r="AM12" t="str">
        <f>'SUB LIST'!Q35</f>
        <v>Enforcement (incident number)</v>
      </c>
      <c r="AN12" t="str">
        <f>'SUB LIST'!T35</f>
        <v>nr</v>
      </c>
      <c r="AO12" t="str">
        <f>'SUB LIST'!U35</f>
        <v>0</v>
      </c>
      <c r="AP12">
        <f>'SUB LIST'!AU35</f>
        <v>0</v>
      </c>
      <c r="BC12" t="str">
        <f>'SUB LIST'!A51</f>
        <v>PR14SRNWSWW_1</v>
      </c>
      <c r="BD12" t="str">
        <f>'SUB LIST'!P51</f>
        <v>03</v>
      </c>
      <c r="BE12" t="str">
        <f>'SUB LIST'!Q51</f>
        <v>External flooding - other causes</v>
      </c>
      <c r="BF12" t="str">
        <f>'SUB LIST'!T51</f>
        <v>nr</v>
      </c>
      <c r="BG12" t="str">
        <f>'SUB LIST'!U51</f>
        <v>0</v>
      </c>
      <c r="BH12">
        <f>'SUB LIST'!AU51</f>
        <v>7614</v>
      </c>
      <c r="BI12" t="str">
        <f>'SUB LIST'!A61</f>
        <v>PR14SSCWSW_2.3</v>
      </c>
      <c r="BJ12" t="str">
        <f>'SUB LIST'!P61</f>
        <v>03</v>
      </c>
      <c r="BK12" t="str">
        <f>'SUB LIST'!Q61</f>
        <v>WTW turbidity non-compliance</v>
      </c>
      <c r="BL12" t="str">
        <f>'SUB LIST'!T61</f>
        <v>nr</v>
      </c>
      <c r="BM12" t="str">
        <f>'SUB LIST'!U61</f>
        <v>0</v>
      </c>
      <c r="BN12">
        <f>'SUB LIST'!AU61</f>
        <v>0</v>
      </c>
      <c r="BO12" t="str">
        <f>'SUB LIST'!A73</f>
        <v>PR14SVTWSWW_S-C7</v>
      </c>
      <c r="BP12" t="str">
        <f>'SUB LIST'!P73</f>
        <v>04</v>
      </c>
      <c r="BQ12" t="str">
        <f>'SUB LIST'!Q73</f>
        <v>Biodiversity improvements</v>
      </c>
      <c r="BR12" t="str">
        <f>'SUB LIST'!T73</f>
        <v>nr</v>
      </c>
      <c r="BS12" t="str">
        <f>'SUB LIST'!U73</f>
        <v>0</v>
      </c>
      <c r="BT12" t="str">
        <f>'SUB LIST'!AU73</f>
        <v>Cannot be calculated until APR19</v>
      </c>
      <c r="BU12" t="str">
        <f>'SUB LIST'!A83</f>
        <v>PR14SWTWSW_W-A4</v>
      </c>
      <c r="BV12" t="str">
        <f>'SUB LIST'!P83</f>
        <v>02</v>
      </c>
      <c r="BW12" t="str">
        <f>'SUB LIST'!Q83</f>
        <v>Service reservoir coliforms non-compliance</v>
      </c>
      <c r="BX12" t="str">
        <f>'SUB LIST'!T83</f>
        <v>%</v>
      </c>
      <c r="BY12">
        <f>'SUB LIST'!U83</f>
        <v>2</v>
      </c>
      <c r="BZ12">
        <f>'SUB LIST'!AU83</f>
        <v>0</v>
      </c>
      <c r="CA12" t="str">
        <f>'SUB LIST'!A107</f>
        <v>PR14TMSWSW_WB2</v>
      </c>
      <c r="CB12" t="str">
        <f>'SUB LIST'!P107</f>
        <v>02</v>
      </c>
      <c r="CC12" t="str">
        <f>'SUB LIST'!Q107</f>
        <v>Reservoir integrity index</v>
      </c>
      <c r="CD12" t="str">
        <f>'SUB LIST'!T107</f>
        <v>%</v>
      </c>
      <c r="CE12">
        <f>'SUB LIST'!U107</f>
        <v>2</v>
      </c>
      <c r="CF12">
        <f>'SUB LIST'!AU107</f>
        <v>0</v>
      </c>
      <c r="CG12" t="str">
        <f>'SUB LIST'!A131</f>
        <v>PR14UUWSW_B2</v>
      </c>
      <c r="CH12" t="str">
        <f>'SUB LIST'!P131</f>
        <v>02</v>
      </c>
      <c r="CI12" t="str">
        <f>'SUB LIST'!Q131</f>
        <v>Interruptions &gt;12hours (nr of properties/total nr of properties)</v>
      </c>
      <c r="CJ12" t="str">
        <f>'SUB LIST'!T131</f>
        <v>nr</v>
      </c>
      <c r="CK12" t="str">
        <f>'SUB LIST'!U131</f>
        <v>0</v>
      </c>
      <c r="CL12">
        <f>'SUB LIST'!AU131</f>
        <v>3759</v>
      </c>
      <c r="CM12" t="str">
        <f>'SUB LIST'!A171</f>
        <v>PR14WSHWSW_F1</v>
      </c>
      <c r="CN12" t="str">
        <f>'SUB LIST'!P171</f>
        <v>09</v>
      </c>
      <c r="CO12" t="str">
        <f>'SUB LIST'!Q171</f>
        <v>Turbidity (nr)</v>
      </c>
      <c r="CP12" t="str">
        <f>'SUB LIST'!T171</f>
        <v>nr</v>
      </c>
      <c r="CQ12" t="str">
        <f>'SUB LIST'!U171</f>
        <v>0</v>
      </c>
      <c r="CR12">
        <f>'SUB LIST'!AU171</f>
        <v>0</v>
      </c>
      <c r="CY12" t="str">
        <f>'SUB LIST'!A193</f>
        <v>PR14YKYWSW_WB4</v>
      </c>
      <c r="CZ12" t="str">
        <f>'SUB LIST'!P193</f>
        <v>03</v>
      </c>
      <c r="DA12" t="str">
        <f>'SUB LIST'!Q193</f>
        <v>DG2 low pressure</v>
      </c>
      <c r="DB12" t="str">
        <f>'SUB LIST'!T193</f>
        <v>nr</v>
      </c>
      <c r="DC12" t="str">
        <f>'SUB LIST'!U193</f>
        <v>0</v>
      </c>
      <c r="DD12">
        <f>'SUB LIST'!AU193</f>
        <v>8</v>
      </c>
    </row>
    <row r="13" spans="1:108">
      <c r="G13" t="str">
        <f>'SUB LIST'!A13</f>
        <v>PR14ANHWSWW_S-F1</v>
      </c>
      <c r="H13" t="str">
        <f>'SUB LIST'!P13</f>
        <v>01</v>
      </c>
      <c r="I13" t="str">
        <f>'SUB LIST'!Q13</f>
        <v>Pollution incidents</v>
      </c>
      <c r="J13" t="str">
        <f>'SUB LIST'!T13</f>
        <v>nr</v>
      </c>
      <c r="K13" t="str">
        <f>'SUB LIST'!U13</f>
        <v>0</v>
      </c>
      <c r="L13">
        <f>'SUB LIST'!AU13</f>
        <v>105</v>
      </c>
      <c r="AK13" t="str">
        <f>'SUB LIST'!A36</f>
        <v>PR14SBWWSW_B4</v>
      </c>
      <c r="AL13" t="str">
        <f>'SUB LIST'!P36</f>
        <v>10</v>
      </c>
      <c r="AM13" t="str">
        <f>'SUB LIST'!Q36</f>
        <v>Unplanned maintenance (number)</v>
      </c>
      <c r="AN13" t="str">
        <f>'SUB LIST'!T36</f>
        <v>nr</v>
      </c>
      <c r="AO13" t="str">
        <f>'SUB LIST'!U36</f>
        <v>0</v>
      </c>
      <c r="AP13">
        <f>'SUB LIST'!AU36</f>
        <v>212</v>
      </c>
      <c r="BI13" t="str">
        <f>'SUB LIST'!A62</f>
        <v>PR14SSCWSW_2.3</v>
      </c>
      <c r="BJ13" t="str">
        <f>'SUB LIST'!P62</f>
        <v>04</v>
      </c>
      <c r="BK13" t="str">
        <f>'SUB LIST'!Q62</f>
        <v>DWI enforcement actions</v>
      </c>
      <c r="BL13" t="str">
        <f>'SUB LIST'!T62</f>
        <v>nr</v>
      </c>
      <c r="BM13" t="str">
        <f>'SUB LIST'!U62</f>
        <v>0</v>
      </c>
      <c r="BN13">
        <f>'SUB LIST'!AU62</f>
        <v>0</v>
      </c>
      <c r="BU13" t="str">
        <f>'SUB LIST'!A84</f>
        <v>PR14SWTWSW_W-A4</v>
      </c>
      <c r="BV13" t="str">
        <f>'SUB LIST'!P84</f>
        <v>03</v>
      </c>
      <c r="BW13" t="str">
        <f>'SUB LIST'!Q84</f>
        <v>Turbidity non-compliance</v>
      </c>
      <c r="BX13" t="str">
        <f>'SUB LIST'!T84</f>
        <v>nr</v>
      </c>
      <c r="BY13" t="str">
        <f>'SUB LIST'!U84</f>
        <v>0</v>
      </c>
      <c r="BZ13">
        <f>'SUB LIST'!AU84</f>
        <v>0</v>
      </c>
      <c r="CA13" t="str">
        <f>'SUB LIST'!A108</f>
        <v>PR14TMSWSW_WB2</v>
      </c>
      <c r="CB13" t="str">
        <f>'SUB LIST'!P108</f>
        <v>03</v>
      </c>
      <c r="CC13" t="str">
        <f>'SUB LIST'!Q108</f>
        <v>DWQ compliance measures - turbidity (number of sites)</v>
      </c>
      <c r="CD13" t="str">
        <f>'SUB LIST'!T108</f>
        <v>nr</v>
      </c>
      <c r="CE13" t="str">
        <f>'SUB LIST'!U108</f>
        <v>0</v>
      </c>
      <c r="CF13">
        <f>'SUB LIST'!AU108</f>
        <v>0</v>
      </c>
      <c r="CG13" t="str">
        <f>'SUB LIST'!A132</f>
        <v>PR14UUWSW_B2</v>
      </c>
      <c r="CH13" t="str">
        <f>'SUB LIST'!P132</f>
        <v>03</v>
      </c>
      <c r="CI13" t="str">
        <f>'SUB LIST'!Q132</f>
        <v>Pressure (nr of properties on DG2 register/ total number of properties)</v>
      </c>
      <c r="CJ13" t="str">
        <f>'SUB LIST'!T132</f>
        <v>nr</v>
      </c>
      <c r="CK13" t="str">
        <f>'SUB LIST'!U132</f>
        <v>0</v>
      </c>
      <c r="CL13">
        <f>'SUB LIST'!AU132</f>
        <v>345</v>
      </c>
      <c r="CM13" t="str">
        <f>'SUB LIST'!A172</f>
        <v>PR14WSHWSW_F1</v>
      </c>
      <c r="CN13" t="str">
        <f>'SUB LIST'!P172</f>
        <v>10</v>
      </c>
      <c r="CO13" t="str">
        <f>'SUB LIST'!Q172</f>
        <v>Enforcement (incidents number)</v>
      </c>
      <c r="CP13" t="str">
        <f>'SUB LIST'!T172</f>
        <v>nr</v>
      </c>
      <c r="CQ13" t="str">
        <f>'SUB LIST'!U172</f>
        <v>0</v>
      </c>
      <c r="CR13">
        <f>'SUB LIST'!AU172</f>
        <v>0</v>
      </c>
      <c r="CY13" t="str">
        <f>'SUB LIST'!A194</f>
        <v>PR14YKYWSW_WB4</v>
      </c>
      <c r="CZ13" t="str">
        <f>'SUB LIST'!P194</f>
        <v>04</v>
      </c>
      <c r="DA13" t="str">
        <f>'SUB LIST'!Q194</f>
        <v>Customer contacts for discolouration (nr per 1,000 population)</v>
      </c>
      <c r="DB13" t="str">
        <f>'SUB LIST'!T194</f>
        <v>nr</v>
      </c>
      <c r="DC13">
        <f>'SUB LIST'!U194</f>
        <v>3</v>
      </c>
      <c r="DD13">
        <f>'SUB LIST'!AU194</f>
        <v>0.96499999999999997</v>
      </c>
    </row>
    <row r="14" spans="1:108">
      <c r="G14" t="str">
        <f>'SUB LIST'!A14</f>
        <v>PR14ANHWSWW_S-F1</v>
      </c>
      <c r="H14" t="str">
        <f>'SUB LIST'!P14</f>
        <v>02</v>
      </c>
      <c r="I14" t="str">
        <f>'SUB LIST'!Q14</f>
        <v>Sewer collapses</v>
      </c>
      <c r="J14" t="str">
        <f>'SUB LIST'!T14</f>
        <v>nr</v>
      </c>
      <c r="K14" t="str">
        <f>'SUB LIST'!U14</f>
        <v>0</v>
      </c>
      <c r="L14">
        <f>'SUB LIST'!AU14</f>
        <v>228</v>
      </c>
      <c r="BI14" t="str">
        <f>'SUB LIST'!A63</f>
        <v>PR14SSCWSW_2.3</v>
      </c>
      <c r="BJ14" t="str">
        <f>'SUB LIST'!P63</f>
        <v>05</v>
      </c>
      <c r="BK14" t="str">
        <f>'SUB LIST'!Q63</f>
        <v>Unplanned maintenance work orders</v>
      </c>
      <c r="BL14" t="str">
        <f>'SUB LIST'!T63</f>
        <v>nr</v>
      </c>
      <c r="BM14" t="str">
        <f>'SUB LIST'!U63</f>
        <v>0</v>
      </c>
      <c r="BN14">
        <f>'SUB LIST'!AU63</f>
        <v>3058</v>
      </c>
      <c r="BU14" t="str">
        <f>'SUB LIST'!A85</f>
        <v>PR14SWTWSW_W-A4</v>
      </c>
      <c r="BV14" t="str">
        <f>'SUB LIST'!P85</f>
        <v>04</v>
      </c>
      <c r="BW14" t="str">
        <f>'SUB LIST'!Q85</f>
        <v>Enforcement incidents</v>
      </c>
      <c r="BX14" t="str">
        <f>'SUB LIST'!T85</f>
        <v>nr</v>
      </c>
      <c r="BY14" t="str">
        <f>'SUB LIST'!U85</f>
        <v>0</v>
      </c>
      <c r="BZ14">
        <f>'SUB LIST'!AU85</f>
        <v>0</v>
      </c>
      <c r="CA14" t="str">
        <f>'SUB LIST'!A109</f>
        <v>PR14TMSWSW_WB2</v>
      </c>
      <c r="CB14" t="str">
        <f>'SUB LIST'!P109</f>
        <v>04</v>
      </c>
      <c r="CC14" t="str">
        <f>'SUB LIST'!Q109</f>
        <v>Process control index</v>
      </c>
      <c r="CD14" t="str">
        <f>'SUB LIST'!T109</f>
        <v>%</v>
      </c>
      <c r="CE14">
        <f>'SUB LIST'!U109</f>
        <v>2</v>
      </c>
      <c r="CF14">
        <f>'SUB LIST'!AU109</f>
        <v>100</v>
      </c>
      <c r="CG14" t="str">
        <f>'SUB LIST'!A133</f>
        <v>PR14UUWSW_B2</v>
      </c>
      <c r="CH14" t="str">
        <f>'SUB LIST'!P133</f>
        <v>04</v>
      </c>
      <c r="CI14" t="str">
        <f>'SUB LIST'!Q133</f>
        <v>Customer contacts for water availability (contacts/annum)</v>
      </c>
      <c r="CJ14" t="str">
        <f>'SUB LIST'!T133</f>
        <v>nr</v>
      </c>
      <c r="CK14" t="str">
        <f>'SUB LIST'!U133</f>
        <v>0</v>
      </c>
      <c r="CL14">
        <f>'SUB LIST'!AU133</f>
        <v>43740</v>
      </c>
      <c r="CM14" t="str">
        <f>'SUB LIST'!A173</f>
        <v>PR14WSHWSW_F1</v>
      </c>
      <c r="CN14" t="str">
        <f>'SUB LIST'!P173</f>
        <v>11</v>
      </c>
      <c r="CO14" t="str">
        <f>'SUB LIST'!Q173</f>
        <v>Unplanned maintenance (nr)</v>
      </c>
      <c r="CP14" t="str">
        <f>'SUB LIST'!T173</f>
        <v>nr</v>
      </c>
      <c r="CQ14" t="str">
        <f>'SUB LIST'!U173</f>
        <v>0</v>
      </c>
      <c r="CR14">
        <f>'SUB LIST'!AU173</f>
        <v>6378</v>
      </c>
      <c r="CY14" t="str">
        <f>'SUB LIST'!A195</f>
        <v>PR14YKYWSW_WB4</v>
      </c>
      <c r="CZ14" t="str">
        <f>'SUB LIST'!P195</f>
        <v>05</v>
      </c>
      <c r="DA14" t="str">
        <f>'SUB LIST'!Q195</f>
        <v>Distribution index TIM (100 - mean zonal compliance)</v>
      </c>
      <c r="DB14" t="str">
        <f>'SUB LIST'!T195</f>
        <v>%</v>
      </c>
      <c r="DC14">
        <f>'SUB LIST'!U195</f>
        <v>3</v>
      </c>
      <c r="DD14">
        <f>'SUB LIST'!AU195</f>
        <v>6.8000000000000005E-2</v>
      </c>
    </row>
    <row r="15" spans="1:108">
      <c r="G15" t="str">
        <f>'SUB LIST'!A15</f>
        <v>PR14ANHWSWW_S-F1</v>
      </c>
      <c r="H15" t="str">
        <f>'SUB LIST'!P15</f>
        <v>03</v>
      </c>
      <c r="I15" t="str">
        <f>'SUB LIST'!Q15</f>
        <v>Internal flooding (overloaded + other causes)</v>
      </c>
      <c r="J15" t="str">
        <f>'SUB LIST'!T15</f>
        <v>nr</v>
      </c>
      <c r="K15" t="str">
        <f>'SUB LIST'!U15</f>
        <v>0</v>
      </c>
      <c r="L15">
        <f>'SUB LIST'!AU15</f>
        <v>264</v>
      </c>
      <c r="BU15" t="str">
        <f>'SUB LIST'!A86</f>
        <v>PR14SWTWSW_W-A4</v>
      </c>
      <c r="BV15" t="str">
        <f>'SUB LIST'!P86</f>
        <v>05</v>
      </c>
      <c r="BW15" t="str">
        <f>'SUB LIST'!Q86</f>
        <v>Unplanned maintenance</v>
      </c>
      <c r="BX15" t="str">
        <f>'SUB LIST'!T86</f>
        <v>nr</v>
      </c>
      <c r="BY15" t="str">
        <f>'SUB LIST'!U86</f>
        <v>0</v>
      </c>
      <c r="BZ15">
        <f>'SUB LIST'!AU86</f>
        <v>2154</v>
      </c>
      <c r="CA15" t="str">
        <f>'SUB LIST'!A110</f>
        <v>PR14TMSWSW_WB2</v>
      </c>
      <c r="CB15" t="str">
        <f>'SUB LIST'!P110</f>
        <v>05</v>
      </c>
      <c r="CC15" t="str">
        <f>'SUB LIST'!Q110</f>
        <v>DWQ compliance measures - enforcement actions</v>
      </c>
      <c r="CD15" t="str">
        <f>'SUB LIST'!T110</f>
        <v>nr</v>
      </c>
      <c r="CE15" t="str">
        <f>'SUB LIST'!U110</f>
        <v>0</v>
      </c>
      <c r="CF15">
        <f>'SUB LIST'!AU110</f>
        <v>0</v>
      </c>
      <c r="CG15" t="str">
        <f>'SUB LIST'!A134</f>
        <v>PR14UUWSWW_S-A1</v>
      </c>
      <c r="CH15" t="str">
        <f>'SUB LIST'!P134</f>
        <v>00</v>
      </c>
      <c r="CI15" t="str">
        <f>'SUB LIST'!Q134</f>
        <v>S-A1: Private sewers service index</v>
      </c>
      <c r="CJ15" t="str">
        <f>'SUB LIST'!T134</f>
        <v>score</v>
      </c>
      <c r="CK15">
        <f>'SUB LIST'!U134</f>
        <v>2</v>
      </c>
      <c r="CL15">
        <f>'SUB LIST'!AU134</f>
        <v>91.9</v>
      </c>
      <c r="CM15" t="str">
        <f>'SUB LIST'!A174</f>
        <v>PR14WSHWSWW_F1</v>
      </c>
      <c r="CN15" t="str">
        <f>'SUB LIST'!P174</f>
        <v>00</v>
      </c>
      <c r="CO15" t="str">
        <f>'SUB LIST'!Q174</f>
        <v>F1: Asset serviceability</v>
      </c>
      <c r="CP15" t="str">
        <f>'SUB LIST'!T174</f>
        <v>category</v>
      </c>
      <c r="CQ15" t="str">
        <f>'SUB LIST'!U174</f>
        <v>na</v>
      </c>
      <c r="CR15" t="str">
        <f>'SUB LIST'!AU174</f>
        <v>Stable</v>
      </c>
      <c r="CY15" t="str">
        <f>'SUB LIST'!A196</f>
        <v>PR14YKYWSW_WB4</v>
      </c>
      <c r="CZ15" t="str">
        <f>'SUB LIST'!P196</f>
        <v>06</v>
      </c>
      <c r="DA15" t="str">
        <f>'SUB LIST'!Q196</f>
        <v>Reactive equipment failures</v>
      </c>
      <c r="DB15" t="str">
        <f>'SUB LIST'!T196</f>
        <v>nr</v>
      </c>
      <c r="DC15" t="str">
        <f>'SUB LIST'!U196</f>
        <v>0</v>
      </c>
      <c r="DD15">
        <f>'SUB LIST'!AU196</f>
        <v>1228</v>
      </c>
    </row>
    <row r="16" spans="1:108">
      <c r="G16" t="str">
        <f>'SUB LIST'!A16</f>
        <v>PR14ANHWSWW_S-F1</v>
      </c>
      <c r="H16" t="str">
        <f>'SUB LIST'!P16</f>
        <v>04</v>
      </c>
      <c r="I16" t="str">
        <f>'SUB LIST'!Q16</f>
        <v>Sewer blockages</v>
      </c>
      <c r="J16" t="str">
        <f>'SUB LIST'!T16</f>
        <v>nr</v>
      </c>
      <c r="K16" t="str">
        <f>'SUB LIST'!U16</f>
        <v>0</v>
      </c>
      <c r="L16">
        <f>'SUB LIST'!AU16</f>
        <v>10522</v>
      </c>
      <c r="BU16" t="str">
        <f>'SUB LIST'!A87</f>
        <v>PR14SWTWSWW_S-A4</v>
      </c>
      <c r="BV16" t="str">
        <f>'SUB LIST'!P87</f>
        <v>00</v>
      </c>
      <c r="BW16" t="str">
        <f>'SUB LIST'!Q87</f>
        <v>S-A4 Asset reliability (pipes)</v>
      </c>
      <c r="BX16" t="str">
        <f>'SUB LIST'!T87</f>
        <v>category</v>
      </c>
      <c r="BY16" t="str">
        <f>'SUB LIST'!U87</f>
        <v>na</v>
      </c>
      <c r="BZ16" t="str">
        <f>'SUB LIST'!AU87</f>
        <v>Stable</v>
      </c>
      <c r="CA16" t="str">
        <f>'SUB LIST'!A111</f>
        <v>PR14TMSWSW_WB2</v>
      </c>
      <c r="CB16" t="str">
        <f>'SUB LIST'!P111</f>
        <v>06</v>
      </c>
      <c r="CC16" t="str">
        <f>'SUB LIST'!Q111</f>
        <v>Water quality complaints for chlorine (nr per 1,000 population)</v>
      </c>
      <c r="CD16" t="str">
        <f>'SUB LIST'!T111</f>
        <v>nr</v>
      </c>
      <c r="CE16">
        <f>'SUB LIST'!U111</f>
        <v>3</v>
      </c>
      <c r="CF16">
        <f>'SUB LIST'!AU111</f>
        <v>0.06</v>
      </c>
      <c r="CG16" t="str">
        <f>'SUB LIST'!A135</f>
        <v>PR14UUWSWW_S-A1</v>
      </c>
      <c r="CH16" t="str">
        <f>'SUB LIST'!P135</f>
        <v>01</v>
      </c>
      <c r="CI16" t="str">
        <f>'SUB LIST'!Q135</f>
        <v>Blockages</v>
      </c>
      <c r="CJ16" t="str">
        <f>'SUB LIST'!T135</f>
        <v>nr</v>
      </c>
      <c r="CK16" t="str">
        <f>'SUB LIST'!U135</f>
        <v>0</v>
      </c>
      <c r="CL16">
        <f>'SUB LIST'!AU135</f>
        <v>14031</v>
      </c>
      <c r="CM16" t="str">
        <f>'SUB LIST'!A175</f>
        <v>PR14WSHWSWW_F1</v>
      </c>
      <c r="CN16" t="str">
        <f>'SUB LIST'!P175</f>
        <v>01</v>
      </c>
      <c r="CO16" t="str">
        <f>'SUB LIST'!Q175</f>
        <v>Sewer collapses (nr)</v>
      </c>
      <c r="CP16" t="str">
        <f>'SUB LIST'!T175</f>
        <v>nr</v>
      </c>
      <c r="CQ16" t="str">
        <f>'SUB LIST'!U175</f>
        <v>0</v>
      </c>
      <c r="CR16">
        <f>'SUB LIST'!AU175</f>
        <v>836</v>
      </c>
      <c r="CY16" t="str">
        <f>'SUB LIST'!A197</f>
        <v>PR14YKYWSWW_SA4</v>
      </c>
      <c r="CZ16" t="str">
        <f>'SUB LIST'!P197</f>
        <v>00</v>
      </c>
      <c r="DA16" t="str">
        <f>'SUB LIST'!Q197</f>
        <v>SA4: Sewer network stability and reliability factor</v>
      </c>
      <c r="DB16" t="str">
        <f>'SUB LIST'!T197</f>
        <v>category</v>
      </c>
      <c r="DC16" t="str">
        <f>'SUB LIST'!U197</f>
        <v>na</v>
      </c>
      <c r="DD16" t="str">
        <f>'SUB LIST'!AU197</f>
        <v xml:space="preserve">Stable </v>
      </c>
    </row>
    <row r="17" spans="7:108">
      <c r="G17" t="str">
        <f>'SUB LIST'!A17</f>
        <v>PR14ANHWSWW_S-F2</v>
      </c>
      <c r="H17" t="str">
        <f>'SUB LIST'!P17</f>
        <v>00</v>
      </c>
      <c r="I17" t="str">
        <f>'SUB LIST'!Q17</f>
        <v>S-F2: Sewerage non-infrastructure</v>
      </c>
      <c r="J17" t="str">
        <f>'SUB LIST'!T17</f>
        <v>category</v>
      </c>
      <c r="K17" t="str">
        <f>'SUB LIST'!U17</f>
        <v>na</v>
      </c>
      <c r="L17" t="str">
        <f>'SUB LIST'!AU17</f>
        <v>Green</v>
      </c>
      <c r="BU17" t="str">
        <f>'SUB LIST'!A88</f>
        <v>PR14SWTWSWW_S-A4</v>
      </c>
      <c r="BV17" t="str">
        <f>'SUB LIST'!P88</f>
        <v>01</v>
      </c>
      <c r="BW17" t="str">
        <f>'SUB LIST'!Q88</f>
        <v>Sewer collapses</v>
      </c>
      <c r="BX17" t="str">
        <f>'SUB LIST'!T88</f>
        <v>nr</v>
      </c>
      <c r="BY17" t="str">
        <f>'SUB LIST'!U88</f>
        <v>0</v>
      </c>
      <c r="BZ17">
        <f>'SUB LIST'!AU88</f>
        <v>114</v>
      </c>
      <c r="CA17" t="str">
        <f>'SUB LIST'!A112</f>
        <v>PR14TMSWSW_WB2</v>
      </c>
      <c r="CB17" t="str">
        <f>'SUB LIST'!P112</f>
        <v>07</v>
      </c>
      <c r="CC17" t="str">
        <f>'SUB LIST'!Q112</f>
        <v>Water quality complaints for hardness (nr per 1,000 population)</v>
      </c>
      <c r="CD17" t="str">
        <f>'SUB LIST'!T112</f>
        <v>nr</v>
      </c>
      <c r="CE17">
        <f>'SUB LIST'!U112</f>
        <v>3</v>
      </c>
      <c r="CF17">
        <f>'SUB LIST'!AU112</f>
        <v>0.01</v>
      </c>
      <c r="CG17" t="str">
        <f>'SUB LIST'!A136</f>
        <v>PR14UUWSWW_S-A1</v>
      </c>
      <c r="CH17" t="str">
        <f>'SUB LIST'!P136</f>
        <v>02</v>
      </c>
      <c r="CI17" t="str">
        <f>'SUB LIST'!Q136</f>
        <v>Collapses</v>
      </c>
      <c r="CJ17" t="str">
        <f>'SUB LIST'!T136</f>
        <v>nr</v>
      </c>
      <c r="CK17" t="str">
        <f>'SUB LIST'!U136</f>
        <v>0</v>
      </c>
      <c r="CL17">
        <f>'SUB LIST'!AU136</f>
        <v>391</v>
      </c>
      <c r="CM17" t="str">
        <f>'SUB LIST'!A176</f>
        <v>PR14WSHWSWW_F1</v>
      </c>
      <c r="CN17" t="str">
        <f>'SUB LIST'!P176</f>
        <v>02</v>
      </c>
      <c r="CO17" t="str">
        <f>'SUB LIST'!Q176</f>
        <v>Pollution incidents category 1, 2 &amp; 3 (CSO+RM+FS) (nr)</v>
      </c>
      <c r="CP17" t="str">
        <f>'SUB LIST'!T176</f>
        <v>nr</v>
      </c>
      <c r="CQ17" t="str">
        <f>'SUB LIST'!U176</f>
        <v>0</v>
      </c>
      <c r="CR17">
        <f>'SUB LIST'!AU176</f>
        <v>89</v>
      </c>
      <c r="CY17" t="str">
        <f>'SUB LIST'!A198</f>
        <v>PR14YKYWSWW_SA4</v>
      </c>
      <c r="CZ17" t="str">
        <f>'SUB LIST'!P198</f>
        <v>01</v>
      </c>
      <c r="DA17" t="str">
        <f>'SUB LIST'!Q198</f>
        <v>Sewer collapses</v>
      </c>
      <c r="DB17" t="str">
        <f>'SUB LIST'!T198</f>
        <v>nr</v>
      </c>
      <c r="DC17" t="str">
        <f>'SUB LIST'!U198</f>
        <v>0</v>
      </c>
      <c r="DD17">
        <f>'SUB LIST'!AU198</f>
        <v>243</v>
      </c>
    </row>
    <row r="18" spans="7:108">
      <c r="G18" t="str">
        <f>'SUB LIST'!A18</f>
        <v>PR14ANHWSWW_S-F2</v>
      </c>
      <c r="H18" t="str">
        <f>'SUB LIST'!P18</f>
        <v>01</v>
      </c>
      <c r="I18" t="str">
        <f>'SUB LIST'!Q18</f>
        <v>Population equivalent (PE) WwTW in breach of consent</v>
      </c>
      <c r="J18" t="str">
        <f>'SUB LIST'!T18</f>
        <v>%</v>
      </c>
      <c r="K18">
        <f>'SUB LIST'!U18</f>
        <v>2</v>
      </c>
      <c r="L18">
        <f>'SUB LIST'!AU18</f>
        <v>0.18</v>
      </c>
      <c r="BU18" t="str">
        <f>'SUB LIST'!A89</f>
        <v>PR14SWTWSWW_S-A4</v>
      </c>
      <c r="BV18" t="str">
        <f>'SUB LIST'!P89</f>
        <v>02</v>
      </c>
      <c r="BW18" t="str">
        <f>'SUB LIST'!Q89</f>
        <v>Pollution incidents (CSO + RM + FS)</v>
      </c>
      <c r="BX18" t="str">
        <f>'SUB LIST'!T89</f>
        <v>nr</v>
      </c>
      <c r="BY18" t="str">
        <f>'SUB LIST'!U89</f>
        <v>0</v>
      </c>
      <c r="BZ18">
        <f>'SUB LIST'!AU89</f>
        <v>97</v>
      </c>
      <c r="CA18" t="str">
        <f>'SUB LIST'!A113</f>
        <v>PR14TMSWSWW_SB1</v>
      </c>
      <c r="CB18" t="str">
        <f>'SUB LIST'!P113</f>
        <v>00</v>
      </c>
      <c r="CC18" t="str">
        <f>'SUB LIST'!Q113</f>
        <v>SB1: Asset health wastewater non-infrastructure</v>
      </c>
      <c r="CD18" t="str">
        <f>'SUB LIST'!T113</f>
        <v>category</v>
      </c>
      <c r="CE18" t="str">
        <f>'SUB LIST'!U113</f>
        <v>na</v>
      </c>
      <c r="CF18" t="str">
        <f>'SUB LIST'!AU113</f>
        <v>Stable</v>
      </c>
      <c r="CG18" t="str">
        <f>'SUB LIST'!A137</f>
        <v>PR14UUWSWW_S-A1</v>
      </c>
      <c r="CH18" t="str">
        <f>'SUB LIST'!P137</f>
        <v>03</v>
      </c>
      <c r="CI18" t="str">
        <f>'SUB LIST'!Q137</f>
        <v>Pollution incidents</v>
      </c>
      <c r="CJ18" t="str">
        <f>'SUB LIST'!T137</f>
        <v>nr</v>
      </c>
      <c r="CK18" t="str">
        <f>'SUB LIST'!U137</f>
        <v>0</v>
      </c>
      <c r="CL18">
        <f>'SUB LIST'!AU137</f>
        <v>1</v>
      </c>
      <c r="CM18" t="str">
        <f>'SUB LIST'!A177</f>
        <v>PR14WSHWSWW_F1</v>
      </c>
      <c r="CN18" t="str">
        <f>'SUB LIST'!P177</f>
        <v>03</v>
      </c>
      <c r="CO18" t="str">
        <f>'SUB LIST'!Q177</f>
        <v>Properties flooded due to other causes (nr)</v>
      </c>
      <c r="CP18" t="str">
        <f>'SUB LIST'!T177</f>
        <v>nr</v>
      </c>
      <c r="CQ18" t="str">
        <f>'SUB LIST'!U177</f>
        <v>0</v>
      </c>
      <c r="CR18">
        <f>'SUB LIST'!AU177</f>
        <v>224</v>
      </c>
      <c r="CY18" t="str">
        <f>'SUB LIST'!A199</f>
        <v>PR14YKYWSWW_SA4</v>
      </c>
      <c r="CZ18" t="str">
        <f>'SUB LIST'!P199</f>
        <v>02</v>
      </c>
      <c r="DA18" t="str">
        <f>'SUB LIST'!Q199</f>
        <v>Pollution incidents (CSO, RM, FS and SPS)</v>
      </c>
      <c r="DB18" t="str">
        <f>'SUB LIST'!T199</f>
        <v>nr</v>
      </c>
      <c r="DC18" t="str">
        <f>'SUB LIST'!U199</f>
        <v>0</v>
      </c>
      <c r="DD18">
        <f>'SUB LIST'!AU199</f>
        <v>167</v>
      </c>
    </row>
    <row r="19" spans="7:108">
      <c r="G19" t="str">
        <f>'SUB LIST'!A19</f>
        <v>PR14ANHWSWW_S-F2</v>
      </c>
      <c r="H19" t="str">
        <f>'SUB LIST'!P19</f>
        <v>02</v>
      </c>
      <c r="I19" t="str">
        <f>'SUB LIST'!Q19</f>
        <v>WwTW failing numeric consent</v>
      </c>
      <c r="J19">
        <f>'SUB LIST'!T19</f>
        <v>0</v>
      </c>
      <c r="K19">
        <f>'SUB LIST'!U19</f>
        <v>2</v>
      </c>
      <c r="L19">
        <f>'SUB LIST'!AU19</f>
        <v>0.42</v>
      </c>
      <c r="BU19" t="str">
        <f>'SUB LIST'!A90</f>
        <v>PR14SWTWSWW_S-A4</v>
      </c>
      <c r="BV19" t="str">
        <f>'SUB LIST'!P90</f>
        <v>03</v>
      </c>
      <c r="BW19" t="str">
        <f>'SUB LIST'!Q90</f>
        <v>Properties flooded due to other causes</v>
      </c>
      <c r="BX19" t="str">
        <f>'SUB LIST'!T90</f>
        <v>nr</v>
      </c>
      <c r="BY19" t="str">
        <f>'SUB LIST'!U90</f>
        <v>0</v>
      </c>
      <c r="BZ19">
        <f>'SUB LIST'!AU90</f>
        <v>71</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LIST'!AU114</f>
        <v>34</v>
      </c>
      <c r="CG19" t="str">
        <f>'SUB LIST'!A138</f>
        <v>PR14UUWSWW_S-A1</v>
      </c>
      <c r="CH19" t="str">
        <f>'SUB LIST'!P138</f>
        <v>04</v>
      </c>
      <c r="CI19" t="str">
        <f>'SUB LIST'!Q138</f>
        <v>Properties flooded internally</v>
      </c>
      <c r="CJ19" t="str">
        <f>'SUB LIST'!T138</f>
        <v>nr</v>
      </c>
      <c r="CK19" t="str">
        <f>'SUB LIST'!U138</f>
        <v>0</v>
      </c>
      <c r="CL19">
        <f>'SUB LIST'!AU138</f>
        <v>415</v>
      </c>
      <c r="CM19" t="str">
        <f>'SUB LIST'!A178</f>
        <v>PR14WSHWSWW_F1</v>
      </c>
      <c r="CN19" t="str">
        <f>'SUB LIST'!P178</f>
        <v>04</v>
      </c>
      <c r="CO19" t="str">
        <f>'SUB LIST'!Q178</f>
        <v>Properties flooded due to overloaded sewers excluding severe weather (nr)</v>
      </c>
      <c r="CP19" t="str">
        <f>'SUB LIST'!T178</f>
        <v>nr</v>
      </c>
      <c r="CQ19" t="str">
        <f>'SUB LIST'!U178</f>
        <v>0</v>
      </c>
      <c r="CR19">
        <f>'SUB LIST'!AU178</f>
        <v>18</v>
      </c>
      <c r="CY19" t="str">
        <f>'SUB LIST'!A200</f>
        <v>PR14YKYWSWW_SA4</v>
      </c>
      <c r="CZ19" t="str">
        <f>'SUB LIST'!P200</f>
        <v>03</v>
      </c>
      <c r="DA19" t="str">
        <f>'SUB LIST'!Q200</f>
        <v>Properties flooded due to other causes</v>
      </c>
      <c r="DB19" t="str">
        <f>'SUB LIST'!T200</f>
        <v>nr</v>
      </c>
      <c r="DC19" t="str">
        <f>'SUB LIST'!U200</f>
        <v>0</v>
      </c>
      <c r="DD19">
        <f>'SUB LIST'!AU200</f>
        <v>372</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LIST'!AU91</f>
        <v>16</v>
      </c>
      <c r="CA20" t="str">
        <f>'SUB LIST'!A115</f>
        <v>PR14TMSWSWW_SB1</v>
      </c>
      <c r="CB20" t="str">
        <f>'SUB LIST'!P115</f>
        <v>02</v>
      </c>
      <c r="CC20" t="str">
        <f>'SUB LIST'!Q115</f>
        <v>Sewage treatment works discharges failing numeric consents %</v>
      </c>
      <c r="CD20" t="str">
        <f>'SUB LIST'!T115</f>
        <v>%</v>
      </c>
      <c r="CE20">
        <f>'SUB LIST'!U115</f>
        <v>2</v>
      </c>
      <c r="CF20">
        <f>'SUB LIST'!AU115</f>
        <v>1.72</v>
      </c>
      <c r="CG20" t="str">
        <f>'SUB LIST'!A139</f>
        <v>PR14UUWSWW_S-A1</v>
      </c>
      <c r="CH20" t="str">
        <f>'SUB LIST'!P139</f>
        <v>05</v>
      </c>
      <c r="CI20" t="str">
        <f>'SUB LIST'!Q139</f>
        <v>Areas flooded externally</v>
      </c>
      <c r="CJ20" t="str">
        <f>'SUB LIST'!T139</f>
        <v>nr</v>
      </c>
      <c r="CK20" t="str">
        <f>'SUB LIST'!U139</f>
        <v>0</v>
      </c>
      <c r="CL20">
        <f>'SUB LIST'!AU139</f>
        <v>4599</v>
      </c>
      <c r="CM20" t="str">
        <f>'SUB LIST'!A179</f>
        <v>PR14WSHWSWW_F1</v>
      </c>
      <c r="CN20" t="str">
        <f>'SUB LIST'!P179</f>
        <v>05</v>
      </c>
      <c r="CO20" t="str">
        <f>'SUB LIST'!Q179</f>
        <v>Sewer blockages (nr)</v>
      </c>
      <c r="CP20" t="str">
        <f>'SUB LIST'!T179</f>
        <v>nr</v>
      </c>
      <c r="CQ20" t="str">
        <f>'SUB LIST'!U179</f>
        <v>0</v>
      </c>
      <c r="CR20">
        <f>'SUB LIST'!AU179</f>
        <v>24203</v>
      </c>
      <c r="CY20" t="str">
        <f>'SUB LIST'!A201</f>
        <v>PR14YKYWSWW_SA4</v>
      </c>
      <c r="CZ20" t="str">
        <f>'SUB LIST'!P201</f>
        <v>04</v>
      </c>
      <c r="DA20" t="str">
        <f>'SUB LIST'!Q201</f>
        <v>Properties flooded due to overloaded sewers, excluding severe weather</v>
      </c>
      <c r="DB20" t="str">
        <f>'SUB LIST'!T201</f>
        <v>nr</v>
      </c>
      <c r="DC20" t="str">
        <f>'SUB LIST'!U201</f>
        <v>0</v>
      </c>
      <c r="DD20">
        <f>'SUB LIST'!AU201</f>
        <v>33</v>
      </c>
    </row>
    <row r="21" spans="7:108">
      <c r="BU21" t="str">
        <f>'SUB LIST'!A92</f>
        <v>PR14SWTWSWW_S-A4</v>
      </c>
      <c r="BV21" t="str">
        <f>'SUB LIST'!P92</f>
        <v>05</v>
      </c>
      <c r="BW21" t="str">
        <f>'SUB LIST'!Q92</f>
        <v>Sewer blockages</v>
      </c>
      <c r="BX21" t="str">
        <f>'SUB LIST'!T92</f>
        <v>nr</v>
      </c>
      <c r="BY21" t="str">
        <f>'SUB LIST'!U92</f>
        <v>0</v>
      </c>
      <c r="BZ21">
        <f>'SUB LIST'!AU92</f>
        <v>3533</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LIST'!AU116</f>
        <v>0</v>
      </c>
      <c r="CG21" t="str">
        <f>'SUB LIST'!A140</f>
        <v>PR14UUWSWW_S-A2</v>
      </c>
      <c r="CH21" t="str">
        <f>'SUB LIST'!P140</f>
        <v>00</v>
      </c>
      <c r="CI21" t="str">
        <f>'SUB LIST'!Q140</f>
        <v>S-A2: Wastewater network performance index</v>
      </c>
      <c r="CJ21" t="str">
        <f>'SUB LIST'!T140</f>
        <v>score</v>
      </c>
      <c r="CK21">
        <f>'SUB LIST'!U140</f>
        <v>2</v>
      </c>
      <c r="CL21">
        <f>'SUB LIST'!AU140</f>
        <v>89.47</v>
      </c>
      <c r="CM21" t="str">
        <f>'SUB LIST'!A180</f>
        <v>PR14WSHWSWW_F1</v>
      </c>
      <c r="CN21" t="str">
        <f>'SUB LIST'!P180</f>
        <v>06</v>
      </c>
      <c r="CO21" t="str">
        <f>'SUB LIST'!Q180</f>
        <v>Equipment failures (nr)</v>
      </c>
      <c r="CP21" t="str">
        <f>'SUB LIST'!T180</f>
        <v>nr</v>
      </c>
      <c r="CQ21" t="str">
        <f>'SUB LIST'!U180</f>
        <v>0</v>
      </c>
      <c r="CR21">
        <f>'SUB LIST'!AU180</f>
        <v>16</v>
      </c>
      <c r="CY21" t="str">
        <f>'SUB LIST'!A202</f>
        <v>PR14YKYWSWW_SA4</v>
      </c>
      <c r="CZ21" t="str">
        <f>'SUB LIST'!P202</f>
        <v>05</v>
      </c>
      <c r="DA21" t="str">
        <f>'SUB LIST'!Q202</f>
        <v>Sewer blockages</v>
      </c>
      <c r="DB21" t="str">
        <f>'SUB LIST'!T202</f>
        <v>nr</v>
      </c>
      <c r="DC21" t="str">
        <f>'SUB LIST'!U202</f>
        <v>0</v>
      </c>
      <c r="DD21">
        <f>'SUB LIST'!AU202</f>
        <v>17398</v>
      </c>
    </row>
    <row r="22" spans="7:108">
      <c r="BU22" t="str">
        <f>'SUB LIST'!A93</f>
        <v>PR14SWTWSWW_S-A4</v>
      </c>
      <c r="BV22" t="str">
        <f>'SUB LIST'!P93</f>
        <v>06</v>
      </c>
      <c r="BW22" t="str">
        <f>'SUB LIST'!Q93</f>
        <v>Equipment failures</v>
      </c>
      <c r="BX22" t="str">
        <f>'SUB LIST'!T93</f>
        <v>nr</v>
      </c>
      <c r="BY22" t="str">
        <f>'SUB LIST'!U93</f>
        <v>0</v>
      </c>
      <c r="BZ22">
        <f>'SUB LIST'!AU93</f>
        <v>262</v>
      </c>
      <c r="CA22" t="str">
        <f>'SUB LIST'!A117</f>
        <v>PR14TMSWSWW_SB2</v>
      </c>
      <c r="CB22" t="str">
        <f>'SUB LIST'!P117</f>
        <v>00</v>
      </c>
      <c r="CC22" t="str">
        <f>'SUB LIST'!Q117</f>
        <v>SB2: Asset health wastewater infrastructure</v>
      </c>
      <c r="CD22" t="str">
        <f>'SUB LIST'!T117</f>
        <v>category</v>
      </c>
      <c r="CE22" t="str">
        <f>'SUB LIST'!U117</f>
        <v>na</v>
      </c>
      <c r="CF22" t="str">
        <f>'SUB LIST'!AU117</f>
        <v>Stable</v>
      </c>
      <c r="CG22" t="str">
        <f>'SUB LIST'!A141</f>
        <v>PR14UUWSWW_S-A2</v>
      </c>
      <c r="CH22" t="str">
        <f>'SUB LIST'!P141</f>
        <v>01</v>
      </c>
      <c r="CI22" t="str">
        <f>'SUB LIST'!Q141</f>
        <v>Blockages</v>
      </c>
      <c r="CJ22" t="str">
        <f>'SUB LIST'!T141</f>
        <v>nr</v>
      </c>
      <c r="CK22" t="str">
        <f>'SUB LIST'!U141</f>
        <v>0</v>
      </c>
      <c r="CL22">
        <f>'SUB LIST'!AU141</f>
        <v>7469</v>
      </c>
      <c r="CM22" t="str">
        <f>'SUB LIST'!A181</f>
        <v>PR14WSHWSWW_F1</v>
      </c>
      <c r="CN22" t="str">
        <f>'SUB LIST'!P181</f>
        <v>07</v>
      </c>
      <c r="CO22" t="str">
        <f>'SUB LIST'!Q181</f>
        <v>Sewage Treatment Works (STW) % non-compliance</v>
      </c>
      <c r="CP22" t="str">
        <f>'SUB LIST'!T181</f>
        <v>%</v>
      </c>
      <c r="CQ22">
        <f>'SUB LIST'!U181</f>
        <v>2</v>
      </c>
      <c r="CR22">
        <f>'SUB LIST'!AU181</f>
        <v>0.53</v>
      </c>
      <c r="CY22" t="str">
        <f>'SUB LIST'!A203</f>
        <v>PR14YKYWSWW_SA4</v>
      </c>
      <c r="CZ22" t="str">
        <f>'SUB LIST'!P203</f>
        <v>06</v>
      </c>
      <c r="DA22" t="str">
        <f>'SUB LIST'!Q203</f>
        <v>Reactive equipment failures</v>
      </c>
      <c r="DB22" t="str">
        <f>'SUB LIST'!T203</f>
        <v>nr</v>
      </c>
      <c r="DC22" t="str">
        <f>'SUB LIST'!U203</f>
        <v>0</v>
      </c>
      <c r="DD22">
        <f>'SUB LIST'!AU203</f>
        <v>3695</v>
      </c>
    </row>
    <row r="23" spans="7:108">
      <c r="BU23" t="str">
        <f>'SUB LIST'!A94</f>
        <v>PR14SWTWSWW_S-A5</v>
      </c>
      <c r="BV23" t="str">
        <f>'SUB LIST'!P94</f>
        <v>00</v>
      </c>
      <c r="BW23" t="str">
        <f>'SUB LIST'!Q94</f>
        <v>S-A5 Asset reliability (process)</v>
      </c>
      <c r="BX23" t="str">
        <f>'SUB LIST'!T94</f>
        <v>category</v>
      </c>
      <c r="BY23" t="str">
        <f>'SUB LIST'!U94</f>
        <v>na</v>
      </c>
      <c r="BZ23" t="str">
        <f>'SUB LIST'!AU94</f>
        <v>Stable</v>
      </c>
      <c r="CA23" t="str">
        <f>'SUB LIST'!A118</f>
        <v>PR14TMSWSWW_SB2</v>
      </c>
      <c r="CB23" t="str">
        <f>'SUB LIST'!P118</f>
        <v>01</v>
      </c>
      <c r="CC23" t="str">
        <f>'SUB LIST'!Q118</f>
        <v>Number of sewer collapses</v>
      </c>
      <c r="CD23" t="str">
        <f>'SUB LIST'!T118</f>
        <v>nr</v>
      </c>
      <c r="CE23" t="str">
        <f>'SUB LIST'!U118</f>
        <v>0</v>
      </c>
      <c r="CF23">
        <f>'SUB LIST'!AU118</f>
        <v>632</v>
      </c>
      <c r="CG23" t="str">
        <f>'SUB LIST'!A142</f>
        <v>PR14UUWSWW_S-A2</v>
      </c>
      <c r="CH23" t="str">
        <f>'SUB LIST'!P142</f>
        <v>02</v>
      </c>
      <c r="CI23" t="str">
        <f>'SUB LIST'!Q142</f>
        <v>Collapses</v>
      </c>
      <c r="CJ23" t="str">
        <f>'SUB LIST'!T142</f>
        <v>nr</v>
      </c>
      <c r="CK23" t="str">
        <f>'SUB LIST'!U142</f>
        <v>0</v>
      </c>
      <c r="CL23">
        <f>'SUB LIST'!AU142</f>
        <v>268</v>
      </c>
      <c r="CM23" t="str">
        <f>'SUB LIST'!A182</f>
        <v>PR14WSHWSWW_F1</v>
      </c>
      <c r="CN23" t="str">
        <f>'SUB LIST'!P182</f>
        <v>08</v>
      </c>
      <c r="CO23" t="str">
        <f>'SUB LIST'!Q182</f>
        <v>Population equivalent (PE) % non-compliance</v>
      </c>
      <c r="CP23" t="str">
        <f>'SUB LIST'!T182</f>
        <v>%</v>
      </c>
      <c r="CQ23">
        <f>'SUB LIST'!U182</f>
        <v>2</v>
      </c>
      <c r="CR23">
        <f>'SUB LIST'!AU182</f>
        <v>0.02</v>
      </c>
      <c r="CY23" t="str">
        <f>'SUB LIST'!A204</f>
        <v>PR14YKYWSWW_SB2</v>
      </c>
      <c r="CZ23" t="str">
        <f>'SUB LIST'!P204</f>
        <v>00</v>
      </c>
      <c r="DA23" t="str">
        <f>'SUB LIST'!Q204</f>
        <v>SB2: Wastewater quality stability and reliability factor</v>
      </c>
      <c r="DB23" t="str">
        <f>'SUB LIST'!T204</f>
        <v>category</v>
      </c>
      <c r="DC23" t="str">
        <f>'SUB LIST'!U204</f>
        <v>na</v>
      </c>
      <c r="DD23" t="str">
        <f>'SUB LIST'!AU204</f>
        <v xml:space="preserve">Stable </v>
      </c>
    </row>
    <row r="24" spans="7:108">
      <c r="BU24" t="str">
        <f>'SUB LIST'!A95</f>
        <v>PR14SWTWSWW_S-A5</v>
      </c>
      <c r="BV24" t="str">
        <f>'SUB LIST'!P95</f>
        <v>01</v>
      </c>
      <c r="BW24" t="str">
        <f>'SUB LIST'!Q95</f>
        <v>Sewage treatment works (STW) non-compliance</v>
      </c>
      <c r="BX24" t="str">
        <f>'SUB LIST'!T95</f>
        <v>%</v>
      </c>
      <c r="BY24">
        <f>'SUB LIST'!U95</f>
        <v>2</v>
      </c>
      <c r="BZ24">
        <f>'SUB LIST'!AU95</f>
        <v>1.6</v>
      </c>
      <c r="CA24" t="str">
        <f>'SUB LIST'!A119</f>
        <v>PR14TMSWSWW_SB2</v>
      </c>
      <c r="CB24" t="str">
        <f>'SUB LIST'!P119</f>
        <v>02</v>
      </c>
      <c r="CC24" t="str">
        <f>'SUB LIST'!Q119</f>
        <v>Number of sewer blockages</v>
      </c>
      <c r="CD24" t="str">
        <f>'SUB LIST'!T119</f>
        <v>nr</v>
      </c>
      <c r="CE24" t="str">
        <f>'SUB LIST'!U119</f>
        <v>0</v>
      </c>
      <c r="CF24">
        <f>'SUB LIST'!AU119</f>
        <v>80747</v>
      </c>
      <c r="CG24" t="str">
        <f>'SUB LIST'!A143</f>
        <v>PR14UUWSWW_S-A2</v>
      </c>
      <c r="CH24" t="str">
        <f>'SUB LIST'!P143</f>
        <v>03</v>
      </c>
      <c r="CI24" t="str">
        <f>'SUB LIST'!Q143</f>
        <v>Rising main bursts</v>
      </c>
      <c r="CJ24" t="str">
        <f>'SUB LIST'!T143</f>
        <v>nr</v>
      </c>
      <c r="CK24" t="str">
        <f>'SUB LIST'!U143</f>
        <v>0</v>
      </c>
      <c r="CL24">
        <f>'SUB LIST'!AU143</f>
        <v>46</v>
      </c>
      <c r="CM24" t="str">
        <f>'SUB LIST'!A183</f>
        <v>PR14WSHWSWW_F1</v>
      </c>
      <c r="CN24" t="str">
        <f>'SUB LIST'!P183</f>
        <v>09</v>
      </c>
      <c r="CO24" t="str">
        <f>'SUB LIST'!Q183</f>
        <v>Unplanned maintenance (nr)</v>
      </c>
      <c r="CP24" t="str">
        <f>'SUB LIST'!T183</f>
        <v>nr</v>
      </c>
      <c r="CQ24" t="str">
        <f>'SUB LIST'!U183</f>
        <v>0</v>
      </c>
      <c r="CR24">
        <f>'SUB LIST'!AU183</f>
        <v>33664</v>
      </c>
      <c r="CY24" t="str">
        <f>'SUB LIST'!A205</f>
        <v>PR14YKYWSWW_SB2</v>
      </c>
      <c r="CZ24" t="str">
        <f>'SUB LIST'!P205</f>
        <v>01</v>
      </c>
      <c r="DA24" t="str">
        <f>'SUB LIST'!Q205</f>
        <v>Sewage treatment works non-compliance</v>
      </c>
      <c r="DB24" t="str">
        <f>'SUB LIST'!T205</f>
        <v>nr</v>
      </c>
      <c r="DC24" t="str">
        <f>'SUB LIST'!U205</f>
        <v>0</v>
      </c>
      <c r="DD24">
        <f>'SUB LIST'!AU205</f>
        <v>7</v>
      </c>
    </row>
    <row r="25" spans="7:108">
      <c r="BU25" t="str">
        <f>'SUB LIST'!A96</f>
        <v>PR14SWTWSWW_S-A5</v>
      </c>
      <c r="BV25" t="str">
        <f>'SUB LIST'!P96</f>
        <v>02</v>
      </c>
      <c r="BW25" t="str">
        <f>'SUB LIST'!Q96</f>
        <v>Population equivalent (PE) non-compliance</v>
      </c>
      <c r="BX25" t="str">
        <f>'SUB LIST'!T96</f>
        <v>%</v>
      </c>
      <c r="BY25">
        <f>'SUB LIST'!U96</f>
        <v>2</v>
      </c>
      <c r="BZ25">
        <f>'SUB LIST'!AU96</f>
        <v>0.08</v>
      </c>
      <c r="CA25" t="str">
        <f>'SUB LIST'!A120</f>
        <v>PR14TMSWSWW_SB2</v>
      </c>
      <c r="CB25" t="str">
        <f>'SUB LIST'!P120</f>
        <v>03</v>
      </c>
      <c r="CC25" t="str">
        <f>'SUB LIST'!Q120</f>
        <v>Pollution incidents (cat 1-3)</v>
      </c>
      <c r="CD25" t="str">
        <f>'SUB LIST'!T120</f>
        <v>nr</v>
      </c>
      <c r="CE25" t="str">
        <f>'SUB LIST'!U120</f>
        <v>0</v>
      </c>
      <c r="CF25">
        <f>'SUB LIST'!AU120</f>
        <v>243</v>
      </c>
      <c r="CG25" t="str">
        <f>'SUB LIST'!A144</f>
        <v>PR14UUWSWW_S-A2</v>
      </c>
      <c r="CH25" t="str">
        <f>'SUB LIST'!P144</f>
        <v>04</v>
      </c>
      <c r="CI25" t="str">
        <f>'SUB LIST'!Q144</f>
        <v>Equipment failures</v>
      </c>
      <c r="CJ25" t="str">
        <f>'SUB LIST'!T144</f>
        <v>nr</v>
      </c>
      <c r="CK25" t="str">
        <f>'SUB LIST'!U144</f>
        <v>0</v>
      </c>
      <c r="CL25">
        <f>'SUB LIST'!AU144</f>
        <v>2322</v>
      </c>
      <c r="CY25" t="str">
        <f>'SUB LIST'!A206</f>
        <v>PR14YKYWSWW_SB2</v>
      </c>
      <c r="CZ25" t="str">
        <f>'SUB LIST'!P206</f>
        <v>02</v>
      </c>
      <c r="DA25" t="str">
        <f>'SUB LIST'!Q206</f>
        <v>Population equivalent non-compliance</v>
      </c>
      <c r="DB25" t="str">
        <f>'SUB LIST'!T206</f>
        <v>%</v>
      </c>
      <c r="DC25">
        <f>'SUB LIST'!U206</f>
        <v>1</v>
      </c>
      <c r="DD25">
        <f>'SUB LIST'!AU206</f>
        <v>0.7</v>
      </c>
    </row>
    <row r="26" spans="7:108">
      <c r="BU26" t="str">
        <f>'SUB LIST'!A97</f>
        <v>PR14SWTWSWW_S-A5</v>
      </c>
      <c r="BV26" t="str">
        <f>'SUB LIST'!P97</f>
        <v>03</v>
      </c>
      <c r="BW26" t="str">
        <f>'SUB LIST'!Q97</f>
        <v>Unplanned maintenance</v>
      </c>
      <c r="BX26" t="str">
        <f>'SUB LIST'!T97</f>
        <v>nr</v>
      </c>
      <c r="BY26" t="str">
        <f>'SUB LIST'!U97</f>
        <v>0</v>
      </c>
      <c r="BZ26">
        <f>'SUB LIST'!AU97</f>
        <v>8428</v>
      </c>
      <c r="CA26" t="str">
        <f>'SUB LIST'!A121</f>
        <v>PR14TMSWSWW_SB2</v>
      </c>
      <c r="CB26" t="str">
        <f>'SUB LIST'!P121</f>
        <v>04</v>
      </c>
      <c r="CC26" t="str">
        <f>'SUB LIST'!Q121</f>
        <v>Properties internally flooded</v>
      </c>
      <c r="CD26" t="str">
        <f>'SUB LIST'!T121</f>
        <v>nr</v>
      </c>
      <c r="CE26" t="str">
        <f>'SUB LIST'!U121</f>
        <v>0</v>
      </c>
      <c r="CF26">
        <f>'SUB LIST'!AU121</f>
        <v>1106</v>
      </c>
      <c r="CG26" t="str">
        <f>'SUB LIST'!A145</f>
        <v>PR14UUWSWW_S-B2</v>
      </c>
      <c r="CH26" t="str">
        <f>'SUB LIST'!P145</f>
        <v>00</v>
      </c>
      <c r="CI26" t="str">
        <f>'SUB LIST'!Q145</f>
        <v>S-B2: Sewer flooding index</v>
      </c>
      <c r="CJ26" t="str">
        <f>'SUB LIST'!T145</f>
        <v>score</v>
      </c>
      <c r="CK26">
        <f>'SUB LIST'!U145</f>
        <v>1</v>
      </c>
      <c r="CL26">
        <f>'SUB LIST'!AU145</f>
        <v>94.4</v>
      </c>
      <c r="CY26" t="str">
        <f>'SUB LIST'!A207</f>
        <v>PR14YKYWSWW_SB2</v>
      </c>
      <c r="CZ26" t="str">
        <f>'SUB LIST'!P207</f>
        <v>03</v>
      </c>
      <c r="DA26" t="str">
        <f>'SUB LIST'!Q207</f>
        <v>Reactive equipment failures</v>
      </c>
      <c r="DB26" t="str">
        <f>'SUB LIST'!T207</f>
        <v>nr</v>
      </c>
      <c r="DC26" t="str">
        <f>'SUB LIST'!U207</f>
        <v>0</v>
      </c>
      <c r="DD26">
        <f>'SUB LIST'!AU207</f>
        <v>11564</v>
      </c>
    </row>
    <row r="27" spans="7:108">
      <c r="CG27" t="str">
        <f>'SUB LIST'!A146</f>
        <v>PR14UUWSWW_S-B2</v>
      </c>
      <c r="CH27" t="str">
        <f>'SUB LIST'!P146</f>
        <v>01</v>
      </c>
      <c r="CI27" t="str">
        <f>'SUB LIST'!Q146</f>
        <v>Properties flooded due to other causes</v>
      </c>
      <c r="CJ27" t="str">
        <f>'SUB LIST'!T146</f>
        <v>nr</v>
      </c>
      <c r="CK27" t="str">
        <f>'SUB LIST'!U146</f>
        <v>0</v>
      </c>
      <c r="CL27">
        <f>'SUB LIST'!AU146</f>
        <v>794</v>
      </c>
    </row>
    <row r="28" spans="7:108">
      <c r="CG28" t="str">
        <f>'SUB LIST'!A147</f>
        <v>PR14UUWSWW_S-B2</v>
      </c>
      <c r="CH28" t="str">
        <f>'SUB LIST'!P147</f>
        <v>02</v>
      </c>
      <c r="CI28" t="str">
        <f>'SUB LIST'!Q147</f>
        <v>Properties flooded due to hydraulic overload</v>
      </c>
      <c r="CJ28" t="str">
        <f>'SUB LIST'!T147</f>
        <v>nr</v>
      </c>
      <c r="CK28" t="str">
        <f>'SUB LIST'!U147</f>
        <v>0</v>
      </c>
      <c r="CL28">
        <f>'SUB LIST'!AU147</f>
        <v>147</v>
      </c>
    </row>
    <row r="29" spans="7:108">
      <c r="CG29" t="str">
        <f>'SUB LIST'!A148</f>
        <v>PR14UUWSWW_S-B2</v>
      </c>
      <c r="CH29" t="str">
        <f>'SUB LIST'!P148</f>
        <v>03</v>
      </c>
      <c r="CI29" t="str">
        <f>'SUB LIST'!Q148</f>
        <v>Areas flooded due to other causes</v>
      </c>
      <c r="CJ29" t="str">
        <f>'SUB LIST'!T148</f>
        <v>nr</v>
      </c>
      <c r="CK29" t="str">
        <f>'SUB LIST'!U148</f>
        <v>0</v>
      </c>
      <c r="CL29">
        <f>'SUB LIST'!AU148</f>
        <v>3274</v>
      </c>
    </row>
    <row r="30" spans="7:108">
      <c r="CG30" t="str">
        <f>'SUB LIST'!A149</f>
        <v>PR14UUWSWW_S-B2</v>
      </c>
      <c r="CH30" t="str">
        <f>'SUB LIST'!P149</f>
        <v>04</v>
      </c>
      <c r="CI30" t="str">
        <f>'SUB LIST'!Q149</f>
        <v>Areas flooded due to hydraulic overload</v>
      </c>
      <c r="CJ30" t="str">
        <f>'SUB LIST'!T149</f>
        <v>nr</v>
      </c>
      <c r="CK30" t="str">
        <f>'SUB LIST'!U149</f>
        <v>0</v>
      </c>
      <c r="CL30">
        <f>'SUB LIST'!AU149</f>
        <v>215</v>
      </c>
    </row>
    <row r="31" spans="7:108">
      <c r="CG31" t="str">
        <f>'SUB LIST'!A150</f>
        <v>PR14UUWSWW_S-B2</v>
      </c>
      <c r="CH31" t="str">
        <f>'SUB LIST'!P150</f>
        <v>05</v>
      </c>
      <c r="CI31" t="str">
        <f>'SUB LIST'!Q150</f>
        <v>Incidents of repeat flooding</v>
      </c>
      <c r="CJ31" t="str">
        <f>'SUB LIST'!T150</f>
        <v>nr</v>
      </c>
      <c r="CK31" t="str">
        <f>'SUB LIST'!U150</f>
        <v>0</v>
      </c>
      <c r="CL31">
        <f>'SUB LIST'!AU150</f>
        <v>362</v>
      </c>
    </row>
    <row r="32" spans="7:108">
      <c r="CG32" t="str">
        <f>'SUB LIST'!A151</f>
        <v>PR14UUWSWW_S-D2</v>
      </c>
      <c r="CH32" t="str">
        <f>'SUB LIST'!P151</f>
        <v>00</v>
      </c>
      <c r="CI32" t="str">
        <f>'SUB LIST'!Q151</f>
        <v>S-D2: Maintaining our wastewater treatment works</v>
      </c>
      <c r="CJ32" t="str">
        <f>'SUB LIST'!T151</f>
        <v>score</v>
      </c>
      <c r="CK32">
        <f>'SUB LIST'!U151</f>
        <v>4</v>
      </c>
      <c r="CL32">
        <f>'SUB LIST'!AU151</f>
        <v>58.708199999999998</v>
      </c>
    </row>
    <row r="33" spans="85:90">
      <c r="CG33" t="str">
        <f>'SUB LIST'!A152</f>
        <v>PR14UUWSWW_S-D2</v>
      </c>
      <c r="CH33" t="str">
        <f>'SUB LIST'!P152</f>
        <v>01</v>
      </c>
      <c r="CI33" t="str">
        <f>'SUB LIST'!Q152</f>
        <v>WwTWs failing EA permit - small (size band 1-4)</v>
      </c>
      <c r="CJ33" t="str">
        <f>'SUB LIST'!T152</f>
        <v>score</v>
      </c>
      <c r="CK33">
        <f>'SUB LIST'!U152</f>
        <v>4</v>
      </c>
      <c r="CL33">
        <f>'SUB LIST'!AU152</f>
        <v>2</v>
      </c>
    </row>
    <row r="34" spans="85:90">
      <c r="CG34" t="str">
        <f>'SUB LIST'!A153</f>
        <v>PR14UUWSWW_S-D2</v>
      </c>
      <c r="CH34" t="str">
        <f>'SUB LIST'!P153</f>
        <v>02</v>
      </c>
      <c r="CI34" t="str">
        <f>'SUB LIST'!Q153</f>
        <v>WwTWs failing EA permit - medium (size band 5)</v>
      </c>
      <c r="CJ34" t="str">
        <f>'SUB LIST'!T153</f>
        <v>score</v>
      </c>
      <c r="CK34">
        <f>'SUB LIST'!U153</f>
        <v>4</v>
      </c>
      <c r="CL34">
        <f>'SUB LIST'!AU153</f>
        <v>0</v>
      </c>
    </row>
    <row r="35" spans="85:90">
      <c r="CG35" t="str">
        <f>'SUB LIST'!A154</f>
        <v>PR14UUWSWW_S-D2</v>
      </c>
      <c r="CH35" t="str">
        <f>'SUB LIST'!P154</f>
        <v>03</v>
      </c>
      <c r="CI35" t="str">
        <f>'SUB LIST'!Q154</f>
        <v>WwTWs failing EA permit - large (size band 6a)</v>
      </c>
      <c r="CJ35" t="str">
        <f>'SUB LIST'!T154</f>
        <v>score</v>
      </c>
      <c r="CK35">
        <f>'SUB LIST'!U154</f>
        <v>4</v>
      </c>
      <c r="CL35">
        <f>'SUB LIST'!AU154</f>
        <v>3</v>
      </c>
    </row>
    <row r="36" spans="85:90">
      <c r="CG36" t="str">
        <f>'SUB LIST'!A155</f>
        <v>PR14UUWSWW_S-D2</v>
      </c>
      <c r="CH36" t="str">
        <f>'SUB LIST'!P155</f>
        <v>04</v>
      </c>
      <c r="CI36" t="str">
        <f>'SUB LIST'!Q155</f>
        <v>WwTWs failing EA permit - large (size band 6b)</v>
      </c>
      <c r="CJ36" t="str">
        <f>'SUB LIST'!T155</f>
        <v>score</v>
      </c>
      <c r="CK36">
        <f>'SUB LIST'!U155</f>
        <v>4</v>
      </c>
      <c r="CL36">
        <f>'SUB LIST'!AU155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LIST'!AU156</f>
        <v>0.1159</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LIST'!AU157</f>
        <v>3.4099999999999998E-2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LIST'!AU158</f>
        <v>0</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LIST'!AU159</f>
        <v>0.31040000000000001</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LIST'!AU160</f>
        <v>4.1000000000000002E-2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LIST'!AU161</f>
        <v>0.88739999999999997</v>
      </c>
    </row>
  </sheetData>
  <sheetProtection algorithmName="SHA-512" hashValue="bQdUsKbyXcf7P2QHn5nGpQ2p1hjGRUKwFCjedug5W9lBGjC5palrhH1QPOEnXSqxHjbsz90gW4JqrX+JalG1jg==" saltValue="BfssH6xsrb9SawMiNgoiZw==" spinCount="100000" sheet="1" objects="1" scenarios="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showGridLines="0" workbookViewId="0">
      <selection activeCell="H58" sqref="H58"/>
    </sheetView>
  </sheetViews>
  <sheetFormatPr defaultRowHeight="14.25"/>
  <cols>
    <col min="1" max="1" width="26.625" customWidth="1"/>
    <col min="2" max="2" width="22.125" customWidth="1"/>
    <col min="3" max="17" width="18.5" customWidth="1"/>
    <col min="18" max="18" width="25.125" customWidth="1"/>
  </cols>
  <sheetData>
    <row r="1" spans="1:18" ht="15.75" thickBot="1">
      <c r="A1" s="55" t="s">
        <v>7961</v>
      </c>
      <c r="B1" s="55" t="s">
        <v>7971</v>
      </c>
      <c r="C1" s="55" t="s">
        <v>7981</v>
      </c>
      <c r="D1" s="55" t="s">
        <v>7986</v>
      </c>
      <c r="E1" s="55" t="s">
        <v>7989</v>
      </c>
      <c r="F1" s="55" t="s">
        <v>7992</v>
      </c>
      <c r="G1" s="55" t="s">
        <v>7983</v>
      </c>
      <c r="H1" s="55" t="s">
        <v>8419</v>
      </c>
      <c r="I1" s="55" t="s">
        <v>8550</v>
      </c>
      <c r="J1" s="55" t="s">
        <v>8942</v>
      </c>
      <c r="K1" s="55" t="s">
        <v>9021</v>
      </c>
      <c r="L1" s="55" t="s">
        <v>9211</v>
      </c>
      <c r="M1" s="55" t="s">
        <v>9528</v>
      </c>
      <c r="N1" s="55" t="s">
        <v>9104</v>
      </c>
      <c r="O1" s="55" t="s">
        <v>7977</v>
      </c>
      <c r="P1" s="55" t="s">
        <v>7965</v>
      </c>
      <c r="Q1" s="55" t="s">
        <v>8081</v>
      </c>
      <c r="R1" s="55" t="s">
        <v>7968</v>
      </c>
    </row>
    <row r="2" spans="1:18" ht="13.35" customHeight="1" thickBot="1">
      <c r="A2" s="56" t="s">
        <v>11485</v>
      </c>
      <c r="B2" s="56" t="s">
        <v>11485</v>
      </c>
      <c r="C2" s="56" t="s">
        <v>11485</v>
      </c>
      <c r="D2" s="56" t="s">
        <v>11485</v>
      </c>
      <c r="E2" s="56" t="s">
        <v>11485</v>
      </c>
      <c r="F2" s="56" t="s">
        <v>11485</v>
      </c>
      <c r="G2" s="56" t="s">
        <v>11485</v>
      </c>
      <c r="H2" s="56" t="s">
        <v>11485</v>
      </c>
      <c r="I2" s="56" t="s">
        <v>11485</v>
      </c>
      <c r="J2" s="56" t="s">
        <v>11485</v>
      </c>
      <c r="K2" s="56" t="s">
        <v>11485</v>
      </c>
      <c r="L2" s="56" t="s">
        <v>11485</v>
      </c>
      <c r="M2" s="56" t="s">
        <v>11485</v>
      </c>
      <c r="N2" s="56" t="s">
        <v>11485</v>
      </c>
      <c r="O2" s="56" t="s">
        <v>11485</v>
      </c>
      <c r="P2" s="56" t="s">
        <v>11485</v>
      </c>
      <c r="Q2" s="56" t="s">
        <v>11485</v>
      </c>
      <c r="R2" s="56" t="s">
        <v>11485</v>
      </c>
    </row>
    <row r="3" spans="1:18" ht="57.75" thickBot="1">
      <c r="A3" s="57" t="s">
        <v>11486</v>
      </c>
      <c r="B3" s="57" t="s">
        <v>11487</v>
      </c>
      <c r="C3" s="57" t="s">
        <v>11488</v>
      </c>
      <c r="D3" s="57" t="s">
        <v>11489</v>
      </c>
      <c r="E3" s="57" t="s">
        <v>11490</v>
      </c>
      <c r="F3" s="57" t="s">
        <v>11491</v>
      </c>
      <c r="G3" s="57" t="s">
        <v>11492</v>
      </c>
      <c r="H3" s="57" t="s">
        <v>11493</v>
      </c>
      <c r="I3" s="57" t="s">
        <v>11494</v>
      </c>
      <c r="J3" s="57" t="s">
        <v>11495</v>
      </c>
      <c r="K3" s="57" t="s">
        <v>11496</v>
      </c>
      <c r="L3" s="57" t="s">
        <v>11497</v>
      </c>
      <c r="M3" s="57" t="s">
        <v>11498</v>
      </c>
      <c r="N3" s="57" t="s">
        <v>11499</v>
      </c>
      <c r="O3" s="57" t="s">
        <v>11500</v>
      </c>
      <c r="P3" s="57" t="s">
        <v>11501</v>
      </c>
      <c r="Q3" s="57" t="s">
        <v>11502</v>
      </c>
      <c r="R3" s="57" t="s">
        <v>11503</v>
      </c>
    </row>
    <row r="4" spans="1:18" ht="43.5" thickBot="1">
      <c r="A4" s="57" t="s">
        <v>11504</v>
      </c>
      <c r="B4" s="57" t="s">
        <v>11505</v>
      </c>
      <c r="C4" s="57" t="s">
        <v>11506</v>
      </c>
      <c r="D4" s="57" t="s">
        <v>11507</v>
      </c>
      <c r="E4" s="57" t="s">
        <v>11508</v>
      </c>
      <c r="F4" s="57" t="s">
        <v>11509</v>
      </c>
      <c r="G4" s="57" t="s">
        <v>11510</v>
      </c>
      <c r="H4" s="57" t="s">
        <v>11511</v>
      </c>
      <c r="I4" s="57" t="s">
        <v>11512</v>
      </c>
      <c r="J4" s="57" t="s">
        <v>11513</v>
      </c>
      <c r="K4" s="57" t="s">
        <v>11514</v>
      </c>
      <c r="L4" s="57" t="s">
        <v>11515</v>
      </c>
      <c r="M4" s="57" t="s">
        <v>11516</v>
      </c>
      <c r="N4" s="57" t="s">
        <v>11517</v>
      </c>
      <c r="O4" s="57" t="s">
        <v>11518</v>
      </c>
      <c r="P4" s="57" t="s">
        <v>11519</v>
      </c>
      <c r="Q4" s="57" t="s">
        <v>11520</v>
      </c>
      <c r="R4" s="57" t="s">
        <v>11521</v>
      </c>
    </row>
    <row r="5" spans="1:18" ht="57.75" thickBot="1">
      <c r="A5" s="57" t="s">
        <v>11522</v>
      </c>
      <c r="B5" s="57" t="s">
        <v>11523</v>
      </c>
      <c r="C5" s="57" t="s">
        <v>11524</v>
      </c>
      <c r="D5" s="57" t="s">
        <v>11525</v>
      </c>
      <c r="E5" s="57" t="s">
        <v>11526</v>
      </c>
      <c r="F5" s="57" t="s">
        <v>11527</v>
      </c>
      <c r="G5" s="57" t="s">
        <v>11528</v>
      </c>
      <c r="H5" s="57" t="s">
        <v>11529</v>
      </c>
      <c r="I5" s="57" t="s">
        <v>11530</v>
      </c>
      <c r="J5" s="57" t="s">
        <v>11531</v>
      </c>
      <c r="K5" s="57" t="s">
        <v>11532</v>
      </c>
      <c r="L5" s="57" t="s">
        <v>11533</v>
      </c>
      <c r="M5" s="57" t="s">
        <v>11534</v>
      </c>
      <c r="N5" s="57" t="s">
        <v>11535</v>
      </c>
      <c r="O5" s="57" t="s">
        <v>11536</v>
      </c>
      <c r="P5" s="57" t="s">
        <v>11537</v>
      </c>
      <c r="Q5" s="57" t="s">
        <v>11538</v>
      </c>
      <c r="R5" s="57" t="s">
        <v>11539</v>
      </c>
    </row>
    <row r="6" spans="1:18" ht="57.75" thickBot="1">
      <c r="A6" s="57" t="s">
        <v>11540</v>
      </c>
      <c r="B6" s="57" t="s">
        <v>11541</v>
      </c>
      <c r="C6" s="57" t="s">
        <v>11542</v>
      </c>
      <c r="D6" s="57" t="s">
        <v>11543</v>
      </c>
      <c r="E6" s="57" t="s">
        <v>11544</v>
      </c>
      <c r="F6" s="57" t="s">
        <v>11545</v>
      </c>
      <c r="G6" s="57" t="s">
        <v>11546</v>
      </c>
      <c r="H6" s="57" t="s">
        <v>11547</v>
      </c>
      <c r="I6" s="57" t="s">
        <v>11548</v>
      </c>
      <c r="J6" s="57" t="s">
        <v>11549</v>
      </c>
      <c r="K6" s="57" t="s">
        <v>11550</v>
      </c>
      <c r="L6" s="57" t="s">
        <v>11551</v>
      </c>
      <c r="M6" s="57" t="s">
        <v>11552</v>
      </c>
      <c r="N6" s="57" t="s">
        <v>11553</v>
      </c>
      <c r="O6" s="57" t="s">
        <v>11554</v>
      </c>
      <c r="P6" s="57" t="s">
        <v>11537</v>
      </c>
      <c r="Q6" s="57" t="s">
        <v>11555</v>
      </c>
      <c r="R6" s="57" t="s">
        <v>11556</v>
      </c>
    </row>
    <row r="7" spans="1:18" ht="57.75" thickBot="1">
      <c r="A7" s="57" t="s">
        <v>11557</v>
      </c>
      <c r="B7" s="57" t="s">
        <v>11558</v>
      </c>
      <c r="C7" s="57" t="s">
        <v>11559</v>
      </c>
      <c r="D7" s="57" t="s">
        <v>11560</v>
      </c>
      <c r="E7" s="57" t="s">
        <v>11561</v>
      </c>
      <c r="G7" s="57" t="s">
        <v>11562</v>
      </c>
      <c r="H7" s="57" t="s">
        <v>11563</v>
      </c>
      <c r="I7" s="57" t="s">
        <v>11564</v>
      </c>
      <c r="K7" s="57" t="s">
        <v>11565</v>
      </c>
      <c r="L7" s="57" t="s">
        <v>11566</v>
      </c>
      <c r="M7" s="57" t="s">
        <v>11567</v>
      </c>
      <c r="N7" s="57" t="s">
        <v>11568</v>
      </c>
      <c r="O7" s="57" t="s">
        <v>11569</v>
      </c>
      <c r="P7" s="57" t="s">
        <v>11570</v>
      </c>
      <c r="Q7" s="57" t="s">
        <v>11571</v>
      </c>
      <c r="R7" s="57" t="s">
        <v>11572</v>
      </c>
    </row>
    <row r="8" spans="1:18" ht="57.75" thickBot="1">
      <c r="A8" s="57" t="s">
        <v>11573</v>
      </c>
      <c r="C8" s="57" t="s">
        <v>11574</v>
      </c>
      <c r="D8" s="57" t="s">
        <v>11575</v>
      </c>
      <c r="E8" s="57" t="s">
        <v>11576</v>
      </c>
      <c r="G8" s="57" t="s">
        <v>11577</v>
      </c>
      <c r="H8" s="57" t="s">
        <v>11578</v>
      </c>
      <c r="I8" s="57" t="s">
        <v>11579</v>
      </c>
      <c r="K8" s="57" t="s">
        <v>11580</v>
      </c>
      <c r="L8" s="57" t="s">
        <v>11581</v>
      </c>
      <c r="M8" s="57" t="s">
        <v>11582</v>
      </c>
      <c r="N8" s="57" t="s">
        <v>11583</v>
      </c>
      <c r="O8" s="57" t="s">
        <v>11584</v>
      </c>
      <c r="P8" s="57" t="s">
        <v>11585</v>
      </c>
      <c r="R8" s="57" t="s">
        <v>11586</v>
      </c>
    </row>
    <row r="9" spans="1:18" ht="43.5" thickBot="1">
      <c r="A9" s="57" t="s">
        <v>11587</v>
      </c>
      <c r="E9" s="57" t="s">
        <v>11588</v>
      </c>
      <c r="G9" s="57" t="s">
        <v>11589</v>
      </c>
      <c r="H9" s="57" t="s">
        <v>11590</v>
      </c>
      <c r="K9" s="57" t="s">
        <v>11591</v>
      </c>
      <c r="M9" s="57" t="s">
        <v>11592</v>
      </c>
      <c r="N9" s="57" t="s">
        <v>11593</v>
      </c>
      <c r="P9" s="57" t="s">
        <v>11594</v>
      </c>
      <c r="R9" s="57" t="s">
        <v>11595</v>
      </c>
    </row>
    <row r="10" spans="1:18" ht="57.75" thickBot="1">
      <c r="A10" s="57" t="s">
        <v>11596</v>
      </c>
      <c r="E10" s="57" t="s">
        <v>11597</v>
      </c>
      <c r="G10" s="57" t="s">
        <v>11598</v>
      </c>
      <c r="H10" s="57" t="s">
        <v>11599</v>
      </c>
      <c r="K10" s="57" t="s">
        <v>11600</v>
      </c>
      <c r="M10" s="57" t="s">
        <v>11601</v>
      </c>
      <c r="N10" s="57" t="s">
        <v>11602</v>
      </c>
      <c r="P10" s="57" t="s">
        <v>11603</v>
      </c>
      <c r="R10" s="57" t="s">
        <v>11604</v>
      </c>
    </row>
    <row r="11" spans="1:18" ht="57.75" thickBot="1">
      <c r="A11" s="57" t="s">
        <v>11605</v>
      </c>
      <c r="E11" s="57" t="s">
        <v>11606</v>
      </c>
      <c r="G11" s="57" t="s">
        <v>11607</v>
      </c>
      <c r="I11" s="58"/>
      <c r="M11" s="57" t="s">
        <v>11608</v>
      </c>
      <c r="N11" s="57" t="s">
        <v>11609</v>
      </c>
      <c r="P11" s="57" t="s">
        <v>11610</v>
      </c>
      <c r="R11" s="57" t="s">
        <v>11611</v>
      </c>
    </row>
    <row r="12" spans="1:18" ht="57.75" thickBot="1">
      <c r="A12" s="57" t="s">
        <v>11612</v>
      </c>
      <c r="E12" s="57" t="s">
        <v>11613</v>
      </c>
      <c r="G12" s="57" t="s">
        <v>11614</v>
      </c>
      <c r="I12" s="58"/>
      <c r="M12" s="57" t="s">
        <v>11615</v>
      </c>
      <c r="N12" s="57" t="s">
        <v>11616</v>
      </c>
      <c r="P12" s="57" t="s">
        <v>11617</v>
      </c>
      <c r="R12" s="57" t="s">
        <v>11618</v>
      </c>
    </row>
    <row r="13" spans="1:18" ht="57.75" thickBot="1">
      <c r="A13" s="57" t="s">
        <v>11619</v>
      </c>
      <c r="E13" s="57" t="s">
        <v>11620</v>
      </c>
      <c r="G13" s="57" t="s">
        <v>11621</v>
      </c>
      <c r="I13" s="58"/>
      <c r="P13" s="57" t="s">
        <v>11622</v>
      </c>
      <c r="R13" s="57" t="s">
        <v>11623</v>
      </c>
    </row>
    <row r="14" spans="1:18" ht="57.75" thickBot="1">
      <c r="A14" s="57" t="s">
        <v>11624</v>
      </c>
      <c r="E14" s="57" t="s">
        <v>11625</v>
      </c>
      <c r="G14" s="57" t="s">
        <v>11626</v>
      </c>
      <c r="P14" s="57" t="s">
        <v>11627</v>
      </c>
    </row>
    <row r="15" spans="1:18" ht="57.75" thickBot="1">
      <c r="A15" s="57" t="s">
        <v>11628</v>
      </c>
      <c r="E15" s="57" t="s">
        <v>11629</v>
      </c>
      <c r="P15" s="57" t="s">
        <v>11630</v>
      </c>
    </row>
    <row r="16" spans="1:18" ht="57.75" thickBot="1">
      <c r="A16" s="57" t="s">
        <v>11631</v>
      </c>
      <c r="P16" s="57" t="s">
        <v>11632</v>
      </c>
    </row>
    <row r="17" spans="1:18" ht="29.25" thickBot="1">
      <c r="A17" s="57" t="s">
        <v>11633</v>
      </c>
    </row>
    <row r="18" spans="1:18" ht="29.25" thickBot="1">
      <c r="A18" s="57" t="s">
        <v>11634</v>
      </c>
    </row>
    <row r="19" spans="1:18" ht="28.5">
      <c r="A19" s="57" t="s">
        <v>11635</v>
      </c>
      <c r="R19" s="59"/>
    </row>
    <row r="20" spans="1:18">
      <c r="R20" s="59"/>
    </row>
    <row r="21" spans="1:18">
      <c r="R21" s="59"/>
    </row>
    <row r="22" spans="1:18">
      <c r="R22" s="59"/>
    </row>
    <row r="23" spans="1:18">
      <c r="R23" s="59"/>
    </row>
    <row r="24" spans="1:18">
      <c r="R24" s="59"/>
    </row>
    <row r="25" spans="1:18">
      <c r="R25" s="59"/>
    </row>
  </sheetData>
  <sheetProtection algorithmName="SHA-512" hashValue="vYBbhOiEasMWKqxX9QUL6h/ti1Qb9wWkDXWAgPCao4D2dKnvraGKSwjK98vpMxzXey+8Aan9sd084uK1LgyM/g==" saltValue="SM4u/ec6SJnU2HLvkfbbRg=="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showGridLines="0" workbookViewId="0">
      <selection activeCell="H58" sqref="H58"/>
    </sheetView>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55" customFormat="1" ht="15.75" thickBot="1">
      <c r="A1" s="55" t="s">
        <v>7961</v>
      </c>
      <c r="B1" s="55" t="s">
        <v>7971</v>
      </c>
      <c r="C1" s="55" t="s">
        <v>7981</v>
      </c>
      <c r="D1" s="55" t="s">
        <v>7986</v>
      </c>
      <c r="E1" s="55" t="s">
        <v>7989</v>
      </c>
      <c r="F1" s="55" t="s">
        <v>7992</v>
      </c>
      <c r="G1" s="55" t="s">
        <v>7983</v>
      </c>
      <c r="H1" s="55" t="s">
        <v>7965</v>
      </c>
      <c r="I1" s="55" t="s">
        <v>7968</v>
      </c>
      <c r="J1" s="55" t="s">
        <v>7977</v>
      </c>
    </row>
    <row r="2" spans="1:10" ht="15" thickBot="1">
      <c r="A2" s="56" t="s">
        <v>11485</v>
      </c>
      <c r="B2" s="56" t="s">
        <v>11485</v>
      </c>
      <c r="C2" s="56" t="s">
        <v>11485</v>
      </c>
      <c r="D2" s="56" t="s">
        <v>11485</v>
      </c>
      <c r="E2" s="56" t="s">
        <v>11485</v>
      </c>
      <c r="F2" s="56" t="s">
        <v>11485</v>
      </c>
      <c r="G2" s="56" t="s">
        <v>11485</v>
      </c>
      <c r="H2" s="56" t="s">
        <v>11485</v>
      </c>
      <c r="I2" s="56" t="s">
        <v>11485</v>
      </c>
      <c r="J2" s="56" t="s">
        <v>11485</v>
      </c>
    </row>
    <row r="3" spans="1:10" ht="57.75" thickBot="1">
      <c r="A3" s="57" t="s">
        <v>11636</v>
      </c>
      <c r="B3" s="57" t="s">
        <v>11637</v>
      </c>
      <c r="C3" s="57" t="s">
        <v>11638</v>
      </c>
      <c r="D3" s="57" t="s">
        <v>11639</v>
      </c>
      <c r="E3" s="57" t="s">
        <v>11640</v>
      </c>
      <c r="F3" s="57" t="s">
        <v>11641</v>
      </c>
      <c r="G3" s="57" t="s">
        <v>11642</v>
      </c>
      <c r="H3" s="57" t="s">
        <v>11643</v>
      </c>
      <c r="I3" s="57" t="s">
        <v>11644</v>
      </c>
      <c r="J3" s="57" t="s">
        <v>11645</v>
      </c>
    </row>
    <row r="4" spans="1:10" ht="57.75" thickBot="1">
      <c r="A4" s="57" t="s">
        <v>11646</v>
      </c>
      <c r="B4" s="57" t="s">
        <v>11647</v>
      </c>
      <c r="C4" s="57" t="s">
        <v>11648</v>
      </c>
      <c r="D4" s="57" t="s">
        <v>11649</v>
      </c>
      <c r="E4" s="57" t="s">
        <v>11650</v>
      </c>
      <c r="F4" s="57" t="s">
        <v>11651</v>
      </c>
      <c r="G4" s="57" t="s">
        <v>11652</v>
      </c>
      <c r="H4" s="57" t="s">
        <v>11653</v>
      </c>
      <c r="I4" s="57" t="s">
        <v>11654</v>
      </c>
      <c r="J4" s="57" t="s">
        <v>11655</v>
      </c>
    </row>
    <row r="5" spans="1:10" ht="57.75" thickBot="1">
      <c r="A5" s="57" t="s">
        <v>11656</v>
      </c>
      <c r="B5" s="57" t="s">
        <v>11657</v>
      </c>
      <c r="C5" s="57" t="s">
        <v>11658</v>
      </c>
      <c r="D5" s="57" t="s">
        <v>11659</v>
      </c>
      <c r="E5" s="57" t="s">
        <v>11660</v>
      </c>
      <c r="F5" s="57" t="s">
        <v>11661</v>
      </c>
      <c r="G5" s="57" t="s">
        <v>11662</v>
      </c>
      <c r="H5" s="57" t="s">
        <v>11663</v>
      </c>
      <c r="I5" s="57" t="s">
        <v>11664</v>
      </c>
      <c r="J5" s="57" t="s">
        <v>11665</v>
      </c>
    </row>
    <row r="6" spans="1:10" ht="57.75" thickBot="1">
      <c r="A6" s="57" t="s">
        <v>11666</v>
      </c>
      <c r="B6" s="57" t="s">
        <v>11667</v>
      </c>
      <c r="C6" s="57" t="s">
        <v>11668</v>
      </c>
      <c r="D6" s="57" t="s">
        <v>11669</v>
      </c>
      <c r="E6" s="57" t="s">
        <v>11670</v>
      </c>
      <c r="F6" s="57" t="s">
        <v>11671</v>
      </c>
      <c r="G6" s="57" t="s">
        <v>11672</v>
      </c>
      <c r="H6" s="57" t="s">
        <v>11673</v>
      </c>
      <c r="I6" s="57" t="s">
        <v>11674</v>
      </c>
      <c r="J6" s="57" t="s">
        <v>11675</v>
      </c>
    </row>
    <row r="7" spans="1:10" ht="72" thickBot="1">
      <c r="A7" s="57" t="s">
        <v>11676</v>
      </c>
      <c r="B7" s="57" t="s">
        <v>11677</v>
      </c>
      <c r="C7" s="57" t="s">
        <v>11678</v>
      </c>
      <c r="D7" s="57" t="s">
        <v>11679</v>
      </c>
      <c r="E7" s="57" t="s">
        <v>11680</v>
      </c>
      <c r="F7" s="57" t="s">
        <v>11681</v>
      </c>
      <c r="G7" s="57" t="s">
        <v>11682</v>
      </c>
      <c r="H7" s="57" t="s">
        <v>11683</v>
      </c>
      <c r="I7" s="57" t="s">
        <v>11684</v>
      </c>
      <c r="J7" s="57" t="s">
        <v>11685</v>
      </c>
    </row>
    <row r="8" spans="1:10" ht="43.5" thickBot="1">
      <c r="A8" s="57" t="s">
        <v>11686</v>
      </c>
      <c r="B8" s="57" t="s">
        <v>11687</v>
      </c>
      <c r="C8" s="57" t="s">
        <v>11688</v>
      </c>
      <c r="D8" s="57" t="s">
        <v>11689</v>
      </c>
      <c r="E8" s="57" t="s">
        <v>11690</v>
      </c>
      <c r="F8" s="57" t="s">
        <v>11691</v>
      </c>
      <c r="G8" s="57" t="s">
        <v>11692</v>
      </c>
      <c r="H8" s="57" t="s">
        <v>11693</v>
      </c>
      <c r="I8" s="60"/>
      <c r="J8" s="57" t="s">
        <v>11694</v>
      </c>
    </row>
    <row r="9" spans="1:10" ht="43.5" thickBot="1">
      <c r="A9" s="57" t="s">
        <v>11695</v>
      </c>
      <c r="B9" s="57" t="s">
        <v>11696</v>
      </c>
      <c r="C9" s="57" t="s">
        <v>11697</v>
      </c>
      <c r="D9" s="57" t="s">
        <v>11698</v>
      </c>
      <c r="E9" s="57" t="s">
        <v>11699</v>
      </c>
      <c r="F9" s="57" t="s">
        <v>11700</v>
      </c>
      <c r="G9" s="57" t="s">
        <v>11701</v>
      </c>
      <c r="I9" s="60"/>
      <c r="J9" s="57" t="s">
        <v>11702</v>
      </c>
    </row>
    <row r="10" spans="1:10" ht="43.5" thickBot="1">
      <c r="A10" s="57" t="s">
        <v>11703</v>
      </c>
      <c r="B10" s="57" t="s">
        <v>11704</v>
      </c>
      <c r="C10" s="57" t="s">
        <v>11705</v>
      </c>
      <c r="D10" s="57" t="s">
        <v>11706</v>
      </c>
      <c r="E10" s="57" t="s">
        <v>11707</v>
      </c>
      <c r="G10" s="57" t="s">
        <v>11708</v>
      </c>
      <c r="I10" s="60"/>
    </row>
    <row r="11" spans="1:10" ht="43.5" thickBot="1">
      <c r="A11" s="57" t="s">
        <v>11709</v>
      </c>
      <c r="B11" s="57" t="s">
        <v>11710</v>
      </c>
      <c r="D11" s="57" t="s">
        <v>11711</v>
      </c>
      <c r="E11" s="57" t="s">
        <v>11712</v>
      </c>
      <c r="G11" s="57" t="s">
        <v>11713</v>
      </c>
      <c r="I11" s="60"/>
    </row>
    <row r="12" spans="1:10" ht="57.75" thickBot="1">
      <c r="A12" s="57" t="s">
        <v>11714</v>
      </c>
      <c r="B12" s="57" t="s">
        <v>11715</v>
      </c>
      <c r="E12" s="57" t="s">
        <v>11716</v>
      </c>
      <c r="G12" s="57" t="s">
        <v>11717</v>
      </c>
    </row>
    <row r="13" spans="1:10" ht="57.75" thickBot="1">
      <c r="B13" s="57" t="s">
        <v>11718</v>
      </c>
      <c r="E13" s="57" t="s">
        <v>11719</v>
      </c>
      <c r="G13" s="57" t="s">
        <v>11720</v>
      </c>
    </row>
    <row r="14" spans="1:10" ht="57.75" thickBot="1">
      <c r="B14" s="57" t="s">
        <v>11721</v>
      </c>
      <c r="E14" s="57" t="s">
        <v>11722</v>
      </c>
      <c r="G14" s="57" t="s">
        <v>11723</v>
      </c>
    </row>
    <row r="15" spans="1:10" ht="57.75" thickBot="1">
      <c r="B15" s="57" t="s">
        <v>11724</v>
      </c>
      <c r="E15" s="57" t="s">
        <v>11725</v>
      </c>
      <c r="G15" s="57" t="s">
        <v>11726</v>
      </c>
    </row>
    <row r="16" spans="1:10" ht="43.5" thickBot="1">
      <c r="E16" s="57" t="s">
        <v>11727</v>
      </c>
      <c r="G16" s="57" t="s">
        <v>11728</v>
      </c>
    </row>
    <row r="17" spans="5:7" ht="57.75" thickBot="1">
      <c r="E17" s="57" t="s">
        <v>11729</v>
      </c>
      <c r="G17" s="57" t="s">
        <v>11730</v>
      </c>
    </row>
    <row r="18" spans="5:7" ht="72" thickBot="1">
      <c r="E18" s="57" t="s">
        <v>11731</v>
      </c>
      <c r="G18" s="57" t="s">
        <v>11732</v>
      </c>
    </row>
    <row r="19" spans="5:7" ht="72" thickBot="1">
      <c r="E19" s="57" t="s">
        <v>11733</v>
      </c>
      <c r="G19" s="57" t="s">
        <v>11734</v>
      </c>
    </row>
    <row r="20" spans="5:7" ht="72" thickBot="1">
      <c r="E20" s="57" t="s">
        <v>11735</v>
      </c>
      <c r="G20" s="57" t="s">
        <v>11736</v>
      </c>
    </row>
    <row r="21" spans="5:7" ht="57.75" thickBot="1">
      <c r="E21" s="57" t="s">
        <v>11737</v>
      </c>
      <c r="G21" s="57" t="s">
        <v>11738</v>
      </c>
    </row>
    <row r="22" spans="5:7" ht="42.75">
      <c r="E22" s="57" t="s">
        <v>11739</v>
      </c>
    </row>
  </sheetData>
  <sheetProtection algorithmName="SHA-512" hashValue="js4ICzKc5xOvxZXN7IaYNFU+ECPc8H+NoqaQJA9eUGSc9yWUEnvU/9pKN+vJJrhtKzYOvs4guUb5RGbEbbGWJw==" saltValue="Pms9qHovuro4ElY1zHxlmA=="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21"/>
  <sheetViews>
    <sheetView showGridLines="0" workbookViewId="0">
      <selection activeCell="H58" sqref="H58"/>
    </sheetView>
  </sheetViews>
  <sheetFormatPr defaultRowHeight="14.25"/>
  <cols>
    <col min="1" max="1" width="14.125" style="553" customWidth="1"/>
    <col min="2" max="18" width="14.125" customWidth="1"/>
  </cols>
  <sheetData>
    <row r="1" spans="1:18" ht="15.75" thickBot="1">
      <c r="A1" s="2085" t="s">
        <v>7961</v>
      </c>
      <c r="B1" s="55" t="s">
        <v>7971</v>
      </c>
      <c r="C1" s="55" t="s">
        <v>7981</v>
      </c>
      <c r="D1" s="55" t="s">
        <v>7986</v>
      </c>
      <c r="E1" s="55" t="s">
        <v>7989</v>
      </c>
      <c r="F1" s="55" t="s">
        <v>7992</v>
      </c>
      <c r="G1" s="55" t="s">
        <v>7983</v>
      </c>
      <c r="H1" s="55" t="s">
        <v>8419</v>
      </c>
      <c r="I1" s="55" t="s">
        <v>8550</v>
      </c>
      <c r="J1" s="55" t="s">
        <v>8942</v>
      </c>
      <c r="K1" s="55" t="s">
        <v>9021</v>
      </c>
      <c r="L1" s="55" t="s">
        <v>9211</v>
      </c>
      <c r="M1" s="55" t="s">
        <v>9528</v>
      </c>
      <c r="N1" s="55" t="s">
        <v>9104</v>
      </c>
      <c r="O1" s="55" t="s">
        <v>7977</v>
      </c>
      <c r="P1" s="55" t="s">
        <v>7965</v>
      </c>
      <c r="Q1" s="55" t="s">
        <v>8081</v>
      </c>
      <c r="R1" s="55" t="s">
        <v>7968</v>
      </c>
    </row>
    <row r="2" spans="1:18" ht="29.25" thickBot="1">
      <c r="A2" s="56" t="s">
        <v>11485</v>
      </c>
      <c r="B2" s="56" t="s">
        <v>11485</v>
      </c>
      <c r="C2" s="56" t="s">
        <v>11485</v>
      </c>
      <c r="D2" s="56" t="s">
        <v>11485</v>
      </c>
      <c r="E2" s="56" t="s">
        <v>11485</v>
      </c>
      <c r="F2" s="56" t="s">
        <v>11485</v>
      </c>
      <c r="G2" s="56" t="s">
        <v>11485</v>
      </c>
      <c r="H2" s="56" t="s">
        <v>11485</v>
      </c>
      <c r="I2" s="56" t="s">
        <v>11485</v>
      </c>
      <c r="J2" s="56" t="s">
        <v>11485</v>
      </c>
      <c r="K2" s="56" t="s">
        <v>11485</v>
      </c>
      <c r="L2" s="56" t="s">
        <v>11485</v>
      </c>
      <c r="M2" s="56" t="s">
        <v>11485</v>
      </c>
      <c r="N2" s="56" t="s">
        <v>11485</v>
      </c>
      <c r="O2" s="56" t="s">
        <v>11485</v>
      </c>
      <c r="P2" s="56" t="s">
        <v>11485</v>
      </c>
      <c r="Q2" s="56" t="s">
        <v>11485</v>
      </c>
      <c r="R2" s="56" t="s">
        <v>11485</v>
      </c>
    </row>
    <row r="3" spans="1:18" ht="61.35" customHeight="1" thickBot="1">
      <c r="A3" s="57" t="s">
        <v>11486</v>
      </c>
      <c r="B3" s="57" t="s">
        <v>3323</v>
      </c>
      <c r="C3" s="57" t="s">
        <v>11488</v>
      </c>
      <c r="D3" s="57" t="s">
        <v>3323</v>
      </c>
      <c r="E3" s="57" t="s">
        <v>11490</v>
      </c>
      <c r="F3" s="57" t="s">
        <v>3323</v>
      </c>
      <c r="G3" s="57" t="s">
        <v>11492</v>
      </c>
      <c r="H3" s="57" t="s">
        <v>3323</v>
      </c>
      <c r="I3" s="57" t="s">
        <v>11494</v>
      </c>
      <c r="J3" s="57" t="s">
        <v>11495</v>
      </c>
      <c r="K3" s="57" t="s">
        <v>3323</v>
      </c>
      <c r="L3" s="57" t="s">
        <v>3323</v>
      </c>
      <c r="M3" s="57" t="s">
        <v>3323</v>
      </c>
      <c r="N3" s="57" t="s">
        <v>3323</v>
      </c>
      <c r="O3" s="57" t="s">
        <v>11500</v>
      </c>
      <c r="P3" s="57" t="s">
        <v>3323</v>
      </c>
      <c r="Q3" s="57" t="s">
        <v>3323</v>
      </c>
      <c r="R3" s="57" t="s">
        <v>3323</v>
      </c>
    </row>
    <row r="4" spans="1:18" ht="61.35" customHeight="1" thickBot="1">
      <c r="A4" s="57" t="s">
        <v>11504</v>
      </c>
      <c r="B4" s="57" t="s">
        <v>3323</v>
      </c>
      <c r="C4" s="57" t="s">
        <v>11506</v>
      </c>
      <c r="D4" s="57" t="s">
        <v>3323</v>
      </c>
      <c r="E4" s="57" t="s">
        <v>3323</v>
      </c>
      <c r="F4" s="57" t="s">
        <v>3323</v>
      </c>
      <c r="G4" s="57" t="s">
        <v>11510</v>
      </c>
      <c r="H4" s="57" t="s">
        <v>3323</v>
      </c>
      <c r="I4" s="57" t="s">
        <v>11512</v>
      </c>
      <c r="J4" s="57" t="s">
        <v>3323</v>
      </c>
      <c r="K4" s="57" t="s">
        <v>3323</v>
      </c>
      <c r="L4" s="57" t="s">
        <v>3323</v>
      </c>
      <c r="M4" s="57" t="s">
        <v>3323</v>
      </c>
      <c r="N4" s="57" t="s">
        <v>3323</v>
      </c>
      <c r="O4" s="57" t="s">
        <v>3323</v>
      </c>
      <c r="P4" s="57" t="s">
        <v>3323</v>
      </c>
      <c r="Q4" s="57" t="s">
        <v>3323</v>
      </c>
      <c r="R4" s="57" t="s">
        <v>3323</v>
      </c>
    </row>
    <row r="5" spans="1:18" ht="61.35" customHeight="1" thickBot="1">
      <c r="A5" s="57" t="s">
        <v>11522</v>
      </c>
      <c r="B5" s="57" t="s">
        <v>3323</v>
      </c>
      <c r="C5" s="57" t="s">
        <v>11524</v>
      </c>
      <c r="D5" s="57" t="s">
        <v>3323</v>
      </c>
      <c r="E5" s="57" t="s">
        <v>11526</v>
      </c>
      <c r="F5" s="57" t="s">
        <v>3323</v>
      </c>
      <c r="G5" s="57" t="s">
        <v>11528</v>
      </c>
      <c r="H5" s="57" t="s">
        <v>3323</v>
      </c>
      <c r="I5" s="57" t="s">
        <v>11530</v>
      </c>
      <c r="J5" s="57" t="s">
        <v>3323</v>
      </c>
      <c r="K5" s="57" t="s">
        <v>3323</v>
      </c>
      <c r="L5" s="57" t="s">
        <v>3323</v>
      </c>
      <c r="M5" s="57" t="s">
        <v>3323</v>
      </c>
      <c r="N5" s="57" t="s">
        <v>3323</v>
      </c>
      <c r="O5" s="57" t="s">
        <v>3323</v>
      </c>
      <c r="P5" s="57" t="s">
        <v>3323</v>
      </c>
      <c r="Q5" s="57" t="s">
        <v>3323</v>
      </c>
      <c r="R5" s="57" t="s">
        <v>3323</v>
      </c>
    </row>
    <row r="6" spans="1:18" ht="61.35" customHeight="1" thickBot="1">
      <c r="A6" s="57" t="s">
        <v>11540</v>
      </c>
      <c r="B6" s="57" t="s">
        <v>3323</v>
      </c>
      <c r="C6" s="57" t="s">
        <v>3323</v>
      </c>
      <c r="D6" s="57" t="s">
        <v>3323</v>
      </c>
      <c r="E6" s="57" t="s">
        <v>3323</v>
      </c>
      <c r="F6" s="57" t="s">
        <v>3323</v>
      </c>
      <c r="G6" s="57" t="s">
        <v>3323</v>
      </c>
      <c r="H6" s="57" t="s">
        <v>3323</v>
      </c>
      <c r="I6" s="57" t="s">
        <v>3323</v>
      </c>
      <c r="J6" s="57" t="s">
        <v>3323</v>
      </c>
      <c r="K6" s="57" t="s">
        <v>3323</v>
      </c>
      <c r="L6" s="57" t="s">
        <v>3323</v>
      </c>
      <c r="M6" s="57" t="s">
        <v>3323</v>
      </c>
      <c r="N6" s="57" t="s">
        <v>3323</v>
      </c>
      <c r="O6" s="57" t="s">
        <v>3323</v>
      </c>
      <c r="P6" s="57" t="s">
        <v>3323</v>
      </c>
      <c r="Q6" s="57" t="s">
        <v>3323</v>
      </c>
      <c r="R6" s="57" t="s">
        <v>3323</v>
      </c>
    </row>
    <row r="7" spans="1:18" ht="61.35" customHeight="1" thickBot="1">
      <c r="A7" s="57" t="s">
        <v>11740</v>
      </c>
      <c r="B7" s="57" t="s">
        <v>3323</v>
      </c>
      <c r="C7" s="57" t="s">
        <v>3323</v>
      </c>
      <c r="D7" s="57" t="s">
        <v>3323</v>
      </c>
      <c r="E7" s="57" t="s">
        <v>11561</v>
      </c>
      <c r="F7" s="57" t="s">
        <v>11741</v>
      </c>
      <c r="G7" s="57" t="s">
        <v>3323</v>
      </c>
      <c r="H7" s="57" t="s">
        <v>3323</v>
      </c>
      <c r="I7" s="57" t="s">
        <v>3323</v>
      </c>
      <c r="J7" s="57" t="s">
        <v>11742</v>
      </c>
      <c r="K7" s="57" t="s">
        <v>3323</v>
      </c>
      <c r="L7" s="57" t="s">
        <v>3323</v>
      </c>
      <c r="M7" s="57" t="s">
        <v>3323</v>
      </c>
      <c r="N7" s="57" t="s">
        <v>3323</v>
      </c>
      <c r="O7" s="57" t="s">
        <v>3323</v>
      </c>
      <c r="P7" s="57" t="s">
        <v>3323</v>
      </c>
      <c r="Q7" s="57" t="s">
        <v>3323</v>
      </c>
      <c r="R7" s="57" t="s">
        <v>3323</v>
      </c>
    </row>
    <row r="8" spans="1:18" ht="61.35" customHeight="1" thickBot="1">
      <c r="A8" s="57" t="s">
        <v>3323</v>
      </c>
      <c r="B8" s="57" t="s">
        <v>11743</v>
      </c>
      <c r="C8" s="57" t="s">
        <v>3323</v>
      </c>
      <c r="D8" s="57" t="s">
        <v>3323</v>
      </c>
      <c r="E8" s="57" t="s">
        <v>3323</v>
      </c>
      <c r="F8" s="57" t="s">
        <v>11744</v>
      </c>
      <c r="G8" s="57" t="s">
        <v>3323</v>
      </c>
      <c r="H8" s="57" t="s">
        <v>11578</v>
      </c>
      <c r="I8" s="57" t="s">
        <v>3323</v>
      </c>
      <c r="J8" s="57" t="s">
        <v>11745</v>
      </c>
      <c r="K8" s="57" t="s">
        <v>3323</v>
      </c>
      <c r="L8" s="57" t="s">
        <v>3323</v>
      </c>
      <c r="M8" s="57" t="s">
        <v>3323</v>
      </c>
      <c r="N8" s="57" t="s">
        <v>3323</v>
      </c>
      <c r="O8" s="57" t="s">
        <v>3323</v>
      </c>
      <c r="P8" s="57" t="s">
        <v>3323</v>
      </c>
      <c r="Q8" s="57" t="s">
        <v>11746</v>
      </c>
      <c r="R8" s="57" t="s">
        <v>3323</v>
      </c>
    </row>
    <row r="9" spans="1:18" ht="61.35" customHeight="1" thickBot="1">
      <c r="A9" s="57" t="s">
        <v>3323</v>
      </c>
      <c r="B9" s="57" t="s">
        <v>11747</v>
      </c>
      <c r="C9" s="57" t="s">
        <v>11745</v>
      </c>
      <c r="D9" s="57" t="s">
        <v>11748</v>
      </c>
      <c r="E9" s="57" t="s">
        <v>3323</v>
      </c>
      <c r="F9" s="57" t="s">
        <v>11745</v>
      </c>
      <c r="G9" s="57" t="s">
        <v>3323</v>
      </c>
      <c r="H9" s="57" t="s">
        <v>11590</v>
      </c>
      <c r="I9" s="57" t="s">
        <v>11749</v>
      </c>
      <c r="J9" s="57" t="s">
        <v>11750</v>
      </c>
      <c r="K9" s="57" t="s">
        <v>3323</v>
      </c>
      <c r="L9" s="57" t="s">
        <v>11751</v>
      </c>
      <c r="M9" s="57" t="s">
        <v>3323</v>
      </c>
      <c r="N9" s="57" t="s">
        <v>3323</v>
      </c>
      <c r="O9" s="57" t="s">
        <v>11752</v>
      </c>
      <c r="P9" s="57" t="s">
        <v>3323</v>
      </c>
      <c r="Q9" s="57" t="s">
        <v>11745</v>
      </c>
      <c r="R9" s="57" t="s">
        <v>3323</v>
      </c>
    </row>
    <row r="10" spans="1:18" ht="61.35" customHeight="1" thickBot="1">
      <c r="A10" s="57" t="s">
        <v>3323</v>
      </c>
      <c r="B10" s="57" t="s">
        <v>11753</v>
      </c>
      <c r="C10" s="57" t="s">
        <v>11750</v>
      </c>
      <c r="D10" s="57" t="s">
        <v>11745</v>
      </c>
      <c r="E10" s="57" t="s">
        <v>3323</v>
      </c>
      <c r="F10" s="57" t="s">
        <v>11750</v>
      </c>
      <c r="G10" s="57" t="s">
        <v>11598</v>
      </c>
      <c r="H10" s="57" t="s">
        <v>11599</v>
      </c>
      <c r="K10" s="57" t="s">
        <v>11600</v>
      </c>
      <c r="L10" s="57" t="s">
        <v>11754</v>
      </c>
      <c r="M10" s="57" t="s">
        <v>3323</v>
      </c>
      <c r="N10" s="57" t="s">
        <v>3323</v>
      </c>
      <c r="O10" s="57" t="s">
        <v>11745</v>
      </c>
      <c r="P10" s="57" t="s">
        <v>3323</v>
      </c>
      <c r="Q10" s="57" t="s">
        <v>11750</v>
      </c>
      <c r="R10" s="57" t="s">
        <v>3323</v>
      </c>
    </row>
    <row r="11" spans="1:18" ht="61.35" customHeight="1" thickBot="1">
      <c r="A11" s="57" t="s">
        <v>11605</v>
      </c>
      <c r="D11" s="57" t="s">
        <v>11750</v>
      </c>
      <c r="E11" s="57" t="s">
        <v>3323</v>
      </c>
      <c r="G11" s="57" t="s">
        <v>11607</v>
      </c>
      <c r="H11" s="57" t="s">
        <v>11745</v>
      </c>
      <c r="I11" s="58"/>
      <c r="K11" s="57" t="s">
        <v>11755</v>
      </c>
      <c r="L11" s="57" t="s">
        <v>11756</v>
      </c>
      <c r="M11" s="57" t="s">
        <v>3323</v>
      </c>
      <c r="N11" s="57" t="s">
        <v>3323</v>
      </c>
      <c r="O11" s="57" t="s">
        <v>11750</v>
      </c>
      <c r="P11" s="57" t="s">
        <v>3323</v>
      </c>
      <c r="R11" s="57" t="s">
        <v>3323</v>
      </c>
    </row>
    <row r="12" spans="1:18" ht="61.35" customHeight="1" thickBot="1">
      <c r="A12" s="57" t="s">
        <v>3323</v>
      </c>
      <c r="E12" s="57" t="s">
        <v>3323</v>
      </c>
      <c r="G12" s="57" t="s">
        <v>11614</v>
      </c>
      <c r="H12" s="57" t="s">
        <v>11750</v>
      </c>
      <c r="I12" s="58"/>
      <c r="K12" s="57" t="s">
        <v>11757</v>
      </c>
      <c r="L12" s="57" t="s">
        <v>11745</v>
      </c>
      <c r="M12" s="57" t="s">
        <v>3323</v>
      </c>
      <c r="N12" s="57" t="s">
        <v>3323</v>
      </c>
      <c r="P12" s="57" t="s">
        <v>3323</v>
      </c>
      <c r="R12" s="57" t="s">
        <v>3323</v>
      </c>
    </row>
    <row r="13" spans="1:18" ht="61.35" customHeight="1" thickBot="1">
      <c r="A13" s="57" t="s">
        <v>3323</v>
      </c>
      <c r="E13" s="57" t="s">
        <v>3323</v>
      </c>
      <c r="G13" s="57" t="s">
        <v>3323</v>
      </c>
      <c r="I13" s="58"/>
      <c r="K13" s="57" t="s">
        <v>11750</v>
      </c>
      <c r="L13" s="57" t="s">
        <v>11750</v>
      </c>
      <c r="M13" s="57" t="s">
        <v>11758</v>
      </c>
      <c r="N13" s="57" t="s">
        <v>1775</v>
      </c>
      <c r="P13" s="57" t="s">
        <v>3323</v>
      </c>
      <c r="R13" s="57" t="s">
        <v>3323</v>
      </c>
    </row>
    <row r="14" spans="1:18" ht="61.35" customHeight="1" thickBot="1">
      <c r="A14" s="57" t="s">
        <v>3323</v>
      </c>
      <c r="E14" s="57" t="s">
        <v>3323</v>
      </c>
      <c r="G14" s="57" t="s">
        <v>11626</v>
      </c>
      <c r="M14" s="57" t="s">
        <v>11745</v>
      </c>
      <c r="N14" s="57" t="s">
        <v>11759</v>
      </c>
      <c r="P14" s="57" t="s">
        <v>3323</v>
      </c>
      <c r="R14" s="57" t="s">
        <v>11760</v>
      </c>
    </row>
    <row r="15" spans="1:18" ht="61.35" customHeight="1" thickBot="1">
      <c r="A15" s="57" t="s">
        <v>3323</v>
      </c>
      <c r="E15" s="57" t="s">
        <v>3323</v>
      </c>
      <c r="G15" s="57" t="s">
        <v>11745</v>
      </c>
      <c r="M15" s="57" t="s">
        <v>11750</v>
      </c>
      <c r="N15" s="57" t="s">
        <v>11747</v>
      </c>
      <c r="P15" s="57" t="s">
        <v>3323</v>
      </c>
      <c r="R15" s="57" t="s">
        <v>11761</v>
      </c>
    </row>
    <row r="16" spans="1:18" ht="61.35" customHeight="1" thickBot="1">
      <c r="A16" s="57" t="s">
        <v>3323</v>
      </c>
      <c r="E16" s="57" t="s">
        <v>11745</v>
      </c>
      <c r="G16" s="57" t="s">
        <v>11750</v>
      </c>
      <c r="N16" s="57" t="s">
        <v>11753</v>
      </c>
      <c r="P16" s="57" t="s">
        <v>3323</v>
      </c>
      <c r="R16" s="57" t="s">
        <v>11745</v>
      </c>
    </row>
    <row r="17" spans="1:18" ht="61.35" customHeight="1" thickBot="1">
      <c r="A17" s="57" t="s">
        <v>3323</v>
      </c>
      <c r="E17" s="57" t="s">
        <v>11750</v>
      </c>
      <c r="P17" s="57" t="s">
        <v>11762</v>
      </c>
      <c r="R17" s="57" t="s">
        <v>11749</v>
      </c>
    </row>
    <row r="18" spans="1:18" ht="61.35" customHeight="1" thickBot="1">
      <c r="A18" s="57" t="s">
        <v>11634</v>
      </c>
      <c r="P18" s="57" t="s">
        <v>11750</v>
      </c>
    </row>
    <row r="19" spans="1:18" ht="68.849999999999994" customHeight="1" thickBot="1">
      <c r="A19" s="57" t="s">
        <v>11635</v>
      </c>
    </row>
    <row r="20" spans="1:18" ht="68.849999999999994" customHeight="1" thickBot="1">
      <c r="A20" s="57" t="s">
        <v>11745</v>
      </c>
    </row>
    <row r="21" spans="1:18" ht="68.849999999999994" customHeight="1">
      <c r="A21" s="57" t="s">
        <v>11750</v>
      </c>
    </row>
  </sheetData>
  <sheetProtection algorithmName="SHA-512" hashValue="fy0Q32l0F16UZQiJ83JxfdImESiri7T/uNm397dufT9+ILZFS2FDDQQo+UemKHYVQnv6VqwygnlubcWhz+g2Bg==" saltValue="uXmi6nJ9IgCzxgYYuzTQrA=="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J24"/>
  <sheetViews>
    <sheetView showGridLines="0" workbookViewId="0">
      <selection activeCell="H58" sqref="H58"/>
    </sheetView>
  </sheetViews>
  <sheetFormatPr defaultRowHeight="14.25"/>
  <cols>
    <col min="1" max="10" width="21" customWidth="1"/>
  </cols>
  <sheetData>
    <row r="1" spans="1:10" ht="15.75" thickBot="1">
      <c r="A1" s="55" t="s">
        <v>7961</v>
      </c>
      <c r="B1" s="55" t="s">
        <v>7971</v>
      </c>
      <c r="C1" s="55" t="s">
        <v>7981</v>
      </c>
      <c r="D1" s="55" t="s">
        <v>7986</v>
      </c>
      <c r="E1" s="55" t="s">
        <v>7989</v>
      </c>
      <c r="F1" s="55" t="s">
        <v>7992</v>
      </c>
      <c r="G1" s="55" t="s">
        <v>7983</v>
      </c>
      <c r="H1" s="55" t="s">
        <v>7965</v>
      </c>
      <c r="I1" s="55" t="s">
        <v>7968</v>
      </c>
      <c r="J1" s="55" t="s">
        <v>7977</v>
      </c>
    </row>
    <row r="2" spans="1:10" ht="15" thickBot="1">
      <c r="A2" s="56" t="s">
        <v>11485</v>
      </c>
      <c r="B2" s="56" t="s">
        <v>11485</v>
      </c>
      <c r="C2" s="56" t="s">
        <v>11485</v>
      </c>
      <c r="D2" s="56" t="s">
        <v>11485</v>
      </c>
      <c r="E2" s="56" t="s">
        <v>11485</v>
      </c>
      <c r="F2" s="56" t="s">
        <v>11485</v>
      </c>
      <c r="G2" s="56" t="s">
        <v>11485</v>
      </c>
      <c r="H2" s="56" t="s">
        <v>11485</v>
      </c>
      <c r="I2" s="56" t="s">
        <v>11485</v>
      </c>
      <c r="J2" s="56" t="s">
        <v>11485</v>
      </c>
    </row>
    <row r="3" spans="1:10" ht="60.6" customHeight="1" thickBot="1">
      <c r="A3" s="57" t="s">
        <v>11636</v>
      </c>
      <c r="B3" s="57" t="s">
        <v>3323</v>
      </c>
      <c r="C3" s="57" t="s">
        <v>11638</v>
      </c>
      <c r="D3" s="57" t="s">
        <v>3323</v>
      </c>
      <c r="E3" s="57" t="s">
        <v>11640</v>
      </c>
      <c r="F3" s="57" t="s">
        <v>3323</v>
      </c>
      <c r="G3" s="57" t="s">
        <v>11642</v>
      </c>
      <c r="H3" s="57" t="s">
        <v>3323</v>
      </c>
      <c r="I3" s="57" t="s">
        <v>3323</v>
      </c>
      <c r="J3" s="57" t="s">
        <v>11645</v>
      </c>
    </row>
    <row r="4" spans="1:10" ht="60.6" customHeight="1" thickBot="1">
      <c r="A4" s="57" t="s">
        <v>11646</v>
      </c>
      <c r="B4" s="57" t="s">
        <v>3323</v>
      </c>
      <c r="C4" s="57" t="s">
        <v>11648</v>
      </c>
      <c r="D4" s="57" t="s">
        <v>3323</v>
      </c>
      <c r="E4" s="57" t="s">
        <v>3323</v>
      </c>
      <c r="F4" s="57" t="s">
        <v>3323</v>
      </c>
      <c r="G4" s="57" t="s">
        <v>11652</v>
      </c>
      <c r="H4" s="57" t="s">
        <v>3323</v>
      </c>
      <c r="I4" s="57" t="s">
        <v>3323</v>
      </c>
      <c r="J4" s="57" t="s">
        <v>3323</v>
      </c>
    </row>
    <row r="5" spans="1:10" ht="60.6" customHeight="1" thickBot="1">
      <c r="A5" s="57" t="s">
        <v>11656</v>
      </c>
      <c r="B5" s="57" t="s">
        <v>3323</v>
      </c>
      <c r="C5" s="57" t="s">
        <v>11658</v>
      </c>
      <c r="D5" s="57" t="s">
        <v>3323</v>
      </c>
      <c r="E5" s="57" t="s">
        <v>11660</v>
      </c>
      <c r="F5" s="57" t="s">
        <v>3323</v>
      </c>
      <c r="G5" s="57" t="s">
        <v>11662</v>
      </c>
      <c r="H5" s="57" t="s">
        <v>3323</v>
      </c>
      <c r="I5" s="57" t="s">
        <v>3323</v>
      </c>
      <c r="J5" s="57" t="s">
        <v>3323</v>
      </c>
    </row>
    <row r="6" spans="1:10" ht="60.6" customHeight="1" thickBot="1">
      <c r="A6" s="57" t="s">
        <v>3323</v>
      </c>
      <c r="B6" s="57" t="s">
        <v>3323</v>
      </c>
      <c r="C6" s="57" t="s">
        <v>3323</v>
      </c>
      <c r="D6" s="57" t="s">
        <v>3323</v>
      </c>
      <c r="E6" s="57" t="s">
        <v>11670</v>
      </c>
      <c r="F6" s="57" t="s">
        <v>3323</v>
      </c>
      <c r="G6" s="57" t="s">
        <v>3323</v>
      </c>
      <c r="H6" s="57" t="s">
        <v>3323</v>
      </c>
      <c r="I6" s="57" t="s">
        <v>3323</v>
      </c>
      <c r="J6" s="57" t="s">
        <v>3323</v>
      </c>
    </row>
    <row r="7" spans="1:10" ht="60.6" customHeight="1" thickBot="1">
      <c r="A7" s="57" t="s">
        <v>3323</v>
      </c>
      <c r="B7" s="57" t="s">
        <v>3323</v>
      </c>
      <c r="C7" s="57" t="s">
        <v>3323</v>
      </c>
      <c r="D7" s="57" t="s">
        <v>3323</v>
      </c>
      <c r="E7" s="57" t="s">
        <v>3323</v>
      </c>
      <c r="F7" s="57" t="s">
        <v>3323</v>
      </c>
      <c r="G7" s="57" t="s">
        <v>3323</v>
      </c>
      <c r="H7" s="57" t="s">
        <v>3323</v>
      </c>
      <c r="I7" s="57" t="s">
        <v>3323</v>
      </c>
      <c r="J7" s="57" t="s">
        <v>3323</v>
      </c>
    </row>
    <row r="8" spans="1:10" ht="60.6" customHeight="1" thickBot="1">
      <c r="A8" s="57" t="s">
        <v>11686</v>
      </c>
      <c r="B8" s="57" t="s">
        <v>3323</v>
      </c>
      <c r="C8" s="57" t="s">
        <v>3323</v>
      </c>
      <c r="D8" s="57" t="s">
        <v>3323</v>
      </c>
      <c r="E8" s="57" t="s">
        <v>11690</v>
      </c>
      <c r="F8" s="57" t="s">
        <v>3323</v>
      </c>
      <c r="G8" s="57" t="s">
        <v>3323</v>
      </c>
      <c r="H8" s="57" t="s">
        <v>3323</v>
      </c>
      <c r="I8" s="57" t="s">
        <v>11763</v>
      </c>
      <c r="J8" s="57" t="s">
        <v>3323</v>
      </c>
    </row>
    <row r="9" spans="1:10" ht="60.6" customHeight="1" thickBot="1">
      <c r="A9" s="57" t="s">
        <v>11695</v>
      </c>
      <c r="B9" s="57" t="s">
        <v>3323</v>
      </c>
      <c r="C9" s="57" t="s">
        <v>3323</v>
      </c>
      <c r="D9" s="57" t="s">
        <v>3323</v>
      </c>
      <c r="E9" s="57" t="s">
        <v>11699</v>
      </c>
      <c r="F9" s="57" t="s">
        <v>3323</v>
      </c>
      <c r="G9" s="57" t="s">
        <v>3323</v>
      </c>
      <c r="H9" s="57" t="s">
        <v>11764</v>
      </c>
      <c r="I9" s="57" t="s">
        <v>11765</v>
      </c>
      <c r="J9" s="57" t="s">
        <v>3323</v>
      </c>
    </row>
    <row r="10" spans="1:10" ht="60.6" customHeight="1" thickBot="1">
      <c r="A10" s="57" t="s">
        <v>11703</v>
      </c>
      <c r="B10" s="57" t="s">
        <v>3323</v>
      </c>
      <c r="C10" s="57" t="s">
        <v>3323</v>
      </c>
      <c r="D10" s="57" t="s">
        <v>3323</v>
      </c>
      <c r="E10" s="57" t="s">
        <v>3323</v>
      </c>
      <c r="F10" s="57" t="s">
        <v>11766</v>
      </c>
      <c r="G10" s="57" t="s">
        <v>11708</v>
      </c>
      <c r="I10" s="57" t="s">
        <v>11767</v>
      </c>
      <c r="J10" s="57" t="s">
        <v>11768</v>
      </c>
    </row>
    <row r="11" spans="1:10" ht="60.6" customHeight="1" thickBot="1">
      <c r="A11" s="57" t="s">
        <v>3323</v>
      </c>
      <c r="B11" s="57" t="s">
        <v>3323</v>
      </c>
      <c r="C11" s="57" t="s">
        <v>11767</v>
      </c>
      <c r="D11" s="57" t="s">
        <v>3323</v>
      </c>
      <c r="E11" s="57" t="s">
        <v>3323</v>
      </c>
      <c r="F11" s="57" t="s">
        <v>11769</v>
      </c>
      <c r="G11" s="57" t="s">
        <v>11713</v>
      </c>
      <c r="I11" s="57" t="s">
        <v>11770</v>
      </c>
      <c r="J11" s="57" t="s">
        <v>11767</v>
      </c>
    </row>
    <row r="12" spans="1:10" ht="60.6" customHeight="1" thickBot="1">
      <c r="A12" s="57" t="s">
        <v>3323</v>
      </c>
      <c r="B12" s="57" t="s">
        <v>3323</v>
      </c>
      <c r="C12" s="57" t="s">
        <v>11770</v>
      </c>
      <c r="D12" s="57" t="s">
        <v>11771</v>
      </c>
      <c r="E12" s="57" t="s">
        <v>3323</v>
      </c>
      <c r="F12" s="57" t="s">
        <v>11772</v>
      </c>
      <c r="G12" s="57" t="s">
        <v>11717</v>
      </c>
      <c r="J12" s="57" t="s">
        <v>11773</v>
      </c>
    </row>
    <row r="13" spans="1:10" ht="60.6" customHeight="1" thickBot="1">
      <c r="A13" s="57" t="s">
        <v>11767</v>
      </c>
      <c r="B13" s="57" t="s">
        <v>3323</v>
      </c>
      <c r="D13" s="57" t="s">
        <v>11767</v>
      </c>
      <c r="E13" s="57" t="s">
        <v>3323</v>
      </c>
      <c r="F13" s="57" t="s">
        <v>11767</v>
      </c>
      <c r="G13" s="57" t="s">
        <v>3323</v>
      </c>
    </row>
    <row r="14" spans="1:10" ht="60.6" customHeight="1" thickBot="1">
      <c r="A14" s="57" t="s">
        <v>11770</v>
      </c>
      <c r="B14" s="57" t="s">
        <v>3323</v>
      </c>
      <c r="D14" s="57" t="s">
        <v>11770</v>
      </c>
      <c r="E14" s="57" t="s">
        <v>3323</v>
      </c>
      <c r="F14" s="57" t="s">
        <v>11770</v>
      </c>
      <c r="G14" s="57" t="s">
        <v>3323</v>
      </c>
    </row>
    <row r="15" spans="1:10" ht="60.6" customHeight="1" thickBot="1">
      <c r="B15" s="57" t="s">
        <v>3323</v>
      </c>
      <c r="E15" s="57" t="s">
        <v>3323</v>
      </c>
      <c r="G15" s="57" t="s">
        <v>3323</v>
      </c>
    </row>
    <row r="16" spans="1:10" ht="60.6" customHeight="1" thickBot="1">
      <c r="B16" s="57" t="s">
        <v>11774</v>
      </c>
      <c r="E16" s="57" t="s">
        <v>3323</v>
      </c>
      <c r="G16" s="57" t="s">
        <v>3323</v>
      </c>
    </row>
    <row r="17" spans="2:7" ht="60.6" customHeight="1" thickBot="1">
      <c r="B17" s="57" t="s">
        <v>11775</v>
      </c>
      <c r="E17" s="57" t="s">
        <v>3323</v>
      </c>
      <c r="G17" s="57" t="s">
        <v>11730</v>
      </c>
    </row>
    <row r="18" spans="2:7" ht="60.6" customHeight="1" thickBot="1">
      <c r="B18" s="57" t="s">
        <v>11776</v>
      </c>
      <c r="E18" s="57" t="s">
        <v>3323</v>
      </c>
      <c r="G18" s="57" t="s">
        <v>11732</v>
      </c>
    </row>
    <row r="19" spans="2:7" ht="60.6" customHeight="1" thickBot="1">
      <c r="E19" s="57" t="s">
        <v>3323</v>
      </c>
      <c r="G19" s="57" t="s">
        <v>11734</v>
      </c>
    </row>
    <row r="20" spans="2:7" ht="60.6" customHeight="1" thickBot="1">
      <c r="E20" s="57" t="s">
        <v>3323</v>
      </c>
      <c r="G20" s="57" t="s">
        <v>3323</v>
      </c>
    </row>
    <row r="21" spans="2:7" ht="60.6" customHeight="1" thickBot="1">
      <c r="E21" s="57" t="s">
        <v>3323</v>
      </c>
      <c r="G21" s="57" t="s">
        <v>11738</v>
      </c>
    </row>
    <row r="22" spans="2:7" ht="60.6" customHeight="1" thickBot="1">
      <c r="E22" s="57" t="s">
        <v>3323</v>
      </c>
      <c r="G22" s="57" t="s">
        <v>11767</v>
      </c>
    </row>
    <row r="23" spans="2:7" ht="29.25" thickBot="1">
      <c r="E23" s="57" t="s">
        <v>11767</v>
      </c>
      <c r="G23" s="57" t="s">
        <v>11770</v>
      </c>
    </row>
    <row r="24" spans="2:7" ht="28.5">
      <c r="E24" s="57" t="s">
        <v>11770</v>
      </c>
    </row>
  </sheetData>
  <sheetProtection algorithmName="SHA-512" hashValue="/iHw+C/YiiblOcXIIdo2a1j9Put679dLs1AWzB5xy4NOV3GqjEgyKxG60KMPFue+rC2do3BRIRo0U9ZVz2G3/Q==" saltValue="cosdWQDSyCo1Er+dj4ou6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55" t="s">
        <v>11777</v>
      </c>
      <c r="B1" s="47" t="s">
        <v>7961</v>
      </c>
      <c r="C1" s="47" t="s">
        <v>7965</v>
      </c>
      <c r="D1" s="47" t="s">
        <v>7968</v>
      </c>
      <c r="E1" s="47" t="s">
        <v>7971</v>
      </c>
      <c r="F1" s="47" t="s">
        <v>7974</v>
      </c>
      <c r="G1" s="47" t="s">
        <v>7977</v>
      </c>
      <c r="H1" s="47" t="s">
        <v>7981</v>
      </c>
      <c r="I1" s="47" t="s">
        <v>7983</v>
      </c>
      <c r="J1" s="47" t="s">
        <v>7986</v>
      </c>
      <c r="K1" s="47" t="s">
        <v>7989</v>
      </c>
      <c r="L1" s="47" t="s">
        <v>7992</v>
      </c>
    </row>
    <row r="2" spans="1:12">
      <c r="B2" s="47" t="s">
        <v>7960</v>
      </c>
      <c r="C2" s="47" t="s">
        <v>7964</v>
      </c>
      <c r="D2" s="47" t="s">
        <v>7967</v>
      </c>
      <c r="E2" s="47" t="s">
        <v>7970</v>
      </c>
      <c r="F2" s="47" t="s">
        <v>11778</v>
      </c>
      <c r="G2" s="47" t="s">
        <v>7973</v>
      </c>
      <c r="H2" s="47" t="s">
        <v>7980</v>
      </c>
      <c r="I2" s="47" t="s">
        <v>81</v>
      </c>
      <c r="J2" s="47" t="s">
        <v>7985</v>
      </c>
      <c r="K2" s="47" t="s">
        <v>7988</v>
      </c>
      <c r="L2" s="47" t="s">
        <v>7991</v>
      </c>
    </row>
    <row r="3" spans="1:12">
      <c r="B3" t="s">
        <v>11779</v>
      </c>
      <c r="C3" t="s">
        <v>11780</v>
      </c>
      <c r="D3" t="s">
        <v>11781</v>
      </c>
      <c r="E3" t="s">
        <v>11782</v>
      </c>
      <c r="F3" t="s">
        <v>11783</v>
      </c>
      <c r="G3" t="s">
        <v>11783</v>
      </c>
      <c r="H3" t="s">
        <v>11784</v>
      </c>
      <c r="I3" t="s">
        <v>11785</v>
      </c>
      <c r="J3" t="s">
        <v>11786</v>
      </c>
      <c r="K3" t="s">
        <v>11787</v>
      </c>
      <c r="L3" t="s">
        <v>11788</v>
      </c>
    </row>
    <row r="4" spans="1:12">
      <c r="B4" t="s">
        <v>11789</v>
      </c>
      <c r="C4" t="s">
        <v>11790</v>
      </c>
      <c r="D4" t="s">
        <v>11791</v>
      </c>
      <c r="E4" t="s">
        <v>11792</v>
      </c>
      <c r="F4" t="s">
        <v>11793</v>
      </c>
      <c r="G4" t="s">
        <v>11793</v>
      </c>
      <c r="H4" t="s">
        <v>11794</v>
      </c>
      <c r="I4" t="s">
        <v>11795</v>
      </c>
      <c r="J4" t="s">
        <v>11796</v>
      </c>
      <c r="K4" t="s">
        <v>11797</v>
      </c>
      <c r="L4" t="s">
        <v>11798</v>
      </c>
    </row>
    <row r="5" spans="1:12">
      <c r="B5" t="s">
        <v>11799</v>
      </c>
      <c r="C5" t="s">
        <v>11800</v>
      </c>
      <c r="D5" t="s">
        <v>11801</v>
      </c>
      <c r="E5" t="s">
        <v>11802</v>
      </c>
      <c r="F5" t="s">
        <v>11803</v>
      </c>
      <c r="G5" t="s">
        <v>11803</v>
      </c>
      <c r="H5" t="s">
        <v>11804</v>
      </c>
      <c r="I5" t="s">
        <v>11805</v>
      </c>
      <c r="J5" t="s">
        <v>11806</v>
      </c>
      <c r="K5" t="s">
        <v>11807</v>
      </c>
      <c r="L5" t="s">
        <v>11808</v>
      </c>
    </row>
    <row r="6" spans="1:12">
      <c r="B6" t="s">
        <v>11809</v>
      </c>
      <c r="C6" t="s">
        <v>11810</v>
      </c>
      <c r="D6" t="s">
        <v>11811</v>
      </c>
      <c r="E6" t="s">
        <v>11812</v>
      </c>
      <c r="F6" t="s">
        <v>11813</v>
      </c>
      <c r="G6" t="s">
        <v>11813</v>
      </c>
      <c r="H6" t="s">
        <v>11814</v>
      </c>
      <c r="I6" t="s">
        <v>11815</v>
      </c>
      <c r="J6" t="s">
        <v>11816</v>
      </c>
      <c r="K6" t="s">
        <v>11817</v>
      </c>
      <c r="L6" t="s">
        <v>11818</v>
      </c>
    </row>
    <row r="7" spans="1:12">
      <c r="B7" t="s">
        <v>11819</v>
      </c>
      <c r="C7" t="s">
        <v>11820</v>
      </c>
      <c r="D7" t="s">
        <v>11821</v>
      </c>
      <c r="E7" t="s">
        <v>11822</v>
      </c>
      <c r="F7" t="s">
        <v>11823</v>
      </c>
      <c r="G7" t="s">
        <v>11823</v>
      </c>
      <c r="H7" t="s">
        <v>11824</v>
      </c>
      <c r="I7" t="s">
        <v>11825</v>
      </c>
      <c r="J7" t="s">
        <v>11826</v>
      </c>
      <c r="K7" t="s">
        <v>11827</v>
      </c>
      <c r="L7" t="s">
        <v>11828</v>
      </c>
    </row>
    <row r="8" spans="1:12">
      <c r="B8" t="s">
        <v>11829</v>
      </c>
      <c r="C8" t="s">
        <v>11830</v>
      </c>
      <c r="D8" t="s">
        <v>11831</v>
      </c>
      <c r="E8" t="s">
        <v>11832</v>
      </c>
      <c r="F8" t="s">
        <v>11833</v>
      </c>
      <c r="G8" t="s">
        <v>11833</v>
      </c>
      <c r="H8" t="s">
        <v>11834</v>
      </c>
      <c r="I8" t="s">
        <v>11835</v>
      </c>
      <c r="J8" t="s">
        <v>11836</v>
      </c>
      <c r="K8" t="s">
        <v>11837</v>
      </c>
      <c r="L8" t="s">
        <v>11838</v>
      </c>
    </row>
    <row r="9" spans="1:12">
      <c r="B9" t="s">
        <v>11839</v>
      </c>
      <c r="C9" t="s">
        <v>11840</v>
      </c>
      <c r="D9" t="s">
        <v>11841</v>
      </c>
      <c r="E9" t="s">
        <v>11842</v>
      </c>
      <c r="F9" t="s">
        <v>11843</v>
      </c>
      <c r="G9" t="s">
        <v>11843</v>
      </c>
      <c r="H9" t="s">
        <v>11844</v>
      </c>
      <c r="I9" t="s">
        <v>11845</v>
      </c>
      <c r="J9" t="s">
        <v>11846</v>
      </c>
      <c r="K9" t="s">
        <v>11847</v>
      </c>
      <c r="L9" t="s">
        <v>11848</v>
      </c>
    </row>
    <row r="10" spans="1:12">
      <c r="B10" t="s">
        <v>11849</v>
      </c>
      <c r="C10" t="s">
        <v>11850</v>
      </c>
      <c r="D10" t="s">
        <v>11851</v>
      </c>
      <c r="E10" t="s">
        <v>11852</v>
      </c>
      <c r="F10" t="s">
        <v>11853</v>
      </c>
      <c r="G10" t="s">
        <v>11853</v>
      </c>
      <c r="H10" t="s">
        <v>11854</v>
      </c>
      <c r="I10" t="s">
        <v>11855</v>
      </c>
      <c r="J10" t="s">
        <v>11856</v>
      </c>
      <c r="K10" t="s">
        <v>11857</v>
      </c>
      <c r="L10" t="s">
        <v>11858</v>
      </c>
    </row>
    <row r="11" spans="1:12">
      <c r="B11" t="s">
        <v>11859</v>
      </c>
      <c r="C11" t="s">
        <v>11860</v>
      </c>
      <c r="D11" t="s">
        <v>11861</v>
      </c>
      <c r="E11" t="s">
        <v>11862</v>
      </c>
      <c r="F11" t="s">
        <v>11863</v>
      </c>
      <c r="G11" t="s">
        <v>11863</v>
      </c>
      <c r="H11" t="s">
        <v>11864</v>
      </c>
      <c r="I11" t="s">
        <v>11865</v>
      </c>
      <c r="J11" t="s">
        <v>11866</v>
      </c>
      <c r="K11" t="s">
        <v>11867</v>
      </c>
      <c r="L11" t="s">
        <v>11868</v>
      </c>
    </row>
    <row r="12" spans="1:12">
      <c r="B12" t="s">
        <v>11869</v>
      </c>
      <c r="C12" t="s">
        <v>11870</v>
      </c>
      <c r="D12" t="s">
        <v>11871</v>
      </c>
      <c r="E12" t="s">
        <v>11872</v>
      </c>
      <c r="F12" t="s">
        <v>11873</v>
      </c>
      <c r="G12" t="s">
        <v>11873</v>
      </c>
      <c r="H12" t="s">
        <v>11874</v>
      </c>
      <c r="I12" t="s">
        <v>11875</v>
      </c>
      <c r="J12" t="s">
        <v>11876</v>
      </c>
      <c r="K12" t="s">
        <v>11877</v>
      </c>
      <c r="L12" t="s">
        <v>11878</v>
      </c>
    </row>
    <row r="13" spans="1:12">
      <c r="B13" t="s">
        <v>11879</v>
      </c>
      <c r="C13" t="s">
        <v>11880</v>
      </c>
      <c r="D13" t="s">
        <v>11881</v>
      </c>
      <c r="E13" t="s">
        <v>11882</v>
      </c>
      <c r="F13" t="s">
        <v>11883</v>
      </c>
      <c r="G13" t="s">
        <v>11883</v>
      </c>
      <c r="H13" t="s">
        <v>11884</v>
      </c>
      <c r="I13" t="s">
        <v>11885</v>
      </c>
      <c r="J13" t="s">
        <v>11886</v>
      </c>
      <c r="K13" t="s">
        <v>11887</v>
      </c>
      <c r="L13" t="s">
        <v>11888</v>
      </c>
    </row>
    <row r="14" spans="1:12">
      <c r="B14" t="s">
        <v>11889</v>
      </c>
      <c r="C14" t="s">
        <v>11890</v>
      </c>
      <c r="D14" t="s">
        <v>11891</v>
      </c>
      <c r="E14" t="s">
        <v>11892</v>
      </c>
      <c r="F14" t="s">
        <v>11893</v>
      </c>
      <c r="G14" t="s">
        <v>11893</v>
      </c>
      <c r="H14" t="s">
        <v>11894</v>
      </c>
      <c r="I14" t="s">
        <v>11895</v>
      </c>
      <c r="J14" t="s">
        <v>11896</v>
      </c>
      <c r="K14" t="s">
        <v>11897</v>
      </c>
      <c r="L14" t="s">
        <v>11898</v>
      </c>
    </row>
    <row r="15" spans="1:12">
      <c r="B15" t="s">
        <v>11899</v>
      </c>
      <c r="C15" t="s">
        <v>11900</v>
      </c>
      <c r="D15" t="s">
        <v>11901</v>
      </c>
      <c r="E15" t="s">
        <v>11902</v>
      </c>
      <c r="F15" t="s">
        <v>11903</v>
      </c>
      <c r="G15" t="s">
        <v>11903</v>
      </c>
      <c r="H15" t="s">
        <v>11904</v>
      </c>
      <c r="I15" t="s">
        <v>11905</v>
      </c>
      <c r="J15" t="s">
        <v>11906</v>
      </c>
      <c r="K15" t="s">
        <v>11907</v>
      </c>
      <c r="L15" t="s">
        <v>11908</v>
      </c>
    </row>
    <row r="16" spans="1:12">
      <c r="B16" t="s">
        <v>11909</v>
      </c>
      <c r="C16" t="s">
        <v>11910</v>
      </c>
      <c r="D16" t="s">
        <v>11911</v>
      </c>
      <c r="E16" t="s">
        <v>11912</v>
      </c>
      <c r="F16" t="s">
        <v>11913</v>
      </c>
      <c r="G16" t="s">
        <v>11913</v>
      </c>
      <c r="H16" t="s">
        <v>11914</v>
      </c>
      <c r="I16" t="s">
        <v>11915</v>
      </c>
      <c r="J16" t="s">
        <v>11916</v>
      </c>
      <c r="K16" t="s">
        <v>11917</v>
      </c>
      <c r="L16" t="s">
        <v>11918</v>
      </c>
    </row>
    <row r="17" spans="2:12">
      <c r="B17" t="s">
        <v>11919</v>
      </c>
      <c r="C17" t="s">
        <v>11920</v>
      </c>
      <c r="D17" t="s">
        <v>11921</v>
      </c>
      <c r="E17" t="s">
        <v>11922</v>
      </c>
      <c r="F17" t="s">
        <v>11923</v>
      </c>
      <c r="G17" t="s">
        <v>11923</v>
      </c>
      <c r="H17" t="s">
        <v>11924</v>
      </c>
      <c r="I17" t="s">
        <v>11925</v>
      </c>
      <c r="J17" t="s">
        <v>11926</v>
      </c>
      <c r="K17" t="s">
        <v>11927</v>
      </c>
      <c r="L17" t="s">
        <v>11928</v>
      </c>
    </row>
    <row r="18" spans="2:12">
      <c r="B18" t="s">
        <v>11929</v>
      </c>
      <c r="C18" t="s">
        <v>11930</v>
      </c>
      <c r="D18" t="s">
        <v>11931</v>
      </c>
      <c r="E18" t="s">
        <v>11932</v>
      </c>
      <c r="F18" t="s">
        <v>11933</v>
      </c>
      <c r="G18" t="s">
        <v>11933</v>
      </c>
      <c r="H18" t="s">
        <v>11934</v>
      </c>
      <c r="I18" t="s">
        <v>11935</v>
      </c>
      <c r="J18" t="s">
        <v>11936</v>
      </c>
      <c r="K18" t="s">
        <v>11937</v>
      </c>
      <c r="L18" t="s">
        <v>11938</v>
      </c>
    </row>
    <row r="19" spans="2:12">
      <c r="B19" t="s">
        <v>11939</v>
      </c>
      <c r="C19" t="s">
        <v>11940</v>
      </c>
      <c r="D19" t="s">
        <v>11941</v>
      </c>
      <c r="E19" t="s">
        <v>11942</v>
      </c>
      <c r="F19" t="s">
        <v>11943</v>
      </c>
      <c r="G19" t="s">
        <v>11943</v>
      </c>
      <c r="H19" t="s">
        <v>11944</v>
      </c>
      <c r="I19" t="s">
        <v>11945</v>
      </c>
      <c r="J19" t="s">
        <v>11946</v>
      </c>
      <c r="K19" t="s">
        <v>11947</v>
      </c>
      <c r="L19" t="s">
        <v>11948</v>
      </c>
    </row>
    <row r="20" spans="2:12">
      <c r="B20" t="s">
        <v>11949</v>
      </c>
      <c r="C20" t="s">
        <v>11950</v>
      </c>
      <c r="D20" t="s">
        <v>11951</v>
      </c>
      <c r="E20" t="s">
        <v>11952</v>
      </c>
      <c r="F20" t="s">
        <v>11953</v>
      </c>
      <c r="G20" t="s">
        <v>11953</v>
      </c>
      <c r="H20" t="s">
        <v>11954</v>
      </c>
      <c r="I20" t="s">
        <v>11955</v>
      </c>
      <c r="J20" t="s">
        <v>11956</v>
      </c>
      <c r="K20" t="s">
        <v>11957</v>
      </c>
      <c r="L20" t="s">
        <v>11958</v>
      </c>
    </row>
    <row r="21" spans="2:12">
      <c r="B21" t="s">
        <v>11959</v>
      </c>
      <c r="C21" t="s">
        <v>11960</v>
      </c>
      <c r="D21" t="s">
        <v>11961</v>
      </c>
      <c r="E21" t="s">
        <v>11962</v>
      </c>
      <c r="F21" t="s">
        <v>11963</v>
      </c>
      <c r="G21" t="s">
        <v>11963</v>
      </c>
      <c r="H21" t="s">
        <v>11964</v>
      </c>
      <c r="I21" t="s">
        <v>11965</v>
      </c>
      <c r="J21" t="s">
        <v>11966</v>
      </c>
      <c r="K21" t="s">
        <v>11967</v>
      </c>
      <c r="L21" t="s">
        <v>11968</v>
      </c>
    </row>
    <row r="22" spans="2:12">
      <c r="B22" t="s">
        <v>11969</v>
      </c>
      <c r="C22" t="s">
        <v>11970</v>
      </c>
      <c r="D22" t="s">
        <v>11971</v>
      </c>
      <c r="E22" t="s">
        <v>11972</v>
      </c>
      <c r="H22" t="s">
        <v>11973</v>
      </c>
      <c r="I22" t="s">
        <v>11974</v>
      </c>
      <c r="J22" t="s">
        <v>11975</v>
      </c>
      <c r="K22" t="s">
        <v>11976</v>
      </c>
      <c r="L22" t="s">
        <v>11977</v>
      </c>
    </row>
    <row r="23" spans="2:12">
      <c r="B23" t="s">
        <v>11978</v>
      </c>
      <c r="C23" t="s">
        <v>11979</v>
      </c>
      <c r="D23" t="s">
        <v>11980</v>
      </c>
      <c r="E23" t="s">
        <v>11981</v>
      </c>
      <c r="H23" t="s">
        <v>11982</v>
      </c>
      <c r="I23" t="s">
        <v>11983</v>
      </c>
      <c r="J23" t="s">
        <v>11984</v>
      </c>
      <c r="K23" t="s">
        <v>11985</v>
      </c>
      <c r="L23" t="s">
        <v>11986</v>
      </c>
    </row>
    <row r="24" spans="2:12">
      <c r="B24" t="s">
        <v>11987</v>
      </c>
      <c r="C24" t="s">
        <v>11988</v>
      </c>
      <c r="D24" t="s">
        <v>11989</v>
      </c>
      <c r="E24" t="s">
        <v>11990</v>
      </c>
      <c r="H24" t="s">
        <v>11991</v>
      </c>
      <c r="I24" t="s">
        <v>11992</v>
      </c>
      <c r="J24" t="s">
        <v>11993</v>
      </c>
      <c r="K24" t="s">
        <v>11994</v>
      </c>
      <c r="L24" t="s">
        <v>11995</v>
      </c>
    </row>
    <row r="25" spans="2:12">
      <c r="B25" t="s">
        <v>11996</v>
      </c>
      <c r="C25" t="s">
        <v>11997</v>
      </c>
      <c r="D25" t="s">
        <v>11998</v>
      </c>
      <c r="E25" t="s">
        <v>11999</v>
      </c>
      <c r="H25" t="s">
        <v>12000</v>
      </c>
      <c r="I25" t="s">
        <v>12001</v>
      </c>
      <c r="J25" t="s">
        <v>12002</v>
      </c>
      <c r="K25" t="s">
        <v>12003</v>
      </c>
      <c r="L25" t="s">
        <v>12004</v>
      </c>
    </row>
    <row r="26" spans="2:12">
      <c r="B26" t="s">
        <v>12005</v>
      </c>
      <c r="C26" t="s">
        <v>12006</v>
      </c>
      <c r="D26" t="s">
        <v>12007</v>
      </c>
      <c r="E26" t="s">
        <v>12008</v>
      </c>
      <c r="H26" t="s">
        <v>12009</v>
      </c>
      <c r="I26" t="s">
        <v>12010</v>
      </c>
      <c r="J26" t="s">
        <v>12011</v>
      </c>
      <c r="K26" t="s">
        <v>12012</v>
      </c>
      <c r="L26" t="s">
        <v>12013</v>
      </c>
    </row>
    <row r="27" spans="2:12">
      <c r="B27" t="s">
        <v>12014</v>
      </c>
      <c r="C27" t="s">
        <v>12015</v>
      </c>
      <c r="D27" t="s">
        <v>12016</v>
      </c>
      <c r="E27" t="s">
        <v>12017</v>
      </c>
      <c r="H27" t="s">
        <v>12018</v>
      </c>
      <c r="I27" t="s">
        <v>12019</v>
      </c>
      <c r="J27" t="s">
        <v>12020</v>
      </c>
      <c r="K27" t="s">
        <v>12021</v>
      </c>
      <c r="L27" t="s">
        <v>12022</v>
      </c>
    </row>
    <row r="28" spans="2:12">
      <c r="B28" t="s">
        <v>12023</v>
      </c>
      <c r="C28" t="s">
        <v>12024</v>
      </c>
      <c r="E28" t="s">
        <v>12025</v>
      </c>
      <c r="H28" t="s">
        <v>12026</v>
      </c>
      <c r="I28" t="s">
        <v>12027</v>
      </c>
      <c r="J28" t="s">
        <v>12028</v>
      </c>
      <c r="K28" t="s">
        <v>12029</v>
      </c>
      <c r="L28" t="s">
        <v>12030</v>
      </c>
    </row>
    <row r="29" spans="2:12">
      <c r="B29" t="s">
        <v>12031</v>
      </c>
      <c r="C29" t="s">
        <v>12032</v>
      </c>
      <c r="E29" t="s">
        <v>12033</v>
      </c>
      <c r="H29" t="s">
        <v>12034</v>
      </c>
      <c r="I29" t="s">
        <v>12035</v>
      </c>
      <c r="J29" t="s">
        <v>12036</v>
      </c>
      <c r="K29" t="s">
        <v>12037</v>
      </c>
      <c r="L29" t="s">
        <v>12038</v>
      </c>
    </row>
    <row r="30" spans="2:12">
      <c r="B30" t="s">
        <v>12039</v>
      </c>
      <c r="C30" t="s">
        <v>12040</v>
      </c>
      <c r="E30" t="s">
        <v>12041</v>
      </c>
      <c r="H30" t="s">
        <v>12042</v>
      </c>
      <c r="I30" t="s">
        <v>12043</v>
      </c>
      <c r="J30" t="s">
        <v>12044</v>
      </c>
      <c r="L30" t="s">
        <v>12045</v>
      </c>
    </row>
    <row r="31" spans="2:12">
      <c r="B31" t="s">
        <v>12046</v>
      </c>
      <c r="E31" t="s">
        <v>12047</v>
      </c>
      <c r="H31" t="s">
        <v>12048</v>
      </c>
      <c r="I31" t="s">
        <v>12049</v>
      </c>
      <c r="J31" t="s">
        <v>12050</v>
      </c>
      <c r="L31" t="s">
        <v>12051</v>
      </c>
    </row>
    <row r="32" spans="2:12">
      <c r="B32" t="s">
        <v>12052</v>
      </c>
      <c r="E32" t="s">
        <v>12053</v>
      </c>
      <c r="H32" t="s">
        <v>12054</v>
      </c>
      <c r="I32" t="s">
        <v>12055</v>
      </c>
      <c r="J32" t="s">
        <v>12056</v>
      </c>
      <c r="L32" t="s">
        <v>12057</v>
      </c>
    </row>
    <row r="33" spans="2:12">
      <c r="B33" t="s">
        <v>12058</v>
      </c>
      <c r="E33" t="s">
        <v>12059</v>
      </c>
      <c r="H33" t="s">
        <v>12060</v>
      </c>
      <c r="I33" t="s">
        <v>12061</v>
      </c>
      <c r="J33" t="s">
        <v>12062</v>
      </c>
      <c r="L33" t="s">
        <v>12063</v>
      </c>
    </row>
    <row r="34" spans="2:12">
      <c r="B34" t="s">
        <v>12064</v>
      </c>
      <c r="E34" t="s">
        <v>12065</v>
      </c>
      <c r="H34" t="s">
        <v>12066</v>
      </c>
      <c r="I34" t="s">
        <v>12067</v>
      </c>
      <c r="J34" t="s">
        <v>12068</v>
      </c>
      <c r="L34" t="s">
        <v>12069</v>
      </c>
    </row>
    <row r="35" spans="2:12">
      <c r="B35" t="s">
        <v>12070</v>
      </c>
      <c r="E35" t="s">
        <v>12071</v>
      </c>
      <c r="H35" t="s">
        <v>12072</v>
      </c>
      <c r="I35" t="s">
        <v>12073</v>
      </c>
      <c r="J35" t="s">
        <v>12074</v>
      </c>
      <c r="L35" t="s">
        <v>12075</v>
      </c>
    </row>
    <row r="36" spans="2:12">
      <c r="B36" t="s">
        <v>12076</v>
      </c>
      <c r="E36" t="s">
        <v>12077</v>
      </c>
      <c r="H36" t="s">
        <v>12078</v>
      </c>
      <c r="I36" t="s">
        <v>12079</v>
      </c>
      <c r="J36" t="s">
        <v>12080</v>
      </c>
      <c r="L36" t="s">
        <v>12081</v>
      </c>
    </row>
    <row r="37" spans="2:12">
      <c r="B37" t="s">
        <v>12082</v>
      </c>
      <c r="E37" t="s">
        <v>12083</v>
      </c>
      <c r="H37" t="s">
        <v>12084</v>
      </c>
      <c r="I37" t="s">
        <v>12085</v>
      </c>
      <c r="J37" t="s">
        <v>12086</v>
      </c>
      <c r="L37" t="s">
        <v>12087</v>
      </c>
    </row>
    <row r="38" spans="2:12">
      <c r="B38" t="s">
        <v>12088</v>
      </c>
      <c r="E38" t="s">
        <v>12089</v>
      </c>
      <c r="H38" t="s">
        <v>12090</v>
      </c>
      <c r="I38" t="s">
        <v>12091</v>
      </c>
      <c r="J38" t="s">
        <v>12092</v>
      </c>
      <c r="L38" t="s">
        <v>12093</v>
      </c>
    </row>
    <row r="39" spans="2:12">
      <c r="B39" t="s">
        <v>12094</v>
      </c>
      <c r="E39" t="s">
        <v>12095</v>
      </c>
      <c r="H39" t="s">
        <v>12096</v>
      </c>
      <c r="I39" t="s">
        <v>12097</v>
      </c>
      <c r="J39" t="s">
        <v>12098</v>
      </c>
      <c r="L39" t="s">
        <v>12099</v>
      </c>
    </row>
    <row r="40" spans="2:12">
      <c r="B40" t="s">
        <v>12100</v>
      </c>
      <c r="E40" t="s">
        <v>12101</v>
      </c>
      <c r="H40" t="s">
        <v>12102</v>
      </c>
      <c r="I40" t="s">
        <v>12103</v>
      </c>
      <c r="J40" t="s">
        <v>12104</v>
      </c>
      <c r="L40" t="s">
        <v>12105</v>
      </c>
    </row>
    <row r="41" spans="2:12">
      <c r="B41" t="s">
        <v>12106</v>
      </c>
      <c r="E41" t="s">
        <v>12107</v>
      </c>
      <c r="H41" t="s">
        <v>12108</v>
      </c>
      <c r="I41" t="s">
        <v>12109</v>
      </c>
      <c r="J41" t="s">
        <v>12110</v>
      </c>
      <c r="L41" t="s">
        <v>12111</v>
      </c>
    </row>
    <row r="42" spans="2:12">
      <c r="B42" t="s">
        <v>12112</v>
      </c>
      <c r="E42" t="s">
        <v>12113</v>
      </c>
      <c r="H42" t="s">
        <v>12114</v>
      </c>
      <c r="I42" t="s">
        <v>12115</v>
      </c>
      <c r="J42" t="s">
        <v>12116</v>
      </c>
      <c r="L42" t="s">
        <v>12117</v>
      </c>
    </row>
    <row r="43" spans="2:12">
      <c r="B43" t="s">
        <v>12118</v>
      </c>
      <c r="E43" t="s">
        <v>12119</v>
      </c>
      <c r="H43" t="s">
        <v>12120</v>
      </c>
      <c r="I43" t="s">
        <v>12121</v>
      </c>
      <c r="J43" t="s">
        <v>12122</v>
      </c>
      <c r="L43" t="s">
        <v>12123</v>
      </c>
    </row>
    <row r="44" spans="2:12">
      <c r="B44" t="s">
        <v>12124</v>
      </c>
      <c r="E44" t="s">
        <v>12125</v>
      </c>
      <c r="H44" t="s">
        <v>12126</v>
      </c>
      <c r="I44" t="s">
        <v>12127</v>
      </c>
      <c r="J44" t="s">
        <v>12128</v>
      </c>
      <c r="L44" t="s">
        <v>12129</v>
      </c>
    </row>
    <row r="45" spans="2:12">
      <c r="B45" t="s">
        <v>12130</v>
      </c>
      <c r="E45" t="s">
        <v>12131</v>
      </c>
      <c r="H45" t="s">
        <v>12132</v>
      </c>
      <c r="I45" t="s">
        <v>12133</v>
      </c>
      <c r="J45" t="s">
        <v>12134</v>
      </c>
      <c r="L45" t="s">
        <v>12135</v>
      </c>
    </row>
    <row r="46" spans="2:12">
      <c r="B46" t="s">
        <v>12136</v>
      </c>
      <c r="E46" t="s">
        <v>12137</v>
      </c>
      <c r="H46" t="s">
        <v>12138</v>
      </c>
      <c r="I46" t="s">
        <v>12139</v>
      </c>
      <c r="J46" t="s">
        <v>12140</v>
      </c>
      <c r="L46" t="s">
        <v>12141</v>
      </c>
    </row>
    <row r="47" spans="2:12">
      <c r="B47" t="s">
        <v>12142</v>
      </c>
      <c r="E47" t="s">
        <v>12143</v>
      </c>
      <c r="H47" t="s">
        <v>12144</v>
      </c>
      <c r="I47" t="s">
        <v>12145</v>
      </c>
      <c r="J47" t="s">
        <v>12146</v>
      </c>
      <c r="L47" t="s">
        <v>12147</v>
      </c>
    </row>
    <row r="48" spans="2:12">
      <c r="B48" t="s">
        <v>12148</v>
      </c>
      <c r="E48" t="s">
        <v>12149</v>
      </c>
      <c r="I48" t="s">
        <v>12150</v>
      </c>
      <c r="J48" t="s">
        <v>12151</v>
      </c>
      <c r="L48" t="s">
        <v>12152</v>
      </c>
    </row>
    <row r="49" spans="2:12">
      <c r="B49" t="s">
        <v>12153</v>
      </c>
      <c r="E49" t="s">
        <v>12154</v>
      </c>
      <c r="I49" t="s">
        <v>12155</v>
      </c>
      <c r="J49" t="s">
        <v>12156</v>
      </c>
      <c r="L49" t="s">
        <v>12157</v>
      </c>
    </row>
    <row r="50" spans="2:12">
      <c r="B50" t="s">
        <v>12158</v>
      </c>
      <c r="E50" t="s">
        <v>12159</v>
      </c>
      <c r="I50" t="s">
        <v>12160</v>
      </c>
      <c r="J50" t="s">
        <v>12161</v>
      </c>
      <c r="L50" t="s">
        <v>12162</v>
      </c>
    </row>
    <row r="51" spans="2:12">
      <c r="B51" t="s">
        <v>12163</v>
      </c>
      <c r="E51" t="s">
        <v>12164</v>
      </c>
      <c r="I51" t="s">
        <v>12165</v>
      </c>
      <c r="J51" t="s">
        <v>12166</v>
      </c>
      <c r="L51" t="s">
        <v>12167</v>
      </c>
    </row>
    <row r="52" spans="2:12">
      <c r="B52" t="s">
        <v>12168</v>
      </c>
      <c r="E52" t="s">
        <v>12169</v>
      </c>
      <c r="I52" t="s">
        <v>12170</v>
      </c>
      <c r="J52" t="s">
        <v>12171</v>
      </c>
    </row>
    <row r="53" spans="2:12">
      <c r="B53" t="s">
        <v>12172</v>
      </c>
      <c r="E53" t="s">
        <v>12173</v>
      </c>
      <c r="I53" t="s">
        <v>12174</v>
      </c>
      <c r="J53" t="s">
        <v>12175</v>
      </c>
    </row>
    <row r="54" spans="2:12">
      <c r="B54" t="s">
        <v>12176</v>
      </c>
      <c r="E54" t="s">
        <v>12177</v>
      </c>
      <c r="I54" t="s">
        <v>12178</v>
      </c>
      <c r="J54" t="s">
        <v>12179</v>
      </c>
    </row>
    <row r="55" spans="2:12">
      <c r="B55" t="s">
        <v>12180</v>
      </c>
      <c r="E55" t="s">
        <v>12181</v>
      </c>
      <c r="I55" t="s">
        <v>12182</v>
      </c>
      <c r="J55" t="s">
        <v>12183</v>
      </c>
    </row>
    <row r="56" spans="2:12">
      <c r="B56" t="s">
        <v>12184</v>
      </c>
      <c r="E56" t="s">
        <v>12185</v>
      </c>
      <c r="I56" t="s">
        <v>12186</v>
      </c>
      <c r="J56" t="s">
        <v>12187</v>
      </c>
    </row>
    <row r="57" spans="2:12">
      <c r="B57" t="s">
        <v>12188</v>
      </c>
      <c r="E57" t="s">
        <v>12189</v>
      </c>
      <c r="I57" t="s">
        <v>12190</v>
      </c>
      <c r="J57" t="s">
        <v>12191</v>
      </c>
    </row>
    <row r="58" spans="2:12">
      <c r="B58" t="s">
        <v>12192</v>
      </c>
      <c r="E58" t="s">
        <v>12193</v>
      </c>
      <c r="I58" t="s">
        <v>12194</v>
      </c>
      <c r="J58" t="s">
        <v>12195</v>
      </c>
    </row>
    <row r="59" spans="2:12">
      <c r="E59" t="s">
        <v>12196</v>
      </c>
      <c r="I59" t="s">
        <v>12197</v>
      </c>
      <c r="J59" t="s">
        <v>12198</v>
      </c>
    </row>
    <row r="60" spans="2:12">
      <c r="E60" t="s">
        <v>12199</v>
      </c>
      <c r="J60" t="s">
        <v>12200</v>
      </c>
    </row>
    <row r="61" spans="2:12">
      <c r="E61" t="s">
        <v>12201</v>
      </c>
      <c r="J61" t="s">
        <v>12202</v>
      </c>
    </row>
    <row r="62" spans="2:12">
      <c r="E62" t="s">
        <v>12203</v>
      </c>
      <c r="J62" t="s">
        <v>12204</v>
      </c>
    </row>
    <row r="63" spans="2:12">
      <c r="E63" t="s">
        <v>12205</v>
      </c>
      <c r="J63" t="s">
        <v>12206</v>
      </c>
    </row>
    <row r="64" spans="2:12">
      <c r="E64" t="s">
        <v>12207</v>
      </c>
      <c r="J64" t="s">
        <v>12208</v>
      </c>
    </row>
    <row r="65" spans="5:10">
      <c r="E65" t="s">
        <v>12209</v>
      </c>
      <c r="J65" t="s">
        <v>12210</v>
      </c>
    </row>
    <row r="66" spans="5:10">
      <c r="E66" t="s">
        <v>12211</v>
      </c>
      <c r="J66" t="s">
        <v>12212</v>
      </c>
    </row>
    <row r="67" spans="5:10">
      <c r="E67" t="s">
        <v>12213</v>
      </c>
      <c r="J67" t="s">
        <v>12214</v>
      </c>
    </row>
    <row r="68" spans="5:10">
      <c r="E68" t="s">
        <v>12215</v>
      </c>
      <c r="J68" t="s">
        <v>12216</v>
      </c>
    </row>
    <row r="69" spans="5:10">
      <c r="E69" t="s">
        <v>12217</v>
      </c>
    </row>
    <row r="70" spans="5:10">
      <c r="E70" t="s">
        <v>12218</v>
      </c>
    </row>
    <row r="71" spans="5:10">
      <c r="E71" t="s">
        <v>12219</v>
      </c>
    </row>
    <row r="72" spans="5:10">
      <c r="E72" t="s">
        <v>12220</v>
      </c>
    </row>
    <row r="73" spans="5:10">
      <c r="E73" t="s">
        <v>12221</v>
      </c>
    </row>
  </sheetData>
  <sheetProtection algorithmName="SHA-512" hashValue="C1AEWeCcmXjJJAC9xPNaY6C6+tivEODACnOpQCcZHmoKIqcb6ek76Bzjr4I1mQdNo+Ew+blo3Di/6qr/mF7Fug==" saltValue="gacSBIvK8YYyho9VxxrY2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3479"/>
    <pageSetUpPr fitToPage="1"/>
  </sheetPr>
  <dimension ref="H1:H35"/>
  <sheetViews>
    <sheetView showGridLines="0" topLeftCell="XFD1048576" zoomScale="80" zoomScaleNormal="80" workbookViewId="0"/>
  </sheetViews>
  <sheetFormatPr defaultColWidth="0" defaultRowHeight="14.25" customHeight="1" zeroHeight="1"/>
  <cols>
    <col min="1" max="8" width="8.625" hidden="1" customWidth="1"/>
    <col min="9" max="16384" width="8.625" hidden="1"/>
  </cols>
  <sheetData>
    <row r="1" hidden="1"/>
    <row r="35" spans="8:8" ht="14.25" hidden="1" customHeight="1">
      <c r="H35" t="s">
        <v>92</v>
      </c>
    </row>
  </sheetData>
  <sheetProtection algorithmName="SHA-512" hashValue="zXCEiUuevLjCS5kuwzAMmW8vHQhCHikzGMeCMs8FWSl8IfTw7mMvwKYqJYju7cIX2M1ITSAAYCdqVeTMYfUYMw==" saltValue="f2dB4ISs8AB4B2x8v9G8/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AJ44"/>
  <sheetViews>
    <sheetView showGridLines="0" zoomScale="80" zoomScaleNormal="80" workbookViewId="0"/>
  </sheetViews>
  <sheetFormatPr defaultColWidth="0" defaultRowHeight="14.25" zeroHeight="1"/>
  <cols>
    <col min="1" max="1" width="0.625" style="65" customWidth="1"/>
    <col min="2" max="2" width="4" style="65" customWidth="1"/>
    <col min="3" max="3" width="38" style="65" bestFit="1" customWidth="1"/>
    <col min="4" max="4" width="2.625" style="65" hidden="1" customWidth="1"/>
    <col min="5" max="6" width="5.125" style="65" customWidth="1"/>
    <col min="7" max="11" width="12.5" style="65" customWidth="1"/>
    <col min="12" max="12" width="2.625" style="65" customWidth="1"/>
    <col min="13" max="13" width="21.625" style="65" customWidth="1"/>
    <col min="14" max="14" width="1.625" style="65" customWidth="1"/>
    <col min="15" max="15" width="1.625" style="66" hidden="1" customWidth="1"/>
    <col min="16" max="18" width="8.125" style="65" hidden="1" customWidth="1"/>
    <col min="19" max="19" width="1.625" style="66" hidden="1" customWidth="1"/>
    <col min="20" max="24" width="8.625" style="65" hidden="1" customWidth="1"/>
    <col min="25" max="26" width="8.125" style="65" hidden="1" customWidth="1"/>
    <col min="27" max="27" width="4" style="65" hidden="1" customWidth="1"/>
    <col min="28" max="28" width="38" style="65" hidden="1" customWidth="1"/>
    <col min="29" max="29" width="2.625" style="65" hidden="1" customWidth="1"/>
    <col min="30" max="31" width="5.125" style="65" hidden="1" customWidth="1"/>
    <col min="32" max="36" width="12.5" style="65" hidden="1" customWidth="1"/>
    <col min="37" max="16384" width="8.125" style="65" hidden="1"/>
  </cols>
  <sheetData>
    <row r="1" spans="2:36" ht="20.25">
      <c r="B1" s="61" t="s">
        <v>93</v>
      </c>
      <c r="C1" s="61"/>
      <c r="D1" s="61"/>
      <c r="E1" s="61"/>
      <c r="F1" s="61"/>
      <c r="G1" s="61"/>
      <c r="H1" s="61"/>
      <c r="I1" s="61"/>
      <c r="J1" s="61"/>
      <c r="K1" s="63" t="str">
        <f>Validation!B3</f>
        <v>Thames Water</v>
      </c>
      <c r="L1" s="61"/>
      <c r="M1" s="64" t="s">
        <v>94</v>
      </c>
      <c r="AA1" s="61" t="s">
        <v>95</v>
      </c>
      <c r="AB1" s="61"/>
      <c r="AC1" s="61"/>
      <c r="AD1" s="61"/>
      <c r="AE1" s="61"/>
      <c r="AF1" s="61"/>
      <c r="AG1" s="61"/>
      <c r="AH1" s="61"/>
      <c r="AI1" s="61"/>
      <c r="AJ1" s="63"/>
    </row>
    <row r="2" spans="2:36" ht="15" thickBot="1">
      <c r="B2" s="68" t="s">
        <v>80</v>
      </c>
      <c r="AA2" s="68"/>
    </row>
    <row r="3" spans="2:36" ht="15" customHeight="1">
      <c r="B3" s="2242" t="s">
        <v>96</v>
      </c>
      <c r="C3" s="2243"/>
      <c r="D3" s="2192" t="s">
        <v>97</v>
      </c>
      <c r="E3" s="2246" t="s">
        <v>98</v>
      </c>
      <c r="F3" s="2248" t="s">
        <v>99</v>
      </c>
      <c r="G3" s="2250" t="s">
        <v>100</v>
      </c>
      <c r="H3" s="2252" t="s">
        <v>101</v>
      </c>
      <c r="I3" s="2253"/>
      <c r="J3" s="2254"/>
      <c r="K3" s="2240" t="s">
        <v>102</v>
      </c>
      <c r="M3" s="2240" t="s">
        <v>103</v>
      </c>
      <c r="AA3" s="2242" t="s">
        <v>96</v>
      </c>
      <c r="AB3" s="2243"/>
      <c r="AC3" s="2192" t="s">
        <v>97</v>
      </c>
      <c r="AD3" s="2246" t="s">
        <v>98</v>
      </c>
      <c r="AE3" s="2248" t="s">
        <v>99</v>
      </c>
      <c r="AF3" s="2250" t="s">
        <v>100</v>
      </c>
      <c r="AG3" s="2252" t="s">
        <v>101</v>
      </c>
      <c r="AH3" s="2253"/>
      <c r="AI3" s="2254"/>
      <c r="AJ3" s="2240" t="s">
        <v>102</v>
      </c>
    </row>
    <row r="4" spans="2:36" ht="54.75" thickBot="1">
      <c r="B4" s="2244"/>
      <c r="C4" s="2245"/>
      <c r="D4" s="2193"/>
      <c r="E4" s="2247"/>
      <c r="F4" s="2249"/>
      <c r="G4" s="2251"/>
      <c r="H4" s="2201" t="s">
        <v>104</v>
      </c>
      <c r="I4" s="73" t="s">
        <v>105</v>
      </c>
      <c r="J4" s="2202" t="s">
        <v>106</v>
      </c>
      <c r="K4" s="2241"/>
      <c r="M4" s="2241"/>
      <c r="P4" s="2255" t="s">
        <v>107</v>
      </c>
      <c r="Q4" s="2255"/>
      <c r="R4" s="2255"/>
      <c r="AA4" s="2244"/>
      <c r="AB4" s="2245"/>
      <c r="AC4" s="2193"/>
      <c r="AD4" s="2247"/>
      <c r="AE4" s="2249"/>
      <c r="AF4" s="2251"/>
      <c r="AG4" s="2201" t="s">
        <v>104</v>
      </c>
      <c r="AH4" s="73" t="s">
        <v>105</v>
      </c>
      <c r="AI4" s="2202" t="s">
        <v>106</v>
      </c>
      <c r="AJ4" s="2241"/>
    </row>
    <row r="5" spans="2:36" ht="15" thickBot="1">
      <c r="P5" s="78" t="s">
        <v>108</v>
      </c>
      <c r="Q5" s="113"/>
      <c r="R5" s="113"/>
    </row>
    <row r="6" spans="2:36">
      <c r="B6" s="79" t="s">
        <v>109</v>
      </c>
      <c r="C6" s="109" t="s">
        <v>110</v>
      </c>
      <c r="D6" s="109"/>
      <c r="E6" s="81" t="s">
        <v>8</v>
      </c>
      <c r="F6" s="82">
        <v>3</v>
      </c>
      <c r="G6" s="399">
        <v>2044.92</v>
      </c>
      <c r="H6" s="342">
        <v>26.516999999999999</v>
      </c>
      <c r="I6" s="353">
        <v>51.3</v>
      </c>
      <c r="J6" s="165">
        <f xml:space="preserve"> H6 - I6</f>
        <v>-24.782999999999998</v>
      </c>
      <c r="K6" s="170">
        <f xml:space="preserve"> G6 + J6</f>
        <v>2020.1370000000002</v>
      </c>
      <c r="M6" s="25">
        <f t="shared" ref="M6:M8" si="0" xml:space="preserve"> IF( SUM( O6:S6 ) = 0, 0, $P$5 )</f>
        <v>0</v>
      </c>
      <c r="P6" s="86">
        <f xml:space="preserve"> IF( ISNUMBER( G6 ), 0, 1 )</f>
        <v>0</v>
      </c>
      <c r="Q6" s="86">
        <f t="shared" ref="Q6:R8" si="1" xml:space="preserve"> IF( ISNUMBER( H6 ), 0, 1 )</f>
        <v>0</v>
      </c>
      <c r="R6" s="86">
        <f t="shared" si="1"/>
        <v>0</v>
      </c>
      <c r="AA6" s="79" t="s">
        <v>109</v>
      </c>
      <c r="AB6" s="109" t="s">
        <v>110</v>
      </c>
      <c r="AC6" s="109"/>
      <c r="AD6" s="81" t="s">
        <v>8</v>
      </c>
      <c r="AE6" s="82">
        <v>3</v>
      </c>
      <c r="AF6" s="399" t="s">
        <v>111</v>
      </c>
      <c r="AG6" s="342" t="s">
        <v>112</v>
      </c>
      <c r="AH6" s="353" t="s">
        <v>113</v>
      </c>
      <c r="AI6" s="165" t="s">
        <v>114</v>
      </c>
      <c r="AJ6" s="170" t="s">
        <v>115</v>
      </c>
    </row>
    <row r="7" spans="2:36">
      <c r="B7" s="87" t="s">
        <v>116</v>
      </c>
      <c r="C7" s="80" t="s">
        <v>117</v>
      </c>
      <c r="D7" s="80"/>
      <c r="E7" s="88" t="s">
        <v>8</v>
      </c>
      <c r="F7" s="89">
        <v>3</v>
      </c>
      <c r="G7" s="400">
        <v>-1595.5050000000001</v>
      </c>
      <c r="H7" s="340">
        <v>-15.836</v>
      </c>
      <c r="I7" s="341">
        <v>-12.746</v>
      </c>
      <c r="J7" s="166">
        <f xml:space="preserve"> H7 - I7</f>
        <v>-3.09</v>
      </c>
      <c r="K7" s="171">
        <f t="shared" ref="K7:K22" si="2" xml:space="preserve"> G7 + J7</f>
        <v>-1598.595</v>
      </c>
      <c r="M7" s="25">
        <f t="shared" si="0"/>
        <v>0</v>
      </c>
      <c r="P7" s="86">
        <f t="shared" ref="P7:P8" si="3" xml:space="preserve"> IF( ISNUMBER( G7 ), 0, 1 )</f>
        <v>0</v>
      </c>
      <c r="Q7" s="86">
        <f t="shared" si="1"/>
        <v>0</v>
      </c>
      <c r="R7" s="86">
        <f t="shared" si="1"/>
        <v>0</v>
      </c>
      <c r="AA7" s="87" t="s">
        <v>116</v>
      </c>
      <c r="AB7" s="80" t="s">
        <v>117</v>
      </c>
      <c r="AC7" s="80"/>
      <c r="AD7" s="88" t="s">
        <v>8</v>
      </c>
      <c r="AE7" s="89">
        <v>3</v>
      </c>
      <c r="AF7" s="400" t="s">
        <v>118</v>
      </c>
      <c r="AG7" s="340" t="s">
        <v>119</v>
      </c>
      <c r="AH7" s="341" t="s">
        <v>120</v>
      </c>
      <c r="AI7" s="166" t="s">
        <v>121</v>
      </c>
      <c r="AJ7" s="171" t="s">
        <v>122</v>
      </c>
    </row>
    <row r="8" spans="2:36">
      <c r="B8" s="87" t="s">
        <v>123</v>
      </c>
      <c r="C8" s="80" t="s">
        <v>124</v>
      </c>
      <c r="D8" s="80"/>
      <c r="E8" s="88" t="s">
        <v>8</v>
      </c>
      <c r="F8" s="89">
        <v>3</v>
      </c>
      <c r="G8" s="400">
        <v>94.02</v>
      </c>
      <c r="H8" s="340">
        <v>9.2349999999999994</v>
      </c>
      <c r="I8" s="341">
        <v>0.751</v>
      </c>
      <c r="J8" s="166">
        <f xml:space="preserve"> H8 - I8</f>
        <v>8.484</v>
      </c>
      <c r="K8" s="171">
        <f t="shared" si="2"/>
        <v>102.50399999999999</v>
      </c>
      <c r="M8" s="25">
        <f t="shared" si="0"/>
        <v>0</v>
      </c>
      <c r="P8" s="86">
        <f t="shared" si="3"/>
        <v>0</v>
      </c>
      <c r="Q8" s="86">
        <f t="shared" si="1"/>
        <v>0</v>
      </c>
      <c r="R8" s="86">
        <f t="shared" si="1"/>
        <v>0</v>
      </c>
      <c r="AA8" s="87" t="s">
        <v>123</v>
      </c>
      <c r="AB8" s="80" t="s">
        <v>124</v>
      </c>
      <c r="AC8" s="80"/>
      <c r="AD8" s="88" t="s">
        <v>8</v>
      </c>
      <c r="AE8" s="89">
        <v>3</v>
      </c>
      <c r="AF8" s="400" t="s">
        <v>125</v>
      </c>
      <c r="AG8" s="340" t="s">
        <v>126</v>
      </c>
      <c r="AH8" s="341" t="s">
        <v>127</v>
      </c>
      <c r="AI8" s="166" t="s">
        <v>128</v>
      </c>
      <c r="AJ8" s="171" t="s">
        <v>129</v>
      </c>
    </row>
    <row r="9" spans="2:36" ht="15" thickBot="1">
      <c r="B9" s="94" t="s">
        <v>130</v>
      </c>
      <c r="C9" s="95" t="s">
        <v>131</v>
      </c>
      <c r="D9" s="95"/>
      <c r="E9" s="96" t="s">
        <v>8</v>
      </c>
      <c r="F9" s="93">
        <v>3</v>
      </c>
      <c r="G9" s="172">
        <f>SUM( G6:G8 )</f>
        <v>543.43499999999995</v>
      </c>
      <c r="H9" s="167">
        <f>SUM( H6:H8 )</f>
        <v>19.915999999999997</v>
      </c>
      <c r="I9" s="168">
        <f>SUM( I6:I8 )</f>
        <v>39.304999999999993</v>
      </c>
      <c r="J9" s="169">
        <f xml:space="preserve"> H9 - I9</f>
        <v>-19.388999999999996</v>
      </c>
      <c r="K9" s="172">
        <f xml:space="preserve"> G9 + J9</f>
        <v>524.04599999999994</v>
      </c>
      <c r="M9" s="116"/>
      <c r="P9" s="113"/>
      <c r="Q9" s="113"/>
      <c r="R9" s="113"/>
      <c r="AA9" s="94" t="s">
        <v>130</v>
      </c>
      <c r="AB9" s="95" t="s">
        <v>131</v>
      </c>
      <c r="AC9" s="95"/>
      <c r="AD9" s="96" t="s">
        <v>8</v>
      </c>
      <c r="AE9" s="93">
        <v>3</v>
      </c>
      <c r="AF9" s="172" t="s">
        <v>132</v>
      </c>
      <c r="AG9" s="167" t="s">
        <v>133</v>
      </c>
      <c r="AH9" s="168" t="s">
        <v>134</v>
      </c>
      <c r="AI9" s="169" t="s">
        <v>135</v>
      </c>
      <c r="AJ9" s="172" t="s">
        <v>136</v>
      </c>
    </row>
    <row r="10" spans="2:36" ht="15" thickBot="1">
      <c r="M10" s="116"/>
      <c r="P10" s="113"/>
      <c r="Q10" s="113"/>
      <c r="R10" s="113"/>
    </row>
    <row r="11" spans="2:36">
      <c r="B11" s="79" t="s">
        <v>137</v>
      </c>
      <c r="C11" s="109" t="s">
        <v>138</v>
      </c>
      <c r="D11" s="109"/>
      <c r="E11" s="81" t="s">
        <v>8</v>
      </c>
      <c r="F11" s="82">
        <v>3</v>
      </c>
      <c r="G11" s="395">
        <v>89.71</v>
      </c>
      <c r="H11" s="342">
        <v>-18.103999999999999</v>
      </c>
      <c r="I11" s="353">
        <v>0.28799999999999998</v>
      </c>
      <c r="J11" s="165">
        <f xml:space="preserve"> H11 - I11</f>
        <v>-18.391999999999999</v>
      </c>
      <c r="K11" s="170">
        <f xml:space="preserve"> G11 + J11</f>
        <v>71.317999999999998</v>
      </c>
      <c r="M11" s="25">
        <f t="shared" ref="M11:M13" si="4" xml:space="preserve"> IF( SUM( O11:S11 ) = 0, 0, $P$5 )</f>
        <v>0</v>
      </c>
      <c r="P11" s="86">
        <f xml:space="preserve"> IF( ISNUMBER( G11 ), 0, 1 )</f>
        <v>0</v>
      </c>
      <c r="Q11" s="86">
        <f t="shared" ref="Q11:R14" si="5" xml:space="preserve"> IF( ISNUMBER( H11 ), 0, 1 )</f>
        <v>0</v>
      </c>
      <c r="R11" s="86">
        <f t="shared" si="5"/>
        <v>0</v>
      </c>
      <c r="AA11" s="79" t="s">
        <v>137</v>
      </c>
      <c r="AB11" s="109" t="s">
        <v>138</v>
      </c>
      <c r="AC11" s="109"/>
      <c r="AD11" s="81" t="s">
        <v>8</v>
      </c>
      <c r="AE11" s="82">
        <v>3</v>
      </c>
      <c r="AF11" s="395" t="s">
        <v>139</v>
      </c>
      <c r="AG11" s="342" t="s">
        <v>140</v>
      </c>
      <c r="AH11" s="353" t="s">
        <v>141</v>
      </c>
      <c r="AI11" s="165" t="s">
        <v>142</v>
      </c>
      <c r="AJ11" s="170" t="s">
        <v>143</v>
      </c>
    </row>
    <row r="12" spans="2:36">
      <c r="B12" s="87" t="s">
        <v>144</v>
      </c>
      <c r="C12" s="80" t="s">
        <v>145</v>
      </c>
      <c r="D12" s="80"/>
      <c r="E12" s="88" t="s">
        <v>8</v>
      </c>
      <c r="F12" s="89">
        <v>3</v>
      </c>
      <c r="G12" s="391">
        <v>102.884</v>
      </c>
      <c r="H12" s="340">
        <v>0</v>
      </c>
      <c r="I12" s="341">
        <v>0</v>
      </c>
      <c r="J12" s="166">
        <f xml:space="preserve"> H12 - I12</f>
        <v>0</v>
      </c>
      <c r="K12" s="171">
        <f xml:space="preserve"> G12 + J12</f>
        <v>102.884</v>
      </c>
      <c r="M12" s="25">
        <f t="shared" si="4"/>
        <v>0</v>
      </c>
      <c r="P12" s="86">
        <f t="shared" ref="P12:P14" si="6" xml:space="preserve"> IF( ISNUMBER( G12 ), 0, 1 )</f>
        <v>0</v>
      </c>
      <c r="Q12" s="86">
        <f t="shared" si="5"/>
        <v>0</v>
      </c>
      <c r="R12" s="86">
        <f t="shared" si="5"/>
        <v>0</v>
      </c>
      <c r="AA12" s="87" t="s">
        <v>144</v>
      </c>
      <c r="AB12" s="80" t="s">
        <v>145</v>
      </c>
      <c r="AC12" s="80"/>
      <c r="AD12" s="88" t="s">
        <v>8</v>
      </c>
      <c r="AE12" s="89">
        <v>3</v>
      </c>
      <c r="AF12" s="391" t="s">
        <v>146</v>
      </c>
      <c r="AG12" s="340" t="s">
        <v>147</v>
      </c>
      <c r="AH12" s="341" t="s">
        <v>148</v>
      </c>
      <c r="AI12" s="166" t="s">
        <v>149</v>
      </c>
      <c r="AJ12" s="171" t="s">
        <v>150</v>
      </c>
    </row>
    <row r="13" spans="2:36">
      <c r="B13" s="87" t="s">
        <v>151</v>
      </c>
      <c r="C13" s="80" t="s">
        <v>152</v>
      </c>
      <c r="D13" s="80"/>
      <c r="E13" s="88" t="s">
        <v>8</v>
      </c>
      <c r="F13" s="89">
        <v>3</v>
      </c>
      <c r="G13" s="391">
        <v>-538.55999999999995</v>
      </c>
      <c r="H13" s="340">
        <v>-91.662000000000006</v>
      </c>
      <c r="I13" s="341">
        <v>-3.2000000000000001E-2</v>
      </c>
      <c r="J13" s="166">
        <f xml:space="preserve"> H13 - I13</f>
        <v>-91.63000000000001</v>
      </c>
      <c r="K13" s="171">
        <f t="shared" si="2"/>
        <v>-630.18999999999994</v>
      </c>
      <c r="M13" s="25">
        <f t="shared" si="4"/>
        <v>0</v>
      </c>
      <c r="P13" s="86">
        <f t="shared" si="6"/>
        <v>0</v>
      </c>
      <c r="Q13" s="86">
        <f t="shared" si="5"/>
        <v>0</v>
      </c>
      <c r="R13" s="86">
        <f t="shared" si="5"/>
        <v>0</v>
      </c>
      <c r="AA13" s="87" t="s">
        <v>151</v>
      </c>
      <c r="AB13" s="80" t="s">
        <v>152</v>
      </c>
      <c r="AC13" s="80"/>
      <c r="AD13" s="88" t="s">
        <v>8</v>
      </c>
      <c r="AE13" s="89">
        <v>3</v>
      </c>
      <c r="AF13" s="391" t="s">
        <v>153</v>
      </c>
      <c r="AG13" s="340" t="s">
        <v>154</v>
      </c>
      <c r="AH13" s="341" t="s">
        <v>155</v>
      </c>
      <c r="AI13" s="166" t="s">
        <v>156</v>
      </c>
      <c r="AJ13" s="171" t="s">
        <v>157</v>
      </c>
    </row>
    <row r="14" spans="2:36">
      <c r="B14" s="87" t="s">
        <v>158</v>
      </c>
      <c r="C14" s="80" t="s">
        <v>159</v>
      </c>
      <c r="D14" s="80"/>
      <c r="E14" s="88" t="s">
        <v>8</v>
      </c>
      <c r="F14" s="89">
        <v>3</v>
      </c>
      <c r="G14" s="391">
        <v>0</v>
      </c>
      <c r="H14" s="340">
        <v>-9</v>
      </c>
      <c r="I14" s="341">
        <v>0</v>
      </c>
      <c r="J14" s="166">
        <f xml:space="preserve"> H14 - I14</f>
        <v>-9</v>
      </c>
      <c r="K14" s="171">
        <f t="shared" si="2"/>
        <v>-9</v>
      </c>
      <c r="M14" s="25">
        <f xml:space="preserve"> IF( SUM( O14:S14 ) = 0, 0, $P$5 )</f>
        <v>0</v>
      </c>
      <c r="P14" s="86">
        <f t="shared" si="6"/>
        <v>0</v>
      </c>
      <c r="Q14" s="86">
        <f t="shared" si="5"/>
        <v>0</v>
      </c>
      <c r="R14" s="86">
        <f t="shared" si="5"/>
        <v>0</v>
      </c>
      <c r="AA14" s="87" t="s">
        <v>158</v>
      </c>
      <c r="AB14" s="80" t="s">
        <v>159</v>
      </c>
      <c r="AC14" s="80"/>
      <c r="AD14" s="88" t="s">
        <v>8</v>
      </c>
      <c r="AE14" s="89">
        <v>3</v>
      </c>
      <c r="AF14" s="391" t="s">
        <v>160</v>
      </c>
      <c r="AG14" s="340" t="s">
        <v>161</v>
      </c>
      <c r="AH14" s="341" t="s">
        <v>162</v>
      </c>
      <c r="AI14" s="166" t="s">
        <v>163</v>
      </c>
      <c r="AJ14" s="171" t="s">
        <v>164</v>
      </c>
    </row>
    <row r="15" spans="2:36" ht="15" thickBot="1">
      <c r="B15" s="94" t="s">
        <v>165</v>
      </c>
      <c r="C15" s="95" t="s">
        <v>166</v>
      </c>
      <c r="D15" s="95"/>
      <c r="E15" s="96" t="s">
        <v>8</v>
      </c>
      <c r="F15" s="93">
        <v>3</v>
      </c>
      <c r="G15" s="169">
        <f xml:space="preserve"> G9 + SUM( G11:G14 )</f>
        <v>197.46899999999999</v>
      </c>
      <c r="H15" s="167">
        <f xml:space="preserve"> H9 + SUM( H11:H14 )</f>
        <v>-98.850000000000009</v>
      </c>
      <c r="I15" s="168">
        <f xml:space="preserve"> I9 + SUM( I11:I14 )</f>
        <v>39.560999999999993</v>
      </c>
      <c r="J15" s="169">
        <f xml:space="preserve"> H15 - I15</f>
        <v>-138.411</v>
      </c>
      <c r="K15" s="172">
        <f t="shared" si="2"/>
        <v>59.057999999999993</v>
      </c>
      <c r="M15" s="116"/>
      <c r="P15" s="113"/>
      <c r="Q15" s="113"/>
      <c r="R15" s="113"/>
      <c r="AA15" s="94" t="s">
        <v>165</v>
      </c>
      <c r="AB15" s="95" t="s">
        <v>166</v>
      </c>
      <c r="AC15" s="95"/>
      <c r="AD15" s="96" t="s">
        <v>8</v>
      </c>
      <c r="AE15" s="93">
        <v>3</v>
      </c>
      <c r="AF15" s="169" t="s">
        <v>167</v>
      </c>
      <c r="AG15" s="167" t="s">
        <v>168</v>
      </c>
      <c r="AH15" s="168" t="s">
        <v>169</v>
      </c>
      <c r="AI15" s="169" t="s">
        <v>170</v>
      </c>
      <c r="AJ15" s="172" t="s">
        <v>171</v>
      </c>
    </row>
    <row r="16" spans="2:36" ht="15" thickBot="1">
      <c r="M16" s="116"/>
      <c r="P16" s="113"/>
      <c r="Q16" s="113"/>
      <c r="R16" s="113"/>
    </row>
    <row r="17" spans="2:36">
      <c r="B17" s="79" t="s">
        <v>172</v>
      </c>
      <c r="C17" s="109" t="s">
        <v>173</v>
      </c>
      <c r="D17" s="109"/>
      <c r="E17" s="81" t="s">
        <v>8</v>
      </c>
      <c r="F17" s="82">
        <v>3</v>
      </c>
      <c r="G17" s="399">
        <v>-46.695999999999998</v>
      </c>
      <c r="H17" s="342">
        <v>0</v>
      </c>
      <c r="I17" s="353"/>
      <c r="J17" s="165">
        <f xml:space="preserve"> H17 - I17</f>
        <v>0</v>
      </c>
      <c r="K17" s="173">
        <f t="shared" si="2"/>
        <v>-46.695999999999998</v>
      </c>
      <c r="M17" s="25" t="str">
        <f t="shared" ref="M17" si="7" xml:space="preserve"> IF( SUM( O17:S17 ) = 0, 0, $P$5 )</f>
        <v>Please complete all cells in row</v>
      </c>
      <c r="P17" s="86">
        <f t="shared" ref="P17:R17" si="8" xml:space="preserve"> IF( ISNUMBER( G17 ), 0, 1 )</f>
        <v>0</v>
      </c>
      <c r="Q17" s="86">
        <f t="shared" si="8"/>
        <v>0</v>
      </c>
      <c r="R17" s="86">
        <f t="shared" si="8"/>
        <v>1</v>
      </c>
      <c r="AA17" s="79" t="s">
        <v>172</v>
      </c>
      <c r="AB17" s="109" t="s">
        <v>173</v>
      </c>
      <c r="AC17" s="109"/>
      <c r="AD17" s="81" t="s">
        <v>8</v>
      </c>
      <c r="AE17" s="82">
        <v>3</v>
      </c>
      <c r="AF17" s="399" t="s">
        <v>174</v>
      </c>
      <c r="AG17" s="342" t="s">
        <v>175</v>
      </c>
      <c r="AH17" s="353" t="s">
        <v>176</v>
      </c>
      <c r="AI17" s="165" t="s">
        <v>177</v>
      </c>
      <c r="AJ17" s="173" t="s">
        <v>178</v>
      </c>
    </row>
    <row r="18" spans="2:36" ht="15" thickBot="1">
      <c r="B18" s="94" t="s">
        <v>179</v>
      </c>
      <c r="C18" s="95" t="s">
        <v>180</v>
      </c>
      <c r="D18" s="95"/>
      <c r="E18" s="96" t="s">
        <v>8</v>
      </c>
      <c r="F18" s="93">
        <v>3</v>
      </c>
      <c r="G18" s="172">
        <f xml:space="preserve"> G15 + G17</f>
        <v>150.773</v>
      </c>
      <c r="H18" s="167">
        <f xml:space="preserve"> H15 + H17</f>
        <v>-98.850000000000009</v>
      </c>
      <c r="I18" s="168">
        <f xml:space="preserve"> I15 + I17</f>
        <v>39.560999999999993</v>
      </c>
      <c r="J18" s="169">
        <f xml:space="preserve"> H18 - I18</f>
        <v>-138.411</v>
      </c>
      <c r="K18" s="174">
        <f t="shared" si="2"/>
        <v>12.361999999999995</v>
      </c>
      <c r="M18" s="116"/>
      <c r="P18" s="113"/>
      <c r="Q18" s="113"/>
      <c r="R18" s="113"/>
      <c r="AA18" s="94" t="s">
        <v>179</v>
      </c>
      <c r="AB18" s="95" t="s">
        <v>180</v>
      </c>
      <c r="AC18" s="95"/>
      <c r="AD18" s="96" t="s">
        <v>8</v>
      </c>
      <c r="AE18" s="93">
        <v>3</v>
      </c>
      <c r="AF18" s="172" t="s">
        <v>181</v>
      </c>
      <c r="AG18" s="167" t="s">
        <v>182</v>
      </c>
      <c r="AH18" s="168" t="s">
        <v>183</v>
      </c>
      <c r="AI18" s="169" t="s">
        <v>184</v>
      </c>
      <c r="AJ18" s="174" t="s">
        <v>185</v>
      </c>
    </row>
    <row r="19" spans="2:36" ht="15" thickBot="1">
      <c r="M19" s="116"/>
      <c r="P19" s="113"/>
      <c r="Q19" s="113"/>
      <c r="R19" s="113"/>
    </row>
    <row r="20" spans="2:36">
      <c r="B20" s="79" t="s">
        <v>186</v>
      </c>
      <c r="C20" s="109" t="s">
        <v>187</v>
      </c>
      <c r="D20" s="109"/>
      <c r="E20" s="81" t="s">
        <v>8</v>
      </c>
      <c r="F20" s="82">
        <v>3</v>
      </c>
      <c r="G20" s="1638">
        <f>(-1 * G29)</f>
        <v>-4.3</v>
      </c>
      <c r="H20" s="1639">
        <f>(-1 * H29)</f>
        <v>0</v>
      </c>
      <c r="I20" s="1640">
        <f>(-1 * I29)</f>
        <v>-2.4</v>
      </c>
      <c r="J20" s="165">
        <f xml:space="preserve"> H20 - I20</f>
        <v>2.4</v>
      </c>
      <c r="K20" s="173">
        <f t="shared" si="2"/>
        <v>-1.9</v>
      </c>
      <c r="M20" s="25">
        <f t="shared" ref="M20:M21" si="9" xml:space="preserve"> IF( SUM( O20:S20 ) = 0, 0, $P$5 )</f>
        <v>0</v>
      </c>
      <c r="P20" s="86">
        <f t="shared" ref="P20:R21" si="10" xml:space="preserve"> IF( ISNUMBER( G20 ), 0, 1 )</f>
        <v>0</v>
      </c>
      <c r="Q20" s="86">
        <f t="shared" si="10"/>
        <v>0</v>
      </c>
      <c r="R20" s="86">
        <f t="shared" si="10"/>
        <v>0</v>
      </c>
      <c r="AA20" s="79" t="s">
        <v>186</v>
      </c>
      <c r="AB20" s="109" t="s">
        <v>187</v>
      </c>
      <c r="AC20" s="109"/>
      <c r="AD20" s="81" t="s">
        <v>8</v>
      </c>
      <c r="AE20" s="82">
        <v>3</v>
      </c>
      <c r="AF20" s="1638" t="s">
        <v>188</v>
      </c>
      <c r="AG20" s="1639" t="s">
        <v>189</v>
      </c>
      <c r="AH20" s="1640" t="s">
        <v>190</v>
      </c>
      <c r="AI20" s="165" t="s">
        <v>191</v>
      </c>
      <c r="AJ20" s="173" t="s">
        <v>192</v>
      </c>
    </row>
    <row r="21" spans="2:36">
      <c r="B21" s="87" t="s">
        <v>193</v>
      </c>
      <c r="C21" s="80" t="s">
        <v>194</v>
      </c>
      <c r="D21" s="80"/>
      <c r="E21" s="88" t="s">
        <v>8</v>
      </c>
      <c r="F21" s="89">
        <v>3</v>
      </c>
      <c r="G21" s="400">
        <v>-12.834</v>
      </c>
      <c r="H21" s="340">
        <v>0</v>
      </c>
      <c r="I21" s="341">
        <v>-0.6</v>
      </c>
      <c r="J21" s="166">
        <f xml:space="preserve"> H21 - I21</f>
        <v>0.6</v>
      </c>
      <c r="K21" s="206">
        <f t="shared" si="2"/>
        <v>-12.234</v>
      </c>
      <c r="M21" s="25">
        <f t="shared" si="9"/>
        <v>0</v>
      </c>
      <c r="P21" s="86">
        <f t="shared" si="10"/>
        <v>0</v>
      </c>
      <c r="Q21" s="86">
        <f t="shared" si="10"/>
        <v>0</v>
      </c>
      <c r="R21" s="86">
        <f t="shared" si="10"/>
        <v>0</v>
      </c>
      <c r="AA21" s="87" t="s">
        <v>193</v>
      </c>
      <c r="AB21" s="80" t="s">
        <v>194</v>
      </c>
      <c r="AC21" s="80"/>
      <c r="AD21" s="88" t="s">
        <v>8</v>
      </c>
      <c r="AE21" s="89">
        <v>3</v>
      </c>
      <c r="AF21" s="400" t="s">
        <v>195</v>
      </c>
      <c r="AG21" s="340" t="s">
        <v>196</v>
      </c>
      <c r="AH21" s="341" t="s">
        <v>197</v>
      </c>
      <c r="AI21" s="166" t="s">
        <v>198</v>
      </c>
      <c r="AJ21" s="206" t="s">
        <v>199</v>
      </c>
    </row>
    <row r="22" spans="2:36" ht="15" thickBot="1">
      <c r="B22" s="94" t="s">
        <v>200</v>
      </c>
      <c r="C22" s="95" t="s">
        <v>201</v>
      </c>
      <c r="D22" s="95"/>
      <c r="E22" s="96" t="s">
        <v>8</v>
      </c>
      <c r="F22" s="93">
        <v>3</v>
      </c>
      <c r="G22" s="172">
        <f xml:space="preserve"> G18 + (SUM( G20:G21 ))</f>
        <v>133.63900000000001</v>
      </c>
      <c r="H22" s="167">
        <f xml:space="preserve"> H18 + (SUM( H20:H21 ))</f>
        <v>-98.850000000000009</v>
      </c>
      <c r="I22" s="168">
        <f xml:space="preserve"> I18 + (SUM( I20:I21 ))</f>
        <v>36.560999999999993</v>
      </c>
      <c r="J22" s="169">
        <f xml:space="preserve"> H22 - I22</f>
        <v>-135.411</v>
      </c>
      <c r="K22" s="174">
        <f t="shared" si="2"/>
        <v>-1.7719999999999914</v>
      </c>
      <c r="M22" s="116"/>
      <c r="AA22" s="94" t="s">
        <v>200</v>
      </c>
      <c r="AB22" s="95" t="s">
        <v>201</v>
      </c>
      <c r="AC22" s="95"/>
      <c r="AD22" s="96" t="s">
        <v>8</v>
      </c>
      <c r="AE22" s="93">
        <v>3</v>
      </c>
      <c r="AF22" s="172" t="s">
        <v>202</v>
      </c>
      <c r="AG22" s="167" t="s">
        <v>203</v>
      </c>
      <c r="AH22" s="168" t="s">
        <v>204</v>
      </c>
      <c r="AI22" s="169" t="s">
        <v>205</v>
      </c>
      <c r="AJ22" s="174" t="s">
        <v>206</v>
      </c>
    </row>
    <row r="23" spans="2:36" s="103" customFormat="1" ht="15" thickBot="1">
      <c r="C23" s="138"/>
      <c r="D23" s="138"/>
      <c r="H23" s="142"/>
      <c r="J23" s="110"/>
      <c r="K23" s="110"/>
      <c r="L23" s="110"/>
      <c r="M23" s="116"/>
      <c r="N23" s="110"/>
      <c r="O23" s="114"/>
      <c r="P23" s="240"/>
      <c r="S23" s="114"/>
      <c r="AB23" s="138"/>
      <c r="AC23" s="138"/>
      <c r="AG23" s="142"/>
      <c r="AI23" s="110"/>
      <c r="AJ23" s="110"/>
    </row>
    <row r="24" spans="2:36" s="103" customFormat="1" ht="15" thickBot="1">
      <c r="B24" s="508" t="s">
        <v>207</v>
      </c>
      <c r="C24" s="509" t="s">
        <v>208</v>
      </c>
      <c r="D24" s="509"/>
      <c r="E24" s="121" t="s">
        <v>8</v>
      </c>
      <c r="F24" s="122">
        <v>3</v>
      </c>
      <c r="G24" s="355">
        <v>-55</v>
      </c>
      <c r="H24" s="380">
        <v>0</v>
      </c>
      <c r="I24" s="388">
        <v>-11.595000000000001</v>
      </c>
      <c r="J24" s="212">
        <f xml:space="preserve"> H24 - I24</f>
        <v>11.595000000000001</v>
      </c>
      <c r="K24" s="416">
        <f t="shared" ref="K24" si="11" xml:space="preserve"> G24 + J24</f>
        <v>-43.405000000000001</v>
      </c>
      <c r="L24" s="65"/>
      <c r="M24" s="25">
        <f t="shared" ref="M24" si="12" xml:space="preserve"> IF( SUM( O24:S24 ) = 0, 0, $P$5 )</f>
        <v>0</v>
      </c>
      <c r="N24" s="110"/>
      <c r="O24" s="114"/>
      <c r="P24" s="86">
        <f t="shared" ref="P24" si="13" xml:space="preserve"> IF( ISNUMBER( G24 ), 0, 1 )</f>
        <v>0</v>
      </c>
      <c r="Q24" s="86">
        <f t="shared" ref="Q24" si="14" xml:space="preserve"> IF( ISNUMBER( H24 ), 0, 1 )</f>
        <v>0</v>
      </c>
      <c r="R24" s="86">
        <f t="shared" ref="R24" si="15" xml:space="preserve"> IF( ISNUMBER( I24 ), 0, 1 )</f>
        <v>0</v>
      </c>
      <c r="S24" s="114"/>
      <c r="AA24" s="508" t="s">
        <v>207</v>
      </c>
      <c r="AB24" s="509" t="s">
        <v>208</v>
      </c>
      <c r="AC24" s="509"/>
      <c r="AD24" s="121" t="s">
        <v>8</v>
      </c>
      <c r="AE24" s="122">
        <v>3</v>
      </c>
      <c r="AF24" s="355" t="s">
        <v>209</v>
      </c>
      <c r="AG24" s="380" t="s">
        <v>210</v>
      </c>
      <c r="AH24" s="388" t="s">
        <v>211</v>
      </c>
      <c r="AI24" s="212" t="s">
        <v>212</v>
      </c>
      <c r="AJ24" s="416" t="s">
        <v>213</v>
      </c>
    </row>
    <row r="25" spans="2:36" s="103" customFormat="1" ht="15" thickBot="1">
      <c r="C25" s="138"/>
      <c r="D25" s="138"/>
      <c r="H25" s="142"/>
      <c r="J25" s="110"/>
      <c r="K25" s="110"/>
      <c r="L25" s="110"/>
      <c r="M25" s="116"/>
      <c r="N25" s="110"/>
      <c r="O25" s="114"/>
      <c r="P25" s="240"/>
      <c r="S25" s="114"/>
      <c r="AB25" s="138"/>
      <c r="AC25" s="138"/>
      <c r="AG25" s="142"/>
      <c r="AI25" s="110"/>
      <c r="AJ25" s="110"/>
    </row>
    <row r="26" spans="2:36" ht="15" thickBot="1">
      <c r="B26" s="2221" t="s">
        <v>214</v>
      </c>
      <c r="C26" s="77" t="s">
        <v>215</v>
      </c>
      <c r="D26" s="1292"/>
      <c r="M26" s="116"/>
      <c r="AA26" s="2221" t="s">
        <v>214</v>
      </c>
      <c r="AB26" s="77" t="s">
        <v>215</v>
      </c>
      <c r="AC26" s="1292"/>
    </row>
    <row r="27" spans="2:36">
      <c r="B27" s="79" t="s">
        <v>216</v>
      </c>
      <c r="C27" s="109" t="s">
        <v>217</v>
      </c>
      <c r="D27" s="109"/>
      <c r="E27" s="81" t="s">
        <v>8</v>
      </c>
      <c r="F27" s="82">
        <v>3</v>
      </c>
      <c r="G27" s="395">
        <v>4.3</v>
      </c>
      <c r="H27" s="342">
        <v>0</v>
      </c>
      <c r="I27" s="353">
        <v>2.4</v>
      </c>
      <c r="J27" s="165">
        <f xml:space="preserve"> H27 - I27</f>
        <v>-2.4</v>
      </c>
      <c r="K27" s="170">
        <f xml:space="preserve"> G27 + J27</f>
        <v>1.9</v>
      </c>
      <c r="M27" s="25">
        <f t="shared" ref="M27:M28" si="16" xml:space="preserve"> IF( SUM( O27:S27 ) = 0, 0, $P$5 )</f>
        <v>0</v>
      </c>
      <c r="P27" s="86">
        <f t="shared" ref="P27:R28" si="17" xml:space="preserve"> IF( ISNUMBER( G27 ), 0, 1 )</f>
        <v>0</v>
      </c>
      <c r="Q27" s="86">
        <f t="shared" si="17"/>
        <v>0</v>
      </c>
      <c r="R27" s="86">
        <f t="shared" si="17"/>
        <v>0</v>
      </c>
      <c r="AA27" s="79" t="s">
        <v>216</v>
      </c>
      <c r="AB27" s="109" t="s">
        <v>217</v>
      </c>
      <c r="AC27" s="109"/>
      <c r="AD27" s="81" t="s">
        <v>8</v>
      </c>
      <c r="AE27" s="82">
        <v>3</v>
      </c>
      <c r="AF27" s="1394" t="s">
        <v>218</v>
      </c>
      <c r="AG27" s="1395" t="s">
        <v>219</v>
      </c>
      <c r="AH27" s="1396" t="s">
        <v>220</v>
      </c>
      <c r="AI27" s="1397" t="s">
        <v>221</v>
      </c>
      <c r="AJ27" s="1398" t="s">
        <v>222</v>
      </c>
    </row>
    <row r="28" spans="2:36">
      <c r="B28" s="87" t="s">
        <v>223</v>
      </c>
      <c r="C28" s="80" t="s">
        <v>224</v>
      </c>
      <c r="D28" s="80"/>
      <c r="E28" s="88" t="s">
        <v>8</v>
      </c>
      <c r="F28" s="89">
        <v>3</v>
      </c>
      <c r="G28" s="391">
        <v>0</v>
      </c>
      <c r="H28" s="340">
        <v>0</v>
      </c>
      <c r="I28" s="341">
        <v>0</v>
      </c>
      <c r="J28" s="166">
        <f xml:space="preserve"> H28 - I28</f>
        <v>0</v>
      </c>
      <c r="K28" s="171">
        <f xml:space="preserve"> G28 + J28</f>
        <v>0</v>
      </c>
      <c r="M28" s="25">
        <f t="shared" si="16"/>
        <v>0</v>
      </c>
      <c r="P28" s="86">
        <f t="shared" si="17"/>
        <v>0</v>
      </c>
      <c r="Q28" s="86">
        <f t="shared" si="17"/>
        <v>0</v>
      </c>
      <c r="R28" s="86">
        <f t="shared" si="17"/>
        <v>0</v>
      </c>
      <c r="AA28" s="87" t="s">
        <v>223</v>
      </c>
      <c r="AB28" s="80" t="s">
        <v>224</v>
      </c>
      <c r="AC28" s="80"/>
      <c r="AD28" s="88" t="s">
        <v>8</v>
      </c>
      <c r="AE28" s="89">
        <v>3</v>
      </c>
      <c r="AF28" s="1399" t="s">
        <v>225</v>
      </c>
      <c r="AG28" s="1400" t="s">
        <v>226</v>
      </c>
      <c r="AH28" s="1401" t="s">
        <v>227</v>
      </c>
      <c r="AI28" s="1402" t="s">
        <v>228</v>
      </c>
      <c r="AJ28" s="1403" t="s">
        <v>229</v>
      </c>
    </row>
    <row r="29" spans="2:36" ht="15" thickBot="1">
      <c r="B29" s="94" t="s">
        <v>230</v>
      </c>
      <c r="C29" s="95" t="s">
        <v>187</v>
      </c>
      <c r="D29" s="95"/>
      <c r="E29" s="96" t="s">
        <v>8</v>
      </c>
      <c r="F29" s="93">
        <v>3</v>
      </c>
      <c r="G29" s="169">
        <f>SUM( G27:G28 )</f>
        <v>4.3</v>
      </c>
      <c r="H29" s="1393">
        <f>SUM( H27:H28 )</f>
        <v>0</v>
      </c>
      <c r="I29" s="168">
        <f>SUM( I27:I28 )</f>
        <v>2.4</v>
      </c>
      <c r="J29" s="172">
        <f xml:space="preserve"> H29 - I29</f>
        <v>-2.4</v>
      </c>
      <c r="K29" s="172">
        <f xml:space="preserve"> G29 + J29</f>
        <v>1.9</v>
      </c>
      <c r="M29" s="116"/>
      <c r="AA29" s="94" t="s">
        <v>230</v>
      </c>
      <c r="AB29" s="95" t="s">
        <v>187</v>
      </c>
      <c r="AC29" s="95"/>
      <c r="AD29" s="96" t="s">
        <v>8</v>
      </c>
      <c r="AE29" s="93">
        <v>3</v>
      </c>
      <c r="AF29" s="1404" t="s">
        <v>231</v>
      </c>
      <c r="AG29" s="1405" t="s">
        <v>232</v>
      </c>
      <c r="AH29" s="1406" t="s">
        <v>233</v>
      </c>
      <c r="AI29" s="1407" t="s">
        <v>234</v>
      </c>
      <c r="AJ29" s="1407" t="s">
        <v>235</v>
      </c>
    </row>
    <row r="30" spans="2:36" s="103" customFormat="1" ht="15" thickBot="1">
      <c r="C30" s="138"/>
      <c r="D30" s="138"/>
      <c r="H30" s="142"/>
      <c r="J30" s="110"/>
      <c r="K30" s="110"/>
      <c r="L30" s="110"/>
      <c r="M30" s="116"/>
      <c r="N30" s="110"/>
      <c r="O30" s="114"/>
      <c r="P30" s="240"/>
      <c r="S30" s="114"/>
      <c r="AB30" s="138"/>
      <c r="AC30" s="138"/>
      <c r="AG30" s="142"/>
      <c r="AI30" s="110"/>
      <c r="AJ30" s="110"/>
    </row>
    <row r="31" spans="2:36" s="103" customFormat="1" ht="15" thickBot="1">
      <c r="C31" s="138"/>
      <c r="D31" s="138"/>
      <c r="G31" s="293" t="s">
        <v>105</v>
      </c>
      <c r="H31" s="142"/>
      <c r="J31" s="110"/>
      <c r="K31" s="110"/>
      <c r="L31" s="110"/>
      <c r="M31" s="116"/>
      <c r="N31" s="110"/>
      <c r="O31" s="114"/>
      <c r="P31" s="240"/>
      <c r="S31" s="114"/>
      <c r="AB31" s="138"/>
      <c r="AC31" s="138"/>
      <c r="AF31" s="293" t="s">
        <v>105</v>
      </c>
      <c r="AG31" s="142"/>
      <c r="AI31" s="110"/>
      <c r="AJ31" s="110"/>
    </row>
    <row r="32" spans="2:36" ht="15" thickBot="1">
      <c r="B32" s="2221" t="s">
        <v>236</v>
      </c>
      <c r="C32" s="77" t="s">
        <v>237</v>
      </c>
      <c r="D32" s="1292"/>
      <c r="M32" s="116"/>
      <c r="AA32" s="2221" t="s">
        <v>236</v>
      </c>
      <c r="AB32" s="77" t="s">
        <v>237</v>
      </c>
      <c r="AC32" s="1292"/>
    </row>
    <row r="33" spans="2:36">
      <c r="B33" s="79" t="s">
        <v>238</v>
      </c>
      <c r="C33" s="109" t="s">
        <v>239</v>
      </c>
      <c r="D33" s="109"/>
      <c r="E33" s="81" t="s">
        <v>8</v>
      </c>
      <c r="F33" s="82">
        <v>3</v>
      </c>
      <c r="G33" s="356">
        <v>0</v>
      </c>
      <c r="M33" s="25">
        <f t="shared" ref="M33:M34" si="18" xml:space="preserve"> IF( SUM( O33:S33 ) = 0, 0, $P$5 )</f>
        <v>0</v>
      </c>
      <c r="P33" s="86">
        <f t="shared" ref="P33:P34" si="19" xml:space="preserve"> IF( ISNUMBER( G33 ), 0, 1 )</f>
        <v>0</v>
      </c>
      <c r="Q33" s="113"/>
      <c r="R33" s="113"/>
      <c r="AA33" s="79" t="s">
        <v>238</v>
      </c>
      <c r="AB33" s="109" t="s">
        <v>239</v>
      </c>
      <c r="AC33" s="109"/>
      <c r="AD33" s="81" t="s">
        <v>8</v>
      </c>
      <c r="AE33" s="82">
        <v>3</v>
      </c>
      <c r="AF33" s="1408" t="s">
        <v>240</v>
      </c>
    </row>
    <row r="34" spans="2:36">
      <c r="B34" s="87" t="s">
        <v>241</v>
      </c>
      <c r="C34" s="80" t="s">
        <v>242</v>
      </c>
      <c r="D34" s="80"/>
      <c r="E34" s="88" t="s">
        <v>8</v>
      </c>
      <c r="F34" s="89">
        <v>3</v>
      </c>
      <c r="G34" s="339">
        <v>5.0830000000000002</v>
      </c>
      <c r="M34" s="25">
        <f t="shared" si="18"/>
        <v>0</v>
      </c>
      <c r="P34" s="86">
        <f t="shared" si="19"/>
        <v>0</v>
      </c>
      <c r="Q34" s="113"/>
      <c r="R34" s="113"/>
      <c r="AA34" s="87" t="s">
        <v>241</v>
      </c>
      <c r="AB34" s="80" t="s">
        <v>242</v>
      </c>
      <c r="AC34" s="80"/>
      <c r="AD34" s="88" t="s">
        <v>8</v>
      </c>
      <c r="AE34" s="89">
        <v>3</v>
      </c>
      <c r="AF34" s="1409" t="s">
        <v>243</v>
      </c>
    </row>
    <row r="35" spans="2:36">
      <c r="B35" s="87" t="s">
        <v>244</v>
      </c>
      <c r="C35" s="189" t="s">
        <v>245</v>
      </c>
      <c r="D35" s="189"/>
      <c r="E35" s="88" t="s">
        <v>8</v>
      </c>
      <c r="F35" s="89">
        <v>3</v>
      </c>
      <c r="G35" s="634">
        <v>46.216999999999999</v>
      </c>
      <c r="M35" s="25">
        <f t="shared" ref="M35" si="20" xml:space="preserve"> IF( SUM( O35:S35 ) = 0, 0, $P$5 )</f>
        <v>0</v>
      </c>
      <c r="P35" s="86">
        <f t="shared" ref="P35" si="21" xml:space="preserve"> IF( ISNUMBER( G35 ), 0, 1 )</f>
        <v>0</v>
      </c>
      <c r="Q35" s="113"/>
      <c r="R35" s="113"/>
      <c r="AA35" s="87" t="s">
        <v>244</v>
      </c>
      <c r="AB35" s="189" t="s">
        <v>245</v>
      </c>
      <c r="AC35" s="189"/>
      <c r="AD35" s="88" t="s">
        <v>8</v>
      </c>
      <c r="AE35" s="89">
        <v>3</v>
      </c>
      <c r="AF35" s="1410" t="s">
        <v>246</v>
      </c>
    </row>
    <row r="36" spans="2:36" ht="15" thickBot="1">
      <c r="B36" s="94" t="s">
        <v>247</v>
      </c>
      <c r="C36" s="95" t="s">
        <v>110</v>
      </c>
      <c r="D36" s="95"/>
      <c r="E36" s="96" t="s">
        <v>8</v>
      </c>
      <c r="F36" s="93">
        <v>3</v>
      </c>
      <c r="G36" s="174">
        <f>SUM( G33:G35 )</f>
        <v>51.3</v>
      </c>
      <c r="M36" s="116"/>
      <c r="AA36" s="94" t="s">
        <v>247</v>
      </c>
      <c r="AB36" s="95" t="s">
        <v>110</v>
      </c>
      <c r="AC36" s="95"/>
      <c r="AD36" s="96" t="s">
        <v>8</v>
      </c>
      <c r="AE36" s="93">
        <v>3</v>
      </c>
      <c r="AF36" s="1411" t="s">
        <v>248</v>
      </c>
    </row>
    <row r="37" spans="2:36" s="142" customFormat="1" ht="12">
      <c r="B37" s="127"/>
      <c r="C37" s="128"/>
      <c r="D37" s="128"/>
      <c r="J37" s="116"/>
      <c r="K37" s="116"/>
      <c r="L37" s="116"/>
      <c r="M37" s="116"/>
      <c r="N37" s="116"/>
      <c r="O37" s="111"/>
      <c r="P37" s="177"/>
      <c r="S37" s="111"/>
      <c r="AA37" s="127"/>
      <c r="AB37" s="128"/>
      <c r="AC37" s="128"/>
      <c r="AI37" s="116"/>
      <c r="AJ37" s="116"/>
    </row>
    <row r="38" spans="2:36" s="142" customFormat="1" ht="12">
      <c r="B38" s="26"/>
      <c r="C38" s="129" t="s">
        <v>249</v>
      </c>
      <c r="D38" s="129"/>
      <c r="J38" s="116"/>
      <c r="K38" s="116"/>
      <c r="L38" s="116"/>
      <c r="M38" s="116"/>
      <c r="N38" s="116"/>
      <c r="O38" s="111"/>
      <c r="P38" s="177"/>
      <c r="S38" s="111"/>
      <c r="AA38" s="129"/>
      <c r="AG38" s="116"/>
      <c r="AH38" s="116"/>
    </row>
    <row r="39" spans="2:36" s="142" customFormat="1" ht="12">
      <c r="B39" s="127"/>
      <c r="C39" s="128"/>
      <c r="D39" s="128"/>
      <c r="J39" s="116"/>
      <c r="K39" s="116"/>
      <c r="L39" s="116"/>
      <c r="M39" s="116"/>
      <c r="N39" s="116"/>
      <c r="O39" s="111"/>
      <c r="P39" s="177"/>
      <c r="S39" s="111"/>
      <c r="AA39" s="128"/>
      <c r="AG39" s="116"/>
      <c r="AH39" s="116"/>
    </row>
    <row r="40" spans="2:36" s="142" customFormat="1" ht="12">
      <c r="B40" s="130"/>
      <c r="C40" s="129" t="s">
        <v>250</v>
      </c>
      <c r="D40" s="129"/>
      <c r="J40" s="116"/>
      <c r="K40" s="116"/>
      <c r="L40" s="116"/>
      <c r="M40" s="116"/>
      <c r="N40" s="116"/>
      <c r="O40" s="111"/>
      <c r="P40" s="177"/>
      <c r="S40" s="111"/>
      <c r="AA40" s="129"/>
      <c r="AG40" s="116"/>
      <c r="AH40" s="116"/>
    </row>
    <row r="41" spans="2:36" s="142" customFormat="1" ht="12">
      <c r="B41" s="131"/>
      <c r="C41" s="129"/>
      <c r="D41" s="129"/>
      <c r="J41" s="116"/>
      <c r="K41" s="116"/>
      <c r="L41" s="116"/>
      <c r="M41" s="116"/>
      <c r="N41" s="116"/>
      <c r="O41" s="111"/>
      <c r="P41" s="177"/>
      <c r="S41" s="111"/>
      <c r="AA41" s="129"/>
      <c r="AG41" s="116"/>
      <c r="AH41" s="116"/>
    </row>
    <row r="42" spans="2:36" s="155" customFormat="1" ht="13.5" thickBot="1">
      <c r="C42" s="156"/>
      <c r="D42" s="156"/>
      <c r="J42" s="118"/>
      <c r="K42" s="118"/>
      <c r="L42" s="118"/>
      <c r="M42" s="116"/>
      <c r="N42" s="116"/>
      <c r="O42" s="111"/>
      <c r="P42" s="257"/>
      <c r="S42" s="111"/>
      <c r="AA42" s="156"/>
      <c r="AG42" s="118"/>
      <c r="AH42" s="118"/>
    </row>
    <row r="43" spans="2:36" s="155" customFormat="1" ht="21" thickBot="1">
      <c r="B43" s="1166" t="s">
        <v>251</v>
      </c>
      <c r="C43" s="133"/>
      <c r="D43" s="133"/>
      <c r="E43" s="134"/>
      <c r="F43" s="134"/>
      <c r="G43" s="134"/>
      <c r="H43" s="134"/>
      <c r="I43" s="134"/>
      <c r="J43" s="134"/>
      <c r="K43" s="140"/>
      <c r="L43" s="118"/>
      <c r="M43" s="116"/>
      <c r="N43" s="116"/>
      <c r="O43" s="111"/>
      <c r="P43" s="257"/>
      <c r="S43" s="111"/>
    </row>
    <row r="44" spans="2:36" s="155" customFormat="1" ht="12.75">
      <c r="C44" s="156"/>
      <c r="D44" s="156"/>
      <c r="J44" s="118"/>
      <c r="K44" s="118"/>
      <c r="L44" s="118"/>
      <c r="M44" s="116"/>
      <c r="N44" s="116"/>
      <c r="O44" s="111"/>
      <c r="P44" s="257"/>
      <c r="S44" s="111"/>
    </row>
  </sheetData>
  <sheetProtection algorithmName="SHA-512" hashValue="G6FTapmmCaQbE4btWUsI8fqmv4STKSssNSRLpiZq70XrWYAipRygsAHDxRcKQy/+4to7wZxPMKt1F/sxMXduFg==" saltValue="RUCwKzhNR4StNWaeWD3M7A==" spinCount="100000" sheet="1" objects="1" scenarios="1"/>
  <mergeCells count="14">
    <mergeCell ref="M3:M4"/>
    <mergeCell ref="P4:R4"/>
    <mergeCell ref="B3:C4"/>
    <mergeCell ref="E3:E4"/>
    <mergeCell ref="F3:F4"/>
    <mergeCell ref="G3:G4"/>
    <mergeCell ref="H3:J3"/>
    <mergeCell ref="K3:K4"/>
    <mergeCell ref="AJ3:AJ4"/>
    <mergeCell ref="AA3:AB4"/>
    <mergeCell ref="AD3:AD4"/>
    <mergeCell ref="AE3:AE4"/>
    <mergeCell ref="AF3:AF4"/>
    <mergeCell ref="AG3:AI3"/>
  </mergeCells>
  <conditionalFormatting sqref="M6:M8 M11:M14 M17 M20:M21">
    <cfRule type="cellIs" dxfId="613" priority="8" operator="equal">
      <formula>0</formula>
    </cfRule>
  </conditionalFormatting>
  <conditionalFormatting sqref="M24">
    <cfRule type="cellIs" dxfId="612" priority="7" operator="equal">
      <formula>0</formula>
    </cfRule>
  </conditionalFormatting>
  <conditionalFormatting sqref="M27:M28">
    <cfRule type="cellIs" dxfId="611" priority="4" operator="equal">
      <formula>0</formula>
    </cfRule>
  </conditionalFormatting>
  <conditionalFormatting sqref="M33:M35">
    <cfRule type="cellIs" dxfId="6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J19"/>
  <sheetViews>
    <sheetView showGridLines="0" zoomScale="80" zoomScaleNormal="80" workbookViewId="0"/>
  </sheetViews>
  <sheetFormatPr defaultColWidth="0" defaultRowHeight="14.25" zeroHeight="1"/>
  <cols>
    <col min="1" max="1" width="0.625" style="65" customWidth="1"/>
    <col min="2" max="2" width="4.125" style="65" customWidth="1"/>
    <col min="3" max="3" width="38.625" style="65" customWidth="1"/>
    <col min="4" max="4" width="2.625" style="65" hidden="1" customWidth="1"/>
    <col min="5" max="6" width="5.125" style="65" customWidth="1"/>
    <col min="7" max="8" width="12.5" style="65" customWidth="1"/>
    <col min="9" max="10" width="12.625" style="65" customWidth="1"/>
    <col min="11" max="11" width="15.125" style="65" customWidth="1"/>
    <col min="12" max="12" width="2.625" style="65" customWidth="1"/>
    <col min="13" max="13" width="18.625" style="65" bestFit="1" customWidth="1"/>
    <col min="14" max="14" width="2.625" style="65" customWidth="1"/>
    <col min="15" max="15" width="1.625" style="66" hidden="1" customWidth="1"/>
    <col min="16" max="18" width="5.625" style="65" hidden="1" customWidth="1"/>
    <col min="19" max="19" width="1.625" style="66" hidden="1" customWidth="1"/>
    <col min="20" max="20" width="8.125" style="65" hidden="1" customWidth="1"/>
    <col min="21" max="23" width="8.625" style="65" hidden="1" customWidth="1"/>
    <col min="24" max="26" width="8.125" style="65" hidden="1" customWidth="1"/>
    <col min="27" max="27" width="4.125" style="65" hidden="1" customWidth="1"/>
    <col min="28" max="28" width="38.625" style="65" hidden="1" customWidth="1"/>
    <col min="29" max="29" width="2.625" style="65" hidden="1" customWidth="1"/>
    <col min="30" max="31" width="5.125" style="65" hidden="1" customWidth="1"/>
    <col min="32" max="33" width="12.5" style="65" hidden="1" customWidth="1"/>
    <col min="34" max="35" width="12.625" style="65" hidden="1" customWidth="1"/>
    <col min="36" max="36" width="15.125" style="65" hidden="1" customWidth="1"/>
    <col min="37" max="16384" width="8.125" style="65" hidden="1"/>
  </cols>
  <sheetData>
    <row r="1" spans="2:36" ht="20.25">
      <c r="B1" s="61" t="s">
        <v>252</v>
      </c>
      <c r="C1" s="61"/>
      <c r="D1" s="61"/>
      <c r="E1" s="61"/>
      <c r="F1" s="61"/>
      <c r="G1" s="61"/>
      <c r="H1" s="61"/>
      <c r="I1" s="61"/>
      <c r="J1" s="61"/>
      <c r="K1" s="63" t="str">
        <f>Validation!B3</f>
        <v>Thames Water</v>
      </c>
      <c r="L1" s="61"/>
      <c r="M1" s="64" t="s">
        <v>94</v>
      </c>
      <c r="AA1" s="61" t="s">
        <v>95</v>
      </c>
      <c r="AB1" s="61"/>
      <c r="AC1" s="61"/>
      <c r="AD1" s="61"/>
      <c r="AE1" s="61"/>
      <c r="AF1" s="61"/>
      <c r="AG1" s="61"/>
      <c r="AH1" s="61"/>
      <c r="AI1" s="61"/>
      <c r="AJ1" s="63"/>
    </row>
    <row r="2" spans="2:36" ht="15" thickBot="1">
      <c r="B2" s="68" t="s">
        <v>80</v>
      </c>
      <c r="AA2" s="68" t="s">
        <v>80</v>
      </c>
    </row>
    <row r="3" spans="2:36" ht="15" customHeight="1">
      <c r="B3" s="2242" t="s">
        <v>96</v>
      </c>
      <c r="C3" s="2243"/>
      <c r="D3" s="2192" t="s">
        <v>97</v>
      </c>
      <c r="E3" s="2246" t="s">
        <v>98</v>
      </c>
      <c r="F3" s="2248" t="s">
        <v>99</v>
      </c>
      <c r="G3" s="2250" t="s">
        <v>100</v>
      </c>
      <c r="H3" s="2252" t="s">
        <v>101</v>
      </c>
      <c r="I3" s="2253"/>
      <c r="J3" s="2254"/>
      <c r="K3" s="2240" t="s">
        <v>102</v>
      </c>
      <c r="M3" s="2240" t="s">
        <v>103</v>
      </c>
      <c r="AA3" s="2242" t="s">
        <v>96</v>
      </c>
      <c r="AB3" s="2243"/>
      <c r="AC3" s="2192" t="s">
        <v>97</v>
      </c>
      <c r="AD3" s="2246" t="s">
        <v>98</v>
      </c>
      <c r="AE3" s="2248" t="s">
        <v>99</v>
      </c>
      <c r="AF3" s="2250" t="s">
        <v>100</v>
      </c>
      <c r="AG3" s="2252" t="s">
        <v>101</v>
      </c>
      <c r="AH3" s="2253"/>
      <c r="AI3" s="2254"/>
      <c r="AJ3" s="2240" t="s">
        <v>102</v>
      </c>
    </row>
    <row r="4" spans="2:36" ht="54.75" thickBot="1">
      <c r="B4" s="2244"/>
      <c r="C4" s="2245"/>
      <c r="D4" s="2193"/>
      <c r="E4" s="2247"/>
      <c r="F4" s="2249"/>
      <c r="G4" s="2251"/>
      <c r="H4" s="2201" t="s">
        <v>104</v>
      </c>
      <c r="I4" s="73" t="s">
        <v>105</v>
      </c>
      <c r="J4" s="2202" t="s">
        <v>106</v>
      </c>
      <c r="K4" s="2241"/>
      <c r="M4" s="2241"/>
      <c r="N4" s="74"/>
      <c r="P4" s="2255" t="s">
        <v>107</v>
      </c>
      <c r="Q4" s="2255"/>
      <c r="R4" s="2255"/>
      <c r="AA4" s="2244"/>
      <c r="AB4" s="2245"/>
      <c r="AC4" s="2193"/>
      <c r="AD4" s="2247"/>
      <c r="AE4" s="2249"/>
      <c r="AF4" s="2251"/>
      <c r="AG4" s="2201" t="s">
        <v>104</v>
      </c>
      <c r="AH4" s="73" t="s">
        <v>105</v>
      </c>
      <c r="AI4" s="2202" t="s">
        <v>106</v>
      </c>
      <c r="AJ4" s="2241"/>
    </row>
    <row r="5" spans="2:36" ht="15" thickBot="1"/>
    <row r="6" spans="2:36">
      <c r="B6" s="79" t="s">
        <v>253</v>
      </c>
      <c r="C6" s="109" t="s">
        <v>201</v>
      </c>
      <c r="D6" s="109"/>
      <c r="E6" s="81" t="s">
        <v>8</v>
      </c>
      <c r="F6" s="185">
        <v>3</v>
      </c>
      <c r="G6" s="313">
        <f>'1A'!G22</f>
        <v>133.63900000000001</v>
      </c>
      <c r="H6" s="638">
        <f>'1A'!H22</f>
        <v>-98.850000000000009</v>
      </c>
      <c r="I6" s="580">
        <f>'1A'!I22</f>
        <v>36.560999999999993</v>
      </c>
      <c r="J6" s="165">
        <f xml:space="preserve"> H6 - I6</f>
        <v>-135.411</v>
      </c>
      <c r="K6" s="170">
        <f xml:space="preserve"> G6 + J6</f>
        <v>-1.7719999999999914</v>
      </c>
      <c r="M6" s="116"/>
      <c r="P6" s="78" t="s">
        <v>108</v>
      </c>
      <c r="AA6" s="79" t="s">
        <v>253</v>
      </c>
      <c r="AB6" s="109" t="s">
        <v>201</v>
      </c>
      <c r="AC6" s="109"/>
      <c r="AD6" s="81" t="s">
        <v>8</v>
      </c>
      <c r="AE6" s="185">
        <v>3</v>
      </c>
      <c r="AF6" s="313" t="str">
        <f>'1A'!AF22</f>
        <v>BO2530STAT</v>
      </c>
      <c r="AG6" s="638" t="str">
        <f>'1A'!AG22</f>
        <v>BO2530DSR</v>
      </c>
      <c r="AH6" s="580" t="str">
        <f>'1A'!AH22</f>
        <v>BO2530NA</v>
      </c>
      <c r="AI6" s="165" t="s">
        <v>205</v>
      </c>
      <c r="AJ6" s="170" t="s">
        <v>206</v>
      </c>
    </row>
    <row r="7" spans="2:36">
      <c r="B7" s="87" t="s">
        <v>254</v>
      </c>
      <c r="C7" s="80" t="s">
        <v>255</v>
      </c>
      <c r="D7" s="80"/>
      <c r="E7" s="88" t="s">
        <v>8</v>
      </c>
      <c r="F7" s="187">
        <v>3</v>
      </c>
      <c r="G7" s="339">
        <v>74</v>
      </c>
      <c r="H7" s="354">
        <v>0</v>
      </c>
      <c r="I7" s="341">
        <v>0</v>
      </c>
      <c r="J7" s="166">
        <f xml:space="preserve"> H7 - I7</f>
        <v>0</v>
      </c>
      <c r="K7" s="171">
        <f xml:space="preserve"> G7 + J7</f>
        <v>74</v>
      </c>
      <c r="M7" s="25">
        <f xml:space="preserve"> IF( SUM( O7:S7 ) = 0, 0, $P$6 )</f>
        <v>0</v>
      </c>
      <c r="P7" s="86">
        <f t="shared" ref="P7:R8" si="0" xml:space="preserve"> IF( ISNUMBER( G7 ), 0, 1 )</f>
        <v>0</v>
      </c>
      <c r="Q7" s="86">
        <f t="shared" si="0"/>
        <v>0</v>
      </c>
      <c r="R7" s="86">
        <f t="shared" si="0"/>
        <v>0</v>
      </c>
      <c r="AA7" s="87" t="s">
        <v>254</v>
      </c>
      <c r="AB7" s="80" t="s">
        <v>255</v>
      </c>
      <c r="AC7" s="80"/>
      <c r="AD7" s="88" t="s">
        <v>8</v>
      </c>
      <c r="AE7" s="187">
        <v>3</v>
      </c>
      <c r="AF7" s="339" t="s">
        <v>256</v>
      </c>
      <c r="AG7" s="354" t="s">
        <v>257</v>
      </c>
      <c r="AH7" s="341" t="s">
        <v>258</v>
      </c>
      <c r="AI7" s="166" t="s">
        <v>259</v>
      </c>
      <c r="AJ7" s="171" t="s">
        <v>260</v>
      </c>
    </row>
    <row r="8" spans="2:36">
      <c r="B8" s="87" t="s">
        <v>261</v>
      </c>
      <c r="C8" s="80" t="s">
        <v>262</v>
      </c>
      <c r="D8" s="80"/>
      <c r="E8" s="88" t="s">
        <v>8</v>
      </c>
      <c r="F8" s="187">
        <v>3</v>
      </c>
      <c r="G8" s="339">
        <v>70.947000000000003</v>
      </c>
      <c r="H8" s="354">
        <v>0</v>
      </c>
      <c r="I8" s="341">
        <v>0</v>
      </c>
      <c r="J8" s="166">
        <f xml:space="preserve"> H8 - I8</f>
        <v>0</v>
      </c>
      <c r="K8" s="171">
        <f xml:space="preserve"> G8 + J8</f>
        <v>70.947000000000003</v>
      </c>
      <c r="M8" s="25">
        <f xml:space="preserve"> IF( SUM( O8:S8 ) = 0, 0, $P$6 )</f>
        <v>0</v>
      </c>
      <c r="P8" s="86">
        <f t="shared" si="0"/>
        <v>0</v>
      </c>
      <c r="Q8" s="86">
        <f t="shared" si="0"/>
        <v>0</v>
      </c>
      <c r="R8" s="86">
        <f t="shared" si="0"/>
        <v>0</v>
      </c>
      <c r="AA8" s="87" t="s">
        <v>261</v>
      </c>
      <c r="AB8" s="80" t="s">
        <v>262</v>
      </c>
      <c r="AC8" s="80"/>
      <c r="AD8" s="88" t="s">
        <v>8</v>
      </c>
      <c r="AE8" s="187">
        <v>3</v>
      </c>
      <c r="AF8" s="339" t="s">
        <v>263</v>
      </c>
      <c r="AG8" s="354" t="s">
        <v>264</v>
      </c>
      <c r="AH8" s="341" t="s">
        <v>265</v>
      </c>
      <c r="AI8" s="166" t="s">
        <v>266</v>
      </c>
      <c r="AJ8" s="171" t="s">
        <v>267</v>
      </c>
    </row>
    <row r="9" spans="2:36" ht="15" thickBot="1">
      <c r="B9" s="94" t="s">
        <v>268</v>
      </c>
      <c r="C9" s="95" t="s">
        <v>269</v>
      </c>
      <c r="D9" s="95"/>
      <c r="E9" s="96" t="s">
        <v>8</v>
      </c>
      <c r="F9" s="194">
        <v>3</v>
      </c>
      <c r="G9" s="174">
        <f>SUM( G6:G8 )</f>
        <v>278.58600000000001</v>
      </c>
      <c r="H9" s="207">
        <f>SUM( H6:H8 )</f>
        <v>-98.850000000000009</v>
      </c>
      <c r="I9" s="168">
        <f>SUM( I6:I8 )</f>
        <v>36.560999999999993</v>
      </c>
      <c r="J9" s="169">
        <f xml:space="preserve"> H9 - I9</f>
        <v>-135.411</v>
      </c>
      <c r="K9" s="172">
        <f xml:space="preserve"> G9 + J9</f>
        <v>143.17500000000001</v>
      </c>
      <c r="M9" s="116"/>
      <c r="AA9" s="94" t="s">
        <v>268</v>
      </c>
      <c r="AB9" s="95" t="s">
        <v>269</v>
      </c>
      <c r="AC9" s="95"/>
      <c r="AD9" s="96" t="s">
        <v>8</v>
      </c>
      <c r="AE9" s="194">
        <v>3</v>
      </c>
      <c r="AF9" s="174" t="s">
        <v>270</v>
      </c>
      <c r="AG9" s="207" t="s">
        <v>271</v>
      </c>
      <c r="AH9" s="168" t="s">
        <v>272</v>
      </c>
      <c r="AI9" s="169" t="s">
        <v>273</v>
      </c>
      <c r="AJ9" s="172" t="s">
        <v>274</v>
      </c>
    </row>
    <row r="10" spans="2:36">
      <c r="M10" s="116"/>
    </row>
    <row r="11" spans="2:36" s="142" customFormat="1">
      <c r="B11" s="2256" t="s">
        <v>275</v>
      </c>
      <c r="C11" s="2256"/>
      <c r="D11" s="2195"/>
      <c r="J11" s="116"/>
      <c r="K11" s="116"/>
      <c r="L11" s="116"/>
      <c r="M11" s="116"/>
      <c r="N11" s="116"/>
      <c r="O11" s="66"/>
      <c r="P11" s="116"/>
      <c r="Q11" s="116"/>
      <c r="R11" s="177"/>
      <c r="S11" s="66"/>
    </row>
    <row r="12" spans="2:36" s="142" customFormat="1">
      <c r="B12" s="127"/>
      <c r="C12" s="128"/>
      <c r="D12" s="128"/>
      <c r="J12" s="116"/>
      <c r="K12" s="116"/>
      <c r="L12" s="116"/>
      <c r="M12" s="116"/>
      <c r="N12" s="116"/>
      <c r="O12" s="66"/>
      <c r="P12" s="116"/>
      <c r="Q12" s="116"/>
      <c r="R12" s="177"/>
      <c r="S12" s="66"/>
    </row>
    <row r="13" spans="2:36" s="142" customFormat="1">
      <c r="B13" s="26"/>
      <c r="C13" s="129" t="s">
        <v>249</v>
      </c>
      <c r="D13" s="129"/>
      <c r="J13" s="116"/>
      <c r="K13" s="116"/>
      <c r="L13" s="116"/>
      <c r="M13" s="116"/>
      <c r="N13" s="116"/>
      <c r="O13" s="66"/>
      <c r="P13" s="116"/>
      <c r="Q13" s="116"/>
      <c r="R13" s="177"/>
      <c r="S13" s="66"/>
    </row>
    <row r="14" spans="2:36" s="142" customFormat="1">
      <c r="B14" s="127"/>
      <c r="C14" s="128"/>
      <c r="D14" s="128"/>
      <c r="J14" s="116"/>
      <c r="K14" s="116"/>
      <c r="L14" s="116"/>
      <c r="M14" s="116"/>
      <c r="N14" s="116"/>
      <c r="O14" s="66"/>
      <c r="P14" s="116"/>
      <c r="Q14" s="116"/>
      <c r="R14" s="177"/>
      <c r="S14" s="66"/>
    </row>
    <row r="15" spans="2:36" s="142" customFormat="1">
      <c r="B15" s="130"/>
      <c r="C15" s="129" t="s">
        <v>250</v>
      </c>
      <c r="D15" s="129"/>
      <c r="J15" s="116"/>
      <c r="K15" s="116"/>
      <c r="L15" s="116"/>
      <c r="M15" s="116"/>
      <c r="N15" s="116"/>
      <c r="O15" s="66"/>
      <c r="P15" s="116"/>
      <c r="Q15" s="116"/>
      <c r="R15" s="177"/>
      <c r="S15" s="66"/>
    </row>
    <row r="16" spans="2:36" s="142" customFormat="1">
      <c r="B16" s="131"/>
      <c r="C16" s="129"/>
      <c r="D16" s="129"/>
      <c r="J16" s="116"/>
      <c r="K16" s="116"/>
      <c r="L16" s="116"/>
      <c r="M16" s="116"/>
      <c r="N16" s="116"/>
      <c r="O16" s="66"/>
      <c r="P16" s="116"/>
      <c r="Q16" s="116"/>
      <c r="R16" s="177"/>
      <c r="S16" s="66"/>
    </row>
    <row r="17" spans="2:19" s="155" customFormat="1" ht="15" thickBot="1">
      <c r="C17" s="156"/>
      <c r="D17" s="156"/>
      <c r="J17" s="118"/>
      <c r="K17" s="118"/>
      <c r="L17" s="118"/>
      <c r="M17" s="116"/>
      <c r="N17" s="116"/>
      <c r="O17" s="66"/>
      <c r="P17" s="116"/>
      <c r="Q17" s="116"/>
      <c r="R17" s="257"/>
      <c r="S17" s="66"/>
    </row>
    <row r="18" spans="2:19" s="155" customFormat="1" ht="21" thickBot="1">
      <c r="B18" s="1166" t="s">
        <v>251</v>
      </c>
      <c r="C18" s="133"/>
      <c r="D18" s="133"/>
      <c r="E18" s="134"/>
      <c r="F18" s="134"/>
      <c r="G18" s="134"/>
      <c r="H18" s="134"/>
      <c r="I18" s="134"/>
      <c r="J18" s="134"/>
      <c r="K18" s="140"/>
      <c r="L18" s="118"/>
      <c r="M18" s="116"/>
      <c r="N18" s="116"/>
      <c r="O18" s="66"/>
      <c r="P18" s="116"/>
      <c r="Q18" s="116"/>
      <c r="R18" s="257"/>
      <c r="S18" s="66"/>
    </row>
    <row r="19" spans="2:19" s="155" customFormat="1">
      <c r="C19" s="156"/>
      <c r="D19" s="156"/>
      <c r="J19" s="118"/>
      <c r="K19" s="118"/>
      <c r="L19" s="118"/>
      <c r="M19" s="116"/>
      <c r="N19" s="116"/>
      <c r="O19" s="66"/>
      <c r="P19" s="116"/>
      <c r="Q19" s="116"/>
      <c r="R19" s="257"/>
      <c r="S19" s="66"/>
    </row>
  </sheetData>
  <sheetProtection algorithmName="SHA-512" hashValue="2b9Ct72Yc5nPwlPDCWbB2bMz/zLXYhRspeH1SljhuBfuyqrm3Li9CiS9sC6hV4cS128kFmikiOc8IU6lHADcWQ==" saltValue="+XWAJwm6UvyUTGuL7bxQzQ==" spinCount="100000" sheet="1" objects="1" scenarios="1"/>
  <mergeCells count="15">
    <mergeCell ref="M3:M4"/>
    <mergeCell ref="P4:R4"/>
    <mergeCell ref="B11:C11"/>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6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&amp;K8573622017-18 annual performance report tables (TTT) - updated June 2018&amp;R&amp;G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DDBF90C75ADF34EAF54224F783D8BC6" ma:contentTypeVersion="4" ma:contentTypeDescription="Create a new document." ma:contentTypeScope="" ma:versionID="2554c14aff49064036c3ff1112109927">
  <xsd:schema xmlns:xsd="http://www.w3.org/2001/XMLSchema" xmlns:xs="http://www.w3.org/2001/XMLSchema" xmlns:p="http://schemas.microsoft.com/office/2006/metadata/properties" xmlns:ns2="ce768709-a98c-4e1a-b659-ac93c5681ead" targetNamespace="http://schemas.microsoft.com/office/2006/metadata/properties" ma:root="true" ma:fieldsID="a213c203f4e13d7225f53eb55797d806" ns2:_="">
    <xsd:import namespace="ce768709-a98c-4e1a-b659-ac93c5681e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768709-a98c-4e1a-b659-ac93c5681e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66CE2-F948-489C-9E58-DB1B101D4E50}"/>
</file>

<file path=customXml/itemProps2.xml><?xml version="1.0" encoding="utf-8"?>
<ds:datastoreItem xmlns:ds="http://schemas.openxmlformats.org/officeDocument/2006/customXml" ds:itemID="{D4BF14B4-C197-4DCF-B3FF-778C97B2BB79}"/>
</file>

<file path=customXml/itemProps3.xml><?xml version="1.0" encoding="utf-8"?>
<ds:datastoreItem xmlns:ds="http://schemas.openxmlformats.org/officeDocument/2006/customXml" ds:itemID="{57D1AE54-1F3D-4FFA-8940-E1E80A2A072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APR excel tables TTT (Cleansed for publication 23 April 2018)</dc:title>
  <dc:subject/>
  <dc:creator/>
  <cp:keywords/>
  <dc:description/>
  <cp:lastModifiedBy/>
  <cp:revision/>
  <dcterms:created xsi:type="dcterms:W3CDTF">2018-04-23T15:10:41Z</dcterms:created>
  <dcterms:modified xsi:type="dcterms:W3CDTF">2024-07-25T10:19:06Z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4">
    <vt:lpwstr/>
  </property>
  <property fmtid="{D5CDD505-2E9C-101B-9397-08002B2CF9AE}" pid="4" name="ContentTypeId">
    <vt:lpwstr>0x0101009DDBF90C75ADF34EAF54224F783D8BC6</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2;#Monitoring and assuring delivery|b4104a0b-5551-4aff-ac3a-2b01c896e63b</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SV_QUERY_LIST_4F35BF76-6C0D-4D9B-82B2-816C12CF3733">
    <vt:lpwstr>empty_477D106A-C0D6-4607-AEBD-E2C9D60EA279</vt:lpwstr>
  </property>
  <property fmtid="{D5CDD505-2E9C-101B-9397-08002B2CF9AE}" pid="14" name="SV_HIDDEN_GRID_QUERY_LIST_4F35BF76-6C0D-4D9B-82B2-816C12CF3733">
    <vt:lpwstr>empty_477D106A-C0D6-4607-AEBD-E2C9D60EA279</vt:lpwstr>
  </property>
</Properties>
</file>